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2.xml" ContentType="application/vnd.openxmlformats-officedocument.drawingml.chartshapes+xml"/>
  <Override PartName="/xl/drawings/drawing3.xml" ContentType="application/vnd.openxmlformats-officedocument.drawing+xml"/>
  <Override PartName="/xl/comments1.xml" ContentType="application/vnd.openxmlformats-officedocument.spreadsheetml.comments+xml"/>
  <Override PartName="/xl/charts/chart5.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ml.chartshapes+xml"/>
  <Override PartName="/xl/charts/chart7.xml" ContentType="application/vnd.openxmlformats-officedocument.drawingml.chart+xml"/>
  <Override PartName="/xl/drawings/drawing7.xml" ContentType="application/vnd.openxmlformats-officedocument.drawingml.chartshapes+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C:\Users\lei_j\Documents\FCI 2025\"/>
    </mc:Choice>
  </mc:AlternateContent>
  <xr:revisionPtr revIDLastSave="0" documentId="13_ncr:1_{E63941ED-D72E-492E-BDE8-4EC9549C2455}" xr6:coauthVersionLast="47" xr6:coauthVersionMax="47" xr10:uidLastSave="{00000000-0000-0000-0000-000000000000}"/>
  <workbookProtection workbookAlgorithmName="SHA-512" workbookHashValue="+/t75cNJqLukbCIJecqJjKYfGIxRFP/Kv+TiV4p0461/zlQKpwZeEFdAtkbNgyCRQroxXCtNDkzyTKoTJDqYFw==" workbookSaltValue="Vqc7OA9m+nnxfGjbD8yj5Q==" workbookSpinCount="100000" lockStructure="1"/>
  <bookViews>
    <workbookView xWindow="-110" yWindow="-110" windowWidth="19420" windowHeight="10300" xr2:uid="{00000000-000D-0000-FFFF-FFFF00000000}"/>
  </bookViews>
  <sheets>
    <sheet name="Financiele conditie" sheetId="28" r:id="rId1"/>
    <sheet name="Kengetallen 2024" sheetId="38" state="hidden" r:id="rId2"/>
    <sheet name="Macrogegevens" sheetId="4" r:id="rId3"/>
    <sheet name="Balansprognose" sheetId="6" r:id="rId4"/>
    <sheet name="Investeringen &amp; financiering" sheetId="3" r:id="rId5"/>
    <sheet name="Inkomsten &amp; uitgaven" sheetId="1" r:id="rId6"/>
    <sheet name="Kengetallen 2023" sheetId="40" state="hidden" r:id="rId7"/>
    <sheet name="Data investeringen" sheetId="7" state="hidden" r:id="rId8"/>
    <sheet name="Data macro" sheetId="37" state="hidden" r:id="rId9"/>
    <sheet name="Inkomsten" sheetId="35" state="hidden" r:id="rId10"/>
    <sheet name="Inkomsten 2021" sheetId="33" state="hidden" r:id="rId11"/>
    <sheet name="Uitgaven" sheetId="25" state="hidden" r:id="rId12"/>
    <sheet name="Uitgaven 2023" sheetId="34" state="hidden" r:id="rId13"/>
    <sheet name="Data belastingen 2022" sheetId="21" state="hidden" r:id="rId14"/>
    <sheet name="Data belastingen 2023" sheetId="27" state="hidden" r:id="rId15"/>
    <sheet name="Data belastingen 2024" sheetId="39" state="hidden" r:id="rId16"/>
    <sheet name="Data belastingen 2025" sheetId="32" state="hidden" r:id="rId17"/>
  </sheets>
  <externalReferences>
    <externalReference r:id="rId18"/>
    <externalReference r:id="rId19"/>
  </externalReferences>
  <definedNames>
    <definedName name="_xlnm._FilterDatabase" localSheetId="2" hidden="1">Macrogegevens!$A$1:$C$19</definedName>
    <definedName name="gemc">[1]uitk_jr_18!$A$17:$A$18</definedName>
    <definedName name="Groei_2327">[2]Groeifactoren!$A$6:$G$54</definedName>
    <definedName name="over_uit">[1]overig!$A$3:$DP$384</definedName>
    <definedName name="solver_adj" localSheetId="2" hidden="1">Macrogegevens!$G$17</definedName>
    <definedName name="solver_cvg" localSheetId="2" hidden="1">0.0001</definedName>
    <definedName name="solver_drv" localSheetId="2" hidden="1">1</definedName>
    <definedName name="solver_eng" localSheetId="2" hidden="1">2</definedName>
    <definedName name="solver_est" localSheetId="2" hidden="1">1</definedName>
    <definedName name="solver_itr" localSheetId="2" hidden="1">2147483647</definedName>
    <definedName name="solver_lhs1" localSheetId="2" hidden="1">Macrogegevens!#REF!</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2</definedName>
    <definedName name="solver_nod" localSheetId="2" hidden="1">2147483647</definedName>
    <definedName name="solver_num" localSheetId="2" hidden="1">1</definedName>
    <definedName name="solver_nwt" localSheetId="2" hidden="1">1</definedName>
    <definedName name="solver_opt" localSheetId="2" hidden="1">Macrogegevens!#REF!</definedName>
    <definedName name="solver_pre" localSheetId="2" hidden="1">0.000001</definedName>
    <definedName name="solver_rbv" localSheetId="2" hidden="1">1</definedName>
    <definedName name="solver_rel1" localSheetId="2" hidden="1">1</definedName>
    <definedName name="solver_rhs1" localSheetId="2" hidden="1">Macrogegevens!#REF!</definedName>
    <definedName name="solver_rlx" localSheetId="2" hidden="1">2</definedName>
    <definedName name="solver_rsd" localSheetId="2" hidden="1">0</definedName>
    <definedName name="solver_scl" localSheetId="2" hidden="1">1</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2</definedName>
    <definedName name="solver_val" localSheetId="2" hidden="1">0</definedName>
    <definedName name="solver_ver" localSheetId="2" hidden="1">3</definedName>
  </definedNames>
  <calcPr calcId="191029"/>
  <customWorkbookViews>
    <customWorkbookView name="Jan van der Lei  - Persoonlijke weergave" guid="{B41B624D-DA5C-4FA3-85F1-D5B8087B6A65}" mergeInterval="0" personalView="1" maximized="1" xWindow="1" yWindow="1" windowWidth="1676" windowHeight="832"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155" i="40" l="1"/>
  <c r="AJ157" i="40"/>
  <c r="AJ156" i="40"/>
  <c r="AG157" i="40" l="1"/>
  <c r="AG156" i="40"/>
  <c r="AG155" i="40"/>
  <c r="AL157" i="40"/>
  <c r="AO157" i="40" s="1"/>
  <c r="AL156" i="40"/>
  <c r="AL155" i="40"/>
  <c r="C35" i="4"/>
  <c r="AQ230" i="25"/>
  <c r="AQ229" i="25"/>
  <c r="AQ71" i="25"/>
  <c r="AQ72" i="25"/>
  <c r="C15" i="4"/>
  <c r="C16" i="4"/>
  <c r="C17" i="4"/>
  <c r="C14" i="4"/>
  <c r="AA29" i="3"/>
  <c r="AB29" i="3" s="1"/>
  <c r="G12" i="1"/>
  <c r="C13" i="4"/>
  <c r="C7" i="4"/>
  <c r="C5" i="4"/>
  <c r="C6" i="4"/>
  <c r="C9" i="4"/>
  <c r="C4" i="4"/>
  <c r="AB344" i="7" l="1"/>
  <c r="C4" i="3"/>
  <c r="AF3" i="7" l="1"/>
  <c r="S296" i="35"/>
  <c r="S184" i="35"/>
  <c r="S157" i="35"/>
  <c r="S62" i="35"/>
  <c r="AF344" i="35" l="1"/>
  <c r="AF343" i="35"/>
  <c r="AF342" i="35"/>
  <c r="AF341" i="35"/>
  <c r="AF340" i="35"/>
  <c r="AF339" i="35"/>
  <c r="AF338" i="35"/>
  <c r="AF337" i="35"/>
  <c r="AF336" i="35"/>
  <c r="AF335" i="35"/>
  <c r="AF334" i="35"/>
  <c r="AF333" i="35"/>
  <c r="AF332" i="35"/>
  <c r="AF331" i="35"/>
  <c r="AF330" i="35"/>
  <c r="AF329" i="35"/>
  <c r="AF328" i="35"/>
  <c r="AF327" i="35"/>
  <c r="AF326" i="35"/>
  <c r="AF325" i="35"/>
  <c r="AF324" i="35"/>
  <c r="AF323" i="35"/>
  <c r="AF322" i="35"/>
  <c r="AF321" i="35"/>
  <c r="AF320" i="35"/>
  <c r="AF319" i="35"/>
  <c r="AF318" i="35"/>
  <c r="AF317" i="35"/>
  <c r="AF316" i="35"/>
  <c r="AF315" i="35"/>
  <c r="AF314" i="35"/>
  <c r="AF313" i="35"/>
  <c r="AF312" i="35"/>
  <c r="AF311" i="35"/>
  <c r="AF310" i="35"/>
  <c r="AF309" i="35"/>
  <c r="AF308" i="35"/>
  <c r="AF307" i="35"/>
  <c r="AF306" i="35"/>
  <c r="AF305" i="35"/>
  <c r="AF304" i="35"/>
  <c r="AF303" i="35"/>
  <c r="AF302" i="35"/>
  <c r="AF301" i="35"/>
  <c r="AF300" i="35"/>
  <c r="AF299" i="35"/>
  <c r="AF298" i="35"/>
  <c r="AF297" i="35"/>
  <c r="AF296" i="35"/>
  <c r="AF295" i="35"/>
  <c r="AF294" i="35"/>
  <c r="AF293" i="35"/>
  <c r="AF292" i="35"/>
  <c r="AF291" i="35"/>
  <c r="AF290" i="35"/>
  <c r="AF289" i="35"/>
  <c r="AF288" i="35"/>
  <c r="AF287" i="35"/>
  <c r="AF286" i="35"/>
  <c r="AF285" i="35"/>
  <c r="AF284" i="35"/>
  <c r="AF283" i="35"/>
  <c r="AF282" i="35"/>
  <c r="AF281" i="35"/>
  <c r="AF280" i="35"/>
  <c r="AF279" i="35"/>
  <c r="AF278" i="35"/>
  <c r="AF277" i="35"/>
  <c r="AF276" i="35"/>
  <c r="AF275" i="35"/>
  <c r="AF274" i="35"/>
  <c r="AF273" i="35"/>
  <c r="AF272" i="35"/>
  <c r="AF271" i="35"/>
  <c r="AF270" i="35"/>
  <c r="AF269" i="35"/>
  <c r="AF268" i="35"/>
  <c r="AF267" i="35"/>
  <c r="AF266" i="35"/>
  <c r="AF265" i="35"/>
  <c r="AF264" i="35"/>
  <c r="AF263" i="35"/>
  <c r="AF262" i="35"/>
  <c r="AF261" i="35"/>
  <c r="AF260" i="35"/>
  <c r="AF259" i="35"/>
  <c r="AF258" i="35"/>
  <c r="AF257" i="35"/>
  <c r="AF256" i="35"/>
  <c r="AF255" i="35"/>
  <c r="AF254" i="35"/>
  <c r="AF253" i="35"/>
  <c r="AF252" i="35"/>
  <c r="AF251" i="35"/>
  <c r="AF250" i="35"/>
  <c r="AF249" i="35"/>
  <c r="AF248" i="35"/>
  <c r="AF247" i="35"/>
  <c r="AF246" i="35"/>
  <c r="AF245" i="35"/>
  <c r="AF244" i="35"/>
  <c r="AF243" i="35"/>
  <c r="AF242" i="35"/>
  <c r="AF241" i="35"/>
  <c r="AF240" i="35"/>
  <c r="AF239" i="35"/>
  <c r="AF238" i="35"/>
  <c r="AF237" i="35"/>
  <c r="AF236" i="35"/>
  <c r="AF235" i="35"/>
  <c r="AF234" i="35"/>
  <c r="AF233" i="35"/>
  <c r="AF232" i="35"/>
  <c r="AF231" i="35"/>
  <c r="AF230" i="35"/>
  <c r="AF229" i="35"/>
  <c r="AF228" i="35"/>
  <c r="AF227" i="35"/>
  <c r="AF226" i="35"/>
  <c r="AF225" i="35"/>
  <c r="AF224" i="35"/>
  <c r="AF223" i="35"/>
  <c r="AF222" i="35"/>
  <c r="AF221" i="35"/>
  <c r="AF220" i="35"/>
  <c r="AF219" i="35"/>
  <c r="AF218" i="35"/>
  <c r="AF217" i="35"/>
  <c r="AF216" i="35"/>
  <c r="AF215" i="35"/>
  <c r="AF214" i="35"/>
  <c r="AF213" i="35"/>
  <c r="AF212" i="35"/>
  <c r="AF211" i="35"/>
  <c r="AF210" i="35"/>
  <c r="AF209" i="35"/>
  <c r="AF208" i="35"/>
  <c r="AF207" i="35"/>
  <c r="AF206" i="35"/>
  <c r="AF205" i="35"/>
  <c r="AF204" i="35"/>
  <c r="AF203" i="35"/>
  <c r="AF202" i="35"/>
  <c r="AF201" i="35"/>
  <c r="AF200" i="35"/>
  <c r="AF199" i="35"/>
  <c r="AF198" i="35"/>
  <c r="AF197" i="35"/>
  <c r="AF196" i="35"/>
  <c r="AF195" i="35"/>
  <c r="AF194" i="35"/>
  <c r="AF193" i="35"/>
  <c r="AF192" i="35"/>
  <c r="AF191" i="35"/>
  <c r="AF190" i="35"/>
  <c r="AF189" i="35"/>
  <c r="AF188" i="35"/>
  <c r="AF187" i="35"/>
  <c r="AF186" i="35"/>
  <c r="AF185" i="35"/>
  <c r="AF184" i="35"/>
  <c r="AF183" i="35"/>
  <c r="AF182" i="35"/>
  <c r="AF181" i="35"/>
  <c r="AF180" i="35"/>
  <c r="AF179" i="35"/>
  <c r="AF178" i="35"/>
  <c r="AF177" i="35"/>
  <c r="AF176" i="35"/>
  <c r="AF175" i="35"/>
  <c r="AF174" i="35"/>
  <c r="AF173" i="35"/>
  <c r="AF172" i="35"/>
  <c r="AF171" i="35"/>
  <c r="AF170" i="35"/>
  <c r="AF169" i="35"/>
  <c r="AF168" i="35"/>
  <c r="AF167" i="35"/>
  <c r="AF166" i="35"/>
  <c r="AF165" i="35"/>
  <c r="AF164" i="35"/>
  <c r="AF163" i="35"/>
  <c r="AF162" i="35"/>
  <c r="AF161" i="35"/>
  <c r="AF160" i="35"/>
  <c r="AF159" i="35"/>
  <c r="AF158" i="35"/>
  <c r="AF157" i="35"/>
  <c r="AF156" i="35"/>
  <c r="AF155" i="35"/>
  <c r="AF154" i="35"/>
  <c r="AF153" i="35"/>
  <c r="AF152" i="35"/>
  <c r="AF151" i="35"/>
  <c r="AF150" i="35"/>
  <c r="AF149" i="35"/>
  <c r="AF148" i="35"/>
  <c r="AF147" i="35"/>
  <c r="AF146" i="35"/>
  <c r="AF145" i="35"/>
  <c r="AF144" i="35"/>
  <c r="AF143" i="35"/>
  <c r="AF142" i="35"/>
  <c r="AF141" i="35"/>
  <c r="AF140" i="35"/>
  <c r="AF139" i="35"/>
  <c r="AF138" i="35"/>
  <c r="AF137" i="35"/>
  <c r="AF136" i="35"/>
  <c r="AF135" i="35"/>
  <c r="AF134" i="35"/>
  <c r="AF133" i="35"/>
  <c r="AF132" i="35"/>
  <c r="AF131" i="35"/>
  <c r="AF130" i="35"/>
  <c r="AF129" i="35"/>
  <c r="AF128" i="35"/>
  <c r="AF127" i="35"/>
  <c r="AF126" i="35"/>
  <c r="AF125" i="35"/>
  <c r="AF124" i="35"/>
  <c r="AF123" i="35"/>
  <c r="AF122" i="35"/>
  <c r="AF121" i="35"/>
  <c r="AF120" i="35"/>
  <c r="AF119" i="35"/>
  <c r="AF118" i="35"/>
  <c r="AF117" i="35"/>
  <c r="AF116" i="35"/>
  <c r="AF115" i="35"/>
  <c r="AF114" i="35"/>
  <c r="AF113" i="35"/>
  <c r="AF112" i="35"/>
  <c r="AF111" i="35"/>
  <c r="AF110" i="35"/>
  <c r="AF109" i="35"/>
  <c r="AF108" i="35"/>
  <c r="AF107" i="35"/>
  <c r="AF106" i="35"/>
  <c r="AF105" i="35"/>
  <c r="AF104" i="35"/>
  <c r="AF103" i="35"/>
  <c r="AF102" i="35"/>
  <c r="AF101" i="35"/>
  <c r="AF100" i="35"/>
  <c r="AF99" i="35"/>
  <c r="AF98" i="35"/>
  <c r="AF97" i="35"/>
  <c r="AF96" i="35"/>
  <c r="AF95" i="35"/>
  <c r="AF94" i="35"/>
  <c r="AF93" i="35"/>
  <c r="AF92" i="35"/>
  <c r="AF91" i="35"/>
  <c r="AF90" i="35"/>
  <c r="AF89" i="35"/>
  <c r="AF88" i="35"/>
  <c r="AF87" i="35"/>
  <c r="AF86" i="35"/>
  <c r="AF85" i="35"/>
  <c r="AF84" i="35"/>
  <c r="AF83" i="35"/>
  <c r="AF82" i="35"/>
  <c r="AF81" i="35"/>
  <c r="AF80" i="35"/>
  <c r="AF79" i="35"/>
  <c r="AF78" i="35"/>
  <c r="AF77" i="35"/>
  <c r="AF76" i="35"/>
  <c r="AF75" i="35"/>
  <c r="AF74" i="35"/>
  <c r="AF73" i="35"/>
  <c r="AF72" i="35"/>
  <c r="AF71" i="35"/>
  <c r="AF70" i="35"/>
  <c r="AF69" i="35"/>
  <c r="AF68" i="35"/>
  <c r="AF67" i="35"/>
  <c r="AF66" i="35"/>
  <c r="AF65" i="35"/>
  <c r="AF64" i="35"/>
  <c r="AF63" i="35"/>
  <c r="AF62" i="35"/>
  <c r="AF61" i="35"/>
  <c r="AF60" i="35"/>
  <c r="AF59" i="35"/>
  <c r="AF58" i="35"/>
  <c r="AF57" i="35"/>
  <c r="AF56" i="35"/>
  <c r="AF55" i="35"/>
  <c r="AF54" i="35"/>
  <c r="AF53" i="35"/>
  <c r="AF52" i="35"/>
  <c r="AF51" i="35"/>
  <c r="AF50" i="35"/>
  <c r="AF49" i="35"/>
  <c r="AF48" i="35"/>
  <c r="AF47" i="35"/>
  <c r="AF46" i="35"/>
  <c r="AF45" i="35"/>
  <c r="AF44" i="35"/>
  <c r="AF43" i="35"/>
  <c r="AF42" i="35"/>
  <c r="AF41" i="35"/>
  <c r="AF40" i="35"/>
  <c r="AF39" i="35"/>
  <c r="AF38" i="35"/>
  <c r="AF37" i="35"/>
  <c r="AF36" i="35"/>
  <c r="AF35" i="35"/>
  <c r="AF34" i="35"/>
  <c r="AF33" i="35"/>
  <c r="AF32" i="35"/>
  <c r="AF31" i="35"/>
  <c r="AF30" i="35"/>
  <c r="AF29" i="35"/>
  <c r="AF28" i="35"/>
  <c r="AF27" i="35"/>
  <c r="AF26" i="35"/>
  <c r="AF25" i="35"/>
  <c r="AF24" i="35"/>
  <c r="AF23" i="35"/>
  <c r="AF22" i="35"/>
  <c r="AF21" i="35"/>
  <c r="AF20" i="35"/>
  <c r="AF19" i="35"/>
  <c r="AF18" i="35"/>
  <c r="AF17" i="35"/>
  <c r="AF16" i="35"/>
  <c r="AF15" i="35"/>
  <c r="AF14" i="35"/>
  <c r="AF13" i="35"/>
  <c r="AF12" i="35"/>
  <c r="AF11" i="35"/>
  <c r="AF10" i="35"/>
  <c r="AF9" i="35"/>
  <c r="AF8" i="35"/>
  <c r="AF7" i="35"/>
  <c r="AF6" i="35"/>
  <c r="AF5" i="35"/>
  <c r="AF4" i="35"/>
  <c r="AF3" i="35"/>
  <c r="AF2" i="35"/>
  <c r="V296" i="32"/>
  <c r="V184" i="32"/>
  <c r="V157" i="32"/>
  <c r="V62" i="32"/>
  <c r="S344" i="32"/>
  <c r="S343" i="32"/>
  <c r="S342" i="32"/>
  <c r="S341" i="32"/>
  <c r="S340" i="32"/>
  <c r="S339" i="32"/>
  <c r="S338" i="32"/>
  <c r="S337" i="32"/>
  <c r="S336" i="32"/>
  <c r="S335" i="32"/>
  <c r="S334" i="32"/>
  <c r="S333" i="32"/>
  <c r="S332" i="32"/>
  <c r="S331" i="32"/>
  <c r="S330" i="32"/>
  <c r="S329" i="32"/>
  <c r="S328" i="32"/>
  <c r="S327" i="32"/>
  <c r="S326" i="32"/>
  <c r="S325" i="32"/>
  <c r="S324" i="32"/>
  <c r="S323" i="32"/>
  <c r="S322" i="32"/>
  <c r="S321" i="32"/>
  <c r="S320" i="32"/>
  <c r="S319" i="32"/>
  <c r="S318" i="32"/>
  <c r="S317" i="32"/>
  <c r="S316" i="32"/>
  <c r="S315" i="32"/>
  <c r="S314" i="32"/>
  <c r="S313" i="32"/>
  <c r="S312" i="32"/>
  <c r="S311" i="32"/>
  <c r="S310" i="32"/>
  <c r="S309" i="32"/>
  <c r="S308" i="32"/>
  <c r="S307" i="32"/>
  <c r="S306" i="32"/>
  <c r="S305" i="32"/>
  <c r="S304" i="32"/>
  <c r="S303" i="32"/>
  <c r="S302" i="32"/>
  <c r="S301" i="32"/>
  <c r="S300" i="32"/>
  <c r="S299" i="32"/>
  <c r="S298" i="32"/>
  <c r="S297" i="32"/>
  <c r="S296" i="32"/>
  <c r="S295" i="32"/>
  <c r="S294" i="32"/>
  <c r="S293" i="32"/>
  <c r="S292" i="32"/>
  <c r="S291" i="32"/>
  <c r="S290" i="32"/>
  <c r="S289" i="32"/>
  <c r="S288" i="32"/>
  <c r="S287" i="32"/>
  <c r="S286" i="32"/>
  <c r="S285" i="32"/>
  <c r="S284" i="32"/>
  <c r="S283" i="32"/>
  <c r="S282" i="32"/>
  <c r="S281" i="32"/>
  <c r="S280" i="32"/>
  <c r="S279" i="32"/>
  <c r="S278" i="32"/>
  <c r="S277" i="32"/>
  <c r="S276" i="32"/>
  <c r="S275" i="32"/>
  <c r="S274" i="32"/>
  <c r="S273" i="32"/>
  <c r="S272" i="32"/>
  <c r="S271" i="32"/>
  <c r="S270" i="32"/>
  <c r="S269" i="32"/>
  <c r="S268" i="32"/>
  <c r="S267" i="32"/>
  <c r="S266" i="32"/>
  <c r="S265" i="32"/>
  <c r="S264" i="32"/>
  <c r="S263" i="32"/>
  <c r="S262" i="32"/>
  <c r="S261" i="32"/>
  <c r="S260" i="32"/>
  <c r="S259" i="32"/>
  <c r="S258" i="32"/>
  <c r="S257" i="32"/>
  <c r="S256" i="32"/>
  <c r="S255" i="32"/>
  <c r="S254" i="32"/>
  <c r="S253" i="32"/>
  <c r="S252" i="32"/>
  <c r="S251" i="32"/>
  <c r="S250" i="32"/>
  <c r="S249" i="32"/>
  <c r="S248" i="32"/>
  <c r="S247" i="32"/>
  <c r="S246" i="32"/>
  <c r="S245" i="32"/>
  <c r="S244" i="32"/>
  <c r="S243" i="32"/>
  <c r="S242" i="32"/>
  <c r="S241" i="32"/>
  <c r="S240" i="32"/>
  <c r="S239" i="32"/>
  <c r="S238" i="32"/>
  <c r="S237" i="32"/>
  <c r="S236" i="32"/>
  <c r="S235" i="32"/>
  <c r="S234" i="32"/>
  <c r="S233" i="32"/>
  <c r="S232" i="32"/>
  <c r="S231" i="32"/>
  <c r="S230" i="32"/>
  <c r="S229" i="32"/>
  <c r="S228" i="32"/>
  <c r="S227" i="32"/>
  <c r="S226" i="32"/>
  <c r="S225" i="32"/>
  <c r="S224" i="32"/>
  <c r="S223" i="32"/>
  <c r="S222" i="32"/>
  <c r="S221" i="32"/>
  <c r="S220" i="32"/>
  <c r="S219" i="32"/>
  <c r="S218" i="32"/>
  <c r="S217" i="32"/>
  <c r="S216" i="32"/>
  <c r="S215" i="32"/>
  <c r="S214" i="32"/>
  <c r="S213" i="32"/>
  <c r="S212" i="32"/>
  <c r="S211" i="32"/>
  <c r="S210" i="32"/>
  <c r="S209" i="32"/>
  <c r="S208" i="32"/>
  <c r="S207" i="32"/>
  <c r="S206" i="32"/>
  <c r="S205" i="32"/>
  <c r="S204" i="32"/>
  <c r="S203" i="32"/>
  <c r="S202" i="32"/>
  <c r="S201" i="32"/>
  <c r="S200" i="32"/>
  <c r="S199" i="32"/>
  <c r="S198" i="32"/>
  <c r="S197" i="32"/>
  <c r="S196" i="32"/>
  <c r="S195" i="32"/>
  <c r="S194" i="32"/>
  <c r="S193" i="32"/>
  <c r="S192" i="32"/>
  <c r="S191" i="32"/>
  <c r="S190" i="32"/>
  <c r="S189" i="32"/>
  <c r="S188" i="32"/>
  <c r="S187" i="32"/>
  <c r="S186" i="32"/>
  <c r="S185" i="32"/>
  <c r="S184" i="32"/>
  <c r="S183" i="32"/>
  <c r="S182" i="32"/>
  <c r="S181" i="32"/>
  <c r="S180" i="32"/>
  <c r="S179" i="32"/>
  <c r="S178" i="32"/>
  <c r="S177" i="32"/>
  <c r="S176" i="32"/>
  <c r="S175" i="32"/>
  <c r="S174" i="32"/>
  <c r="S173" i="32"/>
  <c r="S172" i="32"/>
  <c r="S171" i="32"/>
  <c r="S170" i="32"/>
  <c r="S169" i="32"/>
  <c r="S168" i="32"/>
  <c r="S167" i="32"/>
  <c r="S166" i="32"/>
  <c r="S165" i="32"/>
  <c r="S164" i="32"/>
  <c r="S163" i="32"/>
  <c r="S162" i="32"/>
  <c r="S161" i="32"/>
  <c r="S160" i="32"/>
  <c r="S159" i="32"/>
  <c r="S158" i="32"/>
  <c r="S157" i="32"/>
  <c r="S156" i="32"/>
  <c r="S155" i="32"/>
  <c r="S154" i="32"/>
  <c r="S153" i="32"/>
  <c r="S152" i="32"/>
  <c r="S151" i="32"/>
  <c r="S150" i="32"/>
  <c r="S149" i="32"/>
  <c r="S148" i="32"/>
  <c r="S147" i="32"/>
  <c r="S146" i="32"/>
  <c r="S145" i="32"/>
  <c r="S144" i="32"/>
  <c r="S143" i="32"/>
  <c r="S142" i="32"/>
  <c r="S141" i="32"/>
  <c r="S140" i="32"/>
  <c r="S139" i="32"/>
  <c r="S138" i="32"/>
  <c r="S137" i="32"/>
  <c r="S136" i="32"/>
  <c r="S135" i="32"/>
  <c r="S134" i="32"/>
  <c r="S133" i="32"/>
  <c r="S132" i="32"/>
  <c r="S131" i="32"/>
  <c r="S130" i="32"/>
  <c r="S129" i="32"/>
  <c r="S128" i="32"/>
  <c r="S127" i="32"/>
  <c r="S126" i="32"/>
  <c r="S125" i="32"/>
  <c r="S124" i="32"/>
  <c r="S123" i="32"/>
  <c r="S122" i="32"/>
  <c r="S121" i="32"/>
  <c r="S120" i="32"/>
  <c r="S119" i="32"/>
  <c r="S118" i="32"/>
  <c r="S117" i="32"/>
  <c r="S116" i="32"/>
  <c r="S115" i="32"/>
  <c r="S114" i="32"/>
  <c r="S113" i="32"/>
  <c r="S112" i="32"/>
  <c r="S111" i="32"/>
  <c r="S110" i="32"/>
  <c r="S109" i="32"/>
  <c r="S108" i="32"/>
  <c r="S107" i="32"/>
  <c r="S106" i="32"/>
  <c r="S105" i="32"/>
  <c r="S104" i="32"/>
  <c r="S103" i="32"/>
  <c r="S102" i="32"/>
  <c r="S101" i="32"/>
  <c r="S100" i="32"/>
  <c r="S99" i="32"/>
  <c r="S98" i="32"/>
  <c r="S97" i="32"/>
  <c r="S96" i="32"/>
  <c r="S95" i="32"/>
  <c r="S94" i="32"/>
  <c r="S93" i="32"/>
  <c r="S92" i="32"/>
  <c r="S91" i="32"/>
  <c r="S90" i="32"/>
  <c r="S89" i="32"/>
  <c r="S88" i="32"/>
  <c r="S87" i="32"/>
  <c r="S86" i="32"/>
  <c r="S85" i="32"/>
  <c r="S84" i="32"/>
  <c r="S83" i="32"/>
  <c r="S82" i="32"/>
  <c r="S81" i="32"/>
  <c r="S80" i="32"/>
  <c r="S79" i="32"/>
  <c r="S78" i="32"/>
  <c r="S77" i="32"/>
  <c r="S76" i="32"/>
  <c r="S75" i="32"/>
  <c r="S74" i="32"/>
  <c r="S73" i="32"/>
  <c r="S72" i="32"/>
  <c r="S71" i="32"/>
  <c r="S70" i="32"/>
  <c r="S69" i="32"/>
  <c r="S68" i="32"/>
  <c r="S67" i="32"/>
  <c r="S66" i="32"/>
  <c r="S65" i="32"/>
  <c r="S64" i="32"/>
  <c r="S63" i="32"/>
  <c r="S62" i="32"/>
  <c r="S61" i="32"/>
  <c r="S60" i="32"/>
  <c r="S59" i="32"/>
  <c r="S58" i="32"/>
  <c r="S57" i="32"/>
  <c r="S56" i="32"/>
  <c r="S55" i="32"/>
  <c r="S54" i="32"/>
  <c r="S53" i="32"/>
  <c r="S52" i="32"/>
  <c r="S51" i="32"/>
  <c r="S50" i="32"/>
  <c r="S49" i="32"/>
  <c r="S48" i="32"/>
  <c r="S47" i="32"/>
  <c r="S46" i="32"/>
  <c r="S45" i="32"/>
  <c r="S44" i="32"/>
  <c r="S43" i="32"/>
  <c r="S42" i="32"/>
  <c r="S41" i="32"/>
  <c r="S40" i="32"/>
  <c r="S39" i="32"/>
  <c r="S38" i="32"/>
  <c r="S37" i="32"/>
  <c r="S36" i="32"/>
  <c r="S35" i="32"/>
  <c r="S34" i="32"/>
  <c r="S33" i="32"/>
  <c r="S32" i="32"/>
  <c r="S31" i="32"/>
  <c r="S30" i="32"/>
  <c r="S29" i="32"/>
  <c r="S28" i="32"/>
  <c r="S27" i="32"/>
  <c r="S26" i="32"/>
  <c r="S25" i="32"/>
  <c r="S24" i="32"/>
  <c r="S23" i="32"/>
  <c r="S22" i="32"/>
  <c r="S21" i="32"/>
  <c r="S20" i="32"/>
  <c r="S19" i="32"/>
  <c r="S18" i="32"/>
  <c r="S17" i="32"/>
  <c r="S16" i="32"/>
  <c r="S15" i="32"/>
  <c r="S14" i="32"/>
  <c r="S13" i="32"/>
  <c r="S12" i="32"/>
  <c r="S11" i="32"/>
  <c r="S10" i="32"/>
  <c r="S9" i="32"/>
  <c r="S8" i="32"/>
  <c r="S7" i="32"/>
  <c r="S6" i="32"/>
  <c r="S5" i="32"/>
  <c r="S4" i="32"/>
  <c r="S3" i="32"/>
  <c r="S2" i="32"/>
  <c r="R344" i="32"/>
  <c r="Q344" i="32"/>
  <c r="P344" i="32"/>
  <c r="R344" i="39"/>
  <c r="Q344" i="39"/>
  <c r="P344" i="39"/>
  <c r="AQ343" i="25"/>
  <c r="AQ342" i="25"/>
  <c r="AD344" i="25"/>
  <c r="AE344" i="25"/>
  <c r="I344" i="35" l="1"/>
  <c r="L344" i="35" s="1"/>
  <c r="L343" i="35"/>
  <c r="L342" i="35"/>
  <c r="L341" i="35"/>
  <c r="L340" i="35"/>
  <c r="L339" i="35"/>
  <c r="L338" i="35"/>
  <c r="L337" i="35"/>
  <c r="L336" i="35"/>
  <c r="L335" i="35"/>
  <c r="L334" i="35"/>
  <c r="L333" i="35"/>
  <c r="L332" i="35"/>
  <c r="L331" i="35"/>
  <c r="L330" i="35"/>
  <c r="L329" i="35"/>
  <c r="L328" i="35"/>
  <c r="L327" i="35"/>
  <c r="L326" i="35"/>
  <c r="L325" i="35"/>
  <c r="L324" i="35"/>
  <c r="L323" i="35"/>
  <c r="L322" i="35"/>
  <c r="L321" i="35"/>
  <c r="L320" i="35"/>
  <c r="L319" i="35"/>
  <c r="L318" i="35"/>
  <c r="L317" i="35"/>
  <c r="L316" i="35"/>
  <c r="L315" i="35"/>
  <c r="L314" i="35"/>
  <c r="L313" i="35"/>
  <c r="L312" i="35"/>
  <c r="L311" i="35"/>
  <c r="L310" i="35"/>
  <c r="L309" i="35"/>
  <c r="L308" i="35"/>
  <c r="L307" i="35"/>
  <c r="L306" i="35"/>
  <c r="L305" i="35"/>
  <c r="L304" i="35"/>
  <c r="L303" i="35"/>
  <c r="L302" i="35"/>
  <c r="L301" i="35"/>
  <c r="L300" i="35"/>
  <c r="L299" i="35"/>
  <c r="L298" i="35"/>
  <c r="L297" i="35"/>
  <c r="L296" i="35"/>
  <c r="L295" i="35"/>
  <c r="L294" i="35"/>
  <c r="L293" i="35"/>
  <c r="L292" i="35"/>
  <c r="L291" i="35"/>
  <c r="L290" i="35"/>
  <c r="L289" i="35"/>
  <c r="L288" i="35"/>
  <c r="L287" i="35"/>
  <c r="L286" i="35"/>
  <c r="L285" i="35"/>
  <c r="L284" i="35"/>
  <c r="L283" i="35"/>
  <c r="L282" i="35"/>
  <c r="L281" i="35"/>
  <c r="L280" i="35"/>
  <c r="L279" i="35"/>
  <c r="L278" i="35"/>
  <c r="L277" i="35"/>
  <c r="L276" i="35"/>
  <c r="L275" i="35"/>
  <c r="L274" i="35"/>
  <c r="L273" i="35"/>
  <c r="L272" i="35"/>
  <c r="L271" i="35"/>
  <c r="L270" i="35"/>
  <c r="L269" i="35"/>
  <c r="L268" i="35"/>
  <c r="L267" i="35"/>
  <c r="L266" i="35"/>
  <c r="L265" i="35"/>
  <c r="L264" i="35"/>
  <c r="L263" i="35"/>
  <c r="L262" i="35"/>
  <c r="L261" i="35"/>
  <c r="L260" i="35"/>
  <c r="L259" i="35"/>
  <c r="L258" i="35"/>
  <c r="L257" i="35"/>
  <c r="L256" i="35"/>
  <c r="L255" i="35"/>
  <c r="L254" i="35"/>
  <c r="L253" i="35"/>
  <c r="L252" i="35"/>
  <c r="L251" i="35"/>
  <c r="L250" i="35"/>
  <c r="L249" i="35"/>
  <c r="L248" i="35"/>
  <c r="L247" i="35"/>
  <c r="L246" i="35"/>
  <c r="L245" i="35"/>
  <c r="L244" i="35"/>
  <c r="L243" i="35"/>
  <c r="L242" i="35"/>
  <c r="L241" i="35"/>
  <c r="L240" i="35"/>
  <c r="L239" i="35"/>
  <c r="L238" i="35"/>
  <c r="L237" i="35"/>
  <c r="L236" i="35"/>
  <c r="L235" i="35"/>
  <c r="L234" i="35"/>
  <c r="L233" i="35"/>
  <c r="L232" i="35"/>
  <c r="L231" i="35"/>
  <c r="L230" i="35"/>
  <c r="L229" i="35"/>
  <c r="L228" i="35"/>
  <c r="L227" i="35"/>
  <c r="L226" i="35"/>
  <c r="L225" i="35"/>
  <c r="L224" i="35"/>
  <c r="L223" i="35"/>
  <c r="L222" i="35"/>
  <c r="L221" i="35"/>
  <c r="L220" i="35"/>
  <c r="L219" i="35"/>
  <c r="L218" i="35"/>
  <c r="L217" i="35"/>
  <c r="L216" i="35"/>
  <c r="L215" i="35"/>
  <c r="L214" i="35"/>
  <c r="L213" i="35"/>
  <c r="L212" i="35"/>
  <c r="L211" i="35"/>
  <c r="L210" i="35"/>
  <c r="L209" i="35"/>
  <c r="L208" i="35"/>
  <c r="L207" i="35"/>
  <c r="L206" i="35"/>
  <c r="L205" i="35"/>
  <c r="L204" i="35"/>
  <c r="L203" i="35"/>
  <c r="L202" i="35"/>
  <c r="L201" i="35"/>
  <c r="L200" i="35"/>
  <c r="L199" i="35"/>
  <c r="L198" i="35"/>
  <c r="L197" i="35"/>
  <c r="L196" i="35"/>
  <c r="L195" i="35"/>
  <c r="L194" i="35"/>
  <c r="L193" i="35"/>
  <c r="L192" i="35"/>
  <c r="L191" i="35"/>
  <c r="L190" i="35"/>
  <c r="L189" i="35"/>
  <c r="L188" i="35"/>
  <c r="L187" i="35"/>
  <c r="L186" i="35"/>
  <c r="L185" i="35"/>
  <c r="L184" i="35"/>
  <c r="L183" i="35"/>
  <c r="L182" i="35"/>
  <c r="L181" i="35"/>
  <c r="L180" i="35"/>
  <c r="L179" i="35"/>
  <c r="L178" i="35"/>
  <c r="L177" i="35"/>
  <c r="L176" i="35"/>
  <c r="L175" i="35"/>
  <c r="L174" i="35"/>
  <c r="L173" i="35"/>
  <c r="L172" i="35"/>
  <c r="L171" i="35"/>
  <c r="L170" i="35"/>
  <c r="L169" i="35"/>
  <c r="L168" i="35"/>
  <c r="L167" i="35"/>
  <c r="L166" i="35"/>
  <c r="L165" i="35"/>
  <c r="L164" i="35"/>
  <c r="L163" i="35"/>
  <c r="L162" i="35"/>
  <c r="L161" i="35"/>
  <c r="L160" i="35"/>
  <c r="L159" i="35"/>
  <c r="L158" i="35"/>
  <c r="L157" i="35"/>
  <c r="L156" i="35"/>
  <c r="L155" i="35"/>
  <c r="L154" i="35"/>
  <c r="L153" i="35"/>
  <c r="L152" i="35"/>
  <c r="L151" i="35"/>
  <c r="L150" i="35"/>
  <c r="L149" i="35"/>
  <c r="L148" i="35"/>
  <c r="L147" i="35"/>
  <c r="L146" i="35"/>
  <c r="L145" i="35"/>
  <c r="L144" i="35"/>
  <c r="L143" i="35"/>
  <c r="L142" i="35"/>
  <c r="L141" i="35"/>
  <c r="L140" i="35"/>
  <c r="L139" i="35"/>
  <c r="L138" i="35"/>
  <c r="L137" i="35"/>
  <c r="L136" i="35"/>
  <c r="L135" i="35"/>
  <c r="L134" i="35"/>
  <c r="L133" i="35"/>
  <c r="L132" i="35"/>
  <c r="L131" i="35"/>
  <c r="L130" i="35"/>
  <c r="L129" i="35"/>
  <c r="L128" i="35"/>
  <c r="L127" i="35"/>
  <c r="L126" i="35"/>
  <c r="L125" i="35"/>
  <c r="L124" i="35"/>
  <c r="L123" i="35"/>
  <c r="L122" i="35"/>
  <c r="L121" i="35"/>
  <c r="L120" i="35"/>
  <c r="L119" i="35"/>
  <c r="L118" i="35"/>
  <c r="L117" i="35"/>
  <c r="L116" i="35"/>
  <c r="L115" i="35"/>
  <c r="L114" i="35"/>
  <c r="L113" i="35"/>
  <c r="L112" i="35"/>
  <c r="L111" i="35"/>
  <c r="L110" i="35"/>
  <c r="L109" i="35"/>
  <c r="L108" i="35"/>
  <c r="L107" i="35"/>
  <c r="L106" i="35"/>
  <c r="L105" i="35"/>
  <c r="L104" i="35"/>
  <c r="L103" i="35"/>
  <c r="L102" i="35"/>
  <c r="L101" i="35"/>
  <c r="L100" i="35"/>
  <c r="L99" i="35"/>
  <c r="L98" i="35"/>
  <c r="L97" i="35"/>
  <c r="L96" i="35"/>
  <c r="L95" i="35"/>
  <c r="L94" i="35"/>
  <c r="L93" i="35"/>
  <c r="L92" i="35"/>
  <c r="L91" i="35"/>
  <c r="L90" i="35"/>
  <c r="L89" i="35"/>
  <c r="L88" i="35"/>
  <c r="L87" i="35"/>
  <c r="L86" i="35"/>
  <c r="L85" i="35"/>
  <c r="L84" i="35"/>
  <c r="L83" i="35"/>
  <c r="L82" i="35"/>
  <c r="L81" i="35"/>
  <c r="L80" i="35"/>
  <c r="L79" i="35"/>
  <c r="L78" i="35"/>
  <c r="L77" i="35"/>
  <c r="L76" i="35"/>
  <c r="L75" i="35"/>
  <c r="L74" i="35"/>
  <c r="L73" i="35"/>
  <c r="L72" i="35"/>
  <c r="L71" i="35"/>
  <c r="L70" i="35"/>
  <c r="L69" i="35"/>
  <c r="L68" i="35"/>
  <c r="L67" i="35"/>
  <c r="L66" i="35"/>
  <c r="L65" i="35"/>
  <c r="L64" i="35"/>
  <c r="L63" i="35"/>
  <c r="L62" i="35"/>
  <c r="L61" i="35"/>
  <c r="L60" i="35"/>
  <c r="L59" i="35"/>
  <c r="L58" i="35"/>
  <c r="L57" i="35"/>
  <c r="L56" i="35"/>
  <c r="L55" i="35"/>
  <c r="L54" i="35"/>
  <c r="L53" i="35"/>
  <c r="L52" i="35"/>
  <c r="L51" i="35"/>
  <c r="L50" i="35"/>
  <c r="L49" i="35"/>
  <c r="L48" i="35"/>
  <c r="L47" i="35"/>
  <c r="L46" i="35"/>
  <c r="L45" i="35"/>
  <c r="L44" i="35"/>
  <c r="L43" i="35"/>
  <c r="L42" i="35"/>
  <c r="L41" i="35"/>
  <c r="L40" i="35"/>
  <c r="L39" i="35"/>
  <c r="L38" i="35"/>
  <c r="L37" i="35"/>
  <c r="L36" i="35"/>
  <c r="L35" i="35"/>
  <c r="L34" i="35"/>
  <c r="L33" i="35"/>
  <c r="L32" i="35"/>
  <c r="L31" i="35"/>
  <c r="L30" i="35"/>
  <c r="L29" i="35"/>
  <c r="L28" i="35"/>
  <c r="L27" i="35"/>
  <c r="L26" i="35"/>
  <c r="L25" i="35"/>
  <c r="L24" i="35"/>
  <c r="L23" i="35"/>
  <c r="L22" i="35"/>
  <c r="L21" i="35"/>
  <c r="L20" i="35"/>
  <c r="L19" i="35"/>
  <c r="L18" i="35"/>
  <c r="L17" i="35"/>
  <c r="L16" i="35"/>
  <c r="L15" i="35"/>
  <c r="L14" i="35"/>
  <c r="L13" i="35"/>
  <c r="L12" i="35"/>
  <c r="L11" i="35"/>
  <c r="L10" i="35"/>
  <c r="L9" i="35"/>
  <c r="L8" i="35"/>
  <c r="L7" i="35"/>
  <c r="L6" i="35"/>
  <c r="L5" i="35"/>
  <c r="L4" i="35"/>
  <c r="L3" i="35"/>
  <c r="L2" i="35"/>
  <c r="D343" i="35"/>
  <c r="D342" i="35"/>
  <c r="D341" i="35"/>
  <c r="D340" i="35"/>
  <c r="D339" i="35"/>
  <c r="D338" i="35"/>
  <c r="D337" i="35"/>
  <c r="D336" i="35"/>
  <c r="D335" i="35"/>
  <c r="D334" i="35"/>
  <c r="D333" i="35"/>
  <c r="D332" i="35"/>
  <c r="D331" i="35"/>
  <c r="D330" i="35"/>
  <c r="D329" i="35"/>
  <c r="D328" i="35"/>
  <c r="D327" i="35"/>
  <c r="D326" i="35"/>
  <c r="D325" i="35"/>
  <c r="D324" i="35"/>
  <c r="D323" i="35"/>
  <c r="D322" i="35"/>
  <c r="D321" i="35"/>
  <c r="D320" i="35"/>
  <c r="D319" i="35"/>
  <c r="D318" i="35"/>
  <c r="D317" i="35"/>
  <c r="D316" i="35"/>
  <c r="D315" i="35"/>
  <c r="D314" i="35"/>
  <c r="D313" i="35"/>
  <c r="D312" i="35"/>
  <c r="D311" i="35"/>
  <c r="D310" i="35"/>
  <c r="D309" i="35"/>
  <c r="D308" i="35"/>
  <c r="D307" i="35"/>
  <c r="D306" i="35"/>
  <c r="D305" i="35"/>
  <c r="D304" i="35"/>
  <c r="D303" i="35"/>
  <c r="D302" i="35"/>
  <c r="D301" i="35"/>
  <c r="D300" i="35"/>
  <c r="D299" i="35"/>
  <c r="D298" i="35"/>
  <c r="D297" i="35"/>
  <c r="D296" i="35"/>
  <c r="D295" i="35"/>
  <c r="D294" i="35"/>
  <c r="D293" i="35"/>
  <c r="D292" i="35"/>
  <c r="D291" i="35"/>
  <c r="D290" i="35"/>
  <c r="D289" i="35"/>
  <c r="D288" i="35"/>
  <c r="D287" i="35"/>
  <c r="D286" i="35"/>
  <c r="D285" i="35"/>
  <c r="D284" i="35"/>
  <c r="D283" i="35"/>
  <c r="D282" i="35"/>
  <c r="D281" i="35"/>
  <c r="D280" i="35"/>
  <c r="D279" i="35"/>
  <c r="D278" i="35"/>
  <c r="D277" i="35"/>
  <c r="D276" i="35"/>
  <c r="D275" i="35"/>
  <c r="D274" i="35"/>
  <c r="D273" i="35"/>
  <c r="D272" i="35"/>
  <c r="D271" i="35"/>
  <c r="D270" i="35"/>
  <c r="D269" i="35"/>
  <c r="D268" i="35"/>
  <c r="D267" i="35"/>
  <c r="D266" i="35"/>
  <c r="D265" i="35"/>
  <c r="D264" i="35"/>
  <c r="D263" i="35"/>
  <c r="D262" i="35"/>
  <c r="D261" i="35"/>
  <c r="D260" i="35"/>
  <c r="D259" i="35"/>
  <c r="D258" i="35"/>
  <c r="D257" i="35"/>
  <c r="D256" i="35"/>
  <c r="D255" i="35"/>
  <c r="D254" i="35"/>
  <c r="D253" i="35"/>
  <c r="D252" i="35"/>
  <c r="D251" i="35"/>
  <c r="D250" i="35"/>
  <c r="D249" i="35"/>
  <c r="D248" i="35"/>
  <c r="D247" i="35"/>
  <c r="D246" i="35"/>
  <c r="D245" i="35"/>
  <c r="D244" i="35"/>
  <c r="D243" i="35"/>
  <c r="D242" i="35"/>
  <c r="D241" i="35"/>
  <c r="D240" i="35"/>
  <c r="D239" i="35"/>
  <c r="D238" i="35"/>
  <c r="D237" i="35"/>
  <c r="D236" i="35"/>
  <c r="D235" i="35"/>
  <c r="D234" i="35"/>
  <c r="D233" i="35"/>
  <c r="D232" i="35"/>
  <c r="D231" i="35"/>
  <c r="D230" i="35"/>
  <c r="D229" i="35"/>
  <c r="D228" i="35"/>
  <c r="D227" i="35"/>
  <c r="D226" i="35"/>
  <c r="D225" i="35"/>
  <c r="D224" i="35"/>
  <c r="D223" i="35"/>
  <c r="D222" i="35"/>
  <c r="D221" i="35"/>
  <c r="D220" i="35"/>
  <c r="D219" i="35"/>
  <c r="D218" i="35"/>
  <c r="D217" i="35"/>
  <c r="D216" i="35"/>
  <c r="D215" i="35"/>
  <c r="D214" i="35"/>
  <c r="D213" i="35"/>
  <c r="D212" i="35"/>
  <c r="D211" i="35"/>
  <c r="D210" i="35"/>
  <c r="D209" i="35"/>
  <c r="D208" i="35"/>
  <c r="D207" i="35"/>
  <c r="D206" i="35"/>
  <c r="D205" i="35"/>
  <c r="D204" i="35"/>
  <c r="D203" i="35"/>
  <c r="D202" i="35"/>
  <c r="D201" i="35"/>
  <c r="D200" i="35"/>
  <c r="D199" i="35"/>
  <c r="D198" i="35"/>
  <c r="D197" i="35"/>
  <c r="D196" i="35"/>
  <c r="D195" i="35"/>
  <c r="D194" i="35"/>
  <c r="D193" i="35"/>
  <c r="D192" i="35"/>
  <c r="D191" i="35"/>
  <c r="D190" i="35"/>
  <c r="D189" i="35"/>
  <c r="D188" i="35"/>
  <c r="D187" i="35"/>
  <c r="D186" i="35"/>
  <c r="D185" i="35"/>
  <c r="D184" i="35"/>
  <c r="D183" i="35"/>
  <c r="D182" i="35"/>
  <c r="D181" i="35"/>
  <c r="D180" i="35"/>
  <c r="D179" i="35"/>
  <c r="D178" i="35"/>
  <c r="D177" i="35"/>
  <c r="D176" i="35"/>
  <c r="D175" i="35"/>
  <c r="D174" i="35"/>
  <c r="D173" i="35"/>
  <c r="D172" i="35"/>
  <c r="D171" i="35"/>
  <c r="D170" i="35"/>
  <c r="D169" i="35"/>
  <c r="D168" i="35"/>
  <c r="D167" i="35"/>
  <c r="D166" i="35"/>
  <c r="D165" i="35"/>
  <c r="D164" i="35"/>
  <c r="D163" i="35"/>
  <c r="D162" i="35"/>
  <c r="D161" i="35"/>
  <c r="D160" i="35"/>
  <c r="D159" i="35"/>
  <c r="D158" i="35"/>
  <c r="D157" i="35"/>
  <c r="D156" i="35"/>
  <c r="D155" i="35"/>
  <c r="D154" i="35"/>
  <c r="D153" i="35"/>
  <c r="D152" i="35"/>
  <c r="D151" i="35"/>
  <c r="D150" i="35"/>
  <c r="D149" i="35"/>
  <c r="D148" i="35"/>
  <c r="D147" i="35"/>
  <c r="D146" i="35"/>
  <c r="D145" i="35"/>
  <c r="D144" i="35"/>
  <c r="D143" i="35"/>
  <c r="D142" i="35"/>
  <c r="D141" i="35"/>
  <c r="D140" i="35"/>
  <c r="D139" i="35"/>
  <c r="D138" i="35"/>
  <c r="D137" i="35"/>
  <c r="D136" i="35"/>
  <c r="D135" i="35"/>
  <c r="D134" i="35"/>
  <c r="D133" i="35"/>
  <c r="D132" i="35"/>
  <c r="D131" i="35"/>
  <c r="D130" i="35"/>
  <c r="D129" i="35"/>
  <c r="D128" i="35"/>
  <c r="D127" i="35"/>
  <c r="D126" i="35"/>
  <c r="D125" i="35"/>
  <c r="D124" i="35"/>
  <c r="D123" i="35"/>
  <c r="D122" i="35"/>
  <c r="D121" i="35"/>
  <c r="D120" i="35"/>
  <c r="D119" i="35"/>
  <c r="D118" i="35"/>
  <c r="D117" i="35"/>
  <c r="D116" i="35"/>
  <c r="D115" i="35"/>
  <c r="D114" i="35"/>
  <c r="D113" i="35"/>
  <c r="D112" i="35"/>
  <c r="D111" i="35"/>
  <c r="D110" i="35"/>
  <c r="D109" i="35"/>
  <c r="D108" i="35"/>
  <c r="D107" i="35"/>
  <c r="D106" i="35"/>
  <c r="D105" i="35"/>
  <c r="D104" i="35"/>
  <c r="D103" i="35"/>
  <c r="D102" i="35"/>
  <c r="D101" i="35"/>
  <c r="D100" i="35"/>
  <c r="D99" i="35"/>
  <c r="D98" i="35"/>
  <c r="D97" i="35"/>
  <c r="D96" i="35"/>
  <c r="D95" i="35"/>
  <c r="D94" i="35"/>
  <c r="D93" i="35"/>
  <c r="D92" i="35"/>
  <c r="D91" i="35"/>
  <c r="D90" i="35"/>
  <c r="D89" i="35"/>
  <c r="D88" i="35"/>
  <c r="D87" i="35"/>
  <c r="D86" i="35"/>
  <c r="D85" i="35"/>
  <c r="D84" i="35"/>
  <c r="D83" i="35"/>
  <c r="D82" i="35"/>
  <c r="D81" i="35"/>
  <c r="D80" i="35"/>
  <c r="D79" i="35"/>
  <c r="D78" i="35"/>
  <c r="D77" i="35"/>
  <c r="D76" i="35"/>
  <c r="D75" i="35"/>
  <c r="D74" i="35"/>
  <c r="D73" i="35"/>
  <c r="D72" i="35"/>
  <c r="D71" i="35"/>
  <c r="D70" i="35"/>
  <c r="D69" i="35"/>
  <c r="D68" i="35"/>
  <c r="D67" i="35"/>
  <c r="D66" i="35"/>
  <c r="D65" i="35"/>
  <c r="D64" i="35"/>
  <c r="D63" i="35"/>
  <c r="D62" i="35"/>
  <c r="D61" i="35"/>
  <c r="D60" i="35"/>
  <c r="D59" i="35"/>
  <c r="D58" i="35"/>
  <c r="D57" i="35"/>
  <c r="D56" i="35"/>
  <c r="D55" i="35"/>
  <c r="D54" i="35"/>
  <c r="D53" i="35"/>
  <c r="D52" i="35"/>
  <c r="D51" i="35"/>
  <c r="D50" i="35"/>
  <c r="D49" i="35"/>
  <c r="D48" i="35"/>
  <c r="D47" i="35"/>
  <c r="D46" i="35"/>
  <c r="D45" i="35"/>
  <c r="D44" i="35"/>
  <c r="D43" i="35"/>
  <c r="D42" i="35"/>
  <c r="D41" i="35"/>
  <c r="D40" i="35"/>
  <c r="D39" i="35"/>
  <c r="D38" i="35"/>
  <c r="D37" i="35"/>
  <c r="D36" i="35"/>
  <c r="D35" i="35"/>
  <c r="D34" i="35"/>
  <c r="D33" i="35"/>
  <c r="D32" i="35"/>
  <c r="D31" i="35"/>
  <c r="D30" i="35"/>
  <c r="D29" i="35"/>
  <c r="D28" i="35"/>
  <c r="D27" i="35"/>
  <c r="D26" i="35"/>
  <c r="D25" i="35"/>
  <c r="D24" i="35"/>
  <c r="D23" i="35"/>
  <c r="D22" i="35"/>
  <c r="D21" i="35"/>
  <c r="D20" i="35"/>
  <c r="D19" i="35"/>
  <c r="D18" i="35"/>
  <c r="D17" i="35"/>
  <c r="D16" i="35"/>
  <c r="D15" i="35"/>
  <c r="D14" i="35"/>
  <c r="D13" i="35"/>
  <c r="D12" i="35"/>
  <c r="D11" i="35"/>
  <c r="D10" i="35"/>
  <c r="D9" i="35"/>
  <c r="D8" i="35"/>
  <c r="D7" i="35"/>
  <c r="D6" i="35"/>
  <c r="D5" i="35"/>
  <c r="D4" i="35"/>
  <c r="D3" i="35"/>
  <c r="D2" i="35"/>
  <c r="H344" i="35"/>
  <c r="G344" i="35"/>
  <c r="F344" i="35"/>
  <c r="D344" i="35" l="1"/>
  <c r="AI344" i="35"/>
  <c r="AI343" i="35"/>
  <c r="AI342" i="35"/>
  <c r="AI341" i="35"/>
  <c r="AI340" i="35"/>
  <c r="AI339" i="35"/>
  <c r="AI338" i="35"/>
  <c r="AI337" i="35"/>
  <c r="AI336" i="35"/>
  <c r="AI335" i="35"/>
  <c r="AI334" i="35"/>
  <c r="AI333" i="35"/>
  <c r="AI332" i="35"/>
  <c r="AI331" i="35"/>
  <c r="AI330" i="35"/>
  <c r="AI329" i="35"/>
  <c r="AI328" i="35"/>
  <c r="AI327" i="35"/>
  <c r="AI326" i="35"/>
  <c r="AI325" i="35"/>
  <c r="AI324" i="35"/>
  <c r="AI323" i="35"/>
  <c r="AI322" i="35"/>
  <c r="AI321" i="35"/>
  <c r="AI320" i="35"/>
  <c r="AI319" i="35"/>
  <c r="AI318" i="35"/>
  <c r="AI317" i="35"/>
  <c r="AI316" i="35"/>
  <c r="AI315" i="35"/>
  <c r="AI314" i="35"/>
  <c r="AI313" i="35"/>
  <c r="AI312" i="35"/>
  <c r="AI311" i="35"/>
  <c r="AI310" i="35"/>
  <c r="AI309" i="35"/>
  <c r="AI308" i="35"/>
  <c r="AI307" i="35"/>
  <c r="AI306" i="35"/>
  <c r="AI305" i="35"/>
  <c r="AI304" i="35"/>
  <c r="AI303" i="35"/>
  <c r="AI302" i="35"/>
  <c r="AI301" i="35"/>
  <c r="AI300" i="35"/>
  <c r="AI299" i="35"/>
  <c r="AI298" i="35"/>
  <c r="AI297" i="35"/>
  <c r="AI296" i="35"/>
  <c r="AI295" i="35"/>
  <c r="AI294" i="35"/>
  <c r="AI293" i="35"/>
  <c r="AI292" i="35"/>
  <c r="AI291" i="35"/>
  <c r="AI290" i="35"/>
  <c r="AI289" i="35"/>
  <c r="AI288" i="35"/>
  <c r="AI287" i="35"/>
  <c r="AI286" i="35"/>
  <c r="AI285" i="35"/>
  <c r="AI284" i="35"/>
  <c r="AI283" i="35"/>
  <c r="AI282" i="35"/>
  <c r="AI281" i="35"/>
  <c r="AI280" i="35"/>
  <c r="AI279" i="35"/>
  <c r="AI278" i="35"/>
  <c r="AI277" i="35"/>
  <c r="AI276" i="35"/>
  <c r="AI275" i="35"/>
  <c r="AI274" i="35"/>
  <c r="AI273" i="35"/>
  <c r="AI272" i="35"/>
  <c r="AI271" i="35"/>
  <c r="AI270" i="35"/>
  <c r="AI269" i="35"/>
  <c r="AI268" i="35"/>
  <c r="AI267" i="35"/>
  <c r="AI266" i="35"/>
  <c r="AI265" i="35"/>
  <c r="AI264" i="35"/>
  <c r="AI263" i="35"/>
  <c r="AI262" i="35"/>
  <c r="AI261" i="35"/>
  <c r="AI260" i="35"/>
  <c r="AI259" i="35"/>
  <c r="AI258" i="35"/>
  <c r="AI257" i="35"/>
  <c r="AI256" i="35"/>
  <c r="AI255" i="35"/>
  <c r="AI254" i="35"/>
  <c r="AI253" i="35"/>
  <c r="AI252" i="35"/>
  <c r="AI251" i="35"/>
  <c r="AI250" i="35"/>
  <c r="AI249" i="35"/>
  <c r="AI248" i="35"/>
  <c r="AI247" i="35"/>
  <c r="AI246" i="35"/>
  <c r="AI245" i="35"/>
  <c r="AI244" i="35"/>
  <c r="AI243" i="35"/>
  <c r="AI242" i="35"/>
  <c r="AI241" i="35"/>
  <c r="AI240" i="35"/>
  <c r="AI239" i="35"/>
  <c r="AI238" i="35"/>
  <c r="AI237" i="35"/>
  <c r="AI236" i="35"/>
  <c r="AI235" i="35"/>
  <c r="AI234" i="35"/>
  <c r="AI233" i="35"/>
  <c r="AI232" i="35"/>
  <c r="AI231" i="35"/>
  <c r="AI230" i="35"/>
  <c r="AI229" i="35"/>
  <c r="AI228" i="35"/>
  <c r="AI227" i="35"/>
  <c r="AI226" i="35"/>
  <c r="AI225" i="35"/>
  <c r="AI224" i="35"/>
  <c r="AI223" i="35"/>
  <c r="AI222" i="35"/>
  <c r="AI221" i="35"/>
  <c r="AI220" i="35"/>
  <c r="AI219" i="35"/>
  <c r="AI218" i="35"/>
  <c r="AI217" i="35"/>
  <c r="AI216" i="35"/>
  <c r="AI215" i="35"/>
  <c r="AI214" i="35"/>
  <c r="AI213" i="35"/>
  <c r="AI212" i="35"/>
  <c r="AI211" i="35"/>
  <c r="AI210" i="35"/>
  <c r="AI209" i="35"/>
  <c r="AI208" i="35"/>
  <c r="AI207" i="35"/>
  <c r="AI206" i="35"/>
  <c r="AI205" i="35"/>
  <c r="AI204" i="35"/>
  <c r="AI203" i="35"/>
  <c r="AI202" i="35"/>
  <c r="AI201" i="35"/>
  <c r="AI200" i="35"/>
  <c r="AI199" i="35"/>
  <c r="AI198" i="35"/>
  <c r="AI197" i="35"/>
  <c r="AI196" i="35"/>
  <c r="AI195" i="35"/>
  <c r="AI194" i="35"/>
  <c r="AI193" i="35"/>
  <c r="AI192" i="35"/>
  <c r="AI191" i="35"/>
  <c r="AI190" i="35"/>
  <c r="AI189" i="35"/>
  <c r="AI188" i="35"/>
  <c r="AI187" i="35"/>
  <c r="AI186" i="35"/>
  <c r="AI185" i="35"/>
  <c r="AI184" i="35"/>
  <c r="AI183" i="35"/>
  <c r="AI182" i="35"/>
  <c r="AI181" i="35"/>
  <c r="AI180" i="35"/>
  <c r="AI179" i="35"/>
  <c r="AI178" i="35"/>
  <c r="AI177" i="35"/>
  <c r="AI176" i="35"/>
  <c r="AI175" i="35"/>
  <c r="AI174" i="35"/>
  <c r="AI173" i="35"/>
  <c r="AI172" i="35"/>
  <c r="AI171" i="35"/>
  <c r="AI170" i="35"/>
  <c r="AI169" i="35"/>
  <c r="AI168" i="35"/>
  <c r="AI167" i="35"/>
  <c r="AI166" i="35"/>
  <c r="AI165" i="35"/>
  <c r="AI164" i="35"/>
  <c r="AI163" i="35"/>
  <c r="AI162" i="35"/>
  <c r="AI161" i="35"/>
  <c r="AI160" i="35"/>
  <c r="AI159" i="35"/>
  <c r="AI158" i="35"/>
  <c r="AI157" i="35"/>
  <c r="AI156" i="35"/>
  <c r="AI155" i="35"/>
  <c r="AI154" i="35"/>
  <c r="AI153" i="35"/>
  <c r="AI152" i="35"/>
  <c r="AI151" i="35"/>
  <c r="AI150" i="35"/>
  <c r="AI149" i="35"/>
  <c r="AI148" i="35"/>
  <c r="AI147" i="35"/>
  <c r="AI146" i="35"/>
  <c r="AI145" i="35"/>
  <c r="AI144" i="35"/>
  <c r="AI143" i="35"/>
  <c r="AI142" i="35"/>
  <c r="AI141" i="35"/>
  <c r="AI140" i="35"/>
  <c r="AI139" i="35"/>
  <c r="AI138" i="35"/>
  <c r="AI137" i="35"/>
  <c r="AI136" i="35"/>
  <c r="AI135" i="35"/>
  <c r="AI134" i="35"/>
  <c r="AI133" i="35"/>
  <c r="AI132" i="35"/>
  <c r="AI131" i="35"/>
  <c r="AI130" i="35"/>
  <c r="AI129" i="35"/>
  <c r="AI128" i="35"/>
  <c r="AI127" i="35"/>
  <c r="AI126" i="35"/>
  <c r="AI125" i="35"/>
  <c r="AI124" i="35"/>
  <c r="AI123" i="35"/>
  <c r="AI122" i="35"/>
  <c r="AI121" i="35"/>
  <c r="AI120" i="35"/>
  <c r="AI119" i="35"/>
  <c r="AI118" i="35"/>
  <c r="AI117" i="35"/>
  <c r="AI116" i="35"/>
  <c r="AI115" i="35"/>
  <c r="AI114" i="35"/>
  <c r="AI113" i="35"/>
  <c r="AI112" i="35"/>
  <c r="AI111" i="35"/>
  <c r="AI110" i="35"/>
  <c r="AI109" i="35"/>
  <c r="AI108" i="35"/>
  <c r="AI107" i="35"/>
  <c r="AI106" i="35"/>
  <c r="AI105" i="35"/>
  <c r="AI104" i="35"/>
  <c r="AI103" i="35"/>
  <c r="AI102" i="35"/>
  <c r="AI101" i="35"/>
  <c r="AI100" i="35"/>
  <c r="AI99" i="35"/>
  <c r="AI98" i="35"/>
  <c r="AI97" i="35"/>
  <c r="AI96" i="35"/>
  <c r="AI95" i="35"/>
  <c r="AI94" i="35"/>
  <c r="AI93" i="35"/>
  <c r="AI92" i="35"/>
  <c r="AI91" i="35"/>
  <c r="AI90" i="35"/>
  <c r="AI89" i="35"/>
  <c r="AI88" i="35"/>
  <c r="AI87" i="35"/>
  <c r="AI86" i="35"/>
  <c r="AI85" i="35"/>
  <c r="AI84" i="35"/>
  <c r="AI83" i="35"/>
  <c r="AI82" i="35"/>
  <c r="AI81" i="35"/>
  <c r="AI80" i="35"/>
  <c r="AI79" i="35"/>
  <c r="AI78" i="35"/>
  <c r="AI77" i="35"/>
  <c r="AI76" i="35"/>
  <c r="AI75" i="35"/>
  <c r="AI74" i="35"/>
  <c r="AI73" i="35"/>
  <c r="AI72" i="35"/>
  <c r="AI71" i="35"/>
  <c r="AI70" i="35"/>
  <c r="AI69" i="35"/>
  <c r="AI68" i="35"/>
  <c r="AI67" i="35"/>
  <c r="AI66" i="35"/>
  <c r="AI65" i="35"/>
  <c r="AI64" i="35"/>
  <c r="AI63" i="35"/>
  <c r="AI62" i="35"/>
  <c r="AI61" i="35"/>
  <c r="AI60" i="35"/>
  <c r="AI59" i="35"/>
  <c r="AI58" i="35"/>
  <c r="AI57" i="35"/>
  <c r="AI56" i="35"/>
  <c r="AI55" i="35"/>
  <c r="AI54" i="35"/>
  <c r="AI53" i="35"/>
  <c r="AI52" i="35"/>
  <c r="AI51" i="35"/>
  <c r="AI50" i="35"/>
  <c r="AI49" i="35"/>
  <c r="AI48" i="35"/>
  <c r="AI47" i="35"/>
  <c r="AI46" i="35"/>
  <c r="AI45" i="35"/>
  <c r="AI44" i="35"/>
  <c r="AI43" i="35"/>
  <c r="AI42" i="35"/>
  <c r="AI41" i="35"/>
  <c r="AI40" i="35"/>
  <c r="AI39" i="35"/>
  <c r="AI38" i="35"/>
  <c r="AI37" i="35"/>
  <c r="AI36" i="35"/>
  <c r="AI35" i="35"/>
  <c r="AI34" i="35"/>
  <c r="AI33" i="35"/>
  <c r="AI32" i="35"/>
  <c r="AI31" i="35"/>
  <c r="AI30" i="35"/>
  <c r="AI29" i="35"/>
  <c r="AI28" i="35"/>
  <c r="AI27" i="35"/>
  <c r="AI26" i="35"/>
  <c r="AI25" i="35"/>
  <c r="AI24" i="35"/>
  <c r="AI23" i="35"/>
  <c r="AI22" i="35"/>
  <c r="AI21" i="35"/>
  <c r="AI20" i="35"/>
  <c r="AI19" i="35"/>
  <c r="AI18" i="35"/>
  <c r="AI17" i="35"/>
  <c r="AI16" i="35"/>
  <c r="AI15" i="35"/>
  <c r="AI14" i="35"/>
  <c r="AI13" i="35"/>
  <c r="AI12" i="35"/>
  <c r="AI11" i="35"/>
  <c r="AI10" i="35"/>
  <c r="AI9" i="35"/>
  <c r="AI8" i="35"/>
  <c r="AI7" i="35"/>
  <c r="AI6" i="35"/>
  <c r="AI5" i="35"/>
  <c r="AI4" i="35"/>
  <c r="AI3" i="35"/>
  <c r="AI2" i="35"/>
  <c r="C344" i="37" l="1"/>
  <c r="C343" i="37"/>
  <c r="C342" i="37"/>
  <c r="C341" i="37"/>
  <c r="C340" i="37"/>
  <c r="C339" i="37"/>
  <c r="C338" i="37"/>
  <c r="C337" i="37"/>
  <c r="C336" i="37"/>
  <c r="C335" i="37"/>
  <c r="C334" i="37"/>
  <c r="C333" i="37"/>
  <c r="C332" i="37"/>
  <c r="C331" i="37"/>
  <c r="C330" i="37"/>
  <c r="C329" i="37"/>
  <c r="C328" i="37"/>
  <c r="C327" i="37"/>
  <c r="C326" i="37"/>
  <c r="C325" i="37"/>
  <c r="C324" i="37"/>
  <c r="C323" i="37"/>
  <c r="C322" i="37"/>
  <c r="C321" i="37"/>
  <c r="C320" i="37"/>
  <c r="C319" i="37"/>
  <c r="C318" i="37"/>
  <c r="C317" i="37"/>
  <c r="C316" i="37"/>
  <c r="C315" i="37"/>
  <c r="C314" i="37"/>
  <c r="C313" i="37"/>
  <c r="C312" i="37"/>
  <c r="C311" i="37"/>
  <c r="C310" i="37"/>
  <c r="C309" i="37"/>
  <c r="C308" i="37"/>
  <c r="C307" i="37"/>
  <c r="C306" i="37"/>
  <c r="C305" i="37"/>
  <c r="C304" i="37"/>
  <c r="C303" i="37"/>
  <c r="C302" i="37"/>
  <c r="C301" i="37"/>
  <c r="C300" i="37"/>
  <c r="C299" i="37"/>
  <c r="C298" i="37"/>
  <c r="C297" i="37"/>
  <c r="C296" i="37"/>
  <c r="C295" i="37"/>
  <c r="C294" i="37"/>
  <c r="C293" i="37"/>
  <c r="C292" i="37"/>
  <c r="C291" i="37"/>
  <c r="C290" i="37"/>
  <c r="C289" i="37"/>
  <c r="C288" i="37"/>
  <c r="C287" i="37"/>
  <c r="C286" i="37"/>
  <c r="C285" i="37"/>
  <c r="C284" i="37"/>
  <c r="C283" i="37"/>
  <c r="C282" i="37"/>
  <c r="C281" i="37"/>
  <c r="C280" i="37"/>
  <c r="C279" i="37"/>
  <c r="C278" i="37"/>
  <c r="C277" i="37"/>
  <c r="C276" i="37"/>
  <c r="C275" i="37"/>
  <c r="C274" i="37"/>
  <c r="C273" i="37"/>
  <c r="C272" i="37"/>
  <c r="C271" i="37"/>
  <c r="C270" i="37"/>
  <c r="C269" i="37"/>
  <c r="C268" i="37"/>
  <c r="C267" i="37"/>
  <c r="C266" i="37"/>
  <c r="C265" i="37"/>
  <c r="C264" i="37"/>
  <c r="C263" i="37"/>
  <c r="C262" i="37"/>
  <c r="C261" i="37"/>
  <c r="C260" i="37"/>
  <c r="C259" i="37"/>
  <c r="C258" i="37"/>
  <c r="C257" i="37"/>
  <c r="C256" i="37"/>
  <c r="C255" i="37"/>
  <c r="C254" i="37"/>
  <c r="C253" i="37"/>
  <c r="C252" i="37"/>
  <c r="C251" i="37"/>
  <c r="C250" i="37"/>
  <c r="C249" i="37"/>
  <c r="C248" i="37"/>
  <c r="C247" i="37"/>
  <c r="C246" i="37"/>
  <c r="C245" i="37"/>
  <c r="C244" i="37"/>
  <c r="C243" i="37"/>
  <c r="C242" i="37"/>
  <c r="C241" i="37"/>
  <c r="C240" i="37"/>
  <c r="C239" i="37"/>
  <c r="C238" i="37"/>
  <c r="C237" i="37"/>
  <c r="C236" i="37"/>
  <c r="C235" i="37"/>
  <c r="C234" i="37"/>
  <c r="C233" i="37"/>
  <c r="C232" i="37"/>
  <c r="C231" i="37"/>
  <c r="C230" i="37"/>
  <c r="C229" i="37"/>
  <c r="C228" i="37"/>
  <c r="C227" i="37"/>
  <c r="C226" i="37"/>
  <c r="C225" i="37"/>
  <c r="C224" i="37"/>
  <c r="C223" i="37"/>
  <c r="C222" i="37"/>
  <c r="C221" i="37"/>
  <c r="C220" i="37"/>
  <c r="C219" i="37"/>
  <c r="C218" i="37"/>
  <c r="C217" i="37"/>
  <c r="C216" i="37"/>
  <c r="C215" i="37"/>
  <c r="C214" i="37"/>
  <c r="C213" i="37"/>
  <c r="C212" i="37"/>
  <c r="C211" i="37"/>
  <c r="C210" i="37"/>
  <c r="C209" i="37"/>
  <c r="C208" i="37"/>
  <c r="C207" i="37"/>
  <c r="C206" i="37"/>
  <c r="C205" i="37"/>
  <c r="C204" i="37"/>
  <c r="C203" i="37"/>
  <c r="C202" i="37"/>
  <c r="C201" i="37"/>
  <c r="C200" i="37"/>
  <c r="C199" i="37"/>
  <c r="C198" i="37"/>
  <c r="C197" i="37"/>
  <c r="C196" i="37"/>
  <c r="C195" i="37"/>
  <c r="C194" i="37"/>
  <c r="C193" i="37"/>
  <c r="C192" i="37"/>
  <c r="C191" i="37"/>
  <c r="C190" i="37"/>
  <c r="C189" i="37"/>
  <c r="C188" i="37"/>
  <c r="C187" i="37"/>
  <c r="C186" i="37"/>
  <c r="C185" i="37"/>
  <c r="C184" i="37"/>
  <c r="C183" i="37"/>
  <c r="C182" i="37"/>
  <c r="C181" i="37"/>
  <c r="C180" i="37"/>
  <c r="C179" i="37"/>
  <c r="C178" i="37"/>
  <c r="C177" i="37"/>
  <c r="C176" i="37"/>
  <c r="C175" i="37"/>
  <c r="C174" i="37"/>
  <c r="C173" i="37"/>
  <c r="C172" i="37"/>
  <c r="C171" i="37"/>
  <c r="C170" i="37"/>
  <c r="C169" i="37"/>
  <c r="C168" i="37"/>
  <c r="C167" i="37"/>
  <c r="C166" i="37"/>
  <c r="C165" i="37"/>
  <c r="C164" i="37"/>
  <c r="C163" i="37"/>
  <c r="C162" i="37"/>
  <c r="C161" i="37"/>
  <c r="C160" i="37"/>
  <c r="C159" i="37"/>
  <c r="C158" i="37"/>
  <c r="C157" i="37"/>
  <c r="C156" i="37"/>
  <c r="C155" i="37"/>
  <c r="C154" i="37"/>
  <c r="C153" i="37"/>
  <c r="C152" i="37"/>
  <c r="C151" i="37"/>
  <c r="C150" i="37"/>
  <c r="C149" i="37"/>
  <c r="C148" i="37"/>
  <c r="C147" i="37"/>
  <c r="C146" i="37"/>
  <c r="C145" i="37"/>
  <c r="C144" i="37"/>
  <c r="C143" i="37"/>
  <c r="C142" i="37"/>
  <c r="C141" i="37"/>
  <c r="C140" i="37"/>
  <c r="C139" i="37"/>
  <c r="C138" i="37"/>
  <c r="C137" i="37"/>
  <c r="C136" i="37"/>
  <c r="C135" i="37"/>
  <c r="C134" i="37"/>
  <c r="C133" i="37"/>
  <c r="C132" i="37"/>
  <c r="C131" i="37"/>
  <c r="C130" i="37"/>
  <c r="C129" i="37"/>
  <c r="C128" i="37"/>
  <c r="C127" i="37"/>
  <c r="C126" i="37"/>
  <c r="C125" i="37"/>
  <c r="C124" i="37"/>
  <c r="C123" i="37"/>
  <c r="C122" i="37"/>
  <c r="C121" i="37"/>
  <c r="C120" i="37"/>
  <c r="C119" i="37"/>
  <c r="C118" i="37"/>
  <c r="C117" i="37"/>
  <c r="C116" i="37"/>
  <c r="C115" i="37"/>
  <c r="C114" i="37"/>
  <c r="C113" i="37"/>
  <c r="C112" i="37"/>
  <c r="C111" i="37"/>
  <c r="C110" i="37"/>
  <c r="C109" i="37"/>
  <c r="C108" i="37"/>
  <c r="C107" i="37"/>
  <c r="C106" i="37"/>
  <c r="C105" i="37"/>
  <c r="C104" i="37"/>
  <c r="C103" i="37"/>
  <c r="C102" i="37"/>
  <c r="C101" i="37"/>
  <c r="C100" i="37"/>
  <c r="C99" i="37"/>
  <c r="C98" i="37"/>
  <c r="C97" i="37"/>
  <c r="C96" i="37"/>
  <c r="C95" i="37"/>
  <c r="C94" i="37"/>
  <c r="C93" i="37"/>
  <c r="C92" i="37"/>
  <c r="C91" i="37"/>
  <c r="C90" i="37"/>
  <c r="C89" i="37"/>
  <c r="C88" i="37"/>
  <c r="C87" i="37"/>
  <c r="C86" i="37"/>
  <c r="C85" i="37"/>
  <c r="C84" i="37"/>
  <c r="C83" i="37"/>
  <c r="C82" i="37"/>
  <c r="C81" i="37"/>
  <c r="C80" i="37"/>
  <c r="C79" i="37"/>
  <c r="C78" i="37"/>
  <c r="C77" i="37"/>
  <c r="C76" i="37"/>
  <c r="C75" i="37"/>
  <c r="C74" i="37"/>
  <c r="C73" i="37"/>
  <c r="C72" i="37"/>
  <c r="C71" i="37"/>
  <c r="C70" i="37"/>
  <c r="C69" i="37"/>
  <c r="C68" i="37"/>
  <c r="C67" i="37"/>
  <c r="C66" i="37"/>
  <c r="C65" i="37"/>
  <c r="C64" i="37"/>
  <c r="C63" i="37"/>
  <c r="C62" i="37"/>
  <c r="C61" i="37"/>
  <c r="C60" i="37"/>
  <c r="C59" i="37"/>
  <c r="C58" i="37"/>
  <c r="C57" i="37"/>
  <c r="C56" i="37"/>
  <c r="C55" i="37"/>
  <c r="C54" i="37"/>
  <c r="C53" i="37"/>
  <c r="C52" i="37"/>
  <c r="C51" i="37"/>
  <c r="C50" i="37"/>
  <c r="C49" i="37"/>
  <c r="C48" i="37"/>
  <c r="C47" i="37"/>
  <c r="C46" i="37"/>
  <c r="C45" i="37"/>
  <c r="C44" i="37"/>
  <c r="C43" i="37"/>
  <c r="C42" i="37"/>
  <c r="C41" i="37"/>
  <c r="C40" i="37"/>
  <c r="C39" i="37"/>
  <c r="C38" i="37"/>
  <c r="C37" i="37"/>
  <c r="C36" i="37"/>
  <c r="C35" i="37"/>
  <c r="C34" i="37"/>
  <c r="C33" i="37"/>
  <c r="C32" i="37"/>
  <c r="C31" i="37"/>
  <c r="C30" i="37"/>
  <c r="C29" i="37"/>
  <c r="C28" i="37"/>
  <c r="C27" i="37"/>
  <c r="C26" i="37"/>
  <c r="C25" i="37"/>
  <c r="C24" i="37"/>
  <c r="C23" i="37"/>
  <c r="C22" i="37"/>
  <c r="C21" i="37"/>
  <c r="C20" i="37"/>
  <c r="C19" i="37"/>
  <c r="C18" i="37"/>
  <c r="C17" i="37"/>
  <c r="C16" i="37"/>
  <c r="C15" i="37"/>
  <c r="C14" i="37"/>
  <c r="C13" i="37"/>
  <c r="C12" i="37"/>
  <c r="C11" i="37"/>
  <c r="C10" i="37"/>
  <c r="C9" i="37"/>
  <c r="C8" i="37"/>
  <c r="C7" i="37"/>
  <c r="C6" i="37"/>
  <c r="C5" i="37"/>
  <c r="C4" i="37"/>
  <c r="C3" i="37"/>
  <c r="C2" i="37"/>
  <c r="S344" i="37"/>
  <c r="T344" i="37"/>
  <c r="V344" i="37"/>
  <c r="R344" i="25"/>
  <c r="Q344" i="25"/>
  <c r="P344" i="25"/>
  <c r="O344" i="25"/>
  <c r="N344" i="25"/>
  <c r="M344" i="25"/>
  <c r="L344" i="25"/>
  <c r="K344" i="25"/>
  <c r="J344" i="25"/>
  <c r="I344" i="25"/>
  <c r="H344" i="25"/>
  <c r="G344" i="25"/>
  <c r="F344" i="25"/>
  <c r="C35" i="6" s="1"/>
  <c r="E344" i="25"/>
  <c r="D344" i="25"/>
  <c r="C45" i="6" s="1"/>
  <c r="C344" i="25"/>
  <c r="G36" i="6" s="1"/>
  <c r="W344" i="34"/>
  <c r="V344" i="34"/>
  <c r="AQ343" i="34"/>
  <c r="AR343" i="34" s="1"/>
  <c r="AS343" i="34" s="1"/>
  <c r="W343" i="34"/>
  <c r="V343" i="34"/>
  <c r="U343" i="34"/>
  <c r="AQ342" i="34"/>
  <c r="W342" i="34"/>
  <c r="V342" i="34"/>
  <c r="U342" i="34"/>
  <c r="W341" i="34"/>
  <c r="V341" i="34"/>
  <c r="U341" i="34"/>
  <c r="W340" i="34"/>
  <c r="V340" i="34"/>
  <c r="U340" i="34"/>
  <c r="W339" i="34"/>
  <c r="V339" i="34"/>
  <c r="U339" i="34"/>
  <c r="W338" i="34"/>
  <c r="V338" i="34"/>
  <c r="U338" i="34"/>
  <c r="W337" i="34"/>
  <c r="V337" i="34"/>
  <c r="U337" i="34"/>
  <c r="W336" i="34"/>
  <c r="V336" i="34"/>
  <c r="AG336" i="34" s="1"/>
  <c r="AI336" i="34" s="1"/>
  <c r="U336" i="34"/>
  <c r="W335" i="34"/>
  <c r="V335" i="34"/>
  <c r="U335" i="34"/>
  <c r="W334" i="34"/>
  <c r="V334" i="34"/>
  <c r="AG334" i="34" s="1"/>
  <c r="AI334" i="34" s="1"/>
  <c r="U334" i="34"/>
  <c r="W333" i="34"/>
  <c r="V333" i="34"/>
  <c r="U333" i="34"/>
  <c r="W332" i="34"/>
  <c r="V332" i="34"/>
  <c r="U332" i="34"/>
  <c r="W331" i="34"/>
  <c r="V331" i="34"/>
  <c r="U331" i="34"/>
  <c r="W330" i="34"/>
  <c r="V330" i="34"/>
  <c r="U330" i="34"/>
  <c r="W329" i="34"/>
  <c r="V329" i="34"/>
  <c r="AG329" i="34" s="1"/>
  <c r="AI329" i="34" s="1"/>
  <c r="U329" i="34"/>
  <c r="W328" i="34"/>
  <c r="V328" i="34"/>
  <c r="U328" i="34"/>
  <c r="W327" i="34"/>
  <c r="V327" i="34"/>
  <c r="U327" i="34"/>
  <c r="W326" i="34"/>
  <c r="V326" i="34"/>
  <c r="AG326" i="34" s="1"/>
  <c r="AI326" i="34" s="1"/>
  <c r="U326" i="34"/>
  <c r="W325" i="34"/>
  <c r="AG325" i="34" s="1"/>
  <c r="AI325" i="34" s="1"/>
  <c r="V325" i="34"/>
  <c r="U325" i="34"/>
  <c r="W324" i="34"/>
  <c r="V324" i="34"/>
  <c r="U324" i="34"/>
  <c r="W323" i="34"/>
  <c r="V323" i="34"/>
  <c r="AG323" i="34" s="1"/>
  <c r="AI323" i="34" s="1"/>
  <c r="U323" i="34"/>
  <c r="W322" i="34"/>
  <c r="V322" i="34"/>
  <c r="AG322" i="34" s="1"/>
  <c r="AI322" i="34" s="1"/>
  <c r="U322" i="34"/>
  <c r="W321" i="34"/>
  <c r="V321" i="34"/>
  <c r="AG321" i="34" s="1"/>
  <c r="AI321" i="34" s="1"/>
  <c r="U321" i="34"/>
  <c r="W320" i="34"/>
  <c r="AG320" i="34" s="1"/>
  <c r="AI320" i="34" s="1"/>
  <c r="V320" i="34"/>
  <c r="U320" i="34"/>
  <c r="W319" i="34"/>
  <c r="V319" i="34"/>
  <c r="U319" i="34"/>
  <c r="W318" i="34"/>
  <c r="V318" i="34"/>
  <c r="AG318" i="34" s="1"/>
  <c r="AI318" i="34" s="1"/>
  <c r="U318" i="34"/>
  <c r="W317" i="34"/>
  <c r="V317" i="34"/>
  <c r="U317" i="34"/>
  <c r="W316" i="34"/>
  <c r="V316" i="34"/>
  <c r="U316" i="34"/>
  <c r="W315" i="34"/>
  <c r="V315" i="34"/>
  <c r="AG315" i="34" s="1"/>
  <c r="AI315" i="34" s="1"/>
  <c r="U315" i="34"/>
  <c r="W314" i="34"/>
  <c r="V314" i="34"/>
  <c r="AG314" i="34" s="1"/>
  <c r="AI314" i="34" s="1"/>
  <c r="U314" i="34"/>
  <c r="W313" i="34"/>
  <c r="V313" i="34"/>
  <c r="U313" i="34"/>
  <c r="W312" i="34"/>
  <c r="AG312" i="34" s="1"/>
  <c r="AI312" i="34" s="1"/>
  <c r="V312" i="34"/>
  <c r="U312" i="34"/>
  <c r="W311" i="34"/>
  <c r="V311" i="34"/>
  <c r="U311" i="34"/>
  <c r="W310" i="34"/>
  <c r="V310" i="34"/>
  <c r="AG310" i="34" s="1"/>
  <c r="AI310" i="34" s="1"/>
  <c r="U310" i="34"/>
  <c r="W309" i="34"/>
  <c r="V309" i="34"/>
  <c r="U309" i="34"/>
  <c r="W308" i="34"/>
  <c r="V308" i="34"/>
  <c r="U308" i="34"/>
  <c r="W307" i="34"/>
  <c r="V307" i="34"/>
  <c r="U307" i="34"/>
  <c r="W306" i="34"/>
  <c r="V306" i="34"/>
  <c r="U306" i="34"/>
  <c r="W305" i="34"/>
  <c r="V305" i="34"/>
  <c r="AG305" i="34" s="1"/>
  <c r="AI305" i="34" s="1"/>
  <c r="U305" i="34"/>
  <c r="W304" i="34"/>
  <c r="AG304" i="34" s="1"/>
  <c r="AI304" i="34" s="1"/>
  <c r="V304" i="34"/>
  <c r="U304" i="34"/>
  <c r="W303" i="34"/>
  <c r="V303" i="34"/>
  <c r="U303" i="34"/>
  <c r="W302" i="34"/>
  <c r="V302" i="34"/>
  <c r="AG302" i="34" s="1"/>
  <c r="AI302" i="34" s="1"/>
  <c r="U302" i="34"/>
  <c r="W301" i="34"/>
  <c r="V301" i="34"/>
  <c r="U301" i="34"/>
  <c r="W300" i="34"/>
  <c r="V300" i="34"/>
  <c r="AG300" i="34" s="1"/>
  <c r="AI300" i="34" s="1"/>
  <c r="U300" i="34"/>
  <c r="W299" i="34"/>
  <c r="V299" i="34"/>
  <c r="U299" i="34"/>
  <c r="W298" i="34"/>
  <c r="V298" i="34"/>
  <c r="AG298" i="34" s="1"/>
  <c r="AI298" i="34" s="1"/>
  <c r="U298" i="34"/>
  <c r="W297" i="34"/>
  <c r="V297" i="34"/>
  <c r="U297" i="34"/>
  <c r="W296" i="34"/>
  <c r="AG296" i="34" s="1"/>
  <c r="AI296" i="34" s="1"/>
  <c r="U296" i="34"/>
  <c r="W295" i="34"/>
  <c r="V295" i="34"/>
  <c r="U295" i="34"/>
  <c r="W294" i="34"/>
  <c r="V294" i="34"/>
  <c r="U294" i="34"/>
  <c r="W293" i="34"/>
  <c r="V293" i="34"/>
  <c r="AG293" i="34" s="1"/>
  <c r="AI293" i="34" s="1"/>
  <c r="U293" i="34"/>
  <c r="W292" i="34"/>
  <c r="V292" i="34"/>
  <c r="U292" i="34"/>
  <c r="W291" i="34"/>
  <c r="V291" i="34"/>
  <c r="U291" i="34"/>
  <c r="W290" i="34"/>
  <c r="V290" i="34"/>
  <c r="U290" i="34"/>
  <c r="W289" i="34"/>
  <c r="V289" i="34"/>
  <c r="AG289" i="34" s="1"/>
  <c r="AI289" i="34" s="1"/>
  <c r="U289" i="34"/>
  <c r="W288" i="34"/>
  <c r="V288" i="34"/>
  <c r="U288" i="34"/>
  <c r="W287" i="34"/>
  <c r="V287" i="34"/>
  <c r="U287" i="34"/>
  <c r="W286" i="34"/>
  <c r="V286" i="34"/>
  <c r="U286" i="34"/>
  <c r="W285" i="34"/>
  <c r="V285" i="34"/>
  <c r="U285" i="34"/>
  <c r="W284" i="34"/>
  <c r="V284" i="34"/>
  <c r="U284" i="34"/>
  <c r="W283" i="34"/>
  <c r="V283" i="34"/>
  <c r="U283" i="34"/>
  <c r="W282" i="34"/>
  <c r="V282" i="34"/>
  <c r="U282" i="34"/>
  <c r="W281" i="34"/>
  <c r="V281" i="34"/>
  <c r="AG281" i="34" s="1"/>
  <c r="AI281" i="34" s="1"/>
  <c r="U281" i="34"/>
  <c r="W280" i="34"/>
  <c r="V280" i="34"/>
  <c r="U280" i="34"/>
  <c r="W279" i="34"/>
  <c r="V279" i="34"/>
  <c r="U279" i="34"/>
  <c r="W278" i="34"/>
  <c r="V278" i="34"/>
  <c r="U278" i="34"/>
  <c r="W277" i="34"/>
  <c r="V277" i="34"/>
  <c r="U277" i="34"/>
  <c r="W276" i="34"/>
  <c r="V276" i="34"/>
  <c r="U276" i="34"/>
  <c r="W275" i="34"/>
  <c r="V275" i="34"/>
  <c r="U275" i="34"/>
  <c r="W274" i="34"/>
  <c r="V274" i="34"/>
  <c r="U274" i="34"/>
  <c r="W273" i="34"/>
  <c r="V273" i="34"/>
  <c r="AG273" i="34" s="1"/>
  <c r="AI273" i="34" s="1"/>
  <c r="U273" i="34"/>
  <c r="W272" i="34"/>
  <c r="V272" i="34"/>
  <c r="U272" i="34"/>
  <c r="W271" i="34"/>
  <c r="V271" i="34"/>
  <c r="AG271" i="34" s="1"/>
  <c r="AI271" i="34" s="1"/>
  <c r="U271" i="34"/>
  <c r="W270" i="34"/>
  <c r="V270" i="34"/>
  <c r="U270" i="34"/>
  <c r="W269" i="34"/>
  <c r="V269" i="34"/>
  <c r="U269" i="34"/>
  <c r="W268" i="34"/>
  <c r="V268" i="34"/>
  <c r="U268" i="34"/>
  <c r="W267" i="34"/>
  <c r="V267" i="34"/>
  <c r="U267" i="34"/>
  <c r="W266" i="34"/>
  <c r="V266" i="34"/>
  <c r="U266" i="34"/>
  <c r="W265" i="34"/>
  <c r="V265" i="34"/>
  <c r="AG265" i="34" s="1"/>
  <c r="AI265" i="34" s="1"/>
  <c r="U265" i="34"/>
  <c r="W264" i="34"/>
  <c r="V264" i="34"/>
  <c r="AG264" i="34" s="1"/>
  <c r="AI264" i="34" s="1"/>
  <c r="U264" i="34"/>
  <c r="W263" i="34"/>
  <c r="V263" i="34"/>
  <c r="U263" i="34"/>
  <c r="W262" i="34"/>
  <c r="V262" i="34"/>
  <c r="U262" i="34"/>
  <c r="W261" i="34"/>
  <c r="V261" i="34"/>
  <c r="U261" i="34"/>
  <c r="W260" i="34"/>
  <c r="V260" i="34"/>
  <c r="AG260" i="34" s="1"/>
  <c r="AI260" i="34" s="1"/>
  <c r="U260" i="34"/>
  <c r="W259" i="34"/>
  <c r="V259" i="34"/>
  <c r="U259" i="34"/>
  <c r="W258" i="34"/>
  <c r="V258" i="34"/>
  <c r="U258" i="34"/>
  <c r="W257" i="34"/>
  <c r="V257" i="34"/>
  <c r="AG257" i="34" s="1"/>
  <c r="AI257" i="34" s="1"/>
  <c r="U257" i="34"/>
  <c r="W256" i="34"/>
  <c r="V256" i="34"/>
  <c r="U256" i="34"/>
  <c r="W255" i="34"/>
  <c r="V255" i="34"/>
  <c r="U255" i="34"/>
  <c r="W254" i="34"/>
  <c r="V254" i="34"/>
  <c r="U254" i="34"/>
  <c r="W253" i="34"/>
  <c r="V253" i="34"/>
  <c r="U253" i="34"/>
  <c r="W252" i="34"/>
  <c r="V252" i="34"/>
  <c r="AG252" i="34" s="1"/>
  <c r="AI252" i="34" s="1"/>
  <c r="U252" i="34"/>
  <c r="W251" i="34"/>
  <c r="V251" i="34"/>
  <c r="U251" i="34"/>
  <c r="W250" i="34"/>
  <c r="V250" i="34"/>
  <c r="U250" i="34"/>
  <c r="W249" i="34"/>
  <c r="V249" i="34"/>
  <c r="AG249" i="34" s="1"/>
  <c r="AI249" i="34" s="1"/>
  <c r="U249" i="34"/>
  <c r="W248" i="34"/>
  <c r="V248" i="34"/>
  <c r="U248" i="34"/>
  <c r="W247" i="34"/>
  <c r="V247" i="34"/>
  <c r="U247" i="34"/>
  <c r="W246" i="34"/>
  <c r="AG246" i="34" s="1"/>
  <c r="AI246" i="34" s="1"/>
  <c r="V246" i="34"/>
  <c r="U246" i="34"/>
  <c r="W245" i="34"/>
  <c r="V245" i="34"/>
  <c r="U245" i="34"/>
  <c r="W244" i="34"/>
  <c r="V244" i="34"/>
  <c r="U244" i="34"/>
  <c r="W243" i="34"/>
  <c r="V243" i="34"/>
  <c r="U243" i="34"/>
  <c r="W242" i="34"/>
  <c r="V242" i="34"/>
  <c r="U242" i="34"/>
  <c r="W241" i="34"/>
  <c r="V241" i="34"/>
  <c r="AG241" i="34" s="1"/>
  <c r="AI241" i="34" s="1"/>
  <c r="U241" i="34"/>
  <c r="W240" i="34"/>
  <c r="V240" i="34"/>
  <c r="U240" i="34"/>
  <c r="W239" i="34"/>
  <c r="V239" i="34"/>
  <c r="U239" i="34"/>
  <c r="W238" i="34"/>
  <c r="V238" i="34"/>
  <c r="AG238" i="34" s="1"/>
  <c r="AI238" i="34" s="1"/>
  <c r="U238" i="34"/>
  <c r="W237" i="34"/>
  <c r="V237" i="34"/>
  <c r="U237" i="34"/>
  <c r="W236" i="34"/>
  <c r="V236" i="34"/>
  <c r="AG236" i="34" s="1"/>
  <c r="AI236" i="34" s="1"/>
  <c r="U236" i="34"/>
  <c r="W235" i="34"/>
  <c r="V235" i="34"/>
  <c r="U235" i="34"/>
  <c r="W234" i="34"/>
  <c r="V234" i="34"/>
  <c r="U234" i="34"/>
  <c r="W233" i="34"/>
  <c r="V233" i="34"/>
  <c r="AG233" i="34" s="1"/>
  <c r="AI233" i="34" s="1"/>
  <c r="U233" i="34"/>
  <c r="W232" i="34"/>
  <c r="V232" i="34"/>
  <c r="AG232" i="34" s="1"/>
  <c r="AI232" i="34" s="1"/>
  <c r="U232" i="34"/>
  <c r="W231" i="34"/>
  <c r="V231" i="34"/>
  <c r="U231" i="34"/>
  <c r="AQ230" i="34"/>
  <c r="AR230" i="34" s="1"/>
  <c r="AS230" i="34" s="1"/>
  <c r="W230" i="34"/>
  <c r="V230" i="34"/>
  <c r="U230" i="34"/>
  <c r="AS229" i="34"/>
  <c r="AQ229" i="34"/>
  <c r="AR229" i="34" s="1"/>
  <c r="W229" i="34"/>
  <c r="V229" i="34"/>
  <c r="U229" i="34"/>
  <c r="W228" i="34"/>
  <c r="V228" i="34"/>
  <c r="U228" i="34"/>
  <c r="W227" i="34"/>
  <c r="V227" i="34"/>
  <c r="U227" i="34"/>
  <c r="W226" i="34"/>
  <c r="V226" i="34"/>
  <c r="AG226" i="34" s="1"/>
  <c r="AI226" i="34" s="1"/>
  <c r="U226" i="34"/>
  <c r="W225" i="34"/>
  <c r="AG225" i="34" s="1"/>
  <c r="AI225" i="34" s="1"/>
  <c r="V225" i="34"/>
  <c r="U225" i="34"/>
  <c r="W224" i="34"/>
  <c r="V224" i="34"/>
  <c r="U224" i="34"/>
  <c r="W223" i="34"/>
  <c r="V223" i="34"/>
  <c r="U223" i="34"/>
  <c r="W222" i="34"/>
  <c r="V222" i="34"/>
  <c r="U222" i="34"/>
  <c r="W221" i="34"/>
  <c r="V221" i="34"/>
  <c r="U221" i="34"/>
  <c r="W220" i="34"/>
  <c r="V220" i="34"/>
  <c r="AG220" i="34" s="1"/>
  <c r="AI220" i="34" s="1"/>
  <c r="U220" i="34"/>
  <c r="W219" i="34"/>
  <c r="V219" i="34"/>
  <c r="U219" i="34"/>
  <c r="W218" i="34"/>
  <c r="V218" i="34"/>
  <c r="AG218" i="34" s="1"/>
  <c r="AI218" i="34" s="1"/>
  <c r="U218" i="34"/>
  <c r="W217" i="34"/>
  <c r="V217" i="34"/>
  <c r="U217" i="34"/>
  <c r="W216" i="34"/>
  <c r="V216" i="34"/>
  <c r="U216" i="34"/>
  <c r="W215" i="34"/>
  <c r="V215" i="34"/>
  <c r="U215" i="34"/>
  <c r="W214" i="34"/>
  <c r="V214" i="34"/>
  <c r="U214" i="34"/>
  <c r="W213" i="34"/>
  <c r="V213" i="34"/>
  <c r="U213" i="34"/>
  <c r="W212" i="34"/>
  <c r="V212" i="34"/>
  <c r="U212" i="34"/>
  <c r="W211" i="34"/>
  <c r="V211" i="34"/>
  <c r="AG211" i="34" s="1"/>
  <c r="AI211" i="34" s="1"/>
  <c r="U211" i="34"/>
  <c r="W210" i="34"/>
  <c r="V210" i="34"/>
  <c r="U210" i="34"/>
  <c r="W209" i="34"/>
  <c r="V209" i="34"/>
  <c r="AG209" i="34" s="1"/>
  <c r="AI209" i="34" s="1"/>
  <c r="U209" i="34"/>
  <c r="W208" i="34"/>
  <c r="V208" i="34"/>
  <c r="U208" i="34"/>
  <c r="W207" i="34"/>
  <c r="V207" i="34"/>
  <c r="U207" i="34"/>
  <c r="W206" i="34"/>
  <c r="V206" i="34"/>
  <c r="U206" i="34"/>
  <c r="W205" i="34"/>
  <c r="V205" i="34"/>
  <c r="AG205" i="34" s="1"/>
  <c r="AI205" i="34" s="1"/>
  <c r="U205" i="34"/>
  <c r="W204" i="34"/>
  <c r="V204" i="34"/>
  <c r="AG204" i="34" s="1"/>
  <c r="AI204" i="34" s="1"/>
  <c r="U204" i="34"/>
  <c r="W203" i="34"/>
  <c r="V203" i="34"/>
  <c r="U203" i="34"/>
  <c r="W202" i="34"/>
  <c r="V202" i="34"/>
  <c r="AG202" i="34" s="1"/>
  <c r="AI202" i="34" s="1"/>
  <c r="U202" i="34"/>
  <c r="W201" i="34"/>
  <c r="AG201" i="34" s="1"/>
  <c r="AI201" i="34" s="1"/>
  <c r="V201" i="34"/>
  <c r="U201" i="34"/>
  <c r="W200" i="34"/>
  <c r="V200" i="34"/>
  <c r="U200" i="34"/>
  <c r="W199" i="34"/>
  <c r="V199" i="34"/>
  <c r="U199" i="34"/>
  <c r="W198" i="34"/>
  <c r="V198" i="34"/>
  <c r="AG198" i="34" s="1"/>
  <c r="AI198" i="34" s="1"/>
  <c r="U198" i="34"/>
  <c r="W197" i="34"/>
  <c r="V197" i="34"/>
  <c r="U197" i="34"/>
  <c r="W196" i="34"/>
  <c r="V196" i="34"/>
  <c r="U196" i="34"/>
  <c r="W195" i="34"/>
  <c r="V195" i="34"/>
  <c r="AG195" i="34" s="1"/>
  <c r="AI195" i="34" s="1"/>
  <c r="U195" i="34"/>
  <c r="W194" i="34"/>
  <c r="V194" i="34"/>
  <c r="U194" i="34"/>
  <c r="W193" i="34"/>
  <c r="V193" i="34"/>
  <c r="U193" i="34"/>
  <c r="W192" i="34"/>
  <c r="V192" i="34"/>
  <c r="U192" i="34"/>
  <c r="W191" i="34"/>
  <c r="V191" i="34"/>
  <c r="AG191" i="34" s="1"/>
  <c r="AI191" i="34" s="1"/>
  <c r="U191" i="34"/>
  <c r="W190" i="34"/>
  <c r="V190" i="34"/>
  <c r="U190" i="34"/>
  <c r="W189" i="34"/>
  <c r="V189" i="34"/>
  <c r="U189" i="34"/>
  <c r="W188" i="34"/>
  <c r="V188" i="34"/>
  <c r="U188" i="34"/>
  <c r="W187" i="34"/>
  <c r="V187" i="34"/>
  <c r="U187" i="34"/>
  <c r="W186" i="34"/>
  <c r="V186" i="34"/>
  <c r="U186" i="34"/>
  <c r="W185" i="34"/>
  <c r="V185" i="34"/>
  <c r="U185" i="34"/>
  <c r="W184" i="34"/>
  <c r="V184" i="34"/>
  <c r="U184" i="34"/>
  <c r="W183" i="34"/>
  <c r="V183" i="34"/>
  <c r="U183" i="34"/>
  <c r="W182" i="34"/>
  <c r="V182" i="34"/>
  <c r="AG182" i="34" s="1"/>
  <c r="AI182" i="34" s="1"/>
  <c r="U182" i="34"/>
  <c r="W181" i="34"/>
  <c r="V181" i="34"/>
  <c r="U181" i="34"/>
  <c r="W180" i="34"/>
  <c r="V180" i="34"/>
  <c r="U180" i="34"/>
  <c r="W179" i="34"/>
  <c r="V179" i="34"/>
  <c r="U179" i="34"/>
  <c r="W178" i="34"/>
  <c r="V178" i="34"/>
  <c r="U178" i="34"/>
  <c r="W177" i="34"/>
  <c r="V177" i="34"/>
  <c r="U177" i="34"/>
  <c r="W176" i="34"/>
  <c r="V176" i="34"/>
  <c r="U176" i="34"/>
  <c r="W175" i="34"/>
  <c r="V175" i="34"/>
  <c r="AG175" i="34" s="1"/>
  <c r="AI175" i="34" s="1"/>
  <c r="U175" i="34"/>
  <c r="W174" i="34"/>
  <c r="V174" i="34"/>
  <c r="U174" i="34"/>
  <c r="W173" i="34"/>
  <c r="V173" i="34"/>
  <c r="U173" i="34"/>
  <c r="W172" i="34"/>
  <c r="V172" i="34"/>
  <c r="AG172" i="34" s="1"/>
  <c r="AI172" i="34" s="1"/>
  <c r="U172" i="34"/>
  <c r="W171" i="34"/>
  <c r="V171" i="34"/>
  <c r="U171" i="34"/>
  <c r="W170" i="34"/>
  <c r="V170" i="34"/>
  <c r="U170" i="34"/>
  <c r="W169" i="34"/>
  <c r="V169" i="34"/>
  <c r="U169" i="34"/>
  <c r="W168" i="34"/>
  <c r="V168" i="34"/>
  <c r="AG168" i="34" s="1"/>
  <c r="AI168" i="34" s="1"/>
  <c r="U168" i="34"/>
  <c r="W167" i="34"/>
  <c r="AG167" i="34" s="1"/>
  <c r="AI167" i="34" s="1"/>
  <c r="V167" i="34"/>
  <c r="U167" i="34"/>
  <c r="W166" i="34"/>
  <c r="V166" i="34"/>
  <c r="U166" i="34"/>
  <c r="W165" i="34"/>
  <c r="V165" i="34"/>
  <c r="U165" i="34"/>
  <c r="W164" i="34"/>
  <c r="V164" i="34"/>
  <c r="U164" i="34"/>
  <c r="W163" i="34"/>
  <c r="V163" i="34"/>
  <c r="U163" i="34"/>
  <c r="W162" i="34"/>
  <c r="V162" i="34"/>
  <c r="AG162" i="34" s="1"/>
  <c r="AI162" i="34" s="1"/>
  <c r="U162" i="34"/>
  <c r="W161" i="34"/>
  <c r="V161" i="34"/>
  <c r="AG161" i="34" s="1"/>
  <c r="AI161" i="34" s="1"/>
  <c r="U161" i="34"/>
  <c r="W160" i="34"/>
  <c r="V160" i="34"/>
  <c r="U160" i="34"/>
  <c r="W159" i="34"/>
  <c r="V159" i="34"/>
  <c r="AG159" i="34" s="1"/>
  <c r="AI159" i="34" s="1"/>
  <c r="U159" i="34"/>
  <c r="W158" i="34"/>
  <c r="V158" i="34"/>
  <c r="U158" i="34"/>
  <c r="W157" i="34"/>
  <c r="V157" i="34"/>
  <c r="U157" i="34"/>
  <c r="W156" i="34"/>
  <c r="V156" i="34"/>
  <c r="U156" i="34"/>
  <c r="W155" i="34"/>
  <c r="V155" i="34"/>
  <c r="U155" i="34"/>
  <c r="W154" i="34"/>
  <c r="V154" i="34"/>
  <c r="AG154" i="34" s="1"/>
  <c r="AI154" i="34" s="1"/>
  <c r="U154" i="34"/>
  <c r="W153" i="34"/>
  <c r="V153" i="34"/>
  <c r="AG153" i="34" s="1"/>
  <c r="AI153" i="34" s="1"/>
  <c r="U153" i="34"/>
  <c r="W152" i="34"/>
  <c r="V152" i="34"/>
  <c r="U152" i="34"/>
  <c r="W151" i="34"/>
  <c r="V151" i="34"/>
  <c r="AG151" i="34" s="1"/>
  <c r="AI151" i="34" s="1"/>
  <c r="U151" i="34"/>
  <c r="W150" i="34"/>
  <c r="V150" i="34"/>
  <c r="U150" i="34"/>
  <c r="W149" i="34"/>
  <c r="V149" i="34"/>
  <c r="U149" i="34"/>
  <c r="W148" i="34"/>
  <c r="V148" i="34"/>
  <c r="U148" i="34"/>
  <c r="W147" i="34"/>
  <c r="V147" i="34"/>
  <c r="AG147" i="34" s="1"/>
  <c r="AI147" i="34" s="1"/>
  <c r="U147" i="34"/>
  <c r="W146" i="34"/>
  <c r="V146" i="34"/>
  <c r="AG146" i="34" s="1"/>
  <c r="AI146" i="34" s="1"/>
  <c r="U146" i="34"/>
  <c r="W145" i="34"/>
  <c r="AG145" i="34" s="1"/>
  <c r="AI145" i="34" s="1"/>
  <c r="V145" i="34"/>
  <c r="U145" i="34"/>
  <c r="W144" i="34"/>
  <c r="V144" i="34"/>
  <c r="U144" i="34"/>
  <c r="W143" i="34"/>
  <c r="V143" i="34"/>
  <c r="AG143" i="34" s="1"/>
  <c r="AI143" i="34" s="1"/>
  <c r="U143" i="34"/>
  <c r="W142" i="34"/>
  <c r="V142" i="34"/>
  <c r="U142" i="34"/>
  <c r="W141" i="34"/>
  <c r="V141" i="34"/>
  <c r="U141" i="34"/>
  <c r="W140" i="34"/>
  <c r="V140" i="34"/>
  <c r="U140" i="34"/>
  <c r="W139" i="34"/>
  <c r="V139" i="34"/>
  <c r="U139" i="34"/>
  <c r="W138" i="34"/>
  <c r="V138" i="34"/>
  <c r="AG138" i="34" s="1"/>
  <c r="AI138" i="34" s="1"/>
  <c r="U138" i="34"/>
  <c r="W137" i="34"/>
  <c r="V137" i="34"/>
  <c r="U137" i="34"/>
  <c r="W136" i="34"/>
  <c r="V136" i="34"/>
  <c r="U136" i="34"/>
  <c r="W135" i="34"/>
  <c r="V135" i="34"/>
  <c r="U135" i="34"/>
  <c r="W134" i="34"/>
  <c r="AG134" i="34" s="1"/>
  <c r="AI134" i="34" s="1"/>
  <c r="V134" i="34"/>
  <c r="U134" i="34"/>
  <c r="W133" i="34"/>
  <c r="V133" i="34"/>
  <c r="U133" i="34"/>
  <c r="W132" i="34"/>
  <c r="V132" i="34"/>
  <c r="U132" i="34"/>
  <c r="W131" i="34"/>
  <c r="V131" i="34"/>
  <c r="AG131" i="34" s="1"/>
  <c r="AI131" i="34" s="1"/>
  <c r="U131" i="34"/>
  <c r="W130" i="34"/>
  <c r="V130" i="34"/>
  <c r="AG130" i="34" s="1"/>
  <c r="AI130" i="34" s="1"/>
  <c r="U130" i="34"/>
  <c r="W129" i="34"/>
  <c r="V129" i="34"/>
  <c r="AG129" i="34" s="1"/>
  <c r="AI129" i="34" s="1"/>
  <c r="U129" i="34"/>
  <c r="W128" i="34"/>
  <c r="V128" i="34"/>
  <c r="U128" i="34"/>
  <c r="W127" i="34"/>
  <c r="V127" i="34"/>
  <c r="U127" i="34"/>
  <c r="W126" i="34"/>
  <c r="V126" i="34"/>
  <c r="AG126" i="34" s="1"/>
  <c r="AI126" i="34" s="1"/>
  <c r="U126" i="34"/>
  <c r="W125" i="34"/>
  <c r="V125" i="34"/>
  <c r="U125" i="34"/>
  <c r="W124" i="34"/>
  <c r="V124" i="34"/>
  <c r="U124" i="34"/>
  <c r="W123" i="34"/>
  <c r="V123" i="34"/>
  <c r="U123" i="34"/>
  <c r="W122" i="34"/>
  <c r="V122" i="34"/>
  <c r="AG122" i="34" s="1"/>
  <c r="AI122" i="34" s="1"/>
  <c r="U122" i="34"/>
  <c r="W121" i="34"/>
  <c r="V121" i="34"/>
  <c r="AG121" i="34" s="1"/>
  <c r="AI121" i="34" s="1"/>
  <c r="U121" i="34"/>
  <c r="W120" i="34"/>
  <c r="V120" i="34"/>
  <c r="U120" i="34"/>
  <c r="W119" i="34"/>
  <c r="V119" i="34"/>
  <c r="U119" i="34"/>
  <c r="W118" i="34"/>
  <c r="AG118" i="34" s="1"/>
  <c r="AI118" i="34" s="1"/>
  <c r="V118" i="34"/>
  <c r="U118" i="34"/>
  <c r="W117" i="34"/>
  <c r="V117" i="34"/>
  <c r="U117" i="34"/>
  <c r="W116" i="34"/>
  <c r="V116" i="34"/>
  <c r="U116" i="34"/>
  <c r="W115" i="34"/>
  <c r="V115" i="34"/>
  <c r="AG115" i="34" s="1"/>
  <c r="AI115" i="34" s="1"/>
  <c r="U115" i="34"/>
  <c r="W114" i="34"/>
  <c r="V114" i="34"/>
  <c r="AG114" i="34" s="1"/>
  <c r="AI114" i="34" s="1"/>
  <c r="U114" i="34"/>
  <c r="W113" i="34"/>
  <c r="V113" i="34"/>
  <c r="AG113" i="34" s="1"/>
  <c r="AI113" i="34" s="1"/>
  <c r="U113" i="34"/>
  <c r="W112" i="34"/>
  <c r="V112" i="34"/>
  <c r="U112" i="34"/>
  <c r="W111" i="34"/>
  <c r="V111" i="34"/>
  <c r="U111" i="34"/>
  <c r="W110" i="34"/>
  <c r="V110" i="34"/>
  <c r="U110" i="34"/>
  <c r="W109" i="34"/>
  <c r="V109" i="34"/>
  <c r="AG109" i="34" s="1"/>
  <c r="AI109" i="34" s="1"/>
  <c r="U109" i="34"/>
  <c r="W108" i="34"/>
  <c r="V108" i="34"/>
  <c r="U108" i="34"/>
  <c r="W107" i="34"/>
  <c r="V107" i="34"/>
  <c r="U107" i="34"/>
  <c r="W106" i="34"/>
  <c r="V106" i="34"/>
  <c r="AG106" i="34" s="1"/>
  <c r="AI106" i="34" s="1"/>
  <c r="U106" i="34"/>
  <c r="W105" i="34"/>
  <c r="V105" i="34"/>
  <c r="U105" i="34"/>
  <c r="W104" i="34"/>
  <c r="V104" i="34"/>
  <c r="U104" i="34"/>
  <c r="W103" i="34"/>
  <c r="V103" i="34"/>
  <c r="U103" i="34"/>
  <c r="W102" i="34"/>
  <c r="V102" i="34"/>
  <c r="U102" i="34"/>
  <c r="W101" i="34"/>
  <c r="V101" i="34"/>
  <c r="U101" i="34"/>
  <c r="W100" i="34"/>
  <c r="V100" i="34"/>
  <c r="U100" i="34"/>
  <c r="W99" i="34"/>
  <c r="V99" i="34"/>
  <c r="U99" i="34"/>
  <c r="W98" i="34"/>
  <c r="V98" i="34"/>
  <c r="AG98" i="34" s="1"/>
  <c r="AI98" i="34" s="1"/>
  <c r="U98" i="34"/>
  <c r="W97" i="34"/>
  <c r="V97" i="34"/>
  <c r="AG97" i="34" s="1"/>
  <c r="AI97" i="34" s="1"/>
  <c r="U97" i="34"/>
  <c r="W96" i="34"/>
  <c r="V96" i="34"/>
  <c r="U96" i="34"/>
  <c r="W95" i="34"/>
  <c r="V95" i="34"/>
  <c r="U95" i="34"/>
  <c r="W94" i="34"/>
  <c r="V94" i="34"/>
  <c r="U94" i="34"/>
  <c r="W93" i="34"/>
  <c r="V93" i="34"/>
  <c r="AG93" i="34" s="1"/>
  <c r="AI93" i="34" s="1"/>
  <c r="U93" i="34"/>
  <c r="W92" i="34"/>
  <c r="V92" i="34"/>
  <c r="U92" i="34"/>
  <c r="W91" i="34"/>
  <c r="V91" i="34"/>
  <c r="U91" i="34"/>
  <c r="W90" i="34"/>
  <c r="V90" i="34"/>
  <c r="AG90" i="34" s="1"/>
  <c r="AI90" i="34" s="1"/>
  <c r="U90" i="34"/>
  <c r="W89" i="34"/>
  <c r="V89" i="34"/>
  <c r="AG89" i="34" s="1"/>
  <c r="AI89" i="34" s="1"/>
  <c r="U89" i="34"/>
  <c r="W88" i="34"/>
  <c r="V88" i="34"/>
  <c r="U88" i="34"/>
  <c r="W87" i="34"/>
  <c r="V87" i="34"/>
  <c r="U87" i="34"/>
  <c r="W86" i="34"/>
  <c r="V86" i="34"/>
  <c r="U86" i="34"/>
  <c r="W85" i="34"/>
  <c r="V85" i="34"/>
  <c r="AG85" i="34" s="1"/>
  <c r="AI85" i="34" s="1"/>
  <c r="U85" i="34"/>
  <c r="W84" i="34"/>
  <c r="V84" i="34"/>
  <c r="U84" i="34"/>
  <c r="W83" i="34"/>
  <c r="V83" i="34"/>
  <c r="AG83" i="34" s="1"/>
  <c r="AI83" i="34" s="1"/>
  <c r="U83" i="34"/>
  <c r="W82" i="34"/>
  <c r="V82" i="34"/>
  <c r="AG82" i="34" s="1"/>
  <c r="AI82" i="34" s="1"/>
  <c r="U82" i="34"/>
  <c r="W81" i="34"/>
  <c r="AG81" i="34" s="1"/>
  <c r="AI81" i="34" s="1"/>
  <c r="V81" i="34"/>
  <c r="U81" i="34"/>
  <c r="W80" i="34"/>
  <c r="V80" i="34"/>
  <c r="U80" i="34"/>
  <c r="W79" i="34"/>
  <c r="V79" i="34"/>
  <c r="U79" i="34"/>
  <c r="W78" i="34"/>
  <c r="V78" i="34"/>
  <c r="U78" i="34"/>
  <c r="W77" i="34"/>
  <c r="V77" i="34"/>
  <c r="AG77" i="34" s="1"/>
  <c r="AI77" i="34" s="1"/>
  <c r="U77" i="34"/>
  <c r="W76" i="34"/>
  <c r="V76" i="34"/>
  <c r="U76" i="34"/>
  <c r="W75" i="34"/>
  <c r="V75" i="34"/>
  <c r="AG75" i="34" s="1"/>
  <c r="AI75" i="34" s="1"/>
  <c r="U75" i="34"/>
  <c r="W74" i="34"/>
  <c r="V74" i="34"/>
  <c r="AG74" i="34" s="1"/>
  <c r="AI74" i="34" s="1"/>
  <c r="U74" i="34"/>
  <c r="W73" i="34"/>
  <c r="V73" i="34"/>
  <c r="AG73" i="34" s="1"/>
  <c r="AI73" i="34" s="1"/>
  <c r="U73" i="34"/>
  <c r="AQ72" i="34"/>
  <c r="AR72" i="34" s="1"/>
  <c r="AS72" i="34" s="1"/>
  <c r="W72" i="34"/>
  <c r="V72" i="34"/>
  <c r="AG72" i="34" s="1"/>
  <c r="AI72" i="34" s="1"/>
  <c r="U72" i="34"/>
  <c r="AQ71" i="34"/>
  <c r="W71" i="34"/>
  <c r="V71" i="34"/>
  <c r="AG71" i="34" s="1"/>
  <c r="AI71" i="34" s="1"/>
  <c r="U71" i="34"/>
  <c r="W70" i="34"/>
  <c r="V70" i="34"/>
  <c r="U70" i="34"/>
  <c r="W69" i="34"/>
  <c r="V69" i="34"/>
  <c r="U69" i="34"/>
  <c r="W68" i="34"/>
  <c r="V68" i="34"/>
  <c r="U68" i="34"/>
  <c r="W67" i="34"/>
  <c r="V67" i="34"/>
  <c r="U67" i="34"/>
  <c r="W66" i="34"/>
  <c r="V66" i="34"/>
  <c r="U66" i="34"/>
  <c r="W65" i="34"/>
  <c r="V65" i="34"/>
  <c r="AG65" i="34" s="1"/>
  <c r="AI65" i="34" s="1"/>
  <c r="U65" i="34"/>
  <c r="W64" i="34"/>
  <c r="V64" i="34"/>
  <c r="U64" i="34"/>
  <c r="W63" i="34"/>
  <c r="V63" i="34"/>
  <c r="U63" i="34"/>
  <c r="W62" i="34"/>
  <c r="V62" i="34"/>
  <c r="U62" i="34"/>
  <c r="W61" i="34"/>
  <c r="V61" i="34"/>
  <c r="U61" i="34"/>
  <c r="W60" i="34"/>
  <c r="AG60" i="34" s="1"/>
  <c r="AI60" i="34" s="1"/>
  <c r="V60" i="34"/>
  <c r="U60" i="34"/>
  <c r="W59" i="34"/>
  <c r="V59" i="34"/>
  <c r="AG59" i="34" s="1"/>
  <c r="AI59" i="34" s="1"/>
  <c r="U59" i="34"/>
  <c r="W58" i="34"/>
  <c r="V58" i="34"/>
  <c r="U58" i="34"/>
  <c r="W57" i="34"/>
  <c r="V57" i="34"/>
  <c r="AG57" i="34" s="1"/>
  <c r="AI57" i="34" s="1"/>
  <c r="U57" i="34"/>
  <c r="W56" i="34"/>
  <c r="V56" i="34"/>
  <c r="U56" i="34"/>
  <c r="W55" i="34"/>
  <c r="V55" i="34"/>
  <c r="AG55" i="34" s="1"/>
  <c r="AI55" i="34" s="1"/>
  <c r="U55" i="34"/>
  <c r="W54" i="34"/>
  <c r="V54" i="34"/>
  <c r="U54" i="34"/>
  <c r="W53" i="34"/>
  <c r="V53" i="34"/>
  <c r="U53" i="34"/>
  <c r="W52" i="34"/>
  <c r="V52" i="34"/>
  <c r="U52" i="34"/>
  <c r="W51" i="34"/>
  <c r="V51" i="34"/>
  <c r="U51" i="34"/>
  <c r="W50" i="34"/>
  <c r="V50" i="34"/>
  <c r="U50" i="34"/>
  <c r="W49" i="34"/>
  <c r="V49" i="34"/>
  <c r="AG49" i="34" s="1"/>
  <c r="AI49" i="34" s="1"/>
  <c r="U49" i="34"/>
  <c r="W48" i="34"/>
  <c r="V48" i="34"/>
  <c r="U48" i="34"/>
  <c r="W47" i="34"/>
  <c r="V47" i="34"/>
  <c r="U47" i="34"/>
  <c r="W46" i="34"/>
  <c r="V46" i="34"/>
  <c r="U46" i="34"/>
  <c r="W45" i="34"/>
  <c r="V45" i="34"/>
  <c r="U45" i="34"/>
  <c r="W44" i="34"/>
  <c r="AG44" i="34" s="1"/>
  <c r="AI44" i="34" s="1"/>
  <c r="V44" i="34"/>
  <c r="U44" i="34"/>
  <c r="W43" i="34"/>
  <c r="V43" i="34"/>
  <c r="AG43" i="34" s="1"/>
  <c r="AI43" i="34" s="1"/>
  <c r="U43" i="34"/>
  <c r="W42" i="34"/>
  <c r="V42" i="34"/>
  <c r="U42" i="34"/>
  <c r="W41" i="34"/>
  <c r="V41" i="34"/>
  <c r="AG41" i="34" s="1"/>
  <c r="AI41" i="34" s="1"/>
  <c r="U41" i="34"/>
  <c r="W40" i="34"/>
  <c r="V40" i="34"/>
  <c r="U40" i="34"/>
  <c r="W39" i="34"/>
  <c r="V39" i="34"/>
  <c r="AG39" i="34" s="1"/>
  <c r="AI39" i="34" s="1"/>
  <c r="U39" i="34"/>
  <c r="W38" i="34"/>
  <c r="V38" i="34"/>
  <c r="U38" i="34"/>
  <c r="W37" i="34"/>
  <c r="V37" i="34"/>
  <c r="U37" i="34"/>
  <c r="W36" i="34"/>
  <c r="V36" i="34"/>
  <c r="U36" i="34"/>
  <c r="W35" i="34"/>
  <c r="V35" i="34"/>
  <c r="U35" i="34"/>
  <c r="W34" i="34"/>
  <c r="V34" i="34"/>
  <c r="U34" i="34"/>
  <c r="W33" i="34"/>
  <c r="V33" i="34"/>
  <c r="AG33" i="34" s="1"/>
  <c r="AI33" i="34" s="1"/>
  <c r="U33" i="34"/>
  <c r="W32" i="34"/>
  <c r="V32" i="34"/>
  <c r="U32" i="34"/>
  <c r="W31" i="34"/>
  <c r="V31" i="34"/>
  <c r="AG31" i="34" s="1"/>
  <c r="AI31" i="34" s="1"/>
  <c r="U31" i="34"/>
  <c r="W30" i="34"/>
  <c r="V30" i="34"/>
  <c r="U30" i="34"/>
  <c r="W29" i="34"/>
  <c r="V29" i="34"/>
  <c r="U29" i="34"/>
  <c r="W28" i="34"/>
  <c r="V28" i="34"/>
  <c r="U28" i="34"/>
  <c r="W27" i="34"/>
  <c r="V27" i="34"/>
  <c r="AG27" i="34" s="1"/>
  <c r="AI27" i="34" s="1"/>
  <c r="U27" i="34"/>
  <c r="W26" i="34"/>
  <c r="V26" i="34"/>
  <c r="U26" i="34"/>
  <c r="W25" i="34"/>
  <c r="V25" i="34"/>
  <c r="U25" i="34"/>
  <c r="W24" i="34"/>
  <c r="V24" i="34"/>
  <c r="U24" i="34"/>
  <c r="W23" i="34"/>
  <c r="V23" i="34"/>
  <c r="AG23" i="34" s="1"/>
  <c r="AI23" i="34" s="1"/>
  <c r="U23" i="34"/>
  <c r="W22" i="34"/>
  <c r="V22" i="34"/>
  <c r="U22" i="34"/>
  <c r="W21" i="34"/>
  <c r="V21" i="34"/>
  <c r="U21" i="34"/>
  <c r="W20" i="34"/>
  <c r="V20" i="34"/>
  <c r="U20" i="34"/>
  <c r="W19" i="34"/>
  <c r="V19" i="34"/>
  <c r="AG19" i="34" s="1"/>
  <c r="AI19" i="34" s="1"/>
  <c r="U19" i="34"/>
  <c r="W18" i="34"/>
  <c r="V18" i="34"/>
  <c r="U18" i="34"/>
  <c r="W17" i="34"/>
  <c r="V17" i="34"/>
  <c r="AG17" i="34" s="1"/>
  <c r="AI17" i="34" s="1"/>
  <c r="U17" i="34"/>
  <c r="W16" i="34"/>
  <c r="V16" i="34"/>
  <c r="U16" i="34"/>
  <c r="W15" i="34"/>
  <c r="V15" i="34"/>
  <c r="U15" i="34"/>
  <c r="W14" i="34"/>
  <c r="V14" i="34"/>
  <c r="U14" i="34"/>
  <c r="W13" i="34"/>
  <c r="V13" i="34"/>
  <c r="U13" i="34"/>
  <c r="W12" i="34"/>
  <c r="V12" i="34"/>
  <c r="AG12" i="34" s="1"/>
  <c r="AI12" i="34" s="1"/>
  <c r="U12" i="34"/>
  <c r="W11" i="34"/>
  <c r="V11" i="34"/>
  <c r="AG11" i="34" s="1"/>
  <c r="AI11" i="34" s="1"/>
  <c r="U11" i="34"/>
  <c r="W10" i="34"/>
  <c r="V10" i="34"/>
  <c r="U10" i="34"/>
  <c r="W9" i="34"/>
  <c r="V9" i="34"/>
  <c r="AG9" i="34" s="1"/>
  <c r="AI9" i="34" s="1"/>
  <c r="U9" i="34"/>
  <c r="W8" i="34"/>
  <c r="V8" i="34"/>
  <c r="U8" i="34"/>
  <c r="W7" i="34"/>
  <c r="V7" i="34"/>
  <c r="U7" i="34"/>
  <c r="W6" i="34"/>
  <c r="V6" i="34"/>
  <c r="U6" i="34"/>
  <c r="W5" i="34"/>
  <c r="V5" i="34"/>
  <c r="U5" i="34"/>
  <c r="W4" i="34"/>
  <c r="V4" i="34"/>
  <c r="U4" i="34"/>
  <c r="W3" i="34"/>
  <c r="V3" i="34"/>
  <c r="AG3" i="34" s="1"/>
  <c r="AI3" i="34" s="1"/>
  <c r="U3" i="34"/>
  <c r="W2" i="34"/>
  <c r="V2" i="34"/>
  <c r="U2" i="34"/>
  <c r="P67" i="39"/>
  <c r="W346" i="27"/>
  <c r="C344" i="27"/>
  <c r="C343" i="27"/>
  <c r="C342" i="27"/>
  <c r="C341" i="27"/>
  <c r="C340" i="27"/>
  <c r="C339" i="27"/>
  <c r="C338" i="27"/>
  <c r="C337" i="27"/>
  <c r="C336" i="27"/>
  <c r="C335" i="27"/>
  <c r="C334" i="27"/>
  <c r="C333" i="27"/>
  <c r="C332" i="27"/>
  <c r="C331" i="27"/>
  <c r="C330" i="27"/>
  <c r="C329" i="27"/>
  <c r="C328" i="27"/>
  <c r="C327" i="27"/>
  <c r="C326" i="27"/>
  <c r="C325" i="27"/>
  <c r="C324" i="27"/>
  <c r="C323" i="27"/>
  <c r="C322" i="27"/>
  <c r="C321" i="27"/>
  <c r="C320" i="27"/>
  <c r="C319" i="27"/>
  <c r="C318" i="27"/>
  <c r="C317" i="27"/>
  <c r="C316" i="27"/>
  <c r="C315" i="27"/>
  <c r="C314" i="27"/>
  <c r="C313" i="27"/>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2" i="27"/>
  <c r="C211" i="27"/>
  <c r="C210" i="27"/>
  <c r="C209" i="27"/>
  <c r="C208" i="27"/>
  <c r="C207" i="27"/>
  <c r="C206" i="27"/>
  <c r="C205" i="27"/>
  <c r="C204" i="27"/>
  <c r="C203" i="27"/>
  <c r="C202" i="27"/>
  <c r="C201" i="27"/>
  <c r="C200" i="27"/>
  <c r="C199" i="27"/>
  <c r="C198" i="27"/>
  <c r="C197" i="27"/>
  <c r="C196" i="27"/>
  <c r="C195" i="27"/>
  <c r="C194" i="27"/>
  <c r="C193" i="27"/>
  <c r="C192" i="27"/>
  <c r="C191" i="27"/>
  <c r="C190" i="27"/>
  <c r="C189" i="27"/>
  <c r="C188" i="27"/>
  <c r="C187" i="27"/>
  <c r="C186" i="27"/>
  <c r="C185" i="27"/>
  <c r="C184" i="27"/>
  <c r="C183" i="27"/>
  <c r="C182" i="27"/>
  <c r="C181" i="27"/>
  <c r="C180" i="27"/>
  <c r="C179" i="27"/>
  <c r="C178" i="27"/>
  <c r="C177" i="27"/>
  <c r="C176" i="27"/>
  <c r="C175" i="27"/>
  <c r="C174" i="27"/>
  <c r="C173" i="27"/>
  <c r="C172" i="27"/>
  <c r="C171" i="27"/>
  <c r="C170" i="27"/>
  <c r="C169" i="27"/>
  <c r="C168" i="27"/>
  <c r="C167" i="27"/>
  <c r="C166" i="27"/>
  <c r="C165" i="27"/>
  <c r="C164" i="27"/>
  <c r="C163" i="27"/>
  <c r="C162" i="27"/>
  <c r="C161" i="27"/>
  <c r="C160" i="27"/>
  <c r="C159" i="27"/>
  <c r="C158" i="27"/>
  <c r="C157" i="27"/>
  <c r="C156" i="27"/>
  <c r="C155" i="27"/>
  <c r="C154" i="27"/>
  <c r="C153" i="27"/>
  <c r="C152" i="27"/>
  <c r="C151" i="27"/>
  <c r="C150" i="27"/>
  <c r="C149" i="27"/>
  <c r="C148" i="27"/>
  <c r="C147" i="27"/>
  <c r="C146" i="27"/>
  <c r="C145" i="27"/>
  <c r="C144" i="27"/>
  <c r="C143" i="27"/>
  <c r="C142" i="27"/>
  <c r="C141" i="27"/>
  <c r="C140" i="27"/>
  <c r="C139" i="27"/>
  <c r="C138" i="27"/>
  <c r="C137" i="27"/>
  <c r="C136" i="27"/>
  <c r="C135" i="27"/>
  <c r="C134" i="27"/>
  <c r="C133" i="27"/>
  <c r="C132" i="27"/>
  <c r="C131" i="27"/>
  <c r="C130" i="27"/>
  <c r="C129" i="27"/>
  <c r="C128" i="27"/>
  <c r="C127" i="27"/>
  <c r="C126" i="27"/>
  <c r="C125" i="27"/>
  <c r="C124" i="27"/>
  <c r="C123" i="27"/>
  <c r="C122" i="27"/>
  <c r="C121" i="27"/>
  <c r="C120" i="27"/>
  <c r="C119" i="27"/>
  <c r="C118" i="27"/>
  <c r="C117" i="27"/>
  <c r="C116" i="27"/>
  <c r="C115" i="27"/>
  <c r="C114" i="27"/>
  <c r="C113" i="27"/>
  <c r="C112" i="27"/>
  <c r="C111" i="27"/>
  <c r="C110" i="27"/>
  <c r="C109" i="27"/>
  <c r="C108" i="27"/>
  <c r="C107" i="27"/>
  <c r="C106" i="27"/>
  <c r="C105" i="27"/>
  <c r="C104" i="27"/>
  <c r="C103" i="27"/>
  <c r="C102" i="27"/>
  <c r="C101" i="27"/>
  <c r="C100" i="27"/>
  <c r="C99" i="27"/>
  <c r="C98" i="27"/>
  <c r="C97" i="27"/>
  <c r="C96" i="27"/>
  <c r="C95" i="27"/>
  <c r="C94" i="27"/>
  <c r="C93" i="27"/>
  <c r="C92" i="27"/>
  <c r="C91" i="27"/>
  <c r="C90" i="27"/>
  <c r="C89" i="27"/>
  <c r="C88" i="27"/>
  <c r="C87" i="27"/>
  <c r="C86" i="27"/>
  <c r="C85" i="27"/>
  <c r="C84" i="27"/>
  <c r="C83" i="27"/>
  <c r="C82" i="27"/>
  <c r="C81" i="27"/>
  <c r="C80" i="27"/>
  <c r="C79" i="27"/>
  <c r="C78" i="27"/>
  <c r="C77" i="27"/>
  <c r="C76" i="27"/>
  <c r="C75" i="27"/>
  <c r="C74" i="27"/>
  <c r="C73" i="27"/>
  <c r="C72" i="27"/>
  <c r="C71" i="27"/>
  <c r="C70" i="27"/>
  <c r="C69" i="27"/>
  <c r="C68" i="27"/>
  <c r="C67" i="27"/>
  <c r="C66" i="27"/>
  <c r="C65" i="27"/>
  <c r="C64" i="27"/>
  <c r="C63" i="27"/>
  <c r="C62" i="27"/>
  <c r="C61" i="27"/>
  <c r="C60" i="27"/>
  <c r="C59" i="27"/>
  <c r="C58" i="27"/>
  <c r="C57" i="27"/>
  <c r="C56" i="27"/>
  <c r="C55" i="27"/>
  <c r="C54" i="27"/>
  <c r="C53" i="27"/>
  <c r="C52" i="27"/>
  <c r="C51" i="27"/>
  <c r="C50" i="27"/>
  <c r="C49" i="27"/>
  <c r="C48" i="27"/>
  <c r="C47" i="27"/>
  <c r="C46" i="27"/>
  <c r="C45" i="27"/>
  <c r="C44" i="27"/>
  <c r="C43" i="27"/>
  <c r="C42" i="27"/>
  <c r="C41" i="27"/>
  <c r="C40" i="27"/>
  <c r="C39" i="27"/>
  <c r="C38" i="27"/>
  <c r="C37" i="27"/>
  <c r="C36" i="27"/>
  <c r="C35" i="27"/>
  <c r="C34" i="27"/>
  <c r="C33" i="27"/>
  <c r="C32" i="27"/>
  <c r="C31" i="27"/>
  <c r="C30" i="27"/>
  <c r="C29" i="27"/>
  <c r="C28" i="27"/>
  <c r="C27" i="27"/>
  <c r="C26" i="27"/>
  <c r="C25" i="27"/>
  <c r="C24" i="27"/>
  <c r="C23" i="27"/>
  <c r="C22" i="27"/>
  <c r="C21" i="27"/>
  <c r="C20" i="27"/>
  <c r="C19" i="27"/>
  <c r="C18" i="27"/>
  <c r="C17" i="27"/>
  <c r="C16" i="27"/>
  <c r="C15" i="27"/>
  <c r="C14" i="27"/>
  <c r="C13" i="27"/>
  <c r="C12" i="27"/>
  <c r="C11" i="27"/>
  <c r="C10" i="27"/>
  <c r="C9" i="27"/>
  <c r="C8" i="27"/>
  <c r="C7" i="27"/>
  <c r="C6" i="27"/>
  <c r="C5" i="27"/>
  <c r="C4" i="27"/>
  <c r="C3" i="27"/>
  <c r="C2" i="27"/>
  <c r="AG330" i="34" l="1"/>
  <c r="AI330" i="34" s="1"/>
  <c r="AG6" i="34"/>
  <c r="AI6" i="34" s="1"/>
  <c r="AG14" i="34"/>
  <c r="AI14" i="34" s="1"/>
  <c r="AG30" i="34"/>
  <c r="AI30" i="34" s="1"/>
  <c r="AG38" i="34"/>
  <c r="AI38" i="34" s="1"/>
  <c r="AG46" i="34"/>
  <c r="AI46" i="34" s="1"/>
  <c r="AG62" i="34"/>
  <c r="AI62" i="34" s="1"/>
  <c r="AG104" i="34"/>
  <c r="AI104" i="34" s="1"/>
  <c r="AG141" i="34"/>
  <c r="AI141" i="34" s="1"/>
  <c r="AG149" i="34"/>
  <c r="AI149" i="34" s="1"/>
  <c r="AG170" i="34"/>
  <c r="AI170" i="34" s="1"/>
  <c r="AG186" i="34"/>
  <c r="AI186" i="34" s="1"/>
  <c r="AG207" i="34"/>
  <c r="AI207" i="34" s="1"/>
  <c r="AG215" i="34"/>
  <c r="AI215" i="34" s="1"/>
  <c r="AG228" i="34"/>
  <c r="AI228" i="34" s="1"/>
  <c r="AG235" i="34"/>
  <c r="AI235" i="34" s="1"/>
  <c r="AG243" i="34"/>
  <c r="AI243" i="34" s="1"/>
  <c r="AG259" i="34"/>
  <c r="AI259" i="34" s="1"/>
  <c r="AG275" i="34"/>
  <c r="AI275" i="34" s="1"/>
  <c r="AG291" i="34"/>
  <c r="AI291" i="34" s="1"/>
  <c r="AG137" i="34"/>
  <c r="AI137" i="34" s="1"/>
  <c r="AG179" i="34"/>
  <c r="AI179" i="34" s="1"/>
  <c r="AG268" i="34"/>
  <c r="AI268" i="34" s="1"/>
  <c r="AG342" i="34"/>
  <c r="AI342" i="34" s="1"/>
  <c r="AG10" i="34"/>
  <c r="AI10" i="34" s="1"/>
  <c r="AG18" i="34"/>
  <c r="AI18" i="34" s="1"/>
  <c r="AG26" i="34"/>
  <c r="AI26" i="34" s="1"/>
  <c r="AG34" i="34"/>
  <c r="AI34" i="34" s="1"/>
  <c r="AG50" i="34"/>
  <c r="AI50" i="34" s="1"/>
  <c r="AG66" i="34"/>
  <c r="AI66" i="34" s="1"/>
  <c r="AG76" i="34"/>
  <c r="AI76" i="34" s="1"/>
  <c r="AG92" i="34"/>
  <c r="AI92" i="34" s="1"/>
  <c r="AG108" i="34"/>
  <c r="AI108" i="34" s="1"/>
  <c r="AG140" i="34"/>
  <c r="AI140" i="34" s="1"/>
  <c r="AG337" i="34"/>
  <c r="AI337" i="34" s="1"/>
  <c r="AG24" i="34"/>
  <c r="AI24" i="34" s="1"/>
  <c r="AG29" i="34"/>
  <c r="AI29" i="34" s="1"/>
  <c r="AG37" i="34"/>
  <c r="AI37" i="34" s="1"/>
  <c r="AG40" i="34"/>
  <c r="AI40" i="34" s="1"/>
  <c r="AG45" i="34"/>
  <c r="AI45" i="34" s="1"/>
  <c r="AG48" i="34"/>
  <c r="AI48" i="34" s="1"/>
  <c r="AG53" i="34"/>
  <c r="AI53" i="34" s="1"/>
  <c r="AG61" i="34"/>
  <c r="AI61" i="34" s="1"/>
  <c r="AG69" i="34"/>
  <c r="AI69" i="34" s="1"/>
  <c r="AG79" i="34"/>
  <c r="AI79" i="34" s="1"/>
  <c r="AG87" i="34"/>
  <c r="AI87" i="34" s="1"/>
  <c r="AG103" i="34"/>
  <c r="AI103" i="34" s="1"/>
  <c r="AG119" i="34"/>
  <c r="AI119" i="34" s="1"/>
  <c r="AG135" i="34"/>
  <c r="AI135" i="34" s="1"/>
  <c r="AG156" i="34"/>
  <c r="AI156" i="34" s="1"/>
  <c r="AG169" i="34"/>
  <c r="AI169" i="34" s="1"/>
  <c r="AG177" i="34"/>
  <c r="AI177" i="34" s="1"/>
  <c r="AG185" i="34"/>
  <c r="AI185" i="34" s="1"/>
  <c r="AG193" i="34"/>
  <c r="AI193" i="34" s="1"/>
  <c r="AG266" i="34"/>
  <c r="AI266" i="34" s="1"/>
  <c r="AG311" i="34"/>
  <c r="AI311" i="34" s="1"/>
  <c r="AG324" i="34"/>
  <c r="AI324" i="34" s="1"/>
  <c r="AG340" i="34"/>
  <c r="AI340" i="34" s="1"/>
  <c r="AG2" i="34"/>
  <c r="AI2" i="34" s="1"/>
  <c r="AG251" i="34"/>
  <c r="AI251" i="34" s="1"/>
  <c r="AG95" i="34"/>
  <c r="AI95" i="34" s="1"/>
  <c r="AG166" i="34"/>
  <c r="AI166" i="34" s="1"/>
  <c r="AG244" i="34"/>
  <c r="AI244" i="34" s="1"/>
  <c r="AG267" i="34"/>
  <c r="AI267" i="34" s="1"/>
  <c r="AG25" i="34"/>
  <c r="AI25" i="34" s="1"/>
  <c r="AG86" i="34"/>
  <c r="AI86" i="34" s="1"/>
  <c r="AG328" i="34"/>
  <c r="AI328" i="34" s="1"/>
  <c r="AG178" i="34"/>
  <c r="AI178" i="34" s="1"/>
  <c r="AG194" i="34"/>
  <c r="AI194" i="34" s="1"/>
  <c r="AG7" i="34"/>
  <c r="AI7" i="34" s="1"/>
  <c r="AG28" i="34"/>
  <c r="AI28" i="34" s="1"/>
  <c r="AG111" i="34"/>
  <c r="AI111" i="34" s="1"/>
  <c r="AG127" i="34"/>
  <c r="AI127" i="34" s="1"/>
  <c r="AG142" i="34"/>
  <c r="AI142" i="34" s="1"/>
  <c r="AG217" i="34"/>
  <c r="AI217" i="34" s="1"/>
  <c r="AG222" i="34"/>
  <c r="AI222" i="34" s="1"/>
  <c r="AG5" i="34"/>
  <c r="AI5" i="34" s="1"/>
  <c r="AG270" i="34"/>
  <c r="AI270" i="34" s="1"/>
  <c r="AG280" i="34"/>
  <c r="AI280" i="34" s="1"/>
  <c r="AG331" i="34"/>
  <c r="AI331" i="34" s="1"/>
  <c r="AG21" i="34"/>
  <c r="AI21" i="34" s="1"/>
  <c r="AG190" i="34"/>
  <c r="AI190" i="34" s="1"/>
  <c r="AG210" i="34"/>
  <c r="AI210" i="34" s="1"/>
  <c r="AG223" i="34"/>
  <c r="AI223" i="34" s="1"/>
  <c r="AG248" i="34"/>
  <c r="AI248" i="34" s="1"/>
  <c r="AG288" i="34"/>
  <c r="AI288" i="34" s="1"/>
  <c r="AG78" i="34"/>
  <c r="AI78" i="34" s="1"/>
  <c r="AG278" i="34"/>
  <c r="AI278" i="34" s="1"/>
  <c r="AG283" i="34"/>
  <c r="AI283" i="34" s="1"/>
  <c r="AG301" i="34"/>
  <c r="AI301" i="34" s="1"/>
  <c r="AG309" i="34"/>
  <c r="AI309" i="34" s="1"/>
  <c r="AG150" i="34"/>
  <c r="AI150" i="34" s="1"/>
  <c r="AG183" i="34"/>
  <c r="AI183" i="34" s="1"/>
  <c r="AG199" i="34"/>
  <c r="AI199" i="34" s="1"/>
  <c r="AG343" i="34"/>
  <c r="AI343" i="34" s="1"/>
  <c r="AG35" i="34"/>
  <c r="AI35" i="34" s="1"/>
  <c r="AG42" i="34"/>
  <c r="AI42" i="34" s="1"/>
  <c r="AG47" i="34"/>
  <c r="AI47" i="34" s="1"/>
  <c r="AG54" i="34"/>
  <c r="AI54" i="34" s="1"/>
  <c r="AG64" i="34"/>
  <c r="AI64" i="34" s="1"/>
  <c r="AG68" i="34"/>
  <c r="AI68" i="34" s="1"/>
  <c r="AG120" i="34"/>
  <c r="AI120" i="34" s="1"/>
  <c r="AG136" i="34"/>
  <c r="AI136" i="34" s="1"/>
  <c r="AG158" i="34"/>
  <c r="AI158" i="34" s="1"/>
  <c r="AG176" i="34"/>
  <c r="AI176" i="34" s="1"/>
  <c r="AG203" i="34"/>
  <c r="AI203" i="34" s="1"/>
  <c r="AG221" i="34"/>
  <c r="AI221" i="34" s="1"/>
  <c r="AG240" i="34"/>
  <c r="AI240" i="34" s="1"/>
  <c r="AG258" i="34"/>
  <c r="AI258" i="34" s="1"/>
  <c r="AG262" i="34"/>
  <c r="AI262" i="34" s="1"/>
  <c r="AG269" i="34"/>
  <c r="AI269" i="34" s="1"/>
  <c r="AG276" i="34"/>
  <c r="AI276" i="34" s="1"/>
  <c r="AG292" i="34"/>
  <c r="AI292" i="34" s="1"/>
  <c r="AG295" i="34"/>
  <c r="AI295" i="34" s="1"/>
  <c r="AG297" i="34"/>
  <c r="AI297" i="34" s="1"/>
  <c r="AG307" i="34"/>
  <c r="AI307" i="34" s="1"/>
  <c r="AG333" i="34"/>
  <c r="AI333" i="34" s="1"/>
  <c r="AG338" i="34"/>
  <c r="AI338" i="34" s="1"/>
  <c r="AG286" i="34"/>
  <c r="AI286" i="34" s="1"/>
  <c r="AG102" i="34"/>
  <c r="AI102" i="34" s="1"/>
  <c r="AG206" i="34"/>
  <c r="AI206" i="34" s="1"/>
  <c r="AG213" i="34"/>
  <c r="AI213" i="34" s="1"/>
  <c r="AG250" i="34"/>
  <c r="AI250" i="34" s="1"/>
  <c r="AG254" i="34"/>
  <c r="AI254" i="34" s="1"/>
  <c r="AG272" i="34"/>
  <c r="AI272" i="34" s="1"/>
  <c r="AG282" i="34"/>
  <c r="AI282" i="34" s="1"/>
  <c r="AG284" i="34"/>
  <c r="AI284" i="34" s="1"/>
  <c r="AG341" i="34"/>
  <c r="AI341" i="34" s="1"/>
  <c r="AG8" i="34"/>
  <c r="AI8" i="34" s="1"/>
  <c r="AG15" i="34"/>
  <c r="AI15" i="34" s="1"/>
  <c r="AG22" i="34"/>
  <c r="AI22" i="34" s="1"/>
  <c r="AG32" i="34"/>
  <c r="AI32" i="34" s="1"/>
  <c r="AG36" i="34"/>
  <c r="AI36" i="34" s="1"/>
  <c r="AG67" i="34"/>
  <c r="AI67" i="34" s="1"/>
  <c r="AG100" i="34"/>
  <c r="AI100" i="34" s="1"/>
  <c r="AG105" i="34"/>
  <c r="AI105" i="34" s="1"/>
  <c r="AG112" i="34"/>
  <c r="AI112" i="34" s="1"/>
  <c r="AG139" i="34"/>
  <c r="AI139" i="34" s="1"/>
  <c r="AG157" i="34"/>
  <c r="AI157" i="34" s="1"/>
  <c r="AG184" i="34"/>
  <c r="AI184" i="34" s="1"/>
  <c r="AG200" i="34"/>
  <c r="AI200" i="34" s="1"/>
  <c r="AG239" i="34"/>
  <c r="AI239" i="34" s="1"/>
  <c r="AG261" i="34"/>
  <c r="AI261" i="34" s="1"/>
  <c r="AG313" i="34"/>
  <c r="AI313" i="34" s="1"/>
  <c r="AG332" i="34"/>
  <c r="AI332" i="34" s="1"/>
  <c r="AG339" i="34"/>
  <c r="AI339" i="34" s="1"/>
  <c r="AG174" i="34"/>
  <c r="AI174" i="34" s="1"/>
  <c r="AG56" i="34"/>
  <c r="AI56" i="34" s="1"/>
  <c r="AG214" i="34"/>
  <c r="AI214" i="34" s="1"/>
  <c r="AG52" i="34"/>
  <c r="AI52" i="34" s="1"/>
  <c r="AG256" i="34"/>
  <c r="AI256" i="34" s="1"/>
  <c r="AG317" i="34"/>
  <c r="AI317" i="34" s="1"/>
  <c r="AG4" i="34"/>
  <c r="AI4" i="34" s="1"/>
  <c r="AG13" i="34"/>
  <c r="AI13" i="34" s="1"/>
  <c r="AG16" i="34"/>
  <c r="AI16" i="34" s="1"/>
  <c r="AG20" i="34"/>
  <c r="AI20" i="34" s="1"/>
  <c r="AG51" i="34"/>
  <c r="AI51" i="34" s="1"/>
  <c r="AG58" i="34"/>
  <c r="AI58" i="34" s="1"/>
  <c r="AG63" i="34"/>
  <c r="AI63" i="34" s="1"/>
  <c r="AG70" i="34"/>
  <c r="AI70" i="34" s="1"/>
  <c r="AG94" i="34"/>
  <c r="AI94" i="34" s="1"/>
  <c r="AG110" i="34"/>
  <c r="AI110" i="34" s="1"/>
  <c r="AG164" i="34"/>
  <c r="AI164" i="34" s="1"/>
  <c r="AG173" i="34"/>
  <c r="AI173" i="34" s="1"/>
  <c r="AG231" i="34"/>
  <c r="AI231" i="34" s="1"/>
  <c r="AG255" i="34"/>
  <c r="AI255" i="34" s="1"/>
  <c r="AG294" i="34"/>
  <c r="AI294" i="34" s="1"/>
  <c r="AG299" i="34"/>
  <c r="AI299" i="34" s="1"/>
  <c r="AG316" i="34"/>
  <c r="AI316" i="34" s="1"/>
  <c r="AG335" i="34"/>
  <c r="AI335" i="34" s="1"/>
  <c r="AG133" i="34"/>
  <c r="AI133" i="34" s="1"/>
  <c r="AG216" i="34"/>
  <c r="AI216" i="34" s="1"/>
  <c r="AG287" i="34"/>
  <c r="AI287" i="34" s="1"/>
  <c r="AG319" i="34"/>
  <c r="AI319" i="34" s="1"/>
  <c r="AS342" i="34"/>
  <c r="AR342" i="34"/>
  <c r="AG88" i="34"/>
  <c r="AI88" i="34" s="1"/>
  <c r="AG230" i="34"/>
  <c r="AI230" i="34" s="1"/>
  <c r="AG80" i="34"/>
  <c r="AI80" i="34" s="1"/>
  <c r="AG84" i="34"/>
  <c r="AI84" i="34" s="1"/>
  <c r="AG117" i="34"/>
  <c r="AI117" i="34" s="1"/>
  <c r="AG123" i="34"/>
  <c r="AI123" i="34" s="1"/>
  <c r="AG144" i="34"/>
  <c r="AI144" i="34" s="1"/>
  <c r="AG148" i="34"/>
  <c r="AI148" i="34" s="1"/>
  <c r="AG181" i="34"/>
  <c r="AI181" i="34" s="1"/>
  <c r="AG187" i="34"/>
  <c r="AI187" i="34" s="1"/>
  <c r="AG208" i="34"/>
  <c r="AI208" i="34" s="1"/>
  <c r="AG212" i="34"/>
  <c r="AI212" i="34" s="1"/>
  <c r="AG263" i="34"/>
  <c r="AI263" i="34" s="1"/>
  <c r="AG274" i="34"/>
  <c r="AI274" i="34" s="1"/>
  <c r="AG285" i="34"/>
  <c r="AI285" i="34" s="1"/>
  <c r="AG303" i="34"/>
  <c r="AI303" i="34" s="1"/>
  <c r="AG224" i="34"/>
  <c r="AI224" i="34" s="1"/>
  <c r="U344" i="34"/>
  <c r="AG344" i="34" s="1"/>
  <c r="AI344" i="34" s="1"/>
  <c r="AG160" i="34"/>
  <c r="AI160" i="34" s="1"/>
  <c r="AG125" i="34"/>
  <c r="AI125" i="34" s="1"/>
  <c r="AG152" i="34"/>
  <c r="AI152" i="34" s="1"/>
  <c r="AG101" i="34"/>
  <c r="AI101" i="34" s="1"/>
  <c r="AG107" i="34"/>
  <c r="AI107" i="34" s="1"/>
  <c r="AG128" i="34"/>
  <c r="AI128" i="34" s="1"/>
  <c r="AG132" i="34"/>
  <c r="AI132" i="34" s="1"/>
  <c r="AG165" i="34"/>
  <c r="AI165" i="34" s="1"/>
  <c r="AG171" i="34"/>
  <c r="AI171" i="34" s="1"/>
  <c r="AG192" i="34"/>
  <c r="AI192" i="34" s="1"/>
  <c r="AG196" i="34"/>
  <c r="AI196" i="34" s="1"/>
  <c r="AG229" i="34"/>
  <c r="AI229" i="34" s="1"/>
  <c r="AG247" i="34"/>
  <c r="AI247" i="34" s="1"/>
  <c r="AG253" i="34"/>
  <c r="AI253" i="34" s="1"/>
  <c r="AG279" i="34"/>
  <c r="AI279" i="34" s="1"/>
  <c r="AG290" i="34"/>
  <c r="AI290" i="34" s="1"/>
  <c r="AG308" i="34"/>
  <c r="AI308" i="34" s="1"/>
  <c r="AG327" i="34"/>
  <c r="AI327" i="34" s="1"/>
  <c r="AG99" i="34"/>
  <c r="AI99" i="34" s="1"/>
  <c r="AG124" i="34"/>
  <c r="AI124" i="34" s="1"/>
  <c r="AG163" i="34"/>
  <c r="AI163" i="34" s="1"/>
  <c r="AG188" i="34"/>
  <c r="AI188" i="34" s="1"/>
  <c r="AG227" i="34"/>
  <c r="AI227" i="34" s="1"/>
  <c r="AG245" i="34"/>
  <c r="AI245" i="34" s="1"/>
  <c r="AG277" i="34"/>
  <c r="AI277" i="34" s="1"/>
  <c r="AG306" i="34"/>
  <c r="AI306" i="34" s="1"/>
  <c r="AG96" i="34"/>
  <c r="AI96" i="34" s="1"/>
  <c r="AG197" i="34"/>
  <c r="AI197" i="34" s="1"/>
  <c r="AG242" i="34"/>
  <c r="AI242" i="34" s="1"/>
  <c r="AG189" i="34"/>
  <c r="AI189" i="34" s="1"/>
  <c r="AG234" i="34"/>
  <c r="AI234" i="34" s="1"/>
  <c r="AR71" i="34"/>
  <c r="AS71" i="34" s="1"/>
  <c r="AG91" i="34"/>
  <c r="AI91" i="34" s="1"/>
  <c r="AG116" i="34"/>
  <c r="AI116" i="34" s="1"/>
  <c r="AG155" i="34"/>
  <c r="AI155" i="34" s="1"/>
  <c r="AG180" i="34"/>
  <c r="AI180" i="34" s="1"/>
  <c r="AG219" i="34"/>
  <c r="AI219" i="34" s="1"/>
  <c r="AG237" i="34"/>
  <c r="AI237" i="34" s="1"/>
  <c r="P33" i="28"/>
  <c r="C18" i="28" l="1"/>
  <c r="C8" i="28"/>
  <c r="C17" i="28"/>
  <c r="F23" i="28"/>
  <c r="C23" i="28"/>
  <c r="E17" i="28" l="1"/>
  <c r="D17" i="28"/>
  <c r="E8" i="28"/>
  <c r="D8" i="28"/>
  <c r="D18" i="28"/>
  <c r="E18" i="28"/>
  <c r="F36" i="6"/>
  <c r="F35" i="6"/>
  <c r="AT344" i="40" l="1"/>
  <c r="AT343" i="40"/>
  <c r="AT342" i="40"/>
  <c r="AT341" i="40"/>
  <c r="AT340" i="40"/>
  <c r="AT339" i="40"/>
  <c r="AT338" i="40"/>
  <c r="AT337" i="40"/>
  <c r="AT336" i="40"/>
  <c r="AT335" i="40"/>
  <c r="AT334" i="40"/>
  <c r="AT333" i="40"/>
  <c r="AT332" i="40"/>
  <c r="AT331" i="40"/>
  <c r="AT330" i="40"/>
  <c r="AT329" i="40"/>
  <c r="AT328" i="40"/>
  <c r="AT327" i="40"/>
  <c r="AT326" i="40"/>
  <c r="AT325" i="40"/>
  <c r="AT324" i="40"/>
  <c r="AT323" i="40"/>
  <c r="AT322" i="40"/>
  <c r="AT321" i="40"/>
  <c r="AT320" i="40"/>
  <c r="AT319" i="40"/>
  <c r="AT318" i="40"/>
  <c r="AT317" i="40"/>
  <c r="AT316" i="40"/>
  <c r="AT315" i="40"/>
  <c r="AT314" i="40"/>
  <c r="AT313" i="40"/>
  <c r="AT312" i="40"/>
  <c r="AT311" i="40"/>
  <c r="AT310" i="40"/>
  <c r="AT309" i="40"/>
  <c r="AT308" i="40"/>
  <c r="AT307" i="40"/>
  <c r="AT306" i="40"/>
  <c r="AT305" i="40"/>
  <c r="AT304" i="40"/>
  <c r="AT303" i="40"/>
  <c r="AT302" i="40"/>
  <c r="AT301" i="40"/>
  <c r="AT300" i="40"/>
  <c r="AT299" i="40"/>
  <c r="AT298" i="40"/>
  <c r="AT297" i="40"/>
  <c r="AT296" i="40"/>
  <c r="AT295" i="40"/>
  <c r="AT294" i="40"/>
  <c r="AT293" i="40"/>
  <c r="AT292" i="40"/>
  <c r="AT291" i="40"/>
  <c r="AT290" i="40"/>
  <c r="AT289" i="40"/>
  <c r="AT288" i="40"/>
  <c r="AT287" i="40"/>
  <c r="AT286" i="40"/>
  <c r="AT285" i="40"/>
  <c r="AT284" i="40"/>
  <c r="AT283" i="40"/>
  <c r="AT282" i="40"/>
  <c r="AT281" i="40"/>
  <c r="AT280" i="40"/>
  <c r="AT279" i="40"/>
  <c r="AT278" i="40"/>
  <c r="AT277" i="40"/>
  <c r="AT276" i="40"/>
  <c r="AT275" i="40"/>
  <c r="AT274" i="40"/>
  <c r="AT273" i="40"/>
  <c r="AT272" i="40"/>
  <c r="AT271" i="40"/>
  <c r="AT270" i="40"/>
  <c r="AT269" i="40"/>
  <c r="AT268" i="40"/>
  <c r="AT267" i="40"/>
  <c r="AT266" i="40"/>
  <c r="AT265" i="40"/>
  <c r="AT264" i="40"/>
  <c r="AT263" i="40"/>
  <c r="AT262" i="40"/>
  <c r="AT261" i="40"/>
  <c r="AT260" i="40"/>
  <c r="AT259" i="40"/>
  <c r="AT258" i="40"/>
  <c r="AT257" i="40"/>
  <c r="AT256" i="40"/>
  <c r="AT255" i="40"/>
  <c r="AT254" i="40"/>
  <c r="AT253" i="40"/>
  <c r="AT252" i="40"/>
  <c r="AT251" i="40"/>
  <c r="AT250" i="40"/>
  <c r="AT249" i="40"/>
  <c r="AT248" i="40"/>
  <c r="AT247" i="40"/>
  <c r="AT246" i="40"/>
  <c r="AT245" i="40"/>
  <c r="AT244" i="40"/>
  <c r="AT243" i="40"/>
  <c r="AT242" i="40"/>
  <c r="AT241" i="40"/>
  <c r="AT240" i="40"/>
  <c r="AT239" i="40"/>
  <c r="AT238" i="40"/>
  <c r="AT237" i="40"/>
  <c r="AT236" i="40"/>
  <c r="AT235" i="40"/>
  <c r="AT234" i="40"/>
  <c r="AT233" i="40"/>
  <c r="AT232" i="40"/>
  <c r="AT231" i="40"/>
  <c r="AT230" i="40"/>
  <c r="AT229" i="40"/>
  <c r="AT228" i="40"/>
  <c r="AT227" i="40"/>
  <c r="AT226" i="40"/>
  <c r="AT225" i="40"/>
  <c r="AT224" i="40"/>
  <c r="AT223" i="40"/>
  <c r="AT222" i="40"/>
  <c r="AT221" i="40"/>
  <c r="AT220" i="40"/>
  <c r="AT219" i="40"/>
  <c r="AT218" i="40"/>
  <c r="AT217" i="40"/>
  <c r="AT216" i="40"/>
  <c r="AT215" i="40"/>
  <c r="AT214" i="40"/>
  <c r="AT213" i="40"/>
  <c r="AT212" i="40"/>
  <c r="AT211" i="40"/>
  <c r="AT210" i="40"/>
  <c r="AT209" i="40"/>
  <c r="AT208" i="40"/>
  <c r="AT207" i="40"/>
  <c r="AT206" i="40"/>
  <c r="AT205" i="40"/>
  <c r="AT204" i="40"/>
  <c r="AT203" i="40"/>
  <c r="AT202" i="40"/>
  <c r="AT201" i="40"/>
  <c r="AT200" i="40"/>
  <c r="AT199" i="40"/>
  <c r="AT198" i="40"/>
  <c r="AT197" i="40"/>
  <c r="AT196" i="40"/>
  <c r="AT195" i="40"/>
  <c r="AT194" i="40"/>
  <c r="AT193" i="40"/>
  <c r="AT192" i="40"/>
  <c r="AT191" i="40"/>
  <c r="AT190" i="40"/>
  <c r="AT189" i="40"/>
  <c r="AT188" i="40"/>
  <c r="AT187" i="40"/>
  <c r="AT186" i="40"/>
  <c r="AT185" i="40"/>
  <c r="AT184" i="40"/>
  <c r="AT183" i="40"/>
  <c r="AT182" i="40"/>
  <c r="AT181" i="40"/>
  <c r="AT180" i="40"/>
  <c r="AT179" i="40"/>
  <c r="AT178" i="40"/>
  <c r="AT177" i="40"/>
  <c r="AT176" i="40"/>
  <c r="AT175" i="40"/>
  <c r="AT174" i="40"/>
  <c r="AT173" i="40"/>
  <c r="AT172" i="40"/>
  <c r="AT171" i="40"/>
  <c r="AT170" i="40"/>
  <c r="AT169" i="40"/>
  <c r="AT168" i="40"/>
  <c r="AT167" i="40"/>
  <c r="AT166" i="40"/>
  <c r="AT165" i="40"/>
  <c r="AT164" i="40"/>
  <c r="AT163" i="40"/>
  <c r="AT162" i="40"/>
  <c r="AT161" i="40"/>
  <c r="AT160" i="40"/>
  <c r="AT159" i="40"/>
  <c r="AT158" i="40"/>
  <c r="AT156" i="40"/>
  <c r="AT155" i="40"/>
  <c r="AT157" i="40"/>
  <c r="AT154" i="40"/>
  <c r="AT153" i="40"/>
  <c r="AT152" i="40"/>
  <c r="AT151" i="40"/>
  <c r="AT150" i="40"/>
  <c r="AT149" i="40"/>
  <c r="AT148" i="40"/>
  <c r="AT147" i="40"/>
  <c r="AT146" i="40"/>
  <c r="AT145" i="40"/>
  <c r="AT144" i="40"/>
  <c r="AT143" i="40"/>
  <c r="AT142" i="40"/>
  <c r="AT141" i="40"/>
  <c r="AT140" i="40"/>
  <c r="AT139" i="40"/>
  <c r="AT138" i="40"/>
  <c r="AT137" i="40"/>
  <c r="AT136" i="40"/>
  <c r="AT135" i="40"/>
  <c r="AT134" i="40"/>
  <c r="AT133" i="40"/>
  <c r="AT132" i="40"/>
  <c r="AT131" i="40"/>
  <c r="AT130" i="40"/>
  <c r="AT129" i="40"/>
  <c r="AT128" i="40"/>
  <c r="AT127" i="40"/>
  <c r="AT126" i="40"/>
  <c r="AT125" i="40"/>
  <c r="AT124" i="40"/>
  <c r="AT123" i="40"/>
  <c r="AT122" i="40"/>
  <c r="AT121" i="40"/>
  <c r="AT120" i="40"/>
  <c r="AT119" i="40"/>
  <c r="AT118" i="40"/>
  <c r="AT117" i="40"/>
  <c r="AT116" i="40"/>
  <c r="AT115" i="40"/>
  <c r="AT114" i="40"/>
  <c r="AT113" i="40"/>
  <c r="AT112" i="40"/>
  <c r="AT111" i="40"/>
  <c r="AT110" i="40"/>
  <c r="AT109" i="40"/>
  <c r="AT108" i="40"/>
  <c r="AT107" i="40"/>
  <c r="AT106" i="40"/>
  <c r="AT105" i="40"/>
  <c r="AT104" i="40"/>
  <c r="AT103" i="40"/>
  <c r="AT102" i="40"/>
  <c r="AT101" i="40"/>
  <c r="AT100" i="40"/>
  <c r="AT99" i="40"/>
  <c r="AT98" i="40"/>
  <c r="AT97" i="40"/>
  <c r="AT96" i="40"/>
  <c r="AT95" i="40"/>
  <c r="AT94" i="40"/>
  <c r="AT93" i="40"/>
  <c r="AT92" i="40"/>
  <c r="AT91" i="40"/>
  <c r="AT90" i="40"/>
  <c r="AT89" i="40"/>
  <c r="AT88" i="40"/>
  <c r="AT87" i="40"/>
  <c r="AT86" i="40"/>
  <c r="AT85" i="40"/>
  <c r="AT84" i="40"/>
  <c r="AT83" i="40"/>
  <c r="AT82" i="40"/>
  <c r="AT81" i="40"/>
  <c r="AT80" i="40"/>
  <c r="AT79" i="40"/>
  <c r="AT78" i="40"/>
  <c r="AT77" i="40"/>
  <c r="AT76" i="40"/>
  <c r="AT75" i="40"/>
  <c r="AT74" i="40"/>
  <c r="AT73" i="40"/>
  <c r="AT72" i="40"/>
  <c r="AT71" i="40"/>
  <c r="AT70" i="40"/>
  <c r="AT69" i="40"/>
  <c r="AT68" i="40"/>
  <c r="AT67" i="40"/>
  <c r="AT66" i="40"/>
  <c r="AT65" i="40"/>
  <c r="AT64" i="40"/>
  <c r="AT63" i="40"/>
  <c r="AT62" i="40"/>
  <c r="AT61" i="40"/>
  <c r="AT60" i="40"/>
  <c r="AT59" i="40"/>
  <c r="AT58" i="40"/>
  <c r="AT57" i="40"/>
  <c r="AT56" i="40"/>
  <c r="AT55" i="40"/>
  <c r="AT54" i="40"/>
  <c r="AT53" i="40"/>
  <c r="AT52" i="40"/>
  <c r="AT51" i="40"/>
  <c r="AT50" i="40"/>
  <c r="AT49" i="40"/>
  <c r="AT48" i="40"/>
  <c r="AT47" i="40"/>
  <c r="AT46" i="40"/>
  <c r="AT45" i="40"/>
  <c r="AT44" i="40"/>
  <c r="AT43" i="40"/>
  <c r="AT42" i="40"/>
  <c r="AT41" i="40"/>
  <c r="AT40" i="40"/>
  <c r="AT39" i="40"/>
  <c r="AT38" i="40"/>
  <c r="AT37" i="40"/>
  <c r="AT36" i="40"/>
  <c r="AT35" i="40"/>
  <c r="AT34" i="40"/>
  <c r="AT33" i="40"/>
  <c r="AT32" i="40"/>
  <c r="AT31" i="40"/>
  <c r="AT30" i="40"/>
  <c r="AT29" i="40"/>
  <c r="AT28" i="40"/>
  <c r="AT27" i="40"/>
  <c r="AT26" i="40"/>
  <c r="AT25" i="40"/>
  <c r="AT24" i="40"/>
  <c r="AT23" i="40"/>
  <c r="AT22" i="40"/>
  <c r="AT21" i="40"/>
  <c r="AT20" i="40"/>
  <c r="AT19" i="40"/>
  <c r="AT18" i="40"/>
  <c r="AT17" i="40"/>
  <c r="AT16" i="40"/>
  <c r="AT15" i="40"/>
  <c r="AT14" i="40"/>
  <c r="AT13" i="40"/>
  <c r="AT12" i="40"/>
  <c r="AT11" i="40"/>
  <c r="AT10" i="40"/>
  <c r="AT9" i="40"/>
  <c r="AT8" i="40"/>
  <c r="AT7" i="40"/>
  <c r="AT6" i="40"/>
  <c r="AT5" i="40"/>
  <c r="AT4" i="40"/>
  <c r="AT3" i="40"/>
  <c r="AT2" i="40"/>
  <c r="AH344" i="40" l="1"/>
  <c r="AH343" i="40"/>
  <c r="AH342" i="40"/>
  <c r="AH341" i="40"/>
  <c r="AH340" i="40"/>
  <c r="AH339" i="40"/>
  <c r="AH338" i="40"/>
  <c r="AH337" i="40"/>
  <c r="AH336" i="40"/>
  <c r="AH335" i="40"/>
  <c r="AH334" i="40"/>
  <c r="AH333" i="40"/>
  <c r="AH332" i="40"/>
  <c r="AH331" i="40"/>
  <c r="AH330" i="40"/>
  <c r="AH329" i="40"/>
  <c r="AH328" i="40"/>
  <c r="AH327" i="40"/>
  <c r="AH326" i="40"/>
  <c r="AH325" i="40"/>
  <c r="AH324" i="40"/>
  <c r="AH323" i="40"/>
  <c r="AH322" i="40"/>
  <c r="AH321" i="40"/>
  <c r="AH320" i="40"/>
  <c r="AH319" i="40"/>
  <c r="AH318" i="40"/>
  <c r="AH317" i="40"/>
  <c r="AH316" i="40"/>
  <c r="AH315" i="40"/>
  <c r="AH314" i="40"/>
  <c r="AH313" i="40"/>
  <c r="AH312" i="40"/>
  <c r="AH311" i="40"/>
  <c r="AH310" i="40"/>
  <c r="AH309" i="40"/>
  <c r="AH308" i="40"/>
  <c r="AH307" i="40"/>
  <c r="AH306" i="40"/>
  <c r="AH305" i="40"/>
  <c r="AH304" i="40"/>
  <c r="AH303" i="40"/>
  <c r="AH302" i="40"/>
  <c r="AH301" i="40"/>
  <c r="AH300" i="40"/>
  <c r="AH299" i="40"/>
  <c r="AH298" i="40"/>
  <c r="AH297" i="40"/>
  <c r="AH296" i="40"/>
  <c r="AH295" i="40"/>
  <c r="AH294" i="40"/>
  <c r="AH293" i="40"/>
  <c r="AH292" i="40"/>
  <c r="AH291" i="40"/>
  <c r="AH290" i="40"/>
  <c r="AH289" i="40"/>
  <c r="AH288" i="40"/>
  <c r="AH287" i="40"/>
  <c r="AH286" i="40"/>
  <c r="AH285" i="40"/>
  <c r="AH284" i="40"/>
  <c r="AH283" i="40"/>
  <c r="AH282" i="40"/>
  <c r="AH281" i="40"/>
  <c r="AH280" i="40"/>
  <c r="AH279" i="40"/>
  <c r="AH278" i="40"/>
  <c r="AH277" i="40"/>
  <c r="AH276" i="40"/>
  <c r="AH275" i="40"/>
  <c r="AH274" i="40"/>
  <c r="AH273" i="40"/>
  <c r="AH272" i="40"/>
  <c r="AH271" i="40"/>
  <c r="AH270" i="40"/>
  <c r="AH269" i="40"/>
  <c r="AH268" i="40"/>
  <c r="AH267" i="40"/>
  <c r="AH266" i="40"/>
  <c r="AH265" i="40"/>
  <c r="AH264" i="40"/>
  <c r="AH263" i="40"/>
  <c r="AH262" i="40"/>
  <c r="AH261" i="40"/>
  <c r="AH260" i="40"/>
  <c r="AH259" i="40"/>
  <c r="AH258" i="40"/>
  <c r="AH257" i="40"/>
  <c r="AH256" i="40"/>
  <c r="AH255" i="40"/>
  <c r="AH254" i="40"/>
  <c r="AH253" i="40"/>
  <c r="AH252" i="40"/>
  <c r="AH251" i="40"/>
  <c r="AH250" i="40"/>
  <c r="AH249" i="40"/>
  <c r="AH248" i="40"/>
  <c r="AH247" i="40"/>
  <c r="AH246" i="40"/>
  <c r="AH245" i="40"/>
  <c r="AH244" i="40"/>
  <c r="AH243" i="40"/>
  <c r="AH242" i="40"/>
  <c r="AH241" i="40"/>
  <c r="AH240" i="40"/>
  <c r="AH239" i="40"/>
  <c r="AH238" i="40"/>
  <c r="AH237" i="40"/>
  <c r="AH236" i="40"/>
  <c r="AH235" i="40"/>
  <c r="AH234" i="40"/>
  <c r="AH233" i="40"/>
  <c r="AH232" i="40"/>
  <c r="AH231" i="40"/>
  <c r="AH230" i="40"/>
  <c r="AH229" i="40"/>
  <c r="AH228" i="40"/>
  <c r="AH227" i="40"/>
  <c r="AH226" i="40"/>
  <c r="AH225" i="40"/>
  <c r="AH224" i="40"/>
  <c r="AH223" i="40"/>
  <c r="AH222" i="40"/>
  <c r="AH221" i="40"/>
  <c r="AH220" i="40"/>
  <c r="AH219" i="40"/>
  <c r="AH218" i="40"/>
  <c r="AH217" i="40"/>
  <c r="AH216" i="40"/>
  <c r="AH215" i="40"/>
  <c r="AH214" i="40"/>
  <c r="AH213" i="40"/>
  <c r="AH212" i="40"/>
  <c r="AH211" i="40"/>
  <c r="AH210" i="40"/>
  <c r="AH209" i="40"/>
  <c r="AH208" i="40"/>
  <c r="AH207" i="40"/>
  <c r="AH206" i="40"/>
  <c r="AH205" i="40"/>
  <c r="AH204" i="40"/>
  <c r="AH203" i="40"/>
  <c r="AH202" i="40"/>
  <c r="AH201" i="40"/>
  <c r="AH200" i="40"/>
  <c r="AH199" i="40"/>
  <c r="AH198" i="40"/>
  <c r="AH197" i="40"/>
  <c r="AH196" i="40"/>
  <c r="AH195" i="40"/>
  <c r="AH194" i="40"/>
  <c r="AH193" i="40"/>
  <c r="AH192" i="40"/>
  <c r="AH191" i="40"/>
  <c r="AH190" i="40"/>
  <c r="AH189" i="40"/>
  <c r="AH188" i="40"/>
  <c r="AH187" i="40"/>
  <c r="AH186" i="40"/>
  <c r="AH185" i="40"/>
  <c r="AH184" i="40"/>
  <c r="AH183" i="40"/>
  <c r="AH182" i="40"/>
  <c r="AH181" i="40"/>
  <c r="AH180" i="40"/>
  <c r="AH179" i="40"/>
  <c r="AH178" i="40"/>
  <c r="AH177" i="40"/>
  <c r="AH176" i="40"/>
  <c r="AH175" i="40"/>
  <c r="AH174" i="40"/>
  <c r="AH173" i="40"/>
  <c r="AH172" i="40"/>
  <c r="AH171" i="40"/>
  <c r="AH170" i="40"/>
  <c r="AH169" i="40"/>
  <c r="AH168" i="40"/>
  <c r="AH167" i="40"/>
  <c r="AH166" i="40"/>
  <c r="AH165" i="40"/>
  <c r="AH164" i="40"/>
  <c r="AH163" i="40"/>
  <c r="AH162" i="40"/>
  <c r="AH161" i="40"/>
  <c r="AH160" i="40"/>
  <c r="AH159" i="40"/>
  <c r="AH158" i="40"/>
  <c r="AH156" i="40"/>
  <c r="AH155" i="40"/>
  <c r="AH157" i="40"/>
  <c r="AH154" i="40"/>
  <c r="AH153" i="40"/>
  <c r="AH152" i="40"/>
  <c r="AH151" i="40"/>
  <c r="AH150" i="40"/>
  <c r="AH149" i="40"/>
  <c r="AH148" i="40"/>
  <c r="AH147" i="40"/>
  <c r="AH146" i="40"/>
  <c r="AH145" i="40"/>
  <c r="AH144" i="40"/>
  <c r="AH143" i="40"/>
  <c r="AH142" i="40"/>
  <c r="AH141" i="40"/>
  <c r="AH140" i="40"/>
  <c r="AH139" i="40"/>
  <c r="AH138" i="40"/>
  <c r="AH137" i="40"/>
  <c r="AH136" i="40"/>
  <c r="AH135" i="40"/>
  <c r="AH134" i="40"/>
  <c r="AH133" i="40"/>
  <c r="AH132" i="40"/>
  <c r="AH131" i="40"/>
  <c r="AH130" i="40"/>
  <c r="AH129" i="40"/>
  <c r="AH128" i="40"/>
  <c r="AH127" i="40"/>
  <c r="AH126" i="40"/>
  <c r="AH125" i="40"/>
  <c r="AH124" i="40"/>
  <c r="AH123" i="40"/>
  <c r="AH122" i="40"/>
  <c r="AH121" i="40"/>
  <c r="AH120" i="40"/>
  <c r="AH119" i="40"/>
  <c r="AH118" i="40"/>
  <c r="AH117" i="40"/>
  <c r="AH116" i="40"/>
  <c r="AH115" i="40"/>
  <c r="AH114" i="40"/>
  <c r="AH113" i="40"/>
  <c r="AH112" i="40"/>
  <c r="AH111" i="40"/>
  <c r="AH110" i="40"/>
  <c r="AH109" i="40"/>
  <c r="AH108" i="40"/>
  <c r="AH107" i="40"/>
  <c r="AH106" i="40"/>
  <c r="AH105" i="40"/>
  <c r="AH104" i="40"/>
  <c r="AH103" i="40"/>
  <c r="AH102" i="40"/>
  <c r="AH101" i="40"/>
  <c r="AH100" i="40"/>
  <c r="AH99" i="40"/>
  <c r="AH98" i="40"/>
  <c r="AH97" i="40"/>
  <c r="AH96" i="40"/>
  <c r="AH95" i="40"/>
  <c r="AH94" i="40"/>
  <c r="AH93" i="40"/>
  <c r="AH92" i="40"/>
  <c r="AH91" i="40"/>
  <c r="AH90" i="40"/>
  <c r="AH89" i="40"/>
  <c r="AH88" i="40"/>
  <c r="AH87" i="40"/>
  <c r="AH86" i="40"/>
  <c r="AH85" i="40"/>
  <c r="AH84" i="40"/>
  <c r="AH83" i="40"/>
  <c r="AH82" i="40"/>
  <c r="AH81" i="40"/>
  <c r="AH80" i="40"/>
  <c r="AH79" i="40"/>
  <c r="AH78" i="40"/>
  <c r="AH77" i="40"/>
  <c r="AH76" i="40"/>
  <c r="AH75" i="40"/>
  <c r="AH74" i="40"/>
  <c r="AH73" i="40"/>
  <c r="AH72" i="40"/>
  <c r="AH71" i="40"/>
  <c r="AH70" i="40"/>
  <c r="AH69" i="40"/>
  <c r="AH68" i="40"/>
  <c r="AH67" i="40"/>
  <c r="AH66" i="40"/>
  <c r="AH65" i="40"/>
  <c r="AH64" i="40"/>
  <c r="AH63" i="40"/>
  <c r="AH62" i="40"/>
  <c r="AH61" i="40"/>
  <c r="AH60" i="40"/>
  <c r="AH59" i="40"/>
  <c r="AH58" i="40"/>
  <c r="AH57" i="40"/>
  <c r="AH56" i="40"/>
  <c r="AH55" i="40"/>
  <c r="AH54" i="40"/>
  <c r="AH53" i="40"/>
  <c r="AH52" i="40"/>
  <c r="AH51" i="40"/>
  <c r="AH50" i="40"/>
  <c r="AH49" i="40"/>
  <c r="AH48" i="40"/>
  <c r="AH47" i="40"/>
  <c r="AH46" i="40"/>
  <c r="AH45" i="40"/>
  <c r="AH44" i="40"/>
  <c r="AH43" i="40"/>
  <c r="AH42" i="40"/>
  <c r="AH41" i="40"/>
  <c r="AH40" i="40"/>
  <c r="AH39" i="40"/>
  <c r="AH38" i="40"/>
  <c r="AH37" i="40"/>
  <c r="AH36" i="40"/>
  <c r="AH35" i="40"/>
  <c r="AH34" i="40"/>
  <c r="AH33" i="40"/>
  <c r="AH32" i="40"/>
  <c r="AH31" i="40"/>
  <c r="AH30" i="40"/>
  <c r="AH29" i="40"/>
  <c r="AH28" i="40"/>
  <c r="AH27" i="40"/>
  <c r="AH26" i="40"/>
  <c r="AH25" i="40"/>
  <c r="AH24" i="40"/>
  <c r="AH23" i="40"/>
  <c r="AH22" i="40"/>
  <c r="AH21" i="40"/>
  <c r="AH20" i="40"/>
  <c r="AH19" i="40"/>
  <c r="AH18" i="40"/>
  <c r="AH17" i="40"/>
  <c r="AH16" i="40"/>
  <c r="AH15" i="40"/>
  <c r="AH14" i="40"/>
  <c r="AH13" i="40"/>
  <c r="AH12" i="40"/>
  <c r="AH11" i="40"/>
  <c r="AH10" i="40"/>
  <c r="AH9" i="40"/>
  <c r="AH8" i="40"/>
  <c r="AH7" i="40"/>
  <c r="AH6" i="40"/>
  <c r="AH5" i="40"/>
  <c r="AH4" i="40"/>
  <c r="AH3" i="40"/>
  <c r="AH2" i="40"/>
  <c r="AI344" i="40"/>
  <c r="AI343" i="40"/>
  <c r="AI342" i="40"/>
  <c r="AI341" i="40"/>
  <c r="AI340" i="40"/>
  <c r="AI339" i="40"/>
  <c r="AI338" i="40"/>
  <c r="AI337" i="40"/>
  <c r="AI336" i="40"/>
  <c r="AI335" i="40"/>
  <c r="AI334" i="40"/>
  <c r="AI333" i="40"/>
  <c r="AI332" i="40"/>
  <c r="AI331" i="40"/>
  <c r="AI330" i="40"/>
  <c r="AI329" i="40"/>
  <c r="AI328" i="40"/>
  <c r="AI327" i="40"/>
  <c r="AI326" i="40"/>
  <c r="AI325" i="40"/>
  <c r="AI324" i="40"/>
  <c r="AI323" i="40"/>
  <c r="AI322" i="40"/>
  <c r="AI321" i="40"/>
  <c r="AI320" i="40"/>
  <c r="AI319" i="40"/>
  <c r="AI318" i="40"/>
  <c r="AI317" i="40"/>
  <c r="AI316" i="40"/>
  <c r="AI315" i="40"/>
  <c r="AI314" i="40"/>
  <c r="AI313" i="40"/>
  <c r="AI312" i="40"/>
  <c r="AI311" i="40"/>
  <c r="AI310" i="40"/>
  <c r="AI309" i="40"/>
  <c r="AI308" i="40"/>
  <c r="AI307" i="40"/>
  <c r="AI306" i="40"/>
  <c r="AI305" i="40"/>
  <c r="AI304" i="40"/>
  <c r="AI303" i="40"/>
  <c r="AI302" i="40"/>
  <c r="AI301" i="40"/>
  <c r="AI300" i="40"/>
  <c r="AI299" i="40"/>
  <c r="AI298" i="40"/>
  <c r="AI297" i="40"/>
  <c r="AI296" i="40"/>
  <c r="AI295" i="40"/>
  <c r="AI294" i="40"/>
  <c r="AI293" i="40"/>
  <c r="AI292" i="40"/>
  <c r="AI291" i="40"/>
  <c r="AI290" i="40"/>
  <c r="AI289" i="40"/>
  <c r="AI288" i="40"/>
  <c r="AI287" i="40"/>
  <c r="AI286" i="40"/>
  <c r="AI285" i="40"/>
  <c r="AI284" i="40"/>
  <c r="AI283" i="40"/>
  <c r="AI282" i="40"/>
  <c r="AI281" i="40"/>
  <c r="AI280" i="40"/>
  <c r="AI279" i="40"/>
  <c r="AI278" i="40"/>
  <c r="AI277" i="40"/>
  <c r="AI276" i="40"/>
  <c r="AI275" i="40"/>
  <c r="AI274" i="40"/>
  <c r="AI273" i="40"/>
  <c r="AI272" i="40"/>
  <c r="AI271" i="40"/>
  <c r="AI270" i="40"/>
  <c r="AI269" i="40"/>
  <c r="AI268" i="40"/>
  <c r="AI267" i="40"/>
  <c r="AI266" i="40"/>
  <c r="AI265" i="40"/>
  <c r="AI264" i="40"/>
  <c r="AI263" i="40"/>
  <c r="AI262" i="40"/>
  <c r="AI261" i="40"/>
  <c r="AI260" i="40"/>
  <c r="AI259" i="40"/>
  <c r="AI258" i="40"/>
  <c r="AI257" i="40"/>
  <c r="AI256" i="40"/>
  <c r="AI255" i="40"/>
  <c r="AI254" i="40"/>
  <c r="AI253" i="40"/>
  <c r="AI252" i="40"/>
  <c r="AI251" i="40"/>
  <c r="AI250" i="40"/>
  <c r="AI249" i="40"/>
  <c r="AI248" i="40"/>
  <c r="AI247" i="40"/>
  <c r="AI246" i="40"/>
  <c r="AI245" i="40"/>
  <c r="AI244" i="40"/>
  <c r="AI243" i="40"/>
  <c r="AI242" i="40"/>
  <c r="AI241" i="40"/>
  <c r="AI240" i="40"/>
  <c r="AI239" i="40"/>
  <c r="AI238" i="40"/>
  <c r="AI237" i="40"/>
  <c r="AI236" i="40"/>
  <c r="AI235" i="40"/>
  <c r="AI234" i="40"/>
  <c r="AI233" i="40"/>
  <c r="AI232" i="40"/>
  <c r="AI231" i="40"/>
  <c r="AI230" i="40"/>
  <c r="AI229" i="40"/>
  <c r="AI228" i="40"/>
  <c r="AI227" i="40"/>
  <c r="AI226" i="40"/>
  <c r="AI225" i="40"/>
  <c r="AI224" i="40"/>
  <c r="AI223" i="40"/>
  <c r="AI222" i="40"/>
  <c r="AI221" i="40"/>
  <c r="AI220" i="40"/>
  <c r="AI219" i="40"/>
  <c r="AI218" i="40"/>
  <c r="AI217" i="40"/>
  <c r="AI216" i="40"/>
  <c r="AI215" i="40"/>
  <c r="AI214" i="40"/>
  <c r="AI213" i="40"/>
  <c r="AI212" i="40"/>
  <c r="AI211" i="40"/>
  <c r="AI210" i="40"/>
  <c r="AI209" i="40"/>
  <c r="AI208" i="40"/>
  <c r="AI207" i="40"/>
  <c r="AI206" i="40"/>
  <c r="AI205" i="40"/>
  <c r="AI204" i="40"/>
  <c r="AI203" i="40"/>
  <c r="AI202" i="40"/>
  <c r="AI201" i="40"/>
  <c r="AI200" i="40"/>
  <c r="AI199" i="40"/>
  <c r="AI198" i="40"/>
  <c r="AI197" i="40"/>
  <c r="AI196" i="40"/>
  <c r="AI195" i="40"/>
  <c r="AI194" i="40"/>
  <c r="AI193" i="40"/>
  <c r="AI192" i="40"/>
  <c r="AI191" i="40"/>
  <c r="AI190" i="40"/>
  <c r="AI189" i="40"/>
  <c r="AI188" i="40"/>
  <c r="AI187" i="40"/>
  <c r="AI186" i="40"/>
  <c r="AI185" i="40"/>
  <c r="AI184" i="40"/>
  <c r="AI183" i="40"/>
  <c r="AI182" i="40"/>
  <c r="AI181" i="40"/>
  <c r="AI180" i="40"/>
  <c r="AI179" i="40"/>
  <c r="AI178" i="40"/>
  <c r="AI177" i="40"/>
  <c r="AI176" i="40"/>
  <c r="AI175" i="40"/>
  <c r="AI174" i="40"/>
  <c r="AI173" i="40"/>
  <c r="AI172" i="40"/>
  <c r="AI171" i="40"/>
  <c r="AI170" i="40"/>
  <c r="AI169" i="40"/>
  <c r="AI168" i="40"/>
  <c r="AI167" i="40"/>
  <c r="AI166" i="40"/>
  <c r="AI165" i="40"/>
  <c r="AI164" i="40"/>
  <c r="AI163" i="40"/>
  <c r="AI162" i="40"/>
  <c r="AI161" i="40"/>
  <c r="AI160" i="40"/>
  <c r="AI159" i="40"/>
  <c r="AI158" i="40"/>
  <c r="AI156" i="40"/>
  <c r="AI155" i="40"/>
  <c r="AI157" i="40"/>
  <c r="AI154" i="40"/>
  <c r="AI153" i="40"/>
  <c r="AI152" i="40"/>
  <c r="AI151" i="40"/>
  <c r="AI150" i="40"/>
  <c r="AI149" i="40"/>
  <c r="AI148" i="40"/>
  <c r="AI147" i="40"/>
  <c r="AI146" i="40"/>
  <c r="AI145" i="40"/>
  <c r="AI144" i="40"/>
  <c r="AI143" i="40"/>
  <c r="AI142" i="40"/>
  <c r="AI141" i="40"/>
  <c r="AI140" i="40"/>
  <c r="AI139" i="40"/>
  <c r="AI138" i="40"/>
  <c r="AI137" i="40"/>
  <c r="AI136" i="40"/>
  <c r="AI135" i="40"/>
  <c r="AI134" i="40"/>
  <c r="AI133" i="40"/>
  <c r="AI132" i="40"/>
  <c r="AI131" i="40"/>
  <c r="AI130" i="40"/>
  <c r="AI129" i="40"/>
  <c r="AI128" i="40"/>
  <c r="AI127" i="40"/>
  <c r="AI126" i="40"/>
  <c r="AI125" i="40"/>
  <c r="AI124" i="40"/>
  <c r="AI123" i="40"/>
  <c r="AI122" i="40"/>
  <c r="AI121" i="40"/>
  <c r="AI120" i="40"/>
  <c r="AI119" i="40"/>
  <c r="AI118" i="40"/>
  <c r="AI117" i="40"/>
  <c r="AI116" i="40"/>
  <c r="AI115" i="40"/>
  <c r="AI114" i="40"/>
  <c r="AI113" i="40"/>
  <c r="AI112" i="40"/>
  <c r="AI111" i="40"/>
  <c r="AI110" i="40"/>
  <c r="AI109" i="40"/>
  <c r="AI108" i="40"/>
  <c r="AI107" i="40"/>
  <c r="AI106" i="40"/>
  <c r="AI105" i="40"/>
  <c r="AI104" i="40"/>
  <c r="AI103" i="40"/>
  <c r="AI102" i="40"/>
  <c r="AI101" i="40"/>
  <c r="AI100" i="40"/>
  <c r="AI99" i="40"/>
  <c r="AI98" i="40"/>
  <c r="AI97" i="40"/>
  <c r="AI96" i="40"/>
  <c r="AI95" i="40"/>
  <c r="AI94" i="40"/>
  <c r="AI93" i="40"/>
  <c r="AI92" i="40"/>
  <c r="AI91" i="40"/>
  <c r="AI90" i="40"/>
  <c r="AI89" i="40"/>
  <c r="AI88" i="40"/>
  <c r="AI87" i="40"/>
  <c r="AI86" i="40"/>
  <c r="AI85" i="40"/>
  <c r="AI84" i="40"/>
  <c r="AI83" i="40"/>
  <c r="AI82" i="40"/>
  <c r="AI81" i="40"/>
  <c r="AI80" i="40"/>
  <c r="AI79" i="40"/>
  <c r="AI78" i="40"/>
  <c r="AI77" i="40"/>
  <c r="AI76" i="40"/>
  <c r="AI75" i="40"/>
  <c r="AI74" i="40"/>
  <c r="AI73" i="40"/>
  <c r="AI72" i="40"/>
  <c r="AI71" i="40"/>
  <c r="AI70" i="40"/>
  <c r="AI69" i="40"/>
  <c r="AI68" i="40"/>
  <c r="AI67" i="40"/>
  <c r="AI66" i="40"/>
  <c r="AI65" i="40"/>
  <c r="AI64" i="40"/>
  <c r="AI63" i="40"/>
  <c r="AI62" i="40"/>
  <c r="AI61" i="40"/>
  <c r="AI60" i="40"/>
  <c r="AI59" i="40"/>
  <c r="AI58" i="40"/>
  <c r="AI57" i="40"/>
  <c r="AI56" i="40"/>
  <c r="AI55" i="40"/>
  <c r="AI54" i="40"/>
  <c r="AI53" i="40"/>
  <c r="AI52" i="40"/>
  <c r="AI51" i="40"/>
  <c r="AI50" i="40"/>
  <c r="AI49" i="40"/>
  <c r="AI48" i="40"/>
  <c r="AI47" i="40"/>
  <c r="AI46" i="40"/>
  <c r="AI45" i="40"/>
  <c r="AI44" i="40"/>
  <c r="AI43" i="40"/>
  <c r="AI42" i="40"/>
  <c r="AI41" i="40"/>
  <c r="AI40" i="40"/>
  <c r="AI39" i="40"/>
  <c r="AI38" i="40"/>
  <c r="AI37" i="40"/>
  <c r="AI36" i="40"/>
  <c r="AI35" i="40"/>
  <c r="AI34" i="40"/>
  <c r="AI33" i="40"/>
  <c r="AI32" i="40"/>
  <c r="AI31" i="40"/>
  <c r="AI30" i="40"/>
  <c r="AI29" i="40"/>
  <c r="AI28" i="40"/>
  <c r="AI27" i="40"/>
  <c r="AI26" i="40"/>
  <c r="AI25" i="40"/>
  <c r="AI24" i="40"/>
  <c r="AI23" i="40"/>
  <c r="AI22" i="40"/>
  <c r="AI21" i="40"/>
  <c r="AI20" i="40"/>
  <c r="AI19" i="40"/>
  <c r="AI18" i="40"/>
  <c r="AI17" i="40"/>
  <c r="AI16" i="40"/>
  <c r="AI15" i="40"/>
  <c r="AI14" i="40"/>
  <c r="AI13" i="40"/>
  <c r="AI12" i="40"/>
  <c r="AI11" i="40"/>
  <c r="AI10" i="40"/>
  <c r="AI9" i="40"/>
  <c r="AI8" i="40"/>
  <c r="AI7" i="40"/>
  <c r="AI6" i="40"/>
  <c r="AI5" i="40"/>
  <c r="AI4" i="40"/>
  <c r="AI3" i="40"/>
  <c r="AI2" i="40"/>
  <c r="I346" i="38" l="1"/>
  <c r="AA344" i="35"/>
  <c r="AA343" i="35"/>
  <c r="AA342" i="35"/>
  <c r="AA341" i="35"/>
  <c r="AA340" i="35"/>
  <c r="AA339" i="35"/>
  <c r="AA338" i="35"/>
  <c r="AA337" i="35"/>
  <c r="AA336" i="35"/>
  <c r="AA335" i="35"/>
  <c r="AA334" i="35"/>
  <c r="AA333" i="35"/>
  <c r="AA332" i="35"/>
  <c r="AA331" i="35"/>
  <c r="AA330" i="35"/>
  <c r="AA329" i="35"/>
  <c r="AA328" i="35"/>
  <c r="AA327" i="35"/>
  <c r="AA326" i="35"/>
  <c r="AA325" i="35"/>
  <c r="AA324" i="35"/>
  <c r="AA323" i="35"/>
  <c r="AA322" i="35"/>
  <c r="AA321" i="35"/>
  <c r="AA320" i="35"/>
  <c r="AA319" i="35"/>
  <c r="AA318" i="35"/>
  <c r="AA317" i="35"/>
  <c r="AA316" i="35"/>
  <c r="AA315" i="35"/>
  <c r="AA314" i="35"/>
  <c r="AA313" i="35"/>
  <c r="AA312" i="35"/>
  <c r="AA311" i="35"/>
  <c r="AA310" i="35"/>
  <c r="AA309" i="35"/>
  <c r="AA308" i="35"/>
  <c r="AA307" i="35"/>
  <c r="AA306" i="35"/>
  <c r="AA305" i="35"/>
  <c r="AA304" i="35"/>
  <c r="AA303" i="35"/>
  <c r="AA302" i="35"/>
  <c r="AA301" i="35"/>
  <c r="AA300" i="35"/>
  <c r="AA299" i="35"/>
  <c r="AA298" i="35"/>
  <c r="AA297" i="35"/>
  <c r="AA296" i="35"/>
  <c r="AA295" i="35"/>
  <c r="AA294" i="35"/>
  <c r="AA293" i="35"/>
  <c r="AA292" i="35"/>
  <c r="AA291" i="35"/>
  <c r="AA290" i="35"/>
  <c r="AA289" i="35"/>
  <c r="AA288" i="35"/>
  <c r="AA287" i="35"/>
  <c r="AA286" i="35"/>
  <c r="AA285" i="35"/>
  <c r="AA284" i="35"/>
  <c r="AA283" i="35"/>
  <c r="AA282" i="35"/>
  <c r="AA281" i="35"/>
  <c r="AA280" i="35"/>
  <c r="AA279" i="35"/>
  <c r="AA278" i="35"/>
  <c r="AA277" i="35"/>
  <c r="AA276" i="35"/>
  <c r="AA275" i="35"/>
  <c r="AA274" i="35"/>
  <c r="AA273" i="35"/>
  <c r="AA272" i="35"/>
  <c r="AA271" i="35"/>
  <c r="AA270" i="35"/>
  <c r="AA269" i="35"/>
  <c r="AA268" i="35"/>
  <c r="AA267" i="35"/>
  <c r="AA266" i="35"/>
  <c r="AA265" i="35"/>
  <c r="AA264" i="35"/>
  <c r="AA263" i="35"/>
  <c r="AA262" i="35"/>
  <c r="AA261" i="35"/>
  <c r="AA260" i="35"/>
  <c r="AA259" i="35"/>
  <c r="AA258" i="35"/>
  <c r="AA257" i="35"/>
  <c r="AA256" i="35"/>
  <c r="AA255" i="35"/>
  <c r="AA254" i="35"/>
  <c r="AA253" i="35"/>
  <c r="AA252" i="35"/>
  <c r="AA251" i="35"/>
  <c r="AA250" i="35"/>
  <c r="AA249" i="35"/>
  <c r="AA248" i="35"/>
  <c r="AA247" i="35"/>
  <c r="AA246" i="35"/>
  <c r="AA245" i="35"/>
  <c r="AA244" i="35"/>
  <c r="AA243" i="35"/>
  <c r="AA242" i="35"/>
  <c r="AA241" i="35"/>
  <c r="AA240" i="35"/>
  <c r="AA239" i="35"/>
  <c r="AA238" i="35"/>
  <c r="AA237" i="35"/>
  <c r="AA236" i="35"/>
  <c r="AA235" i="35"/>
  <c r="AA234" i="35"/>
  <c r="AA233" i="35"/>
  <c r="AA232" i="35"/>
  <c r="AA231" i="35"/>
  <c r="AA230" i="35"/>
  <c r="AA229" i="35"/>
  <c r="AA228" i="35"/>
  <c r="AA227" i="35"/>
  <c r="AA226" i="35"/>
  <c r="AA225" i="35"/>
  <c r="AA224" i="35"/>
  <c r="AA223" i="35"/>
  <c r="AA222" i="35"/>
  <c r="AA221" i="35"/>
  <c r="AA220" i="35"/>
  <c r="AA219" i="35"/>
  <c r="AA218" i="35"/>
  <c r="AA217" i="35"/>
  <c r="AA216" i="35"/>
  <c r="AA215" i="35"/>
  <c r="AA214" i="35"/>
  <c r="AA213" i="35"/>
  <c r="AA212" i="35"/>
  <c r="AA211" i="35"/>
  <c r="AA210" i="35"/>
  <c r="AA209" i="35"/>
  <c r="AA208" i="35"/>
  <c r="AA207" i="35"/>
  <c r="AA206" i="35"/>
  <c r="AA205" i="35"/>
  <c r="AA204" i="35"/>
  <c r="AA203" i="35"/>
  <c r="AA202" i="35"/>
  <c r="AA201" i="35"/>
  <c r="AA200" i="35"/>
  <c r="AA199" i="35"/>
  <c r="AA198" i="35"/>
  <c r="AA197" i="35"/>
  <c r="AA196" i="35"/>
  <c r="AA195" i="35"/>
  <c r="AA194" i="35"/>
  <c r="AA193" i="35"/>
  <c r="AA192" i="35"/>
  <c r="AA191" i="35"/>
  <c r="AA190" i="35"/>
  <c r="AA189" i="35"/>
  <c r="AA188" i="35"/>
  <c r="AA187" i="35"/>
  <c r="AA186" i="35"/>
  <c r="AA185" i="35"/>
  <c r="AA184" i="35"/>
  <c r="AA183" i="35"/>
  <c r="AA182" i="35"/>
  <c r="AA181" i="35"/>
  <c r="AA180" i="35"/>
  <c r="AA179" i="35"/>
  <c r="AA178" i="35"/>
  <c r="AA177" i="35"/>
  <c r="AA176" i="35"/>
  <c r="AA175" i="35"/>
  <c r="AA174" i="35"/>
  <c r="AA173" i="35"/>
  <c r="AA172" i="35"/>
  <c r="AA171" i="35"/>
  <c r="AA170" i="35"/>
  <c r="AA169" i="35"/>
  <c r="AA168" i="35"/>
  <c r="AA167" i="35"/>
  <c r="AA166" i="35"/>
  <c r="AA165" i="35"/>
  <c r="AA164" i="35"/>
  <c r="AA163" i="35"/>
  <c r="AA162" i="35"/>
  <c r="AA161" i="35"/>
  <c r="AA160" i="35"/>
  <c r="AA159" i="35"/>
  <c r="AA158" i="35"/>
  <c r="AA157" i="35"/>
  <c r="AA156" i="35"/>
  <c r="AA155" i="35"/>
  <c r="AA154" i="35"/>
  <c r="AA153" i="35"/>
  <c r="AA152" i="35"/>
  <c r="AA151" i="35"/>
  <c r="AA150" i="35"/>
  <c r="AA149" i="35"/>
  <c r="AA148" i="35"/>
  <c r="AA147" i="35"/>
  <c r="AA146" i="35"/>
  <c r="AA145" i="35"/>
  <c r="AA144" i="35"/>
  <c r="AA143" i="35"/>
  <c r="AA142" i="35"/>
  <c r="AA141" i="35"/>
  <c r="AA140" i="35"/>
  <c r="AA139" i="35"/>
  <c r="AA138" i="35"/>
  <c r="AA137" i="35"/>
  <c r="AA136" i="35"/>
  <c r="AA135" i="35"/>
  <c r="AA134" i="35"/>
  <c r="AA133" i="35"/>
  <c r="AA132" i="35"/>
  <c r="AA131" i="35"/>
  <c r="AA130" i="35"/>
  <c r="AA129" i="35"/>
  <c r="AA128" i="35"/>
  <c r="AA127" i="35"/>
  <c r="AA126" i="35"/>
  <c r="AA125" i="35"/>
  <c r="AA124" i="35"/>
  <c r="AA123" i="35"/>
  <c r="AA122" i="35"/>
  <c r="AA121" i="35"/>
  <c r="AA120" i="35"/>
  <c r="AA119" i="35"/>
  <c r="AA118" i="35"/>
  <c r="AA117" i="35"/>
  <c r="AA116" i="35"/>
  <c r="AA115" i="35"/>
  <c r="AA114" i="35"/>
  <c r="AA113" i="35"/>
  <c r="AA112" i="35"/>
  <c r="AA111" i="35"/>
  <c r="AA110" i="35"/>
  <c r="AA109" i="35"/>
  <c r="AA108" i="35"/>
  <c r="AA107" i="35"/>
  <c r="AA106" i="35"/>
  <c r="AA105" i="35"/>
  <c r="AA104" i="35"/>
  <c r="AA103" i="35"/>
  <c r="AA102" i="35"/>
  <c r="AA101" i="35"/>
  <c r="AA100" i="35"/>
  <c r="AA99" i="35"/>
  <c r="AA98" i="35"/>
  <c r="AA97" i="35"/>
  <c r="AA96" i="35"/>
  <c r="AA95" i="35"/>
  <c r="AA94" i="35"/>
  <c r="AA93" i="35"/>
  <c r="AA92" i="35"/>
  <c r="AA91" i="35"/>
  <c r="AA90" i="35"/>
  <c r="AA89" i="35"/>
  <c r="AA88" i="35"/>
  <c r="AA87" i="35"/>
  <c r="AA86" i="35"/>
  <c r="AA85" i="35"/>
  <c r="AA84" i="35"/>
  <c r="AA83" i="35"/>
  <c r="AA82" i="35"/>
  <c r="AA81" i="35"/>
  <c r="AA80" i="35"/>
  <c r="AA79" i="35"/>
  <c r="AA78" i="35"/>
  <c r="AA77" i="35"/>
  <c r="AA76" i="35"/>
  <c r="AA75" i="35"/>
  <c r="AA74" i="35"/>
  <c r="AA73" i="35"/>
  <c r="AA72" i="35"/>
  <c r="AA71" i="35"/>
  <c r="AA70" i="35"/>
  <c r="AA69" i="35"/>
  <c r="AA68" i="35"/>
  <c r="AA67" i="35"/>
  <c r="AA66" i="35"/>
  <c r="AA65" i="35"/>
  <c r="AA64" i="35"/>
  <c r="AA63" i="35"/>
  <c r="AA62" i="35"/>
  <c r="AA61" i="35"/>
  <c r="AA60" i="35"/>
  <c r="AA59" i="35"/>
  <c r="AA58" i="35"/>
  <c r="AA57" i="35"/>
  <c r="AA56" i="35"/>
  <c r="AA55" i="35"/>
  <c r="AA54" i="35"/>
  <c r="AA53" i="35"/>
  <c r="AA52" i="35"/>
  <c r="AA51" i="35"/>
  <c r="AA50" i="35"/>
  <c r="AA49" i="35"/>
  <c r="AA48" i="35"/>
  <c r="AA47" i="35"/>
  <c r="AA46" i="35"/>
  <c r="AA45" i="35"/>
  <c r="AA44" i="35"/>
  <c r="AA43" i="35"/>
  <c r="AA42" i="35"/>
  <c r="AA41" i="35"/>
  <c r="AA40" i="35"/>
  <c r="AA39" i="35"/>
  <c r="AA38" i="35"/>
  <c r="AA37" i="35"/>
  <c r="AA36" i="35"/>
  <c r="AA35" i="35"/>
  <c r="AA34" i="35"/>
  <c r="AA33" i="35"/>
  <c r="AA32" i="35"/>
  <c r="AA31" i="35"/>
  <c r="AA30" i="35"/>
  <c r="AA29" i="35"/>
  <c r="AA28" i="35"/>
  <c r="AA27" i="35"/>
  <c r="AA26" i="35"/>
  <c r="AA25" i="35"/>
  <c r="AA24" i="35"/>
  <c r="AA23" i="35"/>
  <c r="AA22" i="35"/>
  <c r="AA21" i="35"/>
  <c r="AA20" i="35"/>
  <c r="AA19" i="35"/>
  <c r="AA18" i="35"/>
  <c r="AA17" i="35"/>
  <c r="AA16" i="35"/>
  <c r="AA15" i="35"/>
  <c r="AA14" i="35"/>
  <c r="AA13" i="35"/>
  <c r="AA12" i="35"/>
  <c r="AA11" i="35"/>
  <c r="AA10" i="35"/>
  <c r="AA9" i="35"/>
  <c r="AA8" i="35"/>
  <c r="AA7" i="35"/>
  <c r="AA6" i="35"/>
  <c r="AA5" i="35"/>
  <c r="AA4" i="35"/>
  <c r="AA3" i="35"/>
  <c r="AA2" i="35"/>
  <c r="J359" i="38"/>
  <c r="J358" i="38"/>
  <c r="J357" i="38"/>
  <c r="J356" i="38"/>
  <c r="J355" i="38"/>
  <c r="J354" i="38"/>
  <c r="J353" i="38"/>
  <c r="J352" i="38"/>
  <c r="J351" i="38"/>
  <c r="J350" i="38"/>
  <c r="J349" i="38"/>
  <c r="J348" i="38"/>
  <c r="J347" i="38"/>
  <c r="J346" i="38"/>
  <c r="K346" i="38" s="1"/>
  <c r="C32" i="4"/>
  <c r="C31" i="4"/>
  <c r="C30" i="4"/>
  <c r="K355" i="38" l="1"/>
  <c r="K348" i="38"/>
  <c r="K356" i="38"/>
  <c r="K359" i="38"/>
  <c r="K349" i="38"/>
  <c r="K357" i="38"/>
  <c r="K351" i="38"/>
  <c r="K352" i="38"/>
  <c r="K347" i="38"/>
  <c r="K350" i="38"/>
  <c r="K358" i="38"/>
  <c r="K353" i="38"/>
  <c r="K354" i="38"/>
  <c r="AB2" i="3"/>
  <c r="AA2" i="3"/>
  <c r="B28" i="6"/>
  <c r="B26" i="6"/>
  <c r="B24" i="6"/>
  <c r="B21" i="6"/>
  <c r="B20" i="6"/>
  <c r="B17" i="6"/>
  <c r="B14" i="6"/>
  <c r="B13" i="6"/>
  <c r="B11" i="6"/>
  <c r="B8" i="6"/>
  <c r="B7" i="6"/>
  <c r="B6" i="6"/>
  <c r="F21" i="6"/>
  <c r="F19" i="6"/>
  <c r="F17" i="6"/>
  <c r="F12" i="6"/>
  <c r="F11" i="6"/>
  <c r="F8" i="6"/>
  <c r="G8" i="6" s="1"/>
  <c r="C15" i="28"/>
  <c r="C8" i="4"/>
  <c r="K360" i="38" l="1"/>
  <c r="G37" i="1" l="1"/>
  <c r="G36" i="1"/>
  <c r="G11" i="1"/>
  <c r="D345" i="40" l="1"/>
  <c r="AC344" i="7"/>
  <c r="G344" i="7" l="1"/>
  <c r="D2" i="7"/>
  <c r="C2" i="7"/>
  <c r="Z344" i="7" l="1"/>
  <c r="Y344" i="7"/>
  <c r="D343" i="7" l="1"/>
  <c r="D342" i="7"/>
  <c r="D341" i="7"/>
  <c r="D340" i="7"/>
  <c r="D339" i="7"/>
  <c r="D338" i="7"/>
  <c r="D337" i="7"/>
  <c r="D336" i="7"/>
  <c r="D335" i="7"/>
  <c r="D334" i="7"/>
  <c r="D333" i="7"/>
  <c r="D332" i="7"/>
  <c r="D331" i="7"/>
  <c r="D330" i="7"/>
  <c r="D329" i="7"/>
  <c r="D328" i="7"/>
  <c r="D327" i="7"/>
  <c r="D326" i="7"/>
  <c r="D325" i="7"/>
  <c r="D324" i="7"/>
  <c r="D323" i="7"/>
  <c r="D322" i="7"/>
  <c r="D321"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198"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6" i="7"/>
  <c r="D155" i="7"/>
  <c r="D157"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3" i="7"/>
  <c r="C343" i="7"/>
  <c r="C342" i="7"/>
  <c r="C341" i="7"/>
  <c r="C340" i="7"/>
  <c r="C339" i="7"/>
  <c r="C338" i="7"/>
  <c r="C337" i="7"/>
  <c r="C336" i="7"/>
  <c r="C335" i="7"/>
  <c r="C334" i="7"/>
  <c r="C333" i="7"/>
  <c r="C332" i="7"/>
  <c r="C331" i="7"/>
  <c r="C330" i="7"/>
  <c r="C329" i="7"/>
  <c r="C328" i="7"/>
  <c r="C327" i="7"/>
  <c r="C326" i="7"/>
  <c r="C325" i="7"/>
  <c r="C324" i="7"/>
  <c r="C323" i="7"/>
  <c r="C322" i="7"/>
  <c r="C321" i="7"/>
  <c r="C320" i="7"/>
  <c r="C319" i="7"/>
  <c r="C318" i="7"/>
  <c r="C317" i="7"/>
  <c r="C316" i="7"/>
  <c r="C315" i="7"/>
  <c r="C314" i="7"/>
  <c r="C313" i="7"/>
  <c r="C312" i="7"/>
  <c r="C311" i="7"/>
  <c r="C310" i="7"/>
  <c r="C309" i="7"/>
  <c r="C308" i="7"/>
  <c r="C307" i="7"/>
  <c r="C306" i="7"/>
  <c r="C305" i="7"/>
  <c r="C304" i="7"/>
  <c r="C303" i="7"/>
  <c r="C302" i="7"/>
  <c r="C301" i="7"/>
  <c r="C300" i="7"/>
  <c r="C299" i="7"/>
  <c r="C298" i="7"/>
  <c r="C297" i="7"/>
  <c r="C296" i="7"/>
  <c r="C295" i="7"/>
  <c r="C294" i="7"/>
  <c r="C293" i="7"/>
  <c r="C292" i="7"/>
  <c r="C291" i="7"/>
  <c r="C290" i="7"/>
  <c r="C289" i="7"/>
  <c r="C288" i="7"/>
  <c r="C287" i="7"/>
  <c r="C286" i="7"/>
  <c r="C285" i="7"/>
  <c r="C284" i="7"/>
  <c r="C283" i="7"/>
  <c r="C282" i="7"/>
  <c r="C281" i="7"/>
  <c r="C280" i="7"/>
  <c r="C279" i="7"/>
  <c r="C278" i="7"/>
  <c r="C277" i="7"/>
  <c r="C276" i="7"/>
  <c r="C275" i="7"/>
  <c r="C274" i="7"/>
  <c r="C273" i="7"/>
  <c r="C272" i="7"/>
  <c r="C271" i="7"/>
  <c r="C270" i="7"/>
  <c r="C269" i="7"/>
  <c r="C268" i="7"/>
  <c r="C267" i="7"/>
  <c r="C266" i="7"/>
  <c r="C265" i="7"/>
  <c r="C264" i="7"/>
  <c r="C263" i="7"/>
  <c r="C262" i="7"/>
  <c r="C261" i="7"/>
  <c r="C260" i="7"/>
  <c r="C259" i="7"/>
  <c r="C258" i="7"/>
  <c r="C257" i="7"/>
  <c r="C256" i="7"/>
  <c r="C255" i="7"/>
  <c r="C254" i="7"/>
  <c r="C253" i="7"/>
  <c r="C252" i="7"/>
  <c r="C251" i="7"/>
  <c r="C250" i="7"/>
  <c r="C249" i="7"/>
  <c r="C248" i="7"/>
  <c r="C247" i="7"/>
  <c r="C246" i="7"/>
  <c r="C245" i="7"/>
  <c r="C244" i="7"/>
  <c r="C243" i="7"/>
  <c r="C242" i="7"/>
  <c r="C241" i="7"/>
  <c r="C240" i="7"/>
  <c r="C239" i="7"/>
  <c r="C238" i="7"/>
  <c r="C237" i="7"/>
  <c r="C236" i="7"/>
  <c r="C235" i="7"/>
  <c r="C234" i="7"/>
  <c r="C233" i="7"/>
  <c r="C232" i="7"/>
  <c r="C231" i="7"/>
  <c r="C230" i="7"/>
  <c r="C229" i="7"/>
  <c r="C228" i="7"/>
  <c r="C227" i="7"/>
  <c r="C226" i="7"/>
  <c r="C225" i="7"/>
  <c r="C224" i="7"/>
  <c r="C223" i="7"/>
  <c r="C222" i="7"/>
  <c r="C221" i="7"/>
  <c r="C220" i="7"/>
  <c r="C219" i="7"/>
  <c r="C218" i="7"/>
  <c r="C217" i="7"/>
  <c r="C216" i="7"/>
  <c r="C215" i="7"/>
  <c r="C214" i="7"/>
  <c r="C213" i="7"/>
  <c r="C212" i="7"/>
  <c r="C211" i="7"/>
  <c r="C210" i="7"/>
  <c r="C209" i="7"/>
  <c r="C208" i="7"/>
  <c r="C207" i="7"/>
  <c r="C206"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2" i="7"/>
  <c r="C161" i="7"/>
  <c r="C160" i="7"/>
  <c r="C159" i="7"/>
  <c r="C158" i="7"/>
  <c r="C156" i="7"/>
  <c r="C155" i="7"/>
  <c r="C157" i="7"/>
  <c r="C154" i="7"/>
  <c r="C153" i="7"/>
  <c r="C152" i="7"/>
  <c r="C151" i="7"/>
  <c r="C150" i="7"/>
  <c r="C149" i="7"/>
  <c r="C148" i="7"/>
  <c r="C147" i="7"/>
  <c r="C146" i="7"/>
  <c r="C145" i="7"/>
  <c r="C144" i="7"/>
  <c r="C143" i="7"/>
  <c r="C142" i="7"/>
  <c r="C141" i="7"/>
  <c r="C140" i="7"/>
  <c r="C139" i="7"/>
  <c r="C138" i="7"/>
  <c r="C137" i="7"/>
  <c r="C136" i="7"/>
  <c r="C135" i="7"/>
  <c r="C134" i="7"/>
  <c r="C133" i="7"/>
  <c r="C132" i="7"/>
  <c r="C131" i="7"/>
  <c r="C130" i="7"/>
  <c r="C129" i="7"/>
  <c r="C128" i="7"/>
  <c r="C127" i="7"/>
  <c r="C126" i="7"/>
  <c r="C125" i="7"/>
  <c r="C124" i="7"/>
  <c r="C123" i="7"/>
  <c r="C122" i="7"/>
  <c r="C121" i="7"/>
  <c r="C120" i="7"/>
  <c r="C119" i="7"/>
  <c r="C118" i="7"/>
  <c r="C117" i="7"/>
  <c r="C116" i="7"/>
  <c r="C115" i="7"/>
  <c r="C114" i="7"/>
  <c r="C113" i="7"/>
  <c r="C112" i="7"/>
  <c r="C111" i="7"/>
  <c r="C110" i="7"/>
  <c r="C109" i="7"/>
  <c r="C108" i="7"/>
  <c r="C107" i="7"/>
  <c r="C106" i="7"/>
  <c r="C105" i="7"/>
  <c r="C104" i="7"/>
  <c r="C103" i="7"/>
  <c r="C102" i="7"/>
  <c r="C101" i="7"/>
  <c r="C100" i="7"/>
  <c r="C99" i="7"/>
  <c r="C98" i="7"/>
  <c r="C97" i="7"/>
  <c r="C96" i="7"/>
  <c r="C95" i="7"/>
  <c r="C94" i="7"/>
  <c r="C93" i="7"/>
  <c r="C92" i="7"/>
  <c r="C91" i="7"/>
  <c r="C90" i="7"/>
  <c r="C89" i="7"/>
  <c r="C88" i="7"/>
  <c r="C87" i="7"/>
  <c r="C86" i="7"/>
  <c r="C85" i="7"/>
  <c r="C84" i="7"/>
  <c r="C83" i="7"/>
  <c r="C82" i="7"/>
  <c r="C81" i="7"/>
  <c r="C80" i="7"/>
  <c r="C79" i="7"/>
  <c r="C78" i="7"/>
  <c r="C77" i="7"/>
  <c r="C76" i="7"/>
  <c r="C75" i="7"/>
  <c r="C74" i="7"/>
  <c r="C73" i="7"/>
  <c r="C72" i="7"/>
  <c r="C71" i="7"/>
  <c r="C70" i="7"/>
  <c r="C69" i="7"/>
  <c r="C68" i="7"/>
  <c r="C67" i="7"/>
  <c r="C66" i="7"/>
  <c r="C65" i="7"/>
  <c r="C64" i="7"/>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C21" i="7"/>
  <c r="C20" i="7"/>
  <c r="C19" i="7"/>
  <c r="C18" i="7"/>
  <c r="C17" i="7"/>
  <c r="C16" i="7"/>
  <c r="C15" i="7"/>
  <c r="C14" i="7"/>
  <c r="C13" i="7"/>
  <c r="C12" i="7"/>
  <c r="C11" i="7"/>
  <c r="C10" i="7"/>
  <c r="C9" i="7"/>
  <c r="C8" i="7"/>
  <c r="C7" i="7"/>
  <c r="C6" i="7"/>
  <c r="C5" i="7"/>
  <c r="C4" i="7"/>
  <c r="C3" i="7"/>
  <c r="AO344" i="40"/>
  <c r="AO343" i="40"/>
  <c r="AO342" i="40"/>
  <c r="AO341" i="40"/>
  <c r="AO340" i="40"/>
  <c r="AO339" i="40"/>
  <c r="AO338" i="40"/>
  <c r="AO337" i="40"/>
  <c r="AO336" i="40"/>
  <c r="AO335" i="40"/>
  <c r="AO334" i="40"/>
  <c r="AO333" i="40"/>
  <c r="AO332" i="40"/>
  <c r="AO331" i="40"/>
  <c r="AO330" i="40"/>
  <c r="AO329" i="40"/>
  <c r="AO328" i="40"/>
  <c r="AO327" i="40"/>
  <c r="AO326" i="40"/>
  <c r="AO325" i="40"/>
  <c r="AO324" i="40"/>
  <c r="AO323" i="40"/>
  <c r="AO322" i="40"/>
  <c r="AO321" i="40"/>
  <c r="AO320" i="40"/>
  <c r="AO319" i="40"/>
  <c r="AO318" i="40"/>
  <c r="AO317" i="40"/>
  <c r="AO316" i="40"/>
  <c r="AO315" i="40"/>
  <c r="AO314" i="40"/>
  <c r="AO313" i="40"/>
  <c r="AO312" i="40"/>
  <c r="AO311" i="40"/>
  <c r="AO310" i="40"/>
  <c r="AO309" i="40"/>
  <c r="AO308" i="40"/>
  <c r="AO307" i="40"/>
  <c r="AO306" i="40"/>
  <c r="AO305" i="40"/>
  <c r="AO304" i="40"/>
  <c r="AO303" i="40"/>
  <c r="AO302" i="40"/>
  <c r="AO300" i="40"/>
  <c r="AO299" i="40"/>
  <c r="AO298" i="40"/>
  <c r="AO297" i="40"/>
  <c r="AO296" i="40"/>
  <c r="AO295" i="40"/>
  <c r="AO294" i="40"/>
  <c r="AO293" i="40"/>
  <c r="AO292" i="40"/>
  <c r="AO291" i="40"/>
  <c r="AO290" i="40"/>
  <c r="AO289" i="40"/>
  <c r="AO288" i="40"/>
  <c r="AO287" i="40"/>
  <c r="AO286" i="40"/>
  <c r="AO285" i="40"/>
  <c r="AO284" i="40"/>
  <c r="AO283" i="40"/>
  <c r="AO282" i="40"/>
  <c r="AO281" i="40"/>
  <c r="AO280" i="40"/>
  <c r="AO279" i="40"/>
  <c r="AO278" i="40"/>
  <c r="AO277" i="40"/>
  <c r="AO276" i="40"/>
  <c r="AO275" i="40"/>
  <c r="AO274" i="40"/>
  <c r="AO273" i="40"/>
  <c r="AO272" i="40"/>
  <c r="AO271" i="40"/>
  <c r="AO270" i="40"/>
  <c r="AO269" i="40"/>
  <c r="AO268" i="40"/>
  <c r="AO267" i="40"/>
  <c r="AO266" i="40"/>
  <c r="AO265" i="40"/>
  <c r="AO264" i="40"/>
  <c r="AO263" i="40"/>
  <c r="AO262" i="40"/>
  <c r="AO261" i="40"/>
  <c r="AO260" i="40"/>
  <c r="AO259" i="40"/>
  <c r="AO258" i="40"/>
  <c r="AO257" i="40"/>
  <c r="AO256" i="40"/>
  <c r="AO255" i="40"/>
  <c r="AO254" i="40"/>
  <c r="AO253" i="40"/>
  <c r="AO252" i="40"/>
  <c r="AO251" i="40"/>
  <c r="AO250" i="40"/>
  <c r="AO249" i="40"/>
  <c r="AO248" i="40"/>
  <c r="AO247" i="40"/>
  <c r="AO246" i="40"/>
  <c r="AO245" i="40"/>
  <c r="AO244" i="40"/>
  <c r="AO243" i="40"/>
  <c r="AO242" i="40"/>
  <c r="AO241" i="40"/>
  <c r="AO240" i="40"/>
  <c r="AO239" i="40"/>
  <c r="AO238" i="40"/>
  <c r="AO237" i="40"/>
  <c r="AO236" i="40"/>
  <c r="AO235" i="40"/>
  <c r="AO234" i="40"/>
  <c r="AO233" i="40"/>
  <c r="AO232" i="40"/>
  <c r="AO231" i="40"/>
  <c r="AO230" i="40"/>
  <c r="AO229" i="40"/>
  <c r="AO228" i="40"/>
  <c r="AO227" i="40"/>
  <c r="AO226" i="40"/>
  <c r="AO225" i="40"/>
  <c r="AO224" i="40"/>
  <c r="AO223" i="40"/>
  <c r="AO222" i="40"/>
  <c r="AO221" i="40"/>
  <c r="AO220" i="40"/>
  <c r="AO219" i="40"/>
  <c r="AO218" i="40"/>
  <c r="AO217" i="40"/>
  <c r="AO216" i="40"/>
  <c r="AO215" i="40"/>
  <c r="AO214" i="40"/>
  <c r="AO213" i="40"/>
  <c r="AO212" i="40"/>
  <c r="AO211" i="40"/>
  <c r="AO210" i="40"/>
  <c r="AO209" i="40"/>
  <c r="AO208" i="40"/>
  <c r="AO207" i="40"/>
  <c r="AO206" i="40"/>
  <c r="AO205" i="40"/>
  <c r="AO204" i="40"/>
  <c r="AO203" i="40"/>
  <c r="AO202" i="40"/>
  <c r="AO201" i="40"/>
  <c r="AO200" i="40"/>
  <c r="AO199" i="40"/>
  <c r="AO198" i="40"/>
  <c r="AO197" i="40"/>
  <c r="AO196" i="40"/>
  <c r="AO195" i="40"/>
  <c r="AO194" i="40"/>
  <c r="AO193" i="40"/>
  <c r="AO192" i="40"/>
  <c r="AO191" i="40"/>
  <c r="AO190" i="40"/>
  <c r="AO189" i="40"/>
  <c r="AO188" i="40"/>
  <c r="AO187" i="40"/>
  <c r="AO186" i="40"/>
  <c r="AO185" i="40"/>
  <c r="AO184" i="40"/>
  <c r="AO183" i="40"/>
  <c r="AO182" i="40"/>
  <c r="AO181" i="40"/>
  <c r="AO180" i="40"/>
  <c r="AO179" i="40"/>
  <c r="AO178" i="40"/>
  <c r="AO177" i="40"/>
  <c r="AO176" i="40"/>
  <c r="AO175" i="40"/>
  <c r="AO174" i="40"/>
  <c r="AO173" i="40"/>
  <c r="AO172" i="40"/>
  <c r="AO171" i="40"/>
  <c r="AO170" i="40"/>
  <c r="AO169" i="40"/>
  <c r="AO168" i="40"/>
  <c r="AO167" i="40"/>
  <c r="AO166" i="40"/>
  <c r="AO165" i="40"/>
  <c r="AO164" i="40"/>
  <c r="AO163" i="40"/>
  <c r="AO162" i="40"/>
  <c r="AO161" i="40"/>
  <c r="AO160" i="40"/>
  <c r="AO159" i="40"/>
  <c r="AO158" i="40"/>
  <c r="AO156" i="40"/>
  <c r="AO155" i="40"/>
  <c r="AO154" i="40"/>
  <c r="AO153" i="40"/>
  <c r="AO152" i="40"/>
  <c r="AO151" i="40"/>
  <c r="AO150" i="40"/>
  <c r="AO149" i="40"/>
  <c r="AO148" i="40"/>
  <c r="AO147" i="40"/>
  <c r="AO146" i="40"/>
  <c r="AO145" i="40"/>
  <c r="AO144" i="40"/>
  <c r="AO143" i="40"/>
  <c r="AO142" i="40"/>
  <c r="AO141" i="40"/>
  <c r="AO140" i="40"/>
  <c r="AO139" i="40"/>
  <c r="AO138" i="40"/>
  <c r="AO137" i="40"/>
  <c r="AO136" i="40"/>
  <c r="AO135" i="40"/>
  <c r="AO134" i="40"/>
  <c r="AO133" i="40"/>
  <c r="AO132" i="40"/>
  <c r="AO131" i="40"/>
  <c r="AO130" i="40"/>
  <c r="AO129" i="40"/>
  <c r="AO128" i="40"/>
  <c r="AO127" i="40"/>
  <c r="AO126" i="40"/>
  <c r="AO125" i="40"/>
  <c r="AO124" i="40"/>
  <c r="AO123" i="40"/>
  <c r="AO122" i="40"/>
  <c r="AO121" i="40"/>
  <c r="AO120" i="40"/>
  <c r="AO119" i="40"/>
  <c r="AO118" i="40"/>
  <c r="AO117" i="40"/>
  <c r="AO116" i="40"/>
  <c r="AO115" i="40"/>
  <c r="AO114" i="40"/>
  <c r="AO113" i="40"/>
  <c r="AO112" i="40"/>
  <c r="AO111" i="40"/>
  <c r="AO110" i="40"/>
  <c r="AO109" i="40"/>
  <c r="AO108" i="40"/>
  <c r="AO107" i="40"/>
  <c r="AO106" i="40"/>
  <c r="AO105" i="40"/>
  <c r="AO104" i="40"/>
  <c r="AO103" i="40"/>
  <c r="AO102" i="40"/>
  <c r="AO101" i="40"/>
  <c r="AO100" i="40"/>
  <c r="AO99" i="40"/>
  <c r="AO98" i="40"/>
  <c r="AO97" i="40"/>
  <c r="AO96" i="40"/>
  <c r="AO95" i="40"/>
  <c r="AO94" i="40"/>
  <c r="AO93" i="40"/>
  <c r="AO92" i="40"/>
  <c r="AO91" i="40"/>
  <c r="AO90" i="40"/>
  <c r="AO89" i="40"/>
  <c r="AO88" i="40"/>
  <c r="AO87" i="40"/>
  <c r="AO86" i="40"/>
  <c r="AO85" i="40"/>
  <c r="AO84" i="40"/>
  <c r="AO83" i="40"/>
  <c r="AO82" i="40"/>
  <c r="AO81" i="40"/>
  <c r="AO80" i="40"/>
  <c r="AO79" i="40"/>
  <c r="AO78" i="40"/>
  <c r="AO77" i="40"/>
  <c r="AO76" i="40"/>
  <c r="AO75" i="40"/>
  <c r="AO74" i="40"/>
  <c r="AO73" i="40"/>
  <c r="AO72" i="40"/>
  <c r="AO71" i="40"/>
  <c r="AO70" i="40"/>
  <c r="AO69" i="40"/>
  <c r="AO68" i="40"/>
  <c r="AO67" i="40"/>
  <c r="AO66" i="40"/>
  <c r="AO65" i="40"/>
  <c r="AO64" i="40"/>
  <c r="AO63" i="40"/>
  <c r="AO62" i="40"/>
  <c r="AO61" i="40"/>
  <c r="AO60" i="40"/>
  <c r="AO59" i="40"/>
  <c r="AO58" i="40"/>
  <c r="AO57" i="40"/>
  <c r="AO56" i="40"/>
  <c r="AO55" i="40"/>
  <c r="AO54" i="40"/>
  <c r="AO53" i="40"/>
  <c r="AO52" i="40"/>
  <c r="AO51" i="40"/>
  <c r="AO50" i="40"/>
  <c r="AO49" i="40"/>
  <c r="AO48" i="40"/>
  <c r="AO47" i="40"/>
  <c r="AO46" i="40"/>
  <c r="AO45" i="40"/>
  <c r="AO44" i="40"/>
  <c r="AO43" i="40"/>
  <c r="AO42" i="40"/>
  <c r="AO41" i="40"/>
  <c r="AO40" i="40"/>
  <c r="AO39" i="40"/>
  <c r="AO38" i="40"/>
  <c r="AO37" i="40"/>
  <c r="AO36" i="40"/>
  <c r="AO35" i="40"/>
  <c r="AO34" i="40"/>
  <c r="AO33" i="40"/>
  <c r="AO32" i="40"/>
  <c r="AO31" i="40"/>
  <c r="AO30" i="40"/>
  <c r="AO29" i="40"/>
  <c r="AO28" i="40"/>
  <c r="AO27" i="40"/>
  <c r="AO26" i="40"/>
  <c r="AO25" i="40"/>
  <c r="AO24" i="40"/>
  <c r="AO23" i="40"/>
  <c r="AO22" i="40"/>
  <c r="AO21" i="40"/>
  <c r="AO20" i="40"/>
  <c r="AO19" i="40"/>
  <c r="AO18" i="40"/>
  <c r="AO17" i="40"/>
  <c r="AO16" i="40"/>
  <c r="AO15" i="40"/>
  <c r="AO14" i="40"/>
  <c r="AO13" i="40"/>
  <c r="AO12" i="40"/>
  <c r="C12" i="28"/>
  <c r="C14" i="28"/>
  <c r="C6" i="28"/>
  <c r="AO10" i="40"/>
  <c r="AO9" i="40"/>
  <c r="AO8" i="40"/>
  <c r="AO7" i="40"/>
  <c r="AO6" i="40"/>
  <c r="AO5" i="40"/>
  <c r="AO4" i="40"/>
  <c r="AO3" i="40"/>
  <c r="AO2" i="40"/>
  <c r="E12" i="28" l="1"/>
  <c r="D12" i="28"/>
  <c r="E14" i="28"/>
  <c r="D14" i="28"/>
  <c r="D13" i="28"/>
  <c r="AO11" i="40"/>
  <c r="C11" i="28" s="1"/>
  <c r="C10" i="28"/>
  <c r="C7" i="28"/>
  <c r="S344" i="39" l="1"/>
  <c r="O344" i="39"/>
  <c r="N344" i="39"/>
  <c r="M344" i="39"/>
  <c r="L344" i="39"/>
  <c r="K344" i="39"/>
  <c r="S343" i="39"/>
  <c r="T343" i="39" s="1"/>
  <c r="S342" i="39"/>
  <c r="T342" i="39" s="1"/>
  <c r="S341" i="39"/>
  <c r="T341" i="39" s="1"/>
  <c r="S340" i="39"/>
  <c r="T340" i="39" s="1"/>
  <c r="S339" i="39"/>
  <c r="T339" i="39" s="1"/>
  <c r="S338" i="39"/>
  <c r="T338" i="39" s="1"/>
  <c r="S337" i="39"/>
  <c r="T337" i="39" s="1"/>
  <c r="S336" i="39"/>
  <c r="T336" i="39" s="1"/>
  <c r="S335" i="39"/>
  <c r="T335" i="39" s="1"/>
  <c r="S334" i="39"/>
  <c r="T334" i="39" s="1"/>
  <c r="S333" i="39"/>
  <c r="T333" i="39" s="1"/>
  <c r="S332" i="39"/>
  <c r="T332" i="39" s="1"/>
  <c r="S331" i="39"/>
  <c r="T331" i="39" s="1"/>
  <c r="S330" i="39"/>
  <c r="T330" i="39" s="1"/>
  <c r="S329" i="39"/>
  <c r="T329" i="39" s="1"/>
  <c r="S328" i="39"/>
  <c r="T328" i="39" s="1"/>
  <c r="S327" i="39"/>
  <c r="T327" i="39" s="1"/>
  <c r="S326" i="39"/>
  <c r="T326" i="39" s="1"/>
  <c r="S325" i="39"/>
  <c r="T325" i="39" s="1"/>
  <c r="S324" i="39"/>
  <c r="T324" i="39" s="1"/>
  <c r="S323" i="39"/>
  <c r="T323" i="39" s="1"/>
  <c r="S322" i="39"/>
  <c r="T322" i="39" s="1"/>
  <c r="S321" i="39"/>
  <c r="T321" i="39" s="1"/>
  <c r="S320" i="39"/>
  <c r="T320" i="39" s="1"/>
  <c r="S319" i="39"/>
  <c r="T319" i="39" s="1"/>
  <c r="S318" i="39"/>
  <c r="T318" i="39" s="1"/>
  <c r="S317" i="39"/>
  <c r="T317" i="39" s="1"/>
  <c r="S316" i="39"/>
  <c r="T316" i="39" s="1"/>
  <c r="S315" i="39"/>
  <c r="T315" i="39" s="1"/>
  <c r="S314" i="39"/>
  <c r="T314" i="39" s="1"/>
  <c r="S313" i="39"/>
  <c r="T313" i="39" s="1"/>
  <c r="S312" i="39"/>
  <c r="T312" i="39" s="1"/>
  <c r="S311" i="39"/>
  <c r="T311" i="39" s="1"/>
  <c r="S310" i="39"/>
  <c r="T310" i="39" s="1"/>
  <c r="S309" i="39"/>
  <c r="T309" i="39" s="1"/>
  <c r="S308" i="39"/>
  <c r="T308" i="39" s="1"/>
  <c r="S307" i="39"/>
  <c r="T307" i="39" s="1"/>
  <c r="S306" i="39"/>
  <c r="T306" i="39" s="1"/>
  <c r="S305" i="39"/>
  <c r="T305" i="39" s="1"/>
  <c r="S304" i="39"/>
  <c r="T304" i="39" s="1"/>
  <c r="S303" i="39"/>
  <c r="T303" i="39" s="1"/>
  <c r="S302" i="39"/>
  <c r="T302" i="39" s="1"/>
  <c r="S301" i="39"/>
  <c r="T301" i="39" s="1"/>
  <c r="S300" i="39"/>
  <c r="T300" i="39" s="1"/>
  <c r="S299" i="39"/>
  <c r="T299" i="39" s="1"/>
  <c r="S298" i="39"/>
  <c r="T298" i="39" s="1"/>
  <c r="F18" i="28" s="1"/>
  <c r="S297" i="39"/>
  <c r="T297" i="39" s="1"/>
  <c r="S296" i="39"/>
  <c r="T296" i="39" s="1"/>
  <c r="S295" i="39"/>
  <c r="T295" i="39" s="1"/>
  <c r="S294" i="39"/>
  <c r="T294" i="39" s="1"/>
  <c r="S293" i="39"/>
  <c r="T293" i="39" s="1"/>
  <c r="S292" i="39"/>
  <c r="T292" i="39" s="1"/>
  <c r="S291" i="39"/>
  <c r="T291" i="39" s="1"/>
  <c r="S290" i="39"/>
  <c r="T290" i="39" s="1"/>
  <c r="S289" i="39"/>
  <c r="T289" i="39" s="1"/>
  <c r="S288" i="39"/>
  <c r="T288" i="39" s="1"/>
  <c r="S287" i="39"/>
  <c r="T287" i="39" s="1"/>
  <c r="S286" i="39"/>
  <c r="T286" i="39" s="1"/>
  <c r="S285" i="39"/>
  <c r="T285" i="39" s="1"/>
  <c r="S284" i="39"/>
  <c r="T284" i="39" s="1"/>
  <c r="S283" i="39"/>
  <c r="T283" i="39" s="1"/>
  <c r="S282" i="39"/>
  <c r="T282" i="39" s="1"/>
  <c r="S281" i="39"/>
  <c r="T281" i="39" s="1"/>
  <c r="S280" i="39"/>
  <c r="T280" i="39" s="1"/>
  <c r="S279" i="39"/>
  <c r="T279" i="39" s="1"/>
  <c r="S278" i="39"/>
  <c r="T278" i="39" s="1"/>
  <c r="S277" i="39"/>
  <c r="T277" i="39" s="1"/>
  <c r="S276" i="39"/>
  <c r="T276" i="39" s="1"/>
  <c r="S275" i="39"/>
  <c r="T275" i="39" s="1"/>
  <c r="S274" i="39"/>
  <c r="T274" i="39" s="1"/>
  <c r="S273" i="39"/>
  <c r="T273" i="39" s="1"/>
  <c r="S272" i="39"/>
  <c r="T272" i="39" s="1"/>
  <c r="S271" i="39"/>
  <c r="T271" i="39" s="1"/>
  <c r="S270" i="39"/>
  <c r="T270" i="39" s="1"/>
  <c r="S269" i="39"/>
  <c r="T269" i="39" s="1"/>
  <c r="S268" i="39"/>
  <c r="T268" i="39" s="1"/>
  <c r="S267" i="39"/>
  <c r="T267" i="39" s="1"/>
  <c r="S266" i="39"/>
  <c r="T266" i="39" s="1"/>
  <c r="S265" i="39"/>
  <c r="T265" i="39" s="1"/>
  <c r="S264" i="39"/>
  <c r="T264" i="39" s="1"/>
  <c r="S263" i="39"/>
  <c r="T263" i="39" s="1"/>
  <c r="S262" i="39"/>
  <c r="T262" i="39" s="1"/>
  <c r="S261" i="39"/>
  <c r="T261" i="39" s="1"/>
  <c r="S260" i="39"/>
  <c r="T260" i="39" s="1"/>
  <c r="S259" i="39"/>
  <c r="T259" i="39" s="1"/>
  <c r="S258" i="39"/>
  <c r="T258" i="39" s="1"/>
  <c r="S257" i="39"/>
  <c r="T257" i="39" s="1"/>
  <c r="S256" i="39"/>
  <c r="T256" i="39" s="1"/>
  <c r="S255" i="39"/>
  <c r="T255" i="39" s="1"/>
  <c r="S254" i="39"/>
  <c r="T254" i="39" s="1"/>
  <c r="S253" i="39"/>
  <c r="T253" i="39" s="1"/>
  <c r="S252" i="39"/>
  <c r="T252" i="39" s="1"/>
  <c r="S251" i="39"/>
  <c r="T251" i="39" s="1"/>
  <c r="S250" i="39"/>
  <c r="T250" i="39" s="1"/>
  <c r="S249" i="39"/>
  <c r="T249" i="39" s="1"/>
  <c r="S248" i="39"/>
  <c r="T248" i="39" s="1"/>
  <c r="S247" i="39"/>
  <c r="T247" i="39" s="1"/>
  <c r="S246" i="39"/>
  <c r="T246" i="39" s="1"/>
  <c r="S245" i="39"/>
  <c r="T245" i="39" s="1"/>
  <c r="S244" i="39"/>
  <c r="T244" i="39" s="1"/>
  <c r="S243" i="39"/>
  <c r="T243" i="39" s="1"/>
  <c r="S242" i="39"/>
  <c r="T242" i="39" s="1"/>
  <c r="S241" i="39"/>
  <c r="T241" i="39" s="1"/>
  <c r="S240" i="39"/>
  <c r="T240" i="39" s="1"/>
  <c r="S239" i="39"/>
  <c r="T239" i="39" s="1"/>
  <c r="S238" i="39"/>
  <c r="T238" i="39" s="1"/>
  <c r="S237" i="39"/>
  <c r="T237" i="39" s="1"/>
  <c r="S236" i="39"/>
  <c r="T236" i="39" s="1"/>
  <c r="S235" i="39"/>
  <c r="T235" i="39" s="1"/>
  <c r="S234" i="39"/>
  <c r="T234" i="39" s="1"/>
  <c r="S233" i="39"/>
  <c r="T233" i="39" s="1"/>
  <c r="S232" i="39"/>
  <c r="T232" i="39" s="1"/>
  <c r="S231" i="39"/>
  <c r="T231" i="39" s="1"/>
  <c r="S230" i="39"/>
  <c r="T230" i="39" s="1"/>
  <c r="S229" i="39"/>
  <c r="T229" i="39" s="1"/>
  <c r="S228" i="39"/>
  <c r="T228" i="39" s="1"/>
  <c r="S227" i="39"/>
  <c r="T227" i="39" s="1"/>
  <c r="S226" i="39"/>
  <c r="T226" i="39" s="1"/>
  <c r="S225" i="39"/>
  <c r="T225" i="39" s="1"/>
  <c r="S224" i="39"/>
  <c r="T224" i="39" s="1"/>
  <c r="S223" i="39"/>
  <c r="T223" i="39" s="1"/>
  <c r="S222" i="39"/>
  <c r="T222" i="39" s="1"/>
  <c r="S221" i="39"/>
  <c r="T221" i="39" s="1"/>
  <c r="S220" i="39"/>
  <c r="T220" i="39" s="1"/>
  <c r="S219" i="39"/>
  <c r="T219" i="39" s="1"/>
  <c r="S218" i="39"/>
  <c r="T218" i="39" s="1"/>
  <c r="S217" i="39"/>
  <c r="T217" i="39" s="1"/>
  <c r="S216" i="39"/>
  <c r="T216" i="39" s="1"/>
  <c r="S215" i="39"/>
  <c r="T215" i="39" s="1"/>
  <c r="S214" i="39"/>
  <c r="T214" i="39" s="1"/>
  <c r="S213" i="39"/>
  <c r="T213" i="39" s="1"/>
  <c r="S212" i="39"/>
  <c r="T212" i="39" s="1"/>
  <c r="S211" i="39"/>
  <c r="T211" i="39" s="1"/>
  <c r="S210" i="39"/>
  <c r="T210" i="39" s="1"/>
  <c r="S209" i="39"/>
  <c r="T209" i="39" s="1"/>
  <c r="S208" i="39"/>
  <c r="T208" i="39" s="1"/>
  <c r="S207" i="39"/>
  <c r="T207" i="39" s="1"/>
  <c r="S206" i="39"/>
  <c r="T206" i="39" s="1"/>
  <c r="S205" i="39"/>
  <c r="T205" i="39" s="1"/>
  <c r="S204" i="39"/>
  <c r="T204" i="39" s="1"/>
  <c r="S203" i="39"/>
  <c r="T203" i="39" s="1"/>
  <c r="S202" i="39"/>
  <c r="T202" i="39" s="1"/>
  <c r="S201" i="39"/>
  <c r="T201" i="39" s="1"/>
  <c r="S200" i="39"/>
  <c r="T200" i="39" s="1"/>
  <c r="S199" i="39"/>
  <c r="T199" i="39" s="1"/>
  <c r="S198" i="39"/>
  <c r="T198" i="39" s="1"/>
  <c r="S197" i="39"/>
  <c r="T197" i="39" s="1"/>
  <c r="S196" i="39"/>
  <c r="T196" i="39" s="1"/>
  <c r="S195" i="39"/>
  <c r="T195" i="39" s="1"/>
  <c r="S194" i="39"/>
  <c r="T194" i="39" s="1"/>
  <c r="S193" i="39"/>
  <c r="T193" i="39" s="1"/>
  <c r="S192" i="39"/>
  <c r="T192" i="39" s="1"/>
  <c r="S191" i="39"/>
  <c r="T191" i="39" s="1"/>
  <c r="S190" i="39"/>
  <c r="T190" i="39" s="1"/>
  <c r="S189" i="39"/>
  <c r="T189" i="39" s="1"/>
  <c r="S188" i="39"/>
  <c r="T188" i="39" s="1"/>
  <c r="S187" i="39"/>
  <c r="T187" i="39" s="1"/>
  <c r="S186" i="39"/>
  <c r="T186" i="39" s="1"/>
  <c r="S185" i="39"/>
  <c r="T185" i="39" s="1"/>
  <c r="S184" i="39"/>
  <c r="T184" i="39" s="1"/>
  <c r="S183" i="39"/>
  <c r="T183" i="39" s="1"/>
  <c r="S182" i="39"/>
  <c r="T182" i="39" s="1"/>
  <c r="S181" i="39"/>
  <c r="T181" i="39" s="1"/>
  <c r="S180" i="39"/>
  <c r="T180" i="39" s="1"/>
  <c r="S179" i="39"/>
  <c r="T179" i="39" s="1"/>
  <c r="S178" i="39"/>
  <c r="T178" i="39" s="1"/>
  <c r="S177" i="39"/>
  <c r="T177" i="39" s="1"/>
  <c r="S176" i="39"/>
  <c r="T176" i="39" s="1"/>
  <c r="S175" i="39"/>
  <c r="T175" i="39" s="1"/>
  <c r="S174" i="39"/>
  <c r="T174" i="39" s="1"/>
  <c r="S173" i="39"/>
  <c r="T173" i="39" s="1"/>
  <c r="S172" i="39"/>
  <c r="T172" i="39" s="1"/>
  <c r="S171" i="39"/>
  <c r="T171" i="39" s="1"/>
  <c r="S170" i="39"/>
  <c r="T170" i="39" s="1"/>
  <c r="S169" i="39"/>
  <c r="T169" i="39" s="1"/>
  <c r="S168" i="39"/>
  <c r="T168" i="39" s="1"/>
  <c r="S167" i="39"/>
  <c r="T167" i="39" s="1"/>
  <c r="S166" i="39"/>
  <c r="T166" i="39" s="1"/>
  <c r="S165" i="39"/>
  <c r="T165" i="39" s="1"/>
  <c r="S164" i="39"/>
  <c r="T164" i="39" s="1"/>
  <c r="S163" i="39"/>
  <c r="T163" i="39" s="1"/>
  <c r="S162" i="39"/>
  <c r="T162" i="39" s="1"/>
  <c r="S161" i="39"/>
  <c r="T161" i="39" s="1"/>
  <c r="S160" i="39"/>
  <c r="T160" i="39" s="1"/>
  <c r="S159" i="39"/>
  <c r="T159" i="39" s="1"/>
  <c r="S158" i="39"/>
  <c r="T158" i="39" s="1"/>
  <c r="S157" i="39"/>
  <c r="T157" i="39" s="1"/>
  <c r="S156" i="39"/>
  <c r="T156" i="39" s="1"/>
  <c r="S155" i="39"/>
  <c r="T155" i="39" s="1"/>
  <c r="S154" i="39"/>
  <c r="T154" i="39" s="1"/>
  <c r="S153" i="39"/>
  <c r="T153" i="39" s="1"/>
  <c r="S152" i="39"/>
  <c r="T152" i="39" s="1"/>
  <c r="S151" i="39"/>
  <c r="T151" i="39" s="1"/>
  <c r="S150" i="39"/>
  <c r="T150" i="39" s="1"/>
  <c r="S149" i="39"/>
  <c r="T149" i="39" s="1"/>
  <c r="S148" i="39"/>
  <c r="T148" i="39" s="1"/>
  <c r="S147" i="39"/>
  <c r="T147" i="39" s="1"/>
  <c r="S146" i="39"/>
  <c r="T146" i="39" s="1"/>
  <c r="S145" i="39"/>
  <c r="T145" i="39" s="1"/>
  <c r="S144" i="39"/>
  <c r="T144" i="39" s="1"/>
  <c r="S143" i="39"/>
  <c r="T143" i="39" s="1"/>
  <c r="S142" i="39"/>
  <c r="T142" i="39" s="1"/>
  <c r="S141" i="39"/>
  <c r="T141" i="39" s="1"/>
  <c r="S140" i="39"/>
  <c r="T140" i="39" s="1"/>
  <c r="S139" i="39"/>
  <c r="T139" i="39" s="1"/>
  <c r="S138" i="39"/>
  <c r="T138" i="39" s="1"/>
  <c r="S137" i="39"/>
  <c r="T137" i="39" s="1"/>
  <c r="S136" i="39"/>
  <c r="T136" i="39" s="1"/>
  <c r="S135" i="39"/>
  <c r="T135" i="39" s="1"/>
  <c r="S134" i="39"/>
  <c r="T134" i="39" s="1"/>
  <c r="S133" i="39"/>
  <c r="T133" i="39" s="1"/>
  <c r="S132" i="39"/>
  <c r="T132" i="39" s="1"/>
  <c r="S131" i="39"/>
  <c r="T131" i="39" s="1"/>
  <c r="S130" i="39"/>
  <c r="T130" i="39" s="1"/>
  <c r="S129" i="39"/>
  <c r="T129" i="39" s="1"/>
  <c r="S128" i="39"/>
  <c r="T128" i="39" s="1"/>
  <c r="S127" i="39"/>
  <c r="T127" i="39" s="1"/>
  <c r="S126" i="39"/>
  <c r="T126" i="39" s="1"/>
  <c r="S125" i="39"/>
  <c r="T125" i="39" s="1"/>
  <c r="S124" i="39"/>
  <c r="T124" i="39" s="1"/>
  <c r="S123" i="39"/>
  <c r="T123" i="39" s="1"/>
  <c r="S122" i="39"/>
  <c r="T122" i="39" s="1"/>
  <c r="S121" i="39"/>
  <c r="T121" i="39" s="1"/>
  <c r="S120" i="39"/>
  <c r="T120" i="39" s="1"/>
  <c r="S119" i="39"/>
  <c r="T119" i="39" s="1"/>
  <c r="S118" i="39"/>
  <c r="T118" i="39" s="1"/>
  <c r="S117" i="39"/>
  <c r="T117" i="39" s="1"/>
  <c r="S116" i="39"/>
  <c r="T116" i="39" s="1"/>
  <c r="S115" i="39"/>
  <c r="T115" i="39" s="1"/>
  <c r="S114" i="39"/>
  <c r="T114" i="39" s="1"/>
  <c r="S113" i="39"/>
  <c r="T113" i="39" s="1"/>
  <c r="S112" i="39"/>
  <c r="T112" i="39" s="1"/>
  <c r="S111" i="39"/>
  <c r="T111" i="39" s="1"/>
  <c r="S110" i="39"/>
  <c r="T110" i="39" s="1"/>
  <c r="S109" i="39"/>
  <c r="T109" i="39" s="1"/>
  <c r="S108" i="39"/>
  <c r="T108" i="39" s="1"/>
  <c r="S107" i="39"/>
  <c r="T107" i="39" s="1"/>
  <c r="S106" i="39"/>
  <c r="T106" i="39" s="1"/>
  <c r="S105" i="39"/>
  <c r="T105" i="39" s="1"/>
  <c r="S104" i="39"/>
  <c r="T104" i="39" s="1"/>
  <c r="S103" i="39"/>
  <c r="T103" i="39" s="1"/>
  <c r="S102" i="39"/>
  <c r="T102" i="39" s="1"/>
  <c r="S101" i="39"/>
  <c r="T101" i="39" s="1"/>
  <c r="S100" i="39"/>
  <c r="T100" i="39" s="1"/>
  <c r="S99" i="39"/>
  <c r="T99" i="39" s="1"/>
  <c r="S98" i="39"/>
  <c r="T98" i="39" s="1"/>
  <c r="S97" i="39"/>
  <c r="T97" i="39" s="1"/>
  <c r="S96" i="39"/>
  <c r="T96" i="39" s="1"/>
  <c r="S95" i="39"/>
  <c r="T95" i="39" s="1"/>
  <c r="S94" i="39"/>
  <c r="T94" i="39" s="1"/>
  <c r="S93" i="39"/>
  <c r="T93" i="39" s="1"/>
  <c r="S92" i="39"/>
  <c r="T92" i="39" s="1"/>
  <c r="S91" i="39"/>
  <c r="T91" i="39" s="1"/>
  <c r="S90" i="39"/>
  <c r="T90" i="39" s="1"/>
  <c r="S89" i="39"/>
  <c r="T89" i="39" s="1"/>
  <c r="S88" i="39"/>
  <c r="T88" i="39" s="1"/>
  <c r="S87" i="39"/>
  <c r="T87" i="39" s="1"/>
  <c r="S86" i="39"/>
  <c r="T86" i="39" s="1"/>
  <c r="S85" i="39"/>
  <c r="T85" i="39" s="1"/>
  <c r="S84" i="39"/>
  <c r="T84" i="39" s="1"/>
  <c r="S83" i="39"/>
  <c r="T83" i="39" s="1"/>
  <c r="S82" i="39"/>
  <c r="T82" i="39" s="1"/>
  <c r="S81" i="39"/>
  <c r="T81" i="39" s="1"/>
  <c r="S80" i="39"/>
  <c r="T80" i="39" s="1"/>
  <c r="S79" i="39"/>
  <c r="T79" i="39" s="1"/>
  <c r="S78" i="39"/>
  <c r="T78" i="39" s="1"/>
  <c r="S77" i="39"/>
  <c r="T77" i="39" s="1"/>
  <c r="S76" i="39"/>
  <c r="T76" i="39" s="1"/>
  <c r="S75" i="39"/>
  <c r="T75" i="39" s="1"/>
  <c r="S74" i="39"/>
  <c r="T74" i="39" s="1"/>
  <c r="S73" i="39"/>
  <c r="T73" i="39" s="1"/>
  <c r="S72" i="39"/>
  <c r="T72" i="39" s="1"/>
  <c r="S71" i="39"/>
  <c r="T71" i="39" s="1"/>
  <c r="S70" i="39"/>
  <c r="T70" i="39" s="1"/>
  <c r="S69" i="39"/>
  <c r="T69" i="39" s="1"/>
  <c r="S68" i="39"/>
  <c r="T68" i="39" s="1"/>
  <c r="S67" i="39"/>
  <c r="T67" i="39" s="1"/>
  <c r="S66" i="39"/>
  <c r="T66" i="39" s="1"/>
  <c r="S65" i="39"/>
  <c r="T65" i="39" s="1"/>
  <c r="S64" i="39"/>
  <c r="T64" i="39" s="1"/>
  <c r="S63" i="39"/>
  <c r="T63" i="39" s="1"/>
  <c r="S62" i="39"/>
  <c r="T62" i="39" s="1"/>
  <c r="S61" i="39"/>
  <c r="T61" i="39" s="1"/>
  <c r="S60" i="39"/>
  <c r="T60" i="39" s="1"/>
  <c r="S59" i="39"/>
  <c r="T59" i="39" s="1"/>
  <c r="S58" i="39"/>
  <c r="T58" i="39" s="1"/>
  <c r="S57" i="39"/>
  <c r="T57" i="39" s="1"/>
  <c r="S56" i="39"/>
  <c r="T56" i="39" s="1"/>
  <c r="S55" i="39"/>
  <c r="T55" i="39" s="1"/>
  <c r="S54" i="39"/>
  <c r="T54" i="39" s="1"/>
  <c r="S53" i="39"/>
  <c r="T53" i="39" s="1"/>
  <c r="S52" i="39"/>
  <c r="T52" i="39" s="1"/>
  <c r="S51" i="39"/>
  <c r="T51" i="39" s="1"/>
  <c r="S50" i="39"/>
  <c r="T50" i="39" s="1"/>
  <c r="S49" i="39"/>
  <c r="T49" i="39" s="1"/>
  <c r="S48" i="39"/>
  <c r="T48" i="39" s="1"/>
  <c r="S47" i="39"/>
  <c r="T47" i="39" s="1"/>
  <c r="S46" i="39"/>
  <c r="T46" i="39" s="1"/>
  <c r="S45" i="39"/>
  <c r="T45" i="39" s="1"/>
  <c r="S44" i="39"/>
  <c r="T44" i="39" s="1"/>
  <c r="S43" i="39"/>
  <c r="T43" i="39" s="1"/>
  <c r="S42" i="39"/>
  <c r="T42" i="39" s="1"/>
  <c r="S41" i="39"/>
  <c r="T41" i="39" s="1"/>
  <c r="S40" i="39"/>
  <c r="T40" i="39" s="1"/>
  <c r="S39" i="39"/>
  <c r="T39" i="39" s="1"/>
  <c r="S38" i="39"/>
  <c r="T38" i="39" s="1"/>
  <c r="S37" i="39"/>
  <c r="T37" i="39" s="1"/>
  <c r="S36" i="39"/>
  <c r="T36" i="39" s="1"/>
  <c r="S35" i="39"/>
  <c r="T35" i="39" s="1"/>
  <c r="S34" i="39"/>
  <c r="T34" i="39" s="1"/>
  <c r="S33" i="39"/>
  <c r="T33" i="39" s="1"/>
  <c r="S32" i="39"/>
  <c r="T32" i="39" s="1"/>
  <c r="S31" i="39"/>
  <c r="T31" i="39" s="1"/>
  <c r="S30" i="39"/>
  <c r="T30" i="39" s="1"/>
  <c r="S29" i="39"/>
  <c r="T29" i="39" s="1"/>
  <c r="S28" i="39"/>
  <c r="T28" i="39" s="1"/>
  <c r="S27" i="39"/>
  <c r="T27" i="39" s="1"/>
  <c r="S26" i="39"/>
  <c r="T26" i="39" s="1"/>
  <c r="S25" i="39"/>
  <c r="T25" i="39" s="1"/>
  <c r="S24" i="39"/>
  <c r="T24" i="39" s="1"/>
  <c r="S23" i="39"/>
  <c r="T23" i="39" s="1"/>
  <c r="S22" i="39"/>
  <c r="T22" i="39" s="1"/>
  <c r="S21" i="39"/>
  <c r="T21" i="39" s="1"/>
  <c r="S20" i="39"/>
  <c r="T20" i="39" s="1"/>
  <c r="S19" i="39"/>
  <c r="T19" i="39" s="1"/>
  <c r="S18" i="39"/>
  <c r="T18" i="39" s="1"/>
  <c r="S17" i="39"/>
  <c r="T17" i="39" s="1"/>
  <c r="S16" i="39"/>
  <c r="T16" i="39" s="1"/>
  <c r="S15" i="39"/>
  <c r="T15" i="39" s="1"/>
  <c r="S14" i="39"/>
  <c r="T14" i="39" s="1"/>
  <c r="S13" i="39"/>
  <c r="T13" i="39" s="1"/>
  <c r="S12" i="39"/>
  <c r="T12" i="39" s="1"/>
  <c r="S11" i="39"/>
  <c r="T11" i="39" s="1"/>
  <c r="S10" i="39"/>
  <c r="T10" i="39" s="1"/>
  <c r="S9" i="39"/>
  <c r="T9" i="39" s="1"/>
  <c r="S8" i="39"/>
  <c r="T8" i="39" s="1"/>
  <c r="S7" i="39"/>
  <c r="T7" i="39" s="1"/>
  <c r="S6" i="39"/>
  <c r="T6" i="39" s="1"/>
  <c r="S5" i="39"/>
  <c r="T5" i="39" s="1"/>
  <c r="S4" i="39"/>
  <c r="T4" i="39" s="1"/>
  <c r="S3" i="39"/>
  <c r="T3" i="39" s="1"/>
  <c r="S2" i="39"/>
  <c r="T2" i="39" s="1"/>
  <c r="W40" i="39" l="1"/>
  <c r="U40" i="39"/>
  <c r="W48" i="39"/>
  <c r="U48" i="39"/>
  <c r="W56" i="39"/>
  <c r="U56" i="39"/>
  <c r="W64" i="39"/>
  <c r="U64" i="39"/>
  <c r="W72" i="39"/>
  <c r="U72" i="39"/>
  <c r="W80" i="39"/>
  <c r="U80" i="39"/>
  <c r="W88" i="39"/>
  <c r="U88" i="39"/>
  <c r="W96" i="39"/>
  <c r="U96" i="39"/>
  <c r="W104" i="39"/>
  <c r="U104" i="39"/>
  <c r="W112" i="39"/>
  <c r="U112" i="39"/>
  <c r="W120" i="39"/>
  <c r="U120" i="39"/>
  <c r="W128" i="39"/>
  <c r="U128" i="39"/>
  <c r="W136" i="39"/>
  <c r="U136" i="39"/>
  <c r="W144" i="39"/>
  <c r="U144" i="39"/>
  <c r="W152" i="39"/>
  <c r="U152" i="39"/>
  <c r="W160" i="39"/>
  <c r="U160" i="39"/>
  <c r="W168" i="39"/>
  <c r="U168" i="39"/>
  <c r="W176" i="39"/>
  <c r="U176" i="39"/>
  <c r="W184" i="39"/>
  <c r="U184" i="39"/>
  <c r="W192" i="39"/>
  <c r="U192" i="39"/>
  <c r="W200" i="39"/>
  <c r="U200" i="39"/>
  <c r="W208" i="39"/>
  <c r="U208" i="39"/>
  <c r="W216" i="39"/>
  <c r="U216" i="39"/>
  <c r="W224" i="39"/>
  <c r="U224" i="39"/>
  <c r="W232" i="39"/>
  <c r="U232" i="39"/>
  <c r="W240" i="39"/>
  <c r="U240" i="39"/>
  <c r="W248" i="39"/>
  <c r="U248" i="39"/>
  <c r="W256" i="39"/>
  <c r="U256" i="39"/>
  <c r="W264" i="39"/>
  <c r="U264" i="39"/>
  <c r="W272" i="39"/>
  <c r="U272" i="39"/>
  <c r="W280" i="39"/>
  <c r="U280" i="39"/>
  <c r="W288" i="39"/>
  <c r="U288" i="39"/>
  <c r="W296" i="39"/>
  <c r="U296" i="39"/>
  <c r="W304" i="39"/>
  <c r="U304" i="39"/>
  <c r="W312" i="39"/>
  <c r="U312" i="39"/>
  <c r="W320" i="39"/>
  <c r="U320" i="39"/>
  <c r="W328" i="39"/>
  <c r="U328" i="39"/>
  <c r="W336" i="39"/>
  <c r="U336" i="39"/>
  <c r="W16" i="39"/>
  <c r="U16" i="39"/>
  <c r="U49" i="39"/>
  <c r="W49" i="39"/>
  <c r="U97" i="39"/>
  <c r="W97" i="39"/>
  <c r="U105" i="39"/>
  <c r="W105" i="39"/>
  <c r="U113" i="39"/>
  <c r="W113" i="39"/>
  <c r="U121" i="39"/>
  <c r="W121" i="39"/>
  <c r="U129" i="39"/>
  <c r="W129" i="39"/>
  <c r="U137" i="39"/>
  <c r="W137" i="39"/>
  <c r="U145" i="39"/>
  <c r="W145" i="39"/>
  <c r="U153" i="39"/>
  <c r="W153" i="39"/>
  <c r="U161" i="39"/>
  <c r="W161" i="39"/>
  <c r="U169" i="39"/>
  <c r="W169" i="39"/>
  <c r="U177" i="39"/>
  <c r="W177" i="39"/>
  <c r="U185" i="39"/>
  <c r="W185" i="39"/>
  <c r="U193" i="39"/>
  <c r="W193" i="39"/>
  <c r="U201" i="39"/>
  <c r="W201" i="39"/>
  <c r="U209" i="39"/>
  <c r="W209" i="39"/>
  <c r="U217" i="39"/>
  <c r="W217" i="39"/>
  <c r="U225" i="39"/>
  <c r="W225" i="39"/>
  <c r="U233" i="39"/>
  <c r="W233" i="39"/>
  <c r="U241" i="39"/>
  <c r="W241" i="39"/>
  <c r="U249" i="39"/>
  <c r="W249" i="39"/>
  <c r="U257" i="39"/>
  <c r="W257" i="39"/>
  <c r="U265" i="39"/>
  <c r="W265" i="39"/>
  <c r="U273" i="39"/>
  <c r="W273" i="39"/>
  <c r="U281" i="39"/>
  <c r="W281" i="39"/>
  <c r="U289" i="39"/>
  <c r="W289" i="39"/>
  <c r="U297" i="39"/>
  <c r="W297" i="39"/>
  <c r="U305" i="39"/>
  <c r="W305" i="39"/>
  <c r="U313" i="39"/>
  <c r="W313" i="39"/>
  <c r="U321" i="39"/>
  <c r="W321" i="39"/>
  <c r="U329" i="39"/>
  <c r="W329" i="39"/>
  <c r="U337" i="39"/>
  <c r="W337" i="39"/>
  <c r="W9" i="39"/>
  <c r="U9" i="39"/>
  <c r="U81" i="39"/>
  <c r="W81" i="39"/>
  <c r="U42" i="39"/>
  <c r="W42" i="39"/>
  <c r="U74" i="39"/>
  <c r="W74" i="39"/>
  <c r="U98" i="39"/>
  <c r="W98" i="39"/>
  <c r="U106" i="39"/>
  <c r="W106" i="39"/>
  <c r="U114" i="39"/>
  <c r="W114" i="39"/>
  <c r="U122" i="39"/>
  <c r="W122" i="39"/>
  <c r="U130" i="39"/>
  <c r="W130" i="39"/>
  <c r="U138" i="39"/>
  <c r="W138" i="39"/>
  <c r="U146" i="39"/>
  <c r="W146" i="39"/>
  <c r="U154" i="39"/>
  <c r="W154" i="39"/>
  <c r="U162" i="39"/>
  <c r="W162" i="39"/>
  <c r="U170" i="39"/>
  <c r="W170" i="39"/>
  <c r="U178" i="39"/>
  <c r="W178" i="39"/>
  <c r="U186" i="39"/>
  <c r="W186" i="39"/>
  <c r="U194" i="39"/>
  <c r="W194" i="39"/>
  <c r="U202" i="39"/>
  <c r="W202" i="39"/>
  <c r="U210" i="39"/>
  <c r="W210" i="39"/>
  <c r="U218" i="39"/>
  <c r="W218" i="39"/>
  <c r="U226" i="39"/>
  <c r="W226" i="39"/>
  <c r="U234" i="39"/>
  <c r="W234" i="39"/>
  <c r="U242" i="39"/>
  <c r="W242" i="39"/>
  <c r="U250" i="39"/>
  <c r="W250" i="39"/>
  <c r="U258" i="39"/>
  <c r="W258" i="39"/>
  <c r="U266" i="39"/>
  <c r="W266" i="39"/>
  <c r="U274" i="39"/>
  <c r="W274" i="39"/>
  <c r="U282" i="39"/>
  <c r="W282" i="39"/>
  <c r="U290" i="39"/>
  <c r="W290" i="39"/>
  <c r="U298" i="39"/>
  <c r="W298" i="39"/>
  <c r="U306" i="39"/>
  <c r="W306" i="39"/>
  <c r="U314" i="39"/>
  <c r="W314" i="39"/>
  <c r="U322" i="39"/>
  <c r="W322" i="39"/>
  <c r="U330" i="39"/>
  <c r="W330" i="39"/>
  <c r="U338" i="39"/>
  <c r="W338" i="39"/>
  <c r="W24" i="39"/>
  <c r="U24" i="39"/>
  <c r="U41" i="39"/>
  <c r="W41" i="39"/>
  <c r="W2" i="39"/>
  <c r="U2" i="39"/>
  <c r="U66" i="39"/>
  <c r="W66" i="39"/>
  <c r="W19" i="39"/>
  <c r="U19" i="39"/>
  <c r="U35" i="39"/>
  <c r="W35" i="39"/>
  <c r="U43" i="39"/>
  <c r="W43" i="39"/>
  <c r="U59" i="39"/>
  <c r="W59" i="39"/>
  <c r="U67" i="39"/>
  <c r="W67" i="39"/>
  <c r="U75" i="39"/>
  <c r="W75" i="39"/>
  <c r="U83" i="39"/>
  <c r="W83" i="39"/>
  <c r="U91" i="39"/>
  <c r="W91" i="39"/>
  <c r="U99" i="39"/>
  <c r="W99" i="39"/>
  <c r="U107" i="39"/>
  <c r="W107" i="39"/>
  <c r="U115" i="39"/>
  <c r="W115" i="39"/>
  <c r="U123" i="39"/>
  <c r="W123" i="39"/>
  <c r="U131" i="39"/>
  <c r="W131" i="39"/>
  <c r="U139" i="39"/>
  <c r="W139" i="39"/>
  <c r="U147" i="39"/>
  <c r="W147" i="39"/>
  <c r="U155" i="39"/>
  <c r="W155" i="39"/>
  <c r="U163" i="39"/>
  <c r="W163" i="39"/>
  <c r="U171" i="39"/>
  <c r="W171" i="39"/>
  <c r="U179" i="39"/>
  <c r="W179" i="39"/>
  <c r="U187" i="39"/>
  <c r="W187" i="39"/>
  <c r="U195" i="39"/>
  <c r="W195" i="39"/>
  <c r="U203" i="39"/>
  <c r="W203" i="39"/>
  <c r="U211" i="39"/>
  <c r="W211" i="39"/>
  <c r="U219" i="39"/>
  <c r="W219" i="39"/>
  <c r="U227" i="39"/>
  <c r="W227" i="39"/>
  <c r="U235" i="39"/>
  <c r="W235" i="39"/>
  <c r="U243" i="39"/>
  <c r="W243" i="39"/>
  <c r="U251" i="39"/>
  <c r="W251" i="39"/>
  <c r="U259" i="39"/>
  <c r="W259" i="39"/>
  <c r="U267" i="39"/>
  <c r="W267" i="39"/>
  <c r="U275" i="39"/>
  <c r="W275" i="39"/>
  <c r="U283" i="39"/>
  <c r="W283" i="39"/>
  <c r="U291" i="39"/>
  <c r="W291" i="39"/>
  <c r="U299" i="39"/>
  <c r="W299" i="39"/>
  <c r="U307" i="39"/>
  <c r="W307" i="39"/>
  <c r="U315" i="39"/>
  <c r="W315" i="39"/>
  <c r="U323" i="39"/>
  <c r="W323" i="39"/>
  <c r="U331" i="39"/>
  <c r="W331" i="39"/>
  <c r="U339" i="39"/>
  <c r="W339" i="39"/>
  <c r="W32" i="39"/>
  <c r="U32" i="39"/>
  <c r="U57" i="39"/>
  <c r="W57" i="39"/>
  <c r="W18" i="39"/>
  <c r="U18" i="39"/>
  <c r="U50" i="39"/>
  <c r="W50" i="39"/>
  <c r="W11" i="39"/>
  <c r="U11" i="39"/>
  <c r="W27" i="39"/>
  <c r="U27" i="39"/>
  <c r="U51" i="39"/>
  <c r="W51" i="39"/>
  <c r="W4" i="39"/>
  <c r="U4" i="39"/>
  <c r="W12" i="39"/>
  <c r="U12" i="39"/>
  <c r="W20" i="39"/>
  <c r="U20" i="39"/>
  <c r="W28" i="39"/>
  <c r="U28" i="39"/>
  <c r="U36" i="39"/>
  <c r="W36" i="39"/>
  <c r="U44" i="39"/>
  <c r="W44" i="39"/>
  <c r="U52" i="39"/>
  <c r="W52" i="39"/>
  <c r="U60" i="39"/>
  <c r="W60" i="39"/>
  <c r="U68" i="39"/>
  <c r="W68" i="39"/>
  <c r="U76" i="39"/>
  <c r="W76" i="39"/>
  <c r="U84" i="39"/>
  <c r="W84" i="39"/>
  <c r="U92" i="39"/>
  <c r="W92" i="39"/>
  <c r="U100" i="39"/>
  <c r="W100" i="39"/>
  <c r="U108" i="39"/>
  <c r="W108" i="39"/>
  <c r="U116" i="39"/>
  <c r="W116" i="39"/>
  <c r="U124" i="39"/>
  <c r="W124" i="39"/>
  <c r="U132" i="39"/>
  <c r="W132" i="39"/>
  <c r="U140" i="39"/>
  <c r="W140" i="39"/>
  <c r="U148" i="39"/>
  <c r="W148" i="39"/>
  <c r="U156" i="39"/>
  <c r="W156" i="39"/>
  <c r="U164" i="39"/>
  <c r="W164" i="39"/>
  <c r="U172" i="39"/>
  <c r="W172" i="39"/>
  <c r="U180" i="39"/>
  <c r="W180" i="39"/>
  <c r="U188" i="39"/>
  <c r="W188" i="39"/>
  <c r="U196" i="39"/>
  <c r="W196" i="39"/>
  <c r="U204" i="39"/>
  <c r="W204" i="39"/>
  <c r="U212" i="39"/>
  <c r="W212" i="39"/>
  <c r="U220" i="39"/>
  <c r="W220" i="39"/>
  <c r="U228" i="39"/>
  <c r="W228" i="39"/>
  <c r="U236" i="39"/>
  <c r="W236" i="39"/>
  <c r="U244" i="39"/>
  <c r="W244" i="39"/>
  <c r="U252" i="39"/>
  <c r="W252" i="39"/>
  <c r="U260" i="39"/>
  <c r="W260" i="39"/>
  <c r="U268" i="39"/>
  <c r="W268" i="39"/>
  <c r="U276" i="39"/>
  <c r="W276" i="39"/>
  <c r="U284" i="39"/>
  <c r="W284" i="39"/>
  <c r="U292" i="39"/>
  <c r="W292" i="39"/>
  <c r="U300" i="39"/>
  <c r="W300" i="39"/>
  <c r="U308" i="39"/>
  <c r="W308" i="39"/>
  <c r="U316" i="39"/>
  <c r="W316" i="39"/>
  <c r="U324" i="39"/>
  <c r="W324" i="39"/>
  <c r="U332" i="39"/>
  <c r="W332" i="39"/>
  <c r="U340" i="39"/>
  <c r="W340" i="39"/>
  <c r="W17" i="39"/>
  <c r="U17" i="39"/>
  <c r="U65" i="39"/>
  <c r="W65" i="39"/>
  <c r="W10" i="39"/>
  <c r="U10" i="39"/>
  <c r="U58" i="39"/>
  <c r="W58" i="39"/>
  <c r="W3" i="39"/>
  <c r="U3" i="39"/>
  <c r="W5" i="39"/>
  <c r="U5" i="39"/>
  <c r="U13" i="39"/>
  <c r="W13" i="39"/>
  <c r="U21" i="39"/>
  <c r="W21" i="39"/>
  <c r="U29" i="39"/>
  <c r="W29" i="39"/>
  <c r="U37" i="39"/>
  <c r="W37" i="39"/>
  <c r="U45" i="39"/>
  <c r="W45" i="39"/>
  <c r="U53" i="39"/>
  <c r="W53" i="39"/>
  <c r="U61" i="39"/>
  <c r="W61" i="39"/>
  <c r="U69" i="39"/>
  <c r="W69" i="39"/>
  <c r="U77" i="39"/>
  <c r="W77" i="39"/>
  <c r="U85" i="39"/>
  <c r="W85" i="39"/>
  <c r="U93" i="39"/>
  <c r="W93" i="39"/>
  <c r="U101" i="39"/>
  <c r="W101" i="39"/>
  <c r="U109" i="39"/>
  <c r="W109" i="39"/>
  <c r="U117" i="39"/>
  <c r="W117" i="39"/>
  <c r="U125" i="39"/>
  <c r="W125" i="39"/>
  <c r="U133" i="39"/>
  <c r="W133" i="39"/>
  <c r="U141" i="39"/>
  <c r="W141" i="39"/>
  <c r="U149" i="39"/>
  <c r="W149" i="39"/>
  <c r="U157" i="39"/>
  <c r="W157" i="39"/>
  <c r="U165" i="39"/>
  <c r="W165" i="39"/>
  <c r="U173" i="39"/>
  <c r="W173" i="39"/>
  <c r="U181" i="39"/>
  <c r="W181" i="39"/>
  <c r="U189" i="39"/>
  <c r="W189" i="39"/>
  <c r="U197" i="39"/>
  <c r="W197" i="39"/>
  <c r="U205" i="39"/>
  <c r="W205" i="39"/>
  <c r="U213" i="39"/>
  <c r="W213" i="39"/>
  <c r="U221" i="39"/>
  <c r="W221" i="39"/>
  <c r="U229" i="39"/>
  <c r="W229" i="39"/>
  <c r="U237" i="39"/>
  <c r="W237" i="39"/>
  <c r="U245" i="39"/>
  <c r="W245" i="39"/>
  <c r="U253" i="39"/>
  <c r="W253" i="39"/>
  <c r="U261" i="39"/>
  <c r="W261" i="39"/>
  <c r="U269" i="39"/>
  <c r="W269" i="39"/>
  <c r="U277" i="39"/>
  <c r="W277" i="39"/>
  <c r="U285" i="39"/>
  <c r="W285" i="39"/>
  <c r="U293" i="39"/>
  <c r="W293" i="39"/>
  <c r="U301" i="39"/>
  <c r="W301" i="39"/>
  <c r="U309" i="39"/>
  <c r="W309" i="39"/>
  <c r="U317" i="39"/>
  <c r="W317" i="39"/>
  <c r="U325" i="39"/>
  <c r="W325" i="39"/>
  <c r="U333" i="39"/>
  <c r="W333" i="39"/>
  <c r="U341" i="39"/>
  <c r="W341" i="39"/>
  <c r="U25" i="39"/>
  <c r="W25" i="39"/>
  <c r="U73" i="39"/>
  <c r="W73" i="39"/>
  <c r="W26" i="39"/>
  <c r="U26" i="39"/>
  <c r="U82" i="39"/>
  <c r="W82" i="39"/>
  <c r="W6" i="39"/>
  <c r="U6" i="39"/>
  <c r="W14" i="39"/>
  <c r="U14" i="39"/>
  <c r="W22" i="39"/>
  <c r="U22" i="39"/>
  <c r="W30" i="39"/>
  <c r="U30" i="39"/>
  <c r="U38" i="39"/>
  <c r="W38" i="39"/>
  <c r="U46" i="39"/>
  <c r="W46" i="39"/>
  <c r="U54" i="39"/>
  <c r="W54" i="39"/>
  <c r="U62" i="39"/>
  <c r="W62" i="39"/>
  <c r="U70" i="39"/>
  <c r="W70" i="39"/>
  <c r="U78" i="39"/>
  <c r="W78" i="39"/>
  <c r="U86" i="39"/>
  <c r="W86" i="39"/>
  <c r="U94" i="39"/>
  <c r="W94" i="39"/>
  <c r="U102" i="39"/>
  <c r="W102" i="39"/>
  <c r="U110" i="39"/>
  <c r="W110" i="39"/>
  <c r="U118" i="39"/>
  <c r="W118" i="39"/>
  <c r="U126" i="39"/>
  <c r="W126" i="39"/>
  <c r="U134" i="39"/>
  <c r="W134" i="39"/>
  <c r="U142" i="39"/>
  <c r="W142" i="39"/>
  <c r="U150" i="39"/>
  <c r="W150" i="39"/>
  <c r="U158" i="39"/>
  <c r="W158" i="39"/>
  <c r="U166" i="39"/>
  <c r="W166" i="39"/>
  <c r="U174" i="39"/>
  <c r="W174" i="39"/>
  <c r="U182" i="39"/>
  <c r="W182" i="39"/>
  <c r="U190" i="39"/>
  <c r="W190" i="39"/>
  <c r="U198" i="39"/>
  <c r="W198" i="39"/>
  <c r="U206" i="39"/>
  <c r="W206" i="39"/>
  <c r="U214" i="39"/>
  <c r="W214" i="39"/>
  <c r="U222" i="39"/>
  <c r="W222" i="39"/>
  <c r="U230" i="39"/>
  <c r="W230" i="39"/>
  <c r="U238" i="39"/>
  <c r="W238" i="39"/>
  <c r="U246" i="39"/>
  <c r="W246" i="39"/>
  <c r="U254" i="39"/>
  <c r="W254" i="39"/>
  <c r="U262" i="39"/>
  <c r="W262" i="39"/>
  <c r="U270" i="39"/>
  <c r="W270" i="39"/>
  <c r="U278" i="39"/>
  <c r="W278" i="39"/>
  <c r="U286" i="39"/>
  <c r="W286" i="39"/>
  <c r="U294" i="39"/>
  <c r="W294" i="39"/>
  <c r="U302" i="39"/>
  <c r="W302" i="39"/>
  <c r="U310" i="39"/>
  <c r="W310" i="39"/>
  <c r="U318" i="39"/>
  <c r="W318" i="39"/>
  <c r="U326" i="39"/>
  <c r="W326" i="39"/>
  <c r="U334" i="39"/>
  <c r="W334" i="39"/>
  <c r="U342" i="39"/>
  <c r="W342" i="39"/>
  <c r="W8" i="39"/>
  <c r="U8" i="39"/>
  <c r="U33" i="39"/>
  <c r="W33" i="39"/>
  <c r="U89" i="39"/>
  <c r="W89" i="39"/>
  <c r="W34" i="39"/>
  <c r="U34" i="39"/>
  <c r="U90" i="39"/>
  <c r="W90" i="39"/>
  <c r="W7" i="39"/>
  <c r="U7" i="39"/>
  <c r="U15" i="39"/>
  <c r="W15" i="39"/>
  <c r="U23" i="39"/>
  <c r="W23" i="39"/>
  <c r="U31" i="39"/>
  <c r="W31" i="39"/>
  <c r="U39" i="39"/>
  <c r="W39" i="39"/>
  <c r="U47" i="39"/>
  <c r="W47" i="39"/>
  <c r="U55" i="39"/>
  <c r="W55" i="39"/>
  <c r="U63" i="39"/>
  <c r="W63" i="39"/>
  <c r="U71" i="39"/>
  <c r="W71" i="39"/>
  <c r="U79" i="39"/>
  <c r="W79" i="39"/>
  <c r="U87" i="39"/>
  <c r="W87" i="39"/>
  <c r="U95" i="39"/>
  <c r="W95" i="39"/>
  <c r="U103" i="39"/>
  <c r="W103" i="39"/>
  <c r="U111" i="39"/>
  <c r="W111" i="39"/>
  <c r="U119" i="39"/>
  <c r="W119" i="39"/>
  <c r="U127" i="39"/>
  <c r="W127" i="39"/>
  <c r="U135" i="39"/>
  <c r="W135" i="39"/>
  <c r="U143" i="39"/>
  <c r="W143" i="39"/>
  <c r="U151" i="39"/>
  <c r="W151" i="39"/>
  <c r="U159" i="39"/>
  <c r="W159" i="39"/>
  <c r="U167" i="39"/>
  <c r="W167" i="39"/>
  <c r="U175" i="39"/>
  <c r="W175" i="39"/>
  <c r="U183" i="39"/>
  <c r="W183" i="39"/>
  <c r="U191" i="39"/>
  <c r="W191" i="39"/>
  <c r="U199" i="39"/>
  <c r="W199" i="39"/>
  <c r="U207" i="39"/>
  <c r="W207" i="39"/>
  <c r="U215" i="39"/>
  <c r="W215" i="39"/>
  <c r="U223" i="39"/>
  <c r="W223" i="39"/>
  <c r="U231" i="39"/>
  <c r="W231" i="39"/>
  <c r="U239" i="39"/>
  <c r="W239" i="39"/>
  <c r="U247" i="39"/>
  <c r="W247" i="39"/>
  <c r="U255" i="39"/>
  <c r="W255" i="39"/>
  <c r="U263" i="39"/>
  <c r="W263" i="39"/>
  <c r="U271" i="39"/>
  <c r="W271" i="39"/>
  <c r="U279" i="39"/>
  <c r="W279" i="39"/>
  <c r="U287" i="39"/>
  <c r="W287" i="39"/>
  <c r="U295" i="39"/>
  <c r="W295" i="39"/>
  <c r="U303" i="39"/>
  <c r="W303" i="39"/>
  <c r="U311" i="39"/>
  <c r="W311" i="39"/>
  <c r="U319" i="39"/>
  <c r="W319" i="39"/>
  <c r="U327" i="39"/>
  <c r="W327" i="39"/>
  <c r="U335" i="39"/>
  <c r="W335" i="39"/>
  <c r="U343" i="39"/>
  <c r="W343" i="39"/>
  <c r="J344" i="39"/>
  <c r="I344" i="39"/>
  <c r="H344" i="39"/>
  <c r="G344" i="39"/>
  <c r="F344" i="39"/>
  <c r="E344" i="39"/>
  <c r="D344" i="39"/>
  <c r="C344" i="39"/>
  <c r="T344" i="39" s="1"/>
  <c r="W344" i="39" s="1"/>
  <c r="V344" i="39"/>
  <c r="U344" i="39" l="1"/>
  <c r="W346" i="39"/>
  <c r="I5" i="28"/>
  <c r="F5" i="28"/>
  <c r="C5" i="28"/>
  <c r="AA28" i="3"/>
  <c r="AA27" i="3"/>
  <c r="AA26" i="3"/>
  <c r="AA25" i="3"/>
  <c r="AA24" i="3"/>
  <c r="AA63" i="3" s="1"/>
  <c r="AA23" i="3"/>
  <c r="AA62" i="3" s="1"/>
  <c r="AA22" i="3"/>
  <c r="AA61" i="3" s="1"/>
  <c r="AA21" i="3"/>
  <c r="AA60" i="3" s="1"/>
  <c r="AA20" i="3"/>
  <c r="AA59" i="3" s="1"/>
  <c r="AA19" i="3"/>
  <c r="AA18" i="3"/>
  <c r="AA17" i="3"/>
  <c r="AA16" i="3"/>
  <c r="AA15" i="3"/>
  <c r="AA14" i="3"/>
  <c r="AA13" i="3"/>
  <c r="AA12" i="3"/>
  <c r="AA11" i="3"/>
  <c r="AA10" i="3"/>
  <c r="AA9" i="3"/>
  <c r="AA8" i="3"/>
  <c r="AA7" i="3"/>
  <c r="AA6" i="3"/>
  <c r="AA5" i="3"/>
  <c r="AA4" i="3"/>
  <c r="AA3" i="3"/>
  <c r="AR343" i="25"/>
  <c r="AS343" i="25" s="1"/>
  <c r="AR230" i="25"/>
  <c r="AS230" i="25" s="1"/>
  <c r="AR72" i="25"/>
  <c r="AS72" i="25" s="1"/>
  <c r="AA57" i="3" l="1"/>
  <c r="AA54" i="3"/>
  <c r="AA58" i="3"/>
  <c r="AA55" i="3"/>
  <c r="AA56" i="3"/>
  <c r="AR342" i="25"/>
  <c r="AS342" i="25" s="1"/>
  <c r="AR229" i="25"/>
  <c r="AS229" i="25" s="1"/>
  <c r="AR71" i="25"/>
  <c r="AS71" i="25" s="1"/>
  <c r="AG6" i="7"/>
  <c r="AG5" i="7"/>
  <c r="AF9" i="7"/>
  <c r="AF10" i="7"/>
  <c r="AF11" i="7" l="1"/>
  <c r="F15" i="28"/>
  <c r="F12" i="28"/>
  <c r="H12" i="28" l="1"/>
  <c r="G12" i="28"/>
  <c r="X301" i="35"/>
  <c r="S388" i="33"/>
  <c r="R388" i="33"/>
  <c r="Q388" i="33"/>
  <c r="O388" i="33"/>
  <c r="N388" i="33"/>
  <c r="M388" i="33"/>
  <c r="K388" i="33"/>
  <c r="J388" i="33"/>
  <c r="I388" i="33"/>
  <c r="H388" i="33"/>
  <c r="G388" i="33"/>
  <c r="F388" i="33"/>
  <c r="E388" i="33"/>
  <c r="D388" i="33"/>
  <c r="C388" i="33"/>
  <c r="B388" i="33"/>
  <c r="T17" i="21"/>
  <c r="U17" i="21" s="1"/>
  <c r="W354" i="21"/>
  <c r="T354" i="21"/>
  <c r="S354" i="21"/>
  <c r="R354" i="21"/>
  <c r="Q354" i="21"/>
  <c r="O354" i="21"/>
  <c r="N354" i="21"/>
  <c r="M354" i="21"/>
  <c r="L354" i="21"/>
  <c r="K354" i="21"/>
  <c r="J354" i="21"/>
  <c r="I354" i="21"/>
  <c r="H354" i="21"/>
  <c r="G354" i="21"/>
  <c r="F354" i="21"/>
  <c r="E354" i="21"/>
  <c r="D354" i="21"/>
  <c r="T17" i="32"/>
  <c r="T301" i="32"/>
  <c r="T301" i="21"/>
  <c r="U301" i="21" s="1"/>
  <c r="W350" i="21"/>
  <c r="S350" i="21"/>
  <c r="R350" i="21"/>
  <c r="Q350" i="21"/>
  <c r="O350" i="21"/>
  <c r="N350" i="21"/>
  <c r="M350" i="21"/>
  <c r="L350" i="21"/>
  <c r="K350" i="21"/>
  <c r="J350" i="21"/>
  <c r="I350" i="21"/>
  <c r="H350" i="21"/>
  <c r="G350" i="21"/>
  <c r="F350" i="21"/>
  <c r="E350" i="21"/>
  <c r="D350" i="21"/>
  <c r="W17" i="32" l="1"/>
  <c r="U17" i="32"/>
  <c r="V17" i="21"/>
  <c r="X17" i="21"/>
  <c r="T350" i="21"/>
  <c r="X301" i="21"/>
  <c r="V301" i="21"/>
  <c r="W301" i="32"/>
  <c r="U301" i="32"/>
  <c r="S344" i="27"/>
  <c r="S343" i="27"/>
  <c r="S342" i="27"/>
  <c r="S341" i="27"/>
  <c r="S340" i="27"/>
  <c r="S339" i="27"/>
  <c r="S338" i="27"/>
  <c r="S337" i="27"/>
  <c r="S336" i="27"/>
  <c r="S335" i="27"/>
  <c r="S334" i="27"/>
  <c r="S333" i="27"/>
  <c r="S332" i="27"/>
  <c r="S331" i="27"/>
  <c r="S330" i="27"/>
  <c r="S329" i="27"/>
  <c r="S328" i="27"/>
  <c r="S327" i="27"/>
  <c r="S326" i="27"/>
  <c r="S325" i="27"/>
  <c r="S324" i="27"/>
  <c r="S323" i="27"/>
  <c r="S322" i="27"/>
  <c r="S321" i="27"/>
  <c r="S320" i="27"/>
  <c r="S319" i="27"/>
  <c r="S318" i="27"/>
  <c r="S317" i="27"/>
  <c r="S316" i="27"/>
  <c r="S315" i="27"/>
  <c r="S314" i="27"/>
  <c r="S313" i="27"/>
  <c r="S312" i="27"/>
  <c r="S311" i="27"/>
  <c r="S310" i="27"/>
  <c r="S309" i="27"/>
  <c r="S308" i="27"/>
  <c r="S307" i="27"/>
  <c r="S306" i="27"/>
  <c r="S305" i="27"/>
  <c r="S304" i="27"/>
  <c r="S303" i="27"/>
  <c r="S302" i="27"/>
  <c r="S301" i="27"/>
  <c r="S300" i="27"/>
  <c r="S299" i="27"/>
  <c r="S298" i="27"/>
  <c r="S297" i="27"/>
  <c r="S296" i="27"/>
  <c r="S295" i="27"/>
  <c r="S294" i="27"/>
  <c r="S293" i="27"/>
  <c r="S292" i="27"/>
  <c r="S291" i="27"/>
  <c r="S290" i="27"/>
  <c r="S289" i="27"/>
  <c r="S288" i="27"/>
  <c r="S287" i="27"/>
  <c r="S286" i="27"/>
  <c r="S285" i="27"/>
  <c r="S284" i="27"/>
  <c r="S283" i="27"/>
  <c r="S282" i="27"/>
  <c r="S281" i="27"/>
  <c r="S280" i="27"/>
  <c r="S279" i="27"/>
  <c r="S278" i="27"/>
  <c r="S277" i="27"/>
  <c r="S276" i="27"/>
  <c r="S275" i="27"/>
  <c r="S274" i="27"/>
  <c r="S273" i="27"/>
  <c r="S272" i="27"/>
  <c r="S271" i="27"/>
  <c r="S270" i="27"/>
  <c r="S269" i="27"/>
  <c r="S268" i="27"/>
  <c r="S267" i="27"/>
  <c r="S266" i="27"/>
  <c r="S265" i="27"/>
  <c r="S264" i="27"/>
  <c r="S263" i="27"/>
  <c r="S262" i="27"/>
  <c r="S261" i="27"/>
  <c r="S260" i="27"/>
  <c r="S259" i="27"/>
  <c r="S258" i="27"/>
  <c r="S257" i="27"/>
  <c r="S256" i="27"/>
  <c r="S255" i="27"/>
  <c r="S254" i="27"/>
  <c r="S253" i="27"/>
  <c r="S252" i="27"/>
  <c r="S251" i="27"/>
  <c r="S250" i="27"/>
  <c r="S249" i="27"/>
  <c r="S248" i="27"/>
  <c r="S247" i="27"/>
  <c r="S246" i="27"/>
  <c r="S245" i="27"/>
  <c r="S244" i="27"/>
  <c r="S243" i="27"/>
  <c r="S242" i="27"/>
  <c r="S241" i="27"/>
  <c r="S240" i="27"/>
  <c r="S239" i="27"/>
  <c r="S238" i="27"/>
  <c r="S237" i="27"/>
  <c r="S236" i="27"/>
  <c r="S235" i="27"/>
  <c r="S234" i="27"/>
  <c r="S233" i="27"/>
  <c r="S232" i="27"/>
  <c r="S231" i="27"/>
  <c r="S230" i="27"/>
  <c r="S229" i="27"/>
  <c r="S228" i="27"/>
  <c r="S227" i="27"/>
  <c r="S226" i="27"/>
  <c r="S225" i="27"/>
  <c r="S224" i="27"/>
  <c r="S223" i="27"/>
  <c r="S222" i="27"/>
  <c r="S221" i="27"/>
  <c r="S220" i="27"/>
  <c r="S219" i="27"/>
  <c r="S218" i="27"/>
  <c r="S217" i="27"/>
  <c r="S216" i="27"/>
  <c r="S215" i="27"/>
  <c r="S214" i="27"/>
  <c r="S213" i="27"/>
  <c r="S212" i="27"/>
  <c r="S211" i="27"/>
  <c r="S210" i="27"/>
  <c r="S209" i="27"/>
  <c r="S208" i="27"/>
  <c r="S207" i="27"/>
  <c r="S206" i="27"/>
  <c r="S205" i="27"/>
  <c r="S204" i="27"/>
  <c r="S203" i="27"/>
  <c r="S202" i="27"/>
  <c r="S201" i="27"/>
  <c r="S200" i="27"/>
  <c r="S199" i="27"/>
  <c r="S198" i="27"/>
  <c r="S197" i="27"/>
  <c r="S196" i="27"/>
  <c r="S195" i="27"/>
  <c r="S194" i="27"/>
  <c r="S193" i="27"/>
  <c r="S192" i="27"/>
  <c r="S191" i="27"/>
  <c r="S190" i="27"/>
  <c r="S189" i="27"/>
  <c r="S188" i="27"/>
  <c r="S187" i="27"/>
  <c r="S186" i="27"/>
  <c r="S185" i="27"/>
  <c r="S184" i="27"/>
  <c r="S183" i="27"/>
  <c r="S182" i="27"/>
  <c r="S181" i="27"/>
  <c r="S180" i="27"/>
  <c r="S179" i="27"/>
  <c r="S178" i="27"/>
  <c r="S177" i="27"/>
  <c r="S176" i="27"/>
  <c r="S175" i="27"/>
  <c r="S174" i="27"/>
  <c r="S173" i="27"/>
  <c r="S172" i="27"/>
  <c r="S171" i="27"/>
  <c r="S170" i="27"/>
  <c r="S169" i="27"/>
  <c r="S168" i="27"/>
  <c r="S167" i="27"/>
  <c r="S166" i="27"/>
  <c r="S165" i="27"/>
  <c r="S164" i="27"/>
  <c r="S163" i="27"/>
  <c r="S162" i="27"/>
  <c r="S161" i="27"/>
  <c r="S160" i="27"/>
  <c r="S159" i="27"/>
  <c r="S158" i="27"/>
  <c r="S157" i="27"/>
  <c r="S156" i="27"/>
  <c r="S155" i="27"/>
  <c r="S154" i="27"/>
  <c r="S153" i="27"/>
  <c r="S152" i="27"/>
  <c r="S151" i="27"/>
  <c r="S150" i="27"/>
  <c r="S149" i="27"/>
  <c r="S148" i="27"/>
  <c r="S147" i="27"/>
  <c r="S146" i="27"/>
  <c r="S145" i="27"/>
  <c r="S144" i="27"/>
  <c r="S143" i="27"/>
  <c r="S142" i="27"/>
  <c r="S141" i="27"/>
  <c r="S140" i="27"/>
  <c r="S139" i="27"/>
  <c r="S138" i="27"/>
  <c r="S137" i="27"/>
  <c r="S136" i="27"/>
  <c r="S135" i="27"/>
  <c r="S134" i="27"/>
  <c r="S133" i="27"/>
  <c r="S132" i="27"/>
  <c r="S131" i="27"/>
  <c r="S130" i="27"/>
  <c r="S129" i="27"/>
  <c r="S128" i="27"/>
  <c r="S127" i="27"/>
  <c r="S126" i="27"/>
  <c r="S125" i="27"/>
  <c r="S124" i="27"/>
  <c r="S123" i="27"/>
  <c r="S122" i="27"/>
  <c r="S121" i="27"/>
  <c r="S120" i="27"/>
  <c r="S119" i="27"/>
  <c r="S118" i="27"/>
  <c r="S117" i="27"/>
  <c r="S116" i="27"/>
  <c r="S115" i="27"/>
  <c r="S114" i="27"/>
  <c r="S113" i="27"/>
  <c r="S112" i="27"/>
  <c r="S111" i="27"/>
  <c r="S110" i="27"/>
  <c r="S109" i="27"/>
  <c r="S108" i="27"/>
  <c r="S107" i="27"/>
  <c r="S106" i="27"/>
  <c r="S105" i="27"/>
  <c r="S104" i="27"/>
  <c r="S103" i="27"/>
  <c r="S102" i="27"/>
  <c r="S101" i="27"/>
  <c r="S100" i="27"/>
  <c r="S99" i="27"/>
  <c r="S98" i="27"/>
  <c r="S97" i="27"/>
  <c r="S96" i="27"/>
  <c r="S95" i="27"/>
  <c r="S94" i="27"/>
  <c r="S93" i="27"/>
  <c r="S92" i="27"/>
  <c r="S91" i="27"/>
  <c r="S90" i="27"/>
  <c r="S89" i="27"/>
  <c r="S88" i="27"/>
  <c r="S87" i="27"/>
  <c r="S86" i="27"/>
  <c r="S85" i="27"/>
  <c r="S84" i="27"/>
  <c r="S83" i="27"/>
  <c r="S82" i="27"/>
  <c r="S81" i="27"/>
  <c r="S80" i="27"/>
  <c r="S79" i="27"/>
  <c r="S78" i="27"/>
  <c r="S77" i="27"/>
  <c r="S76" i="27"/>
  <c r="S75" i="27"/>
  <c r="S74" i="27"/>
  <c r="S73" i="27"/>
  <c r="S72" i="27"/>
  <c r="S71" i="27"/>
  <c r="S70" i="27"/>
  <c r="S69" i="27"/>
  <c r="S68" i="27"/>
  <c r="S67" i="27"/>
  <c r="S66" i="27"/>
  <c r="S65" i="27"/>
  <c r="S64" i="27"/>
  <c r="S63" i="27"/>
  <c r="S62" i="27"/>
  <c r="S61" i="27"/>
  <c r="S60" i="27"/>
  <c r="S59" i="27"/>
  <c r="S58" i="27"/>
  <c r="S57" i="27"/>
  <c r="S56" i="27"/>
  <c r="S55" i="27"/>
  <c r="S54" i="27"/>
  <c r="S53" i="27"/>
  <c r="S52" i="27"/>
  <c r="S51" i="27"/>
  <c r="S50" i="27"/>
  <c r="S49" i="27"/>
  <c r="S48" i="27"/>
  <c r="S47" i="27"/>
  <c r="S46" i="27"/>
  <c r="S45" i="27"/>
  <c r="S44" i="27"/>
  <c r="S43" i="27"/>
  <c r="S42" i="27"/>
  <c r="S41" i="27"/>
  <c r="S40" i="27"/>
  <c r="S39" i="27"/>
  <c r="S38" i="27"/>
  <c r="S37" i="27"/>
  <c r="S36" i="27"/>
  <c r="S35" i="27"/>
  <c r="S34" i="27"/>
  <c r="S33" i="27"/>
  <c r="S32" i="27"/>
  <c r="S31" i="27"/>
  <c r="S30" i="27"/>
  <c r="S29" i="27"/>
  <c r="S28" i="27"/>
  <c r="S27" i="27"/>
  <c r="S26" i="27"/>
  <c r="S25" i="27"/>
  <c r="S24" i="27"/>
  <c r="S23" i="27"/>
  <c r="S22" i="27"/>
  <c r="S21" i="27"/>
  <c r="S20" i="27"/>
  <c r="S19" i="27"/>
  <c r="S18" i="27"/>
  <c r="S17" i="27"/>
  <c r="S16" i="27"/>
  <c r="S15" i="27"/>
  <c r="S14" i="27"/>
  <c r="S13" i="27"/>
  <c r="S12" i="27"/>
  <c r="S11" i="27"/>
  <c r="S10" i="27"/>
  <c r="S9" i="27"/>
  <c r="S8" i="27"/>
  <c r="S7" i="27"/>
  <c r="S6" i="27"/>
  <c r="S5" i="27"/>
  <c r="S4" i="27"/>
  <c r="S3" i="27"/>
  <c r="S2" i="27"/>
  <c r="T2" i="27" s="1"/>
  <c r="G344" i="27"/>
  <c r="E301" i="37" l="1"/>
  <c r="V397" i="37"/>
  <c r="U397" i="37"/>
  <c r="T397" i="37"/>
  <c r="S397" i="37"/>
  <c r="R397" i="37"/>
  <c r="Q397" i="37"/>
  <c r="P397" i="37"/>
  <c r="O397" i="37"/>
  <c r="M397" i="37"/>
  <c r="L397" i="37"/>
  <c r="K397" i="37"/>
  <c r="J397" i="37"/>
  <c r="I397" i="37"/>
  <c r="H397" i="37"/>
  <c r="F397" i="37"/>
  <c r="M17" i="37"/>
  <c r="L17" i="37"/>
  <c r="K17" i="37"/>
  <c r="J17" i="37"/>
  <c r="I17" i="37"/>
  <c r="H17" i="37"/>
  <c r="V392" i="37"/>
  <c r="U392" i="37"/>
  <c r="T392" i="37"/>
  <c r="R392" i="37"/>
  <c r="Q392" i="37"/>
  <c r="P392" i="37"/>
  <c r="O392" i="37"/>
  <c r="M392" i="37"/>
  <c r="L392" i="37"/>
  <c r="K392" i="37"/>
  <c r="J392" i="37"/>
  <c r="I392" i="37"/>
  <c r="H392" i="37"/>
  <c r="F392" i="37"/>
  <c r="E391" i="37"/>
  <c r="C391" i="37"/>
  <c r="X343" i="35"/>
  <c r="X342" i="35"/>
  <c r="X341" i="35"/>
  <c r="X340" i="35"/>
  <c r="X339" i="35"/>
  <c r="X338" i="35"/>
  <c r="X337" i="35"/>
  <c r="X336" i="35"/>
  <c r="X335" i="35"/>
  <c r="X334" i="35"/>
  <c r="X333" i="35"/>
  <c r="X332" i="35"/>
  <c r="X331" i="35"/>
  <c r="X330" i="35"/>
  <c r="X329" i="35"/>
  <c r="X328" i="35"/>
  <c r="X327" i="35"/>
  <c r="X326" i="35"/>
  <c r="X325" i="35"/>
  <c r="X324" i="35"/>
  <c r="X323" i="35"/>
  <c r="X322" i="35"/>
  <c r="X321" i="35"/>
  <c r="X320" i="35"/>
  <c r="X319" i="35"/>
  <c r="X318" i="35"/>
  <c r="X317" i="35"/>
  <c r="X316" i="35"/>
  <c r="X315" i="35"/>
  <c r="X314" i="35"/>
  <c r="X313" i="35"/>
  <c r="X312" i="35"/>
  <c r="X311" i="35"/>
  <c r="X310" i="35"/>
  <c r="X309" i="35"/>
  <c r="X308" i="35"/>
  <c r="X307" i="35"/>
  <c r="X306" i="35"/>
  <c r="X305" i="35"/>
  <c r="X304" i="35"/>
  <c r="X303" i="35"/>
  <c r="X300" i="35"/>
  <c r="X299" i="35"/>
  <c r="X298" i="35"/>
  <c r="X297" i="35"/>
  <c r="X296" i="35"/>
  <c r="X295" i="35"/>
  <c r="X294" i="35"/>
  <c r="X293" i="35"/>
  <c r="X292" i="35"/>
  <c r="X291" i="35"/>
  <c r="X290" i="35"/>
  <c r="X289" i="35"/>
  <c r="X288" i="35"/>
  <c r="X287" i="35"/>
  <c r="X286" i="35"/>
  <c r="X285" i="35"/>
  <c r="X284" i="35"/>
  <c r="X283" i="35"/>
  <c r="X282" i="35"/>
  <c r="X281" i="35"/>
  <c r="X280" i="35"/>
  <c r="X279" i="35"/>
  <c r="X278" i="35"/>
  <c r="X277" i="35"/>
  <c r="X276" i="35"/>
  <c r="X275" i="35"/>
  <c r="X274" i="35"/>
  <c r="X273" i="35"/>
  <c r="X272" i="35"/>
  <c r="X271" i="35"/>
  <c r="X270" i="35"/>
  <c r="X269" i="35"/>
  <c r="X268" i="35"/>
  <c r="X267" i="35"/>
  <c r="X266" i="35"/>
  <c r="X265" i="35"/>
  <c r="X264" i="35"/>
  <c r="X263" i="35"/>
  <c r="X262" i="35"/>
  <c r="X261" i="35"/>
  <c r="X260" i="35"/>
  <c r="X259" i="35"/>
  <c r="X258" i="35"/>
  <c r="X257" i="35"/>
  <c r="X256" i="35"/>
  <c r="X255" i="35"/>
  <c r="X254" i="35"/>
  <c r="X253" i="35"/>
  <c r="X252" i="35"/>
  <c r="X251" i="35"/>
  <c r="X250" i="35"/>
  <c r="X249" i="35"/>
  <c r="X248" i="35"/>
  <c r="X247" i="35"/>
  <c r="X246" i="35"/>
  <c r="X245" i="35"/>
  <c r="X244" i="35"/>
  <c r="X243" i="35"/>
  <c r="X242" i="35"/>
  <c r="X241" i="35"/>
  <c r="X240" i="35"/>
  <c r="X239" i="35"/>
  <c r="X238" i="35"/>
  <c r="X237" i="35"/>
  <c r="X236" i="35"/>
  <c r="X235" i="35"/>
  <c r="X234" i="35"/>
  <c r="X233" i="35"/>
  <c r="X232" i="35"/>
  <c r="X231" i="35"/>
  <c r="X230" i="35"/>
  <c r="X229" i="35"/>
  <c r="X228" i="35"/>
  <c r="X227" i="35"/>
  <c r="X226" i="35"/>
  <c r="X225" i="35"/>
  <c r="X224" i="35"/>
  <c r="X223" i="35"/>
  <c r="X222" i="35"/>
  <c r="X221" i="35"/>
  <c r="X220" i="35"/>
  <c r="X219" i="35"/>
  <c r="X218" i="35"/>
  <c r="X217" i="35"/>
  <c r="X216" i="35"/>
  <c r="X215" i="35"/>
  <c r="X214" i="35"/>
  <c r="X213" i="35"/>
  <c r="X212" i="35"/>
  <c r="X211" i="35"/>
  <c r="X210" i="35"/>
  <c r="X209" i="35"/>
  <c r="X208" i="35"/>
  <c r="X207" i="35"/>
  <c r="X206" i="35"/>
  <c r="X205" i="35"/>
  <c r="X204" i="35"/>
  <c r="X203" i="35"/>
  <c r="X202" i="35"/>
  <c r="X201" i="35"/>
  <c r="X200" i="35"/>
  <c r="X199" i="35"/>
  <c r="X198" i="35"/>
  <c r="X197" i="35"/>
  <c r="X196" i="35"/>
  <c r="X195" i="35"/>
  <c r="X194" i="35"/>
  <c r="X193" i="35"/>
  <c r="X192" i="35"/>
  <c r="X191" i="35"/>
  <c r="X190" i="35"/>
  <c r="X189" i="35"/>
  <c r="X188" i="35"/>
  <c r="X187" i="35"/>
  <c r="X186" i="35"/>
  <c r="X185" i="35"/>
  <c r="X184" i="35"/>
  <c r="X183" i="35"/>
  <c r="X182" i="35"/>
  <c r="X181" i="35"/>
  <c r="X180" i="35"/>
  <c r="X179" i="35"/>
  <c r="X178" i="35"/>
  <c r="X177" i="35"/>
  <c r="X176" i="35"/>
  <c r="X175" i="35"/>
  <c r="X174" i="35"/>
  <c r="X173" i="35"/>
  <c r="X172" i="35"/>
  <c r="X171" i="35"/>
  <c r="X170" i="35"/>
  <c r="X169" i="35"/>
  <c r="X168" i="35"/>
  <c r="X167" i="35"/>
  <c r="X166" i="35"/>
  <c r="X165" i="35"/>
  <c r="X164" i="35"/>
  <c r="X163" i="35"/>
  <c r="X162" i="35"/>
  <c r="X161" i="35"/>
  <c r="X160" i="35"/>
  <c r="X159" i="35"/>
  <c r="X158" i="35"/>
  <c r="X157" i="35"/>
  <c r="X156" i="35"/>
  <c r="X155" i="35"/>
  <c r="X154" i="35"/>
  <c r="X153" i="35"/>
  <c r="X152" i="35"/>
  <c r="X151" i="35"/>
  <c r="X150" i="35"/>
  <c r="X149" i="35"/>
  <c r="X148" i="35"/>
  <c r="X147" i="35"/>
  <c r="X146" i="35"/>
  <c r="X145" i="35"/>
  <c r="X144" i="35"/>
  <c r="X143" i="35"/>
  <c r="X142" i="35"/>
  <c r="X141" i="35"/>
  <c r="X140" i="35"/>
  <c r="X139" i="35"/>
  <c r="X138" i="35"/>
  <c r="X137" i="35"/>
  <c r="X136" i="35"/>
  <c r="X135" i="35"/>
  <c r="X134" i="35"/>
  <c r="X133" i="35"/>
  <c r="X132" i="35"/>
  <c r="X131" i="35"/>
  <c r="X130" i="35"/>
  <c r="X129" i="35"/>
  <c r="X128" i="35"/>
  <c r="X127" i="35"/>
  <c r="X126" i="35"/>
  <c r="X125" i="35"/>
  <c r="X124" i="35"/>
  <c r="X123" i="35"/>
  <c r="X122" i="35"/>
  <c r="X121" i="35"/>
  <c r="X120" i="35"/>
  <c r="X119" i="35"/>
  <c r="X118" i="35"/>
  <c r="X117" i="35"/>
  <c r="X116" i="35"/>
  <c r="X115" i="35"/>
  <c r="X114" i="35"/>
  <c r="X113" i="35"/>
  <c r="X112" i="35"/>
  <c r="X111" i="35"/>
  <c r="X110" i="35"/>
  <c r="X109" i="35"/>
  <c r="X108" i="35"/>
  <c r="X107" i="35"/>
  <c r="X106" i="35"/>
  <c r="X105" i="35"/>
  <c r="X104" i="35"/>
  <c r="X103" i="35"/>
  <c r="X102" i="35"/>
  <c r="X101" i="35"/>
  <c r="X100" i="35"/>
  <c r="X99" i="35"/>
  <c r="X98" i="35"/>
  <c r="X97" i="35"/>
  <c r="X96" i="35"/>
  <c r="X95" i="35"/>
  <c r="X94" i="35"/>
  <c r="X93" i="35"/>
  <c r="X92" i="35"/>
  <c r="X91" i="35"/>
  <c r="X90" i="35"/>
  <c r="X89" i="35"/>
  <c r="X88" i="35"/>
  <c r="X87" i="35"/>
  <c r="X86" i="35"/>
  <c r="X85" i="35"/>
  <c r="X84" i="35"/>
  <c r="X83" i="35"/>
  <c r="X82" i="35"/>
  <c r="X81" i="35"/>
  <c r="X80" i="35"/>
  <c r="X79" i="35"/>
  <c r="X78" i="35"/>
  <c r="X77" i="35"/>
  <c r="X76" i="35"/>
  <c r="X75" i="35"/>
  <c r="X74" i="35"/>
  <c r="X73" i="35"/>
  <c r="X72" i="35"/>
  <c r="X71" i="35"/>
  <c r="X70" i="35"/>
  <c r="X69" i="35"/>
  <c r="X68" i="35"/>
  <c r="X67" i="35"/>
  <c r="X66" i="35"/>
  <c r="X65" i="35"/>
  <c r="X64" i="35"/>
  <c r="X63" i="35"/>
  <c r="X62" i="35"/>
  <c r="X61" i="35"/>
  <c r="X60" i="35"/>
  <c r="X59" i="35"/>
  <c r="X58" i="35"/>
  <c r="X57" i="35"/>
  <c r="X56" i="35"/>
  <c r="X55" i="35"/>
  <c r="X54" i="35"/>
  <c r="X53" i="35"/>
  <c r="X52" i="35"/>
  <c r="X51" i="35"/>
  <c r="X50" i="35"/>
  <c r="X49" i="35"/>
  <c r="X48" i="35"/>
  <c r="X47" i="35"/>
  <c r="X46" i="35"/>
  <c r="X45" i="35"/>
  <c r="X44" i="35"/>
  <c r="X43" i="35"/>
  <c r="X42" i="35"/>
  <c r="X41" i="35"/>
  <c r="X40" i="35"/>
  <c r="X39" i="35"/>
  <c r="X38" i="35"/>
  <c r="X37" i="35"/>
  <c r="X36" i="35"/>
  <c r="X35" i="35"/>
  <c r="X34" i="35"/>
  <c r="X33" i="35"/>
  <c r="X32" i="35"/>
  <c r="X31" i="35"/>
  <c r="X30" i="35"/>
  <c r="X29" i="35"/>
  <c r="X28" i="35"/>
  <c r="X27" i="35"/>
  <c r="X26" i="35"/>
  <c r="X25" i="35"/>
  <c r="X24" i="35"/>
  <c r="X23" i="35"/>
  <c r="X22" i="35"/>
  <c r="X21" i="35"/>
  <c r="X20" i="35"/>
  <c r="X19" i="35"/>
  <c r="X18" i="35"/>
  <c r="X17" i="35"/>
  <c r="X16" i="35"/>
  <c r="X15" i="35"/>
  <c r="X14" i="35"/>
  <c r="X13" i="35"/>
  <c r="X12" i="35"/>
  <c r="X11" i="35"/>
  <c r="X10" i="35"/>
  <c r="X9" i="35"/>
  <c r="X8" i="35"/>
  <c r="X7" i="35"/>
  <c r="X6" i="35"/>
  <c r="X5" i="35"/>
  <c r="X4" i="35"/>
  <c r="X3" i="35"/>
  <c r="X2" i="35"/>
  <c r="E344" i="35"/>
  <c r="P344" i="35"/>
  <c r="G35" i="6"/>
  <c r="C39" i="28" s="1"/>
  <c r="C392" i="37" l="1"/>
  <c r="E397" i="37"/>
  <c r="C397" i="37"/>
  <c r="E17" i="37"/>
  <c r="E392" i="37"/>
  <c r="P343" i="21" l="1"/>
  <c r="P342" i="21"/>
  <c r="P341" i="21"/>
  <c r="P340" i="21"/>
  <c r="P339" i="21"/>
  <c r="P338" i="21"/>
  <c r="P337" i="21"/>
  <c r="P336" i="21"/>
  <c r="P335" i="21"/>
  <c r="P334" i="21"/>
  <c r="P333" i="21"/>
  <c r="P332" i="21"/>
  <c r="P331" i="21"/>
  <c r="P330" i="21"/>
  <c r="P329" i="21"/>
  <c r="P328" i="21"/>
  <c r="P327" i="21"/>
  <c r="P326" i="21"/>
  <c r="P325" i="21"/>
  <c r="P324" i="21"/>
  <c r="P323" i="21"/>
  <c r="P322" i="21"/>
  <c r="P321" i="21"/>
  <c r="P349" i="21"/>
  <c r="P320" i="21"/>
  <c r="P319" i="21"/>
  <c r="P318" i="21"/>
  <c r="P317" i="21"/>
  <c r="P316" i="21"/>
  <c r="P315" i="21"/>
  <c r="P314" i="21"/>
  <c r="P313" i="21"/>
  <c r="P353" i="21"/>
  <c r="P354" i="21" s="1"/>
  <c r="P312" i="21"/>
  <c r="P311" i="21"/>
  <c r="P310" i="21"/>
  <c r="P309" i="21"/>
  <c r="P308" i="21"/>
  <c r="P307" i="21"/>
  <c r="P306" i="21"/>
  <c r="P305" i="21"/>
  <c r="P304" i="21"/>
  <c r="P303" i="21"/>
  <c r="P302" i="21"/>
  <c r="P300" i="21"/>
  <c r="P299" i="21"/>
  <c r="P298" i="21"/>
  <c r="P297" i="21"/>
  <c r="P296" i="21"/>
  <c r="P295" i="21"/>
  <c r="P294" i="21"/>
  <c r="P293" i="21"/>
  <c r="P292" i="21"/>
  <c r="P291" i="21"/>
  <c r="P290" i="21"/>
  <c r="P289" i="21"/>
  <c r="P288" i="21"/>
  <c r="P287" i="21"/>
  <c r="P286" i="21"/>
  <c r="P285" i="21"/>
  <c r="P284" i="21"/>
  <c r="P283" i="21"/>
  <c r="P282" i="21"/>
  <c r="P281" i="21"/>
  <c r="P280" i="21"/>
  <c r="P279" i="21"/>
  <c r="P278" i="21"/>
  <c r="P277" i="21"/>
  <c r="P276" i="21"/>
  <c r="P275" i="21"/>
  <c r="P274" i="21"/>
  <c r="P273" i="21"/>
  <c r="P272" i="21"/>
  <c r="P271" i="21"/>
  <c r="P270" i="21"/>
  <c r="P269" i="21"/>
  <c r="P268" i="21"/>
  <c r="P267" i="21"/>
  <c r="P266" i="21"/>
  <c r="P265" i="21"/>
  <c r="P264" i="21"/>
  <c r="P263" i="21"/>
  <c r="P262" i="21"/>
  <c r="P261" i="21"/>
  <c r="P260" i="21"/>
  <c r="P259" i="21"/>
  <c r="P258" i="21"/>
  <c r="P257" i="21"/>
  <c r="P256" i="21"/>
  <c r="P255" i="21"/>
  <c r="P254" i="21"/>
  <c r="P253" i="21"/>
  <c r="P252" i="21"/>
  <c r="P251" i="21"/>
  <c r="P250" i="21"/>
  <c r="P249" i="21"/>
  <c r="P248" i="21"/>
  <c r="P247" i="21"/>
  <c r="P246" i="21"/>
  <c r="P245" i="21"/>
  <c r="P244" i="21"/>
  <c r="P243" i="21"/>
  <c r="P242" i="21"/>
  <c r="P241" i="21"/>
  <c r="P240" i="21"/>
  <c r="P239" i="21"/>
  <c r="P238" i="21"/>
  <c r="P237" i="21"/>
  <c r="P236" i="21"/>
  <c r="P235" i="21"/>
  <c r="P234" i="21"/>
  <c r="P233" i="21"/>
  <c r="P232" i="21"/>
  <c r="P231" i="21"/>
  <c r="P230" i="21"/>
  <c r="P229" i="21"/>
  <c r="P228" i="21"/>
  <c r="P227" i="21"/>
  <c r="P226" i="21"/>
  <c r="P225" i="21"/>
  <c r="P224" i="21"/>
  <c r="P223" i="21"/>
  <c r="P222" i="21"/>
  <c r="P221" i="21"/>
  <c r="P220" i="21"/>
  <c r="P219" i="21"/>
  <c r="P218" i="21"/>
  <c r="P217" i="21"/>
  <c r="P216" i="21"/>
  <c r="P215" i="21"/>
  <c r="P214" i="21"/>
  <c r="P213" i="21"/>
  <c r="P212" i="21"/>
  <c r="P211" i="21"/>
  <c r="P210" i="21"/>
  <c r="P209" i="21"/>
  <c r="P208" i="21"/>
  <c r="P207" i="21"/>
  <c r="P206" i="21"/>
  <c r="P205" i="21"/>
  <c r="P204" i="21"/>
  <c r="P203" i="21"/>
  <c r="P202" i="21"/>
  <c r="P201" i="21"/>
  <c r="P200" i="21"/>
  <c r="P199" i="21"/>
  <c r="P198" i="21"/>
  <c r="P197" i="21"/>
  <c r="P196" i="21"/>
  <c r="P195" i="21"/>
  <c r="P194" i="21"/>
  <c r="P193" i="21"/>
  <c r="P192" i="21"/>
  <c r="P191" i="21"/>
  <c r="P190" i="21"/>
  <c r="P189" i="21"/>
  <c r="P188" i="21"/>
  <c r="P187" i="21"/>
  <c r="P186" i="21"/>
  <c r="P185" i="21"/>
  <c r="P184" i="21"/>
  <c r="P183" i="21"/>
  <c r="P182" i="21"/>
  <c r="P181" i="21"/>
  <c r="P180" i="21"/>
  <c r="P179" i="21"/>
  <c r="P178" i="21"/>
  <c r="P177" i="21"/>
  <c r="P176" i="21"/>
  <c r="P175" i="21"/>
  <c r="P174" i="21"/>
  <c r="P173" i="21"/>
  <c r="P172" i="21"/>
  <c r="P171" i="21"/>
  <c r="P170" i="21"/>
  <c r="P169" i="21"/>
  <c r="P168" i="21"/>
  <c r="P167" i="21"/>
  <c r="P166" i="21"/>
  <c r="P165" i="21"/>
  <c r="P164" i="21"/>
  <c r="P163" i="21"/>
  <c r="P162" i="21"/>
  <c r="P161" i="21"/>
  <c r="P160" i="21"/>
  <c r="P159" i="21"/>
  <c r="P158" i="21"/>
  <c r="P157" i="21"/>
  <c r="P156" i="21"/>
  <c r="P155" i="21"/>
  <c r="P154" i="21"/>
  <c r="P153" i="21"/>
  <c r="P152" i="21"/>
  <c r="P151" i="21"/>
  <c r="P150" i="21"/>
  <c r="P149" i="21"/>
  <c r="P148" i="21"/>
  <c r="P147" i="21"/>
  <c r="P146" i="21"/>
  <c r="P145" i="21"/>
  <c r="P144" i="21"/>
  <c r="P143" i="21"/>
  <c r="P142" i="21"/>
  <c r="P141" i="21"/>
  <c r="P140" i="21"/>
  <c r="P139" i="21"/>
  <c r="P138" i="21"/>
  <c r="P137" i="21"/>
  <c r="P136" i="21"/>
  <c r="P135" i="21"/>
  <c r="P134" i="21"/>
  <c r="P133" i="21"/>
  <c r="P132" i="21"/>
  <c r="P131" i="21"/>
  <c r="P130" i="21"/>
  <c r="P129" i="21"/>
  <c r="P128" i="21"/>
  <c r="P127" i="21"/>
  <c r="P348" i="21"/>
  <c r="P350" i="21" s="1"/>
  <c r="P126" i="21"/>
  <c r="P125" i="21"/>
  <c r="P124" i="21"/>
  <c r="P123" i="21"/>
  <c r="P122" i="21"/>
  <c r="P121" i="21"/>
  <c r="P120" i="21"/>
  <c r="P119" i="21"/>
  <c r="P118" i="21"/>
  <c r="P117" i="21"/>
  <c r="P116" i="21"/>
  <c r="P115" i="21"/>
  <c r="P114" i="21"/>
  <c r="P113" i="21"/>
  <c r="P112" i="21"/>
  <c r="P111" i="21"/>
  <c r="P110" i="21"/>
  <c r="P109" i="21"/>
  <c r="P108" i="21"/>
  <c r="P107" i="21"/>
  <c r="P106" i="21"/>
  <c r="P105" i="21"/>
  <c r="P104" i="21"/>
  <c r="P103" i="21"/>
  <c r="P102" i="21"/>
  <c r="P101" i="21"/>
  <c r="P100" i="21"/>
  <c r="P99" i="21"/>
  <c r="P98" i="21"/>
  <c r="P97" i="21"/>
  <c r="P96" i="21"/>
  <c r="P95" i="21"/>
  <c r="P94" i="21"/>
  <c r="P93" i="21"/>
  <c r="P92" i="21"/>
  <c r="P91" i="21"/>
  <c r="P90" i="21"/>
  <c r="P89" i="21"/>
  <c r="P88" i="21"/>
  <c r="P87" i="21"/>
  <c r="P86" i="21"/>
  <c r="P85" i="21"/>
  <c r="P84" i="21"/>
  <c r="P83" i="21"/>
  <c r="P82" i="21"/>
  <c r="P81" i="21"/>
  <c r="P80" i="21"/>
  <c r="P79" i="21"/>
  <c r="P78" i="21"/>
  <c r="P77" i="21"/>
  <c r="P76" i="21"/>
  <c r="P75" i="21"/>
  <c r="P74" i="21"/>
  <c r="P73" i="21"/>
  <c r="P72" i="21"/>
  <c r="P71" i="21"/>
  <c r="P70" i="21"/>
  <c r="P69" i="21"/>
  <c r="P68" i="21"/>
  <c r="P67" i="21"/>
  <c r="P66" i="21"/>
  <c r="P65" i="21"/>
  <c r="P64" i="21"/>
  <c r="P63" i="21"/>
  <c r="P62" i="21"/>
  <c r="P61" i="21"/>
  <c r="P60" i="21"/>
  <c r="P59" i="21"/>
  <c r="P58" i="21"/>
  <c r="P57" i="21"/>
  <c r="P56" i="21"/>
  <c r="P55" i="21"/>
  <c r="P54" i="21"/>
  <c r="P53" i="21"/>
  <c r="P52" i="21"/>
  <c r="P51" i="21"/>
  <c r="P50" i="21"/>
  <c r="P49" i="21"/>
  <c r="P48" i="21"/>
  <c r="P47" i="21"/>
  <c r="P46" i="21"/>
  <c r="P45" i="21"/>
  <c r="P44" i="21"/>
  <c r="P43" i="21"/>
  <c r="P42" i="21"/>
  <c r="P41" i="21"/>
  <c r="P40" i="21"/>
  <c r="P39" i="21"/>
  <c r="P38" i="21"/>
  <c r="P37" i="21"/>
  <c r="P36" i="21"/>
  <c r="P35" i="21"/>
  <c r="P34" i="21"/>
  <c r="P33" i="21"/>
  <c r="P32" i="21"/>
  <c r="P31" i="21"/>
  <c r="P30" i="21"/>
  <c r="P29" i="21"/>
  <c r="P28" i="21"/>
  <c r="P27" i="21"/>
  <c r="P26" i="21"/>
  <c r="P25" i="21"/>
  <c r="P24" i="21"/>
  <c r="P23" i="21"/>
  <c r="P22" i="21"/>
  <c r="P21" i="21"/>
  <c r="P20" i="21"/>
  <c r="P19" i="21"/>
  <c r="P18" i="21"/>
  <c r="P16" i="21"/>
  <c r="P15" i="21"/>
  <c r="P14" i="21"/>
  <c r="P13" i="21"/>
  <c r="P12" i="21"/>
  <c r="P11" i="21"/>
  <c r="P10" i="21"/>
  <c r="P9" i="21"/>
  <c r="P8" i="21"/>
  <c r="P7" i="21"/>
  <c r="P6" i="21"/>
  <c r="P5" i="21"/>
  <c r="P4" i="21"/>
  <c r="P3" i="21"/>
  <c r="P2" i="21"/>
  <c r="C343" i="21"/>
  <c r="C342" i="21"/>
  <c r="C341" i="21"/>
  <c r="C340" i="21"/>
  <c r="C339" i="21"/>
  <c r="C338" i="21"/>
  <c r="C337" i="21"/>
  <c r="C336" i="21"/>
  <c r="C335" i="21"/>
  <c r="C334" i="21"/>
  <c r="C333" i="21"/>
  <c r="C332" i="21"/>
  <c r="C331" i="21"/>
  <c r="C330" i="21"/>
  <c r="C329" i="21"/>
  <c r="C328" i="21"/>
  <c r="C327" i="21"/>
  <c r="C326" i="21"/>
  <c r="C325" i="21"/>
  <c r="C324" i="21"/>
  <c r="C323" i="21"/>
  <c r="C322" i="21"/>
  <c r="C321" i="21"/>
  <c r="C349" i="21"/>
  <c r="C320" i="21"/>
  <c r="C319" i="21"/>
  <c r="C318" i="21"/>
  <c r="C317" i="21"/>
  <c r="C316" i="21"/>
  <c r="C315" i="21"/>
  <c r="C314" i="21"/>
  <c r="C313" i="21"/>
  <c r="C353" i="21"/>
  <c r="C354" i="21" s="1"/>
  <c r="U354" i="21" s="1"/>
  <c r="C312" i="21"/>
  <c r="C311" i="21"/>
  <c r="C310" i="21"/>
  <c r="C309" i="21"/>
  <c r="C308" i="21"/>
  <c r="C307" i="21"/>
  <c r="C306" i="21"/>
  <c r="C305" i="21"/>
  <c r="C304" i="21"/>
  <c r="C303" i="21"/>
  <c r="C302" i="21"/>
  <c r="C300" i="21"/>
  <c r="C299" i="21"/>
  <c r="C298" i="21"/>
  <c r="C297" i="21"/>
  <c r="C296" i="21"/>
  <c r="C295" i="21"/>
  <c r="C294" i="21"/>
  <c r="C293" i="21"/>
  <c r="C292" i="21"/>
  <c r="C291" i="21"/>
  <c r="C290" i="21"/>
  <c r="C289" i="21"/>
  <c r="C288" i="21"/>
  <c r="C287" i="21"/>
  <c r="C286" i="21"/>
  <c r="C285" i="21"/>
  <c r="C284" i="21"/>
  <c r="C283" i="21"/>
  <c r="C282" i="21"/>
  <c r="C281" i="21"/>
  <c r="C280" i="21"/>
  <c r="C279" i="21"/>
  <c r="C278" i="21"/>
  <c r="C277" i="21"/>
  <c r="C276" i="21"/>
  <c r="C275" i="21"/>
  <c r="C274" i="21"/>
  <c r="C273" i="21"/>
  <c r="C272" i="21"/>
  <c r="C271" i="21"/>
  <c r="C270" i="21"/>
  <c r="C269" i="21"/>
  <c r="C268" i="21"/>
  <c r="C267" i="21"/>
  <c r="C266" i="21"/>
  <c r="C265" i="21"/>
  <c r="C264" i="21"/>
  <c r="C263" i="21"/>
  <c r="C262" i="21"/>
  <c r="C261" i="21"/>
  <c r="C260" i="21"/>
  <c r="C259" i="21"/>
  <c r="C258" i="21"/>
  <c r="C257" i="21"/>
  <c r="C256" i="21"/>
  <c r="C255" i="21"/>
  <c r="C254" i="21"/>
  <c r="C253" i="21"/>
  <c r="C252" i="21"/>
  <c r="C251" i="21"/>
  <c r="C250" i="21"/>
  <c r="C249" i="21"/>
  <c r="C248" i="21"/>
  <c r="C247" i="21"/>
  <c r="C246" i="21"/>
  <c r="C245" i="21"/>
  <c r="C244" i="21"/>
  <c r="C243" i="21"/>
  <c r="C242" i="21"/>
  <c r="C241" i="21"/>
  <c r="C240" i="21"/>
  <c r="C239" i="21"/>
  <c r="C238" i="21"/>
  <c r="C237" i="21"/>
  <c r="C236" i="21"/>
  <c r="C235" i="21"/>
  <c r="C234" i="21"/>
  <c r="C233" i="21"/>
  <c r="C232" i="21"/>
  <c r="C231" i="21"/>
  <c r="C230" i="21"/>
  <c r="C229" i="21"/>
  <c r="C228" i="21"/>
  <c r="C227" i="21"/>
  <c r="C226" i="21"/>
  <c r="C225" i="21"/>
  <c r="C224" i="21"/>
  <c r="C223" i="21"/>
  <c r="C222" i="21"/>
  <c r="C221" i="21"/>
  <c r="C220" i="21"/>
  <c r="C219" i="21"/>
  <c r="C218" i="21"/>
  <c r="C217" i="21"/>
  <c r="C216" i="21"/>
  <c r="C215" i="21"/>
  <c r="C214" i="21"/>
  <c r="C213" i="21"/>
  <c r="C212" i="21"/>
  <c r="C211" i="21"/>
  <c r="C210" i="21"/>
  <c r="C209" i="21"/>
  <c r="C208" i="21"/>
  <c r="C207" i="21"/>
  <c r="C206" i="21"/>
  <c r="C205" i="21"/>
  <c r="C204" i="21"/>
  <c r="C203" i="21"/>
  <c r="C202" i="21"/>
  <c r="C201" i="21"/>
  <c r="C200" i="21"/>
  <c r="C199" i="21"/>
  <c r="C198" i="21"/>
  <c r="C197" i="21"/>
  <c r="C196" i="21"/>
  <c r="C195" i="21"/>
  <c r="C194" i="21"/>
  <c r="C193" i="21"/>
  <c r="C192" i="21"/>
  <c r="C191" i="21"/>
  <c r="C190" i="21"/>
  <c r="C189" i="21"/>
  <c r="C188" i="21"/>
  <c r="C187" i="21"/>
  <c r="C186" i="21"/>
  <c r="C185" i="21"/>
  <c r="C184" i="21"/>
  <c r="C183" i="21"/>
  <c r="C182" i="21"/>
  <c r="C181" i="21"/>
  <c r="C180" i="21"/>
  <c r="C179" i="21"/>
  <c r="C178" i="21"/>
  <c r="C177" i="21"/>
  <c r="C176" i="21"/>
  <c r="C175" i="21"/>
  <c r="C174" i="21"/>
  <c r="C173" i="21"/>
  <c r="C172" i="21"/>
  <c r="C171" i="21"/>
  <c r="C170" i="21"/>
  <c r="C169" i="21"/>
  <c r="C168" i="21"/>
  <c r="C167" i="21"/>
  <c r="C166" i="21"/>
  <c r="C165" i="21"/>
  <c r="C164" i="21"/>
  <c r="C163" i="21"/>
  <c r="C162" i="21"/>
  <c r="C161" i="21"/>
  <c r="C160" i="21"/>
  <c r="C159" i="21"/>
  <c r="C158" i="21"/>
  <c r="C157" i="21"/>
  <c r="C156" i="21"/>
  <c r="C155" i="21"/>
  <c r="C154" i="21"/>
  <c r="C153" i="21"/>
  <c r="C152" i="21"/>
  <c r="C151" i="21"/>
  <c r="C150" i="21"/>
  <c r="C149" i="21"/>
  <c r="C148" i="21"/>
  <c r="C147" i="21"/>
  <c r="C146" i="21"/>
  <c r="C145" i="21"/>
  <c r="C144" i="21"/>
  <c r="C143" i="21"/>
  <c r="C142" i="21"/>
  <c r="C141" i="21"/>
  <c r="C140" i="21"/>
  <c r="C139" i="21"/>
  <c r="C138" i="21"/>
  <c r="C137" i="21"/>
  <c r="C136" i="21"/>
  <c r="C135" i="21"/>
  <c r="C134" i="21"/>
  <c r="C133" i="21"/>
  <c r="C132" i="21"/>
  <c r="C131" i="21"/>
  <c r="C130" i="21"/>
  <c r="C129" i="21"/>
  <c r="C128" i="21"/>
  <c r="C127" i="21"/>
  <c r="C348" i="21"/>
  <c r="C126" i="21"/>
  <c r="C125" i="21"/>
  <c r="C124" i="21"/>
  <c r="C123" i="21"/>
  <c r="C122" i="21"/>
  <c r="C121" i="21"/>
  <c r="C120" i="21"/>
  <c r="C119" i="21"/>
  <c r="C118" i="21"/>
  <c r="C117" i="21"/>
  <c r="C116" i="21"/>
  <c r="C115" i="21"/>
  <c r="C114" i="21"/>
  <c r="C113" i="21"/>
  <c r="C112" i="21"/>
  <c r="C111" i="21"/>
  <c r="C110" i="21"/>
  <c r="C109" i="21"/>
  <c r="C108" i="21"/>
  <c r="C107" i="21"/>
  <c r="C106" i="21"/>
  <c r="C105" i="21"/>
  <c r="C104" i="21"/>
  <c r="C103" i="21"/>
  <c r="C102" i="21"/>
  <c r="C101" i="21"/>
  <c r="C100" i="21"/>
  <c r="C99" i="21"/>
  <c r="C98" i="21"/>
  <c r="C97" i="21"/>
  <c r="C96" i="21"/>
  <c r="C95" i="21"/>
  <c r="C94" i="21"/>
  <c r="C93" i="21"/>
  <c r="C92" i="21"/>
  <c r="C91" i="21"/>
  <c r="C90" i="21"/>
  <c r="C89" i="21"/>
  <c r="C88" i="21"/>
  <c r="C87" i="21"/>
  <c r="C86" i="21"/>
  <c r="C85" i="21"/>
  <c r="C84" i="21"/>
  <c r="C83" i="21"/>
  <c r="C82" i="21"/>
  <c r="C81" i="21"/>
  <c r="C80" i="21"/>
  <c r="C79" i="21"/>
  <c r="C78" i="21"/>
  <c r="C77" i="21"/>
  <c r="C76" i="21"/>
  <c r="C75" i="21"/>
  <c r="C74" i="21"/>
  <c r="C73" i="21"/>
  <c r="C72" i="21"/>
  <c r="C71" i="21"/>
  <c r="C70" i="21"/>
  <c r="C69" i="21"/>
  <c r="C68" i="21"/>
  <c r="C67" i="21"/>
  <c r="C66" i="21"/>
  <c r="C65" i="21"/>
  <c r="C64" i="21"/>
  <c r="C63" i="21"/>
  <c r="C62" i="21"/>
  <c r="C61" i="21"/>
  <c r="C60" i="21"/>
  <c r="C59" i="21"/>
  <c r="C58" i="21"/>
  <c r="C57"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C27" i="21"/>
  <c r="C26" i="21"/>
  <c r="C25" i="21"/>
  <c r="C24" i="21"/>
  <c r="C23" i="21"/>
  <c r="C22" i="21"/>
  <c r="C21" i="21"/>
  <c r="C20" i="21"/>
  <c r="C19" i="21"/>
  <c r="C18" i="21"/>
  <c r="C16" i="21"/>
  <c r="C15" i="21"/>
  <c r="C14" i="21"/>
  <c r="C13" i="21"/>
  <c r="C12" i="21"/>
  <c r="C11" i="21"/>
  <c r="C10" i="21"/>
  <c r="C9" i="21"/>
  <c r="C8" i="21"/>
  <c r="C7" i="21"/>
  <c r="C6" i="21"/>
  <c r="C5" i="21"/>
  <c r="C4" i="21"/>
  <c r="C3" i="21"/>
  <c r="C2" i="21"/>
  <c r="X354" i="21" l="1"/>
  <c r="V354" i="21"/>
  <c r="C350" i="21"/>
  <c r="U350" i="21" s="1"/>
  <c r="V350" i="21" s="1"/>
  <c r="Q344" i="33"/>
  <c r="O344" i="33"/>
  <c r="N344" i="33"/>
  <c r="K344" i="33"/>
  <c r="J344" i="33"/>
  <c r="I344" i="33"/>
  <c r="H344" i="33"/>
  <c r="G344" i="33"/>
  <c r="F344" i="33"/>
  <c r="E344" i="33"/>
  <c r="D344" i="33"/>
  <c r="C344" i="33"/>
  <c r="B344" i="33"/>
  <c r="T344" i="35"/>
  <c r="U344" i="35"/>
  <c r="X350" i="21" l="1"/>
  <c r="G35" i="1"/>
  <c r="W304" i="32"/>
  <c r="Q383" i="33"/>
  <c r="N383" i="33"/>
  <c r="O383" i="33" s="1"/>
  <c r="M383" i="33"/>
  <c r="K383" i="33"/>
  <c r="J383" i="33"/>
  <c r="I383" i="33"/>
  <c r="H383" i="33"/>
  <c r="G383" i="33"/>
  <c r="F383" i="33"/>
  <c r="E383" i="33"/>
  <c r="D383" i="33"/>
  <c r="C383" i="33"/>
  <c r="B383" i="33"/>
  <c r="Q380" i="33"/>
  <c r="N380" i="33"/>
  <c r="M380" i="33"/>
  <c r="K380" i="33"/>
  <c r="J380" i="33"/>
  <c r="I380" i="33"/>
  <c r="H380" i="33"/>
  <c r="G380" i="33"/>
  <c r="F380" i="33"/>
  <c r="E380" i="33"/>
  <c r="D380" i="33"/>
  <c r="C380" i="33"/>
  <c r="B380" i="33"/>
  <c r="Q377" i="33"/>
  <c r="N377" i="33"/>
  <c r="M377" i="33"/>
  <c r="K377" i="33"/>
  <c r="J377" i="33"/>
  <c r="I377" i="33"/>
  <c r="H377" i="33"/>
  <c r="G377" i="33"/>
  <c r="F377" i="33"/>
  <c r="E377" i="33"/>
  <c r="D377" i="33"/>
  <c r="C377" i="33"/>
  <c r="B377" i="33"/>
  <c r="Q374" i="33"/>
  <c r="N374" i="33"/>
  <c r="M374" i="33"/>
  <c r="K374" i="33"/>
  <c r="H374" i="33"/>
  <c r="G374" i="33"/>
  <c r="F374" i="33"/>
  <c r="E374" i="33"/>
  <c r="D374" i="33"/>
  <c r="C374" i="33"/>
  <c r="B374" i="33"/>
  <c r="O372" i="33"/>
  <c r="O380" i="33" l="1"/>
  <c r="O377" i="33"/>
  <c r="O374" i="33"/>
  <c r="AB28" i="3" l="1"/>
  <c r="AM344" i="7" l="1"/>
  <c r="C396" i="37"/>
  <c r="C390" i="37"/>
  <c r="C395" i="37"/>
  <c r="C394" i="37"/>
  <c r="G3" i="1"/>
  <c r="U343" i="25"/>
  <c r="AG343" i="25" s="1"/>
  <c r="U342" i="25"/>
  <c r="AG342" i="25" s="1"/>
  <c r="U341" i="25"/>
  <c r="AG341" i="25" s="1"/>
  <c r="U340" i="25"/>
  <c r="AG340" i="25" s="1"/>
  <c r="U339" i="25"/>
  <c r="AG339" i="25" s="1"/>
  <c r="U338" i="25"/>
  <c r="AG338" i="25" s="1"/>
  <c r="U337" i="25"/>
  <c r="AG337" i="25" s="1"/>
  <c r="U336" i="25"/>
  <c r="AG336" i="25" s="1"/>
  <c r="U335" i="25"/>
  <c r="AG335" i="25" s="1"/>
  <c r="U334" i="25"/>
  <c r="AG334" i="25" s="1"/>
  <c r="U333" i="25"/>
  <c r="AG333" i="25" s="1"/>
  <c r="U332" i="25"/>
  <c r="AG332" i="25" s="1"/>
  <c r="U331" i="25"/>
  <c r="AG331" i="25" s="1"/>
  <c r="U330" i="25"/>
  <c r="AG330" i="25" s="1"/>
  <c r="U329" i="25"/>
  <c r="AG329" i="25" s="1"/>
  <c r="U328" i="25"/>
  <c r="AG328" i="25" s="1"/>
  <c r="U327" i="25"/>
  <c r="AG327" i="25" s="1"/>
  <c r="U326" i="25"/>
  <c r="AG326" i="25" s="1"/>
  <c r="U325" i="25"/>
  <c r="AG325" i="25" s="1"/>
  <c r="U324" i="25"/>
  <c r="AG324" i="25" s="1"/>
  <c r="U323" i="25"/>
  <c r="AG323" i="25" s="1"/>
  <c r="U322" i="25"/>
  <c r="AG322" i="25" s="1"/>
  <c r="U321" i="25"/>
  <c r="AG321" i="25" s="1"/>
  <c r="U320" i="25"/>
  <c r="AG320" i="25" s="1"/>
  <c r="U319" i="25"/>
  <c r="AG319" i="25" s="1"/>
  <c r="U318" i="25"/>
  <c r="AG318" i="25" s="1"/>
  <c r="U317" i="25"/>
  <c r="AG317" i="25" s="1"/>
  <c r="U316" i="25"/>
  <c r="AG316" i="25" s="1"/>
  <c r="U315" i="25"/>
  <c r="AG315" i="25" s="1"/>
  <c r="U314" i="25"/>
  <c r="AG314" i="25" s="1"/>
  <c r="U313" i="25"/>
  <c r="AG313" i="25" s="1"/>
  <c r="U312" i="25"/>
  <c r="AG312" i="25" s="1"/>
  <c r="U311" i="25"/>
  <c r="AG311" i="25" s="1"/>
  <c r="U310" i="25"/>
  <c r="AG310" i="25" s="1"/>
  <c r="U309" i="25"/>
  <c r="AG309" i="25" s="1"/>
  <c r="U308" i="25"/>
  <c r="AG308" i="25" s="1"/>
  <c r="U307" i="25"/>
  <c r="AG307" i="25" s="1"/>
  <c r="U306" i="25"/>
  <c r="AG306" i="25" s="1"/>
  <c r="U305" i="25"/>
  <c r="AG305" i="25" s="1"/>
  <c r="U304" i="25"/>
  <c r="AG304" i="25" s="1"/>
  <c r="U303" i="25"/>
  <c r="AG303" i="25" s="1"/>
  <c r="U302" i="25"/>
  <c r="AG302" i="25" s="1"/>
  <c r="U301" i="25"/>
  <c r="AG301" i="25" s="1"/>
  <c r="U300" i="25"/>
  <c r="AG300" i="25" s="1"/>
  <c r="U299" i="25"/>
  <c r="AG299" i="25" s="1"/>
  <c r="U298" i="25"/>
  <c r="AG298" i="25" s="1"/>
  <c r="U297" i="25"/>
  <c r="AG297" i="25" s="1"/>
  <c r="U296" i="25"/>
  <c r="AG296" i="25" s="1"/>
  <c r="U295" i="25"/>
  <c r="AG295" i="25" s="1"/>
  <c r="U294" i="25"/>
  <c r="AG294" i="25" s="1"/>
  <c r="U293" i="25"/>
  <c r="AG293" i="25" s="1"/>
  <c r="U292" i="25"/>
  <c r="AG292" i="25" s="1"/>
  <c r="U291" i="25"/>
  <c r="AG291" i="25" s="1"/>
  <c r="U290" i="25"/>
  <c r="AG290" i="25" s="1"/>
  <c r="U289" i="25"/>
  <c r="AG289" i="25" s="1"/>
  <c r="U288" i="25"/>
  <c r="AG288" i="25" s="1"/>
  <c r="U287" i="25"/>
  <c r="AG287" i="25" s="1"/>
  <c r="U286" i="25"/>
  <c r="AG286" i="25" s="1"/>
  <c r="U285" i="25"/>
  <c r="AG285" i="25" s="1"/>
  <c r="U284" i="25"/>
  <c r="AG284" i="25" s="1"/>
  <c r="U283" i="25"/>
  <c r="AG283" i="25" s="1"/>
  <c r="U282" i="25"/>
  <c r="AG282" i="25" s="1"/>
  <c r="U281" i="25"/>
  <c r="AG281" i="25" s="1"/>
  <c r="U280" i="25"/>
  <c r="AG280" i="25" s="1"/>
  <c r="U279" i="25"/>
  <c r="AG279" i="25" s="1"/>
  <c r="U278" i="25"/>
  <c r="AG278" i="25" s="1"/>
  <c r="U277" i="25"/>
  <c r="AG277" i="25" s="1"/>
  <c r="U276" i="25"/>
  <c r="AG276" i="25" s="1"/>
  <c r="U275" i="25"/>
  <c r="AG275" i="25" s="1"/>
  <c r="U274" i="25"/>
  <c r="AG274" i="25" s="1"/>
  <c r="U273" i="25"/>
  <c r="AG273" i="25" s="1"/>
  <c r="U272" i="25"/>
  <c r="AG272" i="25" s="1"/>
  <c r="U271" i="25"/>
  <c r="AG271" i="25" s="1"/>
  <c r="U270" i="25"/>
  <c r="AG270" i="25" s="1"/>
  <c r="U269" i="25"/>
  <c r="AG269" i="25" s="1"/>
  <c r="U268" i="25"/>
  <c r="AG268" i="25" s="1"/>
  <c r="U267" i="25"/>
  <c r="AG267" i="25" s="1"/>
  <c r="U266" i="25"/>
  <c r="AG266" i="25" s="1"/>
  <c r="U265" i="25"/>
  <c r="AG265" i="25" s="1"/>
  <c r="U264" i="25"/>
  <c r="AG264" i="25" s="1"/>
  <c r="U263" i="25"/>
  <c r="AG263" i="25" s="1"/>
  <c r="U262" i="25"/>
  <c r="AG262" i="25" s="1"/>
  <c r="U261" i="25"/>
  <c r="AG261" i="25" s="1"/>
  <c r="U260" i="25"/>
  <c r="AG260" i="25" s="1"/>
  <c r="U259" i="25"/>
  <c r="AG259" i="25" s="1"/>
  <c r="U258" i="25"/>
  <c r="AG258" i="25" s="1"/>
  <c r="U257" i="25"/>
  <c r="AG257" i="25" s="1"/>
  <c r="U256" i="25"/>
  <c r="AG256" i="25" s="1"/>
  <c r="U255" i="25"/>
  <c r="AG255" i="25" s="1"/>
  <c r="U254" i="25"/>
  <c r="AG254" i="25" s="1"/>
  <c r="U253" i="25"/>
  <c r="AG253" i="25" s="1"/>
  <c r="U252" i="25"/>
  <c r="AG252" i="25" s="1"/>
  <c r="U251" i="25"/>
  <c r="AG251" i="25" s="1"/>
  <c r="U250" i="25"/>
  <c r="AG250" i="25" s="1"/>
  <c r="U249" i="25"/>
  <c r="AG249" i="25" s="1"/>
  <c r="U248" i="25"/>
  <c r="AG248" i="25" s="1"/>
  <c r="U247" i="25"/>
  <c r="AG247" i="25" s="1"/>
  <c r="U246" i="25"/>
  <c r="AG246" i="25" s="1"/>
  <c r="U245" i="25"/>
  <c r="AG245" i="25" s="1"/>
  <c r="U244" i="25"/>
  <c r="AG244" i="25" s="1"/>
  <c r="U243" i="25"/>
  <c r="AG243" i="25" s="1"/>
  <c r="U242" i="25"/>
  <c r="AG242" i="25" s="1"/>
  <c r="U241" i="25"/>
  <c r="AG241" i="25" s="1"/>
  <c r="U240" i="25"/>
  <c r="AG240" i="25" s="1"/>
  <c r="U239" i="25"/>
  <c r="AG239" i="25" s="1"/>
  <c r="U238" i="25"/>
  <c r="AG238" i="25" s="1"/>
  <c r="U237" i="25"/>
  <c r="AG237" i="25" s="1"/>
  <c r="U236" i="25"/>
  <c r="AG236" i="25" s="1"/>
  <c r="U235" i="25"/>
  <c r="AG235" i="25" s="1"/>
  <c r="U234" i="25"/>
  <c r="AG234" i="25" s="1"/>
  <c r="U233" i="25"/>
  <c r="AG233" i="25" s="1"/>
  <c r="U232" i="25"/>
  <c r="AG232" i="25" s="1"/>
  <c r="U231" i="25"/>
  <c r="AG231" i="25" s="1"/>
  <c r="U230" i="25"/>
  <c r="AG230" i="25" s="1"/>
  <c r="U229" i="25"/>
  <c r="AG229" i="25" s="1"/>
  <c r="U228" i="25"/>
  <c r="AG228" i="25" s="1"/>
  <c r="U227" i="25"/>
  <c r="AG227" i="25" s="1"/>
  <c r="U226" i="25"/>
  <c r="AG226" i="25" s="1"/>
  <c r="U225" i="25"/>
  <c r="AG225" i="25" s="1"/>
  <c r="U224" i="25"/>
  <c r="AG224" i="25" s="1"/>
  <c r="U223" i="25"/>
  <c r="AG223" i="25" s="1"/>
  <c r="U222" i="25"/>
  <c r="AG222" i="25" s="1"/>
  <c r="U221" i="25"/>
  <c r="AG221" i="25" s="1"/>
  <c r="U220" i="25"/>
  <c r="AG220" i="25" s="1"/>
  <c r="U219" i="25"/>
  <c r="AG219" i="25" s="1"/>
  <c r="U218" i="25"/>
  <c r="AG218" i="25" s="1"/>
  <c r="U217" i="25"/>
  <c r="AG217" i="25" s="1"/>
  <c r="U216" i="25"/>
  <c r="AG216" i="25" s="1"/>
  <c r="U215" i="25"/>
  <c r="AG215" i="25" s="1"/>
  <c r="U214" i="25"/>
  <c r="AG214" i="25" s="1"/>
  <c r="U213" i="25"/>
  <c r="AG213" i="25" s="1"/>
  <c r="U212" i="25"/>
  <c r="AG212" i="25" s="1"/>
  <c r="U211" i="25"/>
  <c r="AG211" i="25" s="1"/>
  <c r="U210" i="25"/>
  <c r="AG210" i="25" s="1"/>
  <c r="U209" i="25"/>
  <c r="AG209" i="25" s="1"/>
  <c r="U208" i="25"/>
  <c r="AG208" i="25" s="1"/>
  <c r="U207" i="25"/>
  <c r="AG207" i="25" s="1"/>
  <c r="U206" i="25"/>
  <c r="AG206" i="25" s="1"/>
  <c r="U205" i="25"/>
  <c r="AG205" i="25" s="1"/>
  <c r="U204" i="25"/>
  <c r="AG204" i="25" s="1"/>
  <c r="U203" i="25"/>
  <c r="AG203" i="25" s="1"/>
  <c r="U202" i="25"/>
  <c r="AG202" i="25" s="1"/>
  <c r="U201" i="25"/>
  <c r="AG201" i="25" s="1"/>
  <c r="U200" i="25"/>
  <c r="AG200" i="25" s="1"/>
  <c r="U199" i="25"/>
  <c r="AG199" i="25" s="1"/>
  <c r="U198" i="25"/>
  <c r="AG198" i="25" s="1"/>
  <c r="U197" i="25"/>
  <c r="AG197" i="25" s="1"/>
  <c r="U196" i="25"/>
  <c r="AG196" i="25" s="1"/>
  <c r="U195" i="25"/>
  <c r="AG195" i="25" s="1"/>
  <c r="U194" i="25"/>
  <c r="AG194" i="25" s="1"/>
  <c r="U193" i="25"/>
  <c r="AG193" i="25" s="1"/>
  <c r="U192" i="25"/>
  <c r="AG192" i="25" s="1"/>
  <c r="U191" i="25"/>
  <c r="AG191" i="25" s="1"/>
  <c r="U190" i="25"/>
  <c r="AG190" i="25" s="1"/>
  <c r="U189" i="25"/>
  <c r="AG189" i="25" s="1"/>
  <c r="U188" i="25"/>
  <c r="AG188" i="25" s="1"/>
  <c r="U187" i="25"/>
  <c r="AG187" i="25" s="1"/>
  <c r="U186" i="25"/>
  <c r="AG186" i="25" s="1"/>
  <c r="U185" i="25"/>
  <c r="AG185" i="25" s="1"/>
  <c r="U184" i="25"/>
  <c r="AG184" i="25" s="1"/>
  <c r="U183" i="25"/>
  <c r="AG183" i="25" s="1"/>
  <c r="U182" i="25"/>
  <c r="AG182" i="25" s="1"/>
  <c r="U181" i="25"/>
  <c r="AG181" i="25" s="1"/>
  <c r="U180" i="25"/>
  <c r="AG180" i="25" s="1"/>
  <c r="U179" i="25"/>
  <c r="AG179" i="25" s="1"/>
  <c r="U178" i="25"/>
  <c r="AG178" i="25" s="1"/>
  <c r="U177" i="25"/>
  <c r="AG177" i="25" s="1"/>
  <c r="U176" i="25"/>
  <c r="AG176" i="25" s="1"/>
  <c r="U175" i="25"/>
  <c r="AG175" i="25" s="1"/>
  <c r="U174" i="25"/>
  <c r="AG174" i="25" s="1"/>
  <c r="U173" i="25"/>
  <c r="AG173" i="25" s="1"/>
  <c r="U172" i="25"/>
  <c r="AG172" i="25" s="1"/>
  <c r="U171" i="25"/>
  <c r="AG171" i="25" s="1"/>
  <c r="U170" i="25"/>
  <c r="AG170" i="25" s="1"/>
  <c r="U169" i="25"/>
  <c r="AG169" i="25" s="1"/>
  <c r="U168" i="25"/>
  <c r="AG168" i="25" s="1"/>
  <c r="U167" i="25"/>
  <c r="AG167" i="25" s="1"/>
  <c r="U166" i="25"/>
  <c r="AG166" i="25" s="1"/>
  <c r="U165" i="25"/>
  <c r="AG165" i="25" s="1"/>
  <c r="U164" i="25"/>
  <c r="AG164" i="25" s="1"/>
  <c r="U163" i="25"/>
  <c r="AG163" i="25" s="1"/>
  <c r="U162" i="25"/>
  <c r="AG162" i="25" s="1"/>
  <c r="U161" i="25"/>
  <c r="AG161" i="25" s="1"/>
  <c r="U160" i="25"/>
  <c r="AG160" i="25" s="1"/>
  <c r="U159" i="25"/>
  <c r="AG159" i="25" s="1"/>
  <c r="U158" i="25"/>
  <c r="AG158" i="25" s="1"/>
  <c r="U157" i="25"/>
  <c r="AG157" i="25" s="1"/>
  <c r="U156" i="25"/>
  <c r="AG156" i="25" s="1"/>
  <c r="U155" i="25"/>
  <c r="AG155" i="25" s="1"/>
  <c r="U154" i="25"/>
  <c r="AG154" i="25" s="1"/>
  <c r="U153" i="25"/>
  <c r="AG153" i="25" s="1"/>
  <c r="U152" i="25"/>
  <c r="AG152" i="25" s="1"/>
  <c r="U151" i="25"/>
  <c r="AG151" i="25" s="1"/>
  <c r="U150" i="25"/>
  <c r="AG150" i="25" s="1"/>
  <c r="U149" i="25"/>
  <c r="AG149" i="25" s="1"/>
  <c r="U148" i="25"/>
  <c r="AG148" i="25" s="1"/>
  <c r="U147" i="25"/>
  <c r="AG147" i="25" s="1"/>
  <c r="U146" i="25"/>
  <c r="AG146" i="25" s="1"/>
  <c r="U145" i="25"/>
  <c r="AG145" i="25" s="1"/>
  <c r="U144" i="25"/>
  <c r="AG144" i="25" s="1"/>
  <c r="U143" i="25"/>
  <c r="AG143" i="25" s="1"/>
  <c r="U142" i="25"/>
  <c r="AG142" i="25" s="1"/>
  <c r="U141" i="25"/>
  <c r="AG141" i="25" s="1"/>
  <c r="U140" i="25"/>
  <c r="AG140" i="25" s="1"/>
  <c r="U139" i="25"/>
  <c r="AG139" i="25" s="1"/>
  <c r="U138" i="25"/>
  <c r="AG138" i="25" s="1"/>
  <c r="U137" i="25"/>
  <c r="AG137" i="25" s="1"/>
  <c r="U136" i="25"/>
  <c r="AG136" i="25" s="1"/>
  <c r="U135" i="25"/>
  <c r="AG135" i="25" s="1"/>
  <c r="U134" i="25"/>
  <c r="AG134" i="25" s="1"/>
  <c r="U133" i="25"/>
  <c r="AG133" i="25" s="1"/>
  <c r="U132" i="25"/>
  <c r="AG132" i="25" s="1"/>
  <c r="U131" i="25"/>
  <c r="AG131" i="25" s="1"/>
  <c r="U130" i="25"/>
  <c r="AG130" i="25" s="1"/>
  <c r="U129" i="25"/>
  <c r="AG129" i="25" s="1"/>
  <c r="U128" i="25"/>
  <c r="AG128" i="25" s="1"/>
  <c r="U127" i="25"/>
  <c r="AG127" i="25" s="1"/>
  <c r="U126" i="25"/>
  <c r="AG126" i="25" s="1"/>
  <c r="U125" i="25"/>
  <c r="AG125" i="25" s="1"/>
  <c r="U124" i="25"/>
  <c r="AG124" i="25" s="1"/>
  <c r="U123" i="25"/>
  <c r="AG123" i="25" s="1"/>
  <c r="U122" i="25"/>
  <c r="AG122" i="25" s="1"/>
  <c r="U121" i="25"/>
  <c r="AG121" i="25" s="1"/>
  <c r="U120" i="25"/>
  <c r="AG120" i="25" s="1"/>
  <c r="U119" i="25"/>
  <c r="AG119" i="25" s="1"/>
  <c r="U118" i="25"/>
  <c r="AG118" i="25" s="1"/>
  <c r="U117" i="25"/>
  <c r="AG117" i="25" s="1"/>
  <c r="U116" i="25"/>
  <c r="AG116" i="25" s="1"/>
  <c r="U115" i="25"/>
  <c r="AG115" i="25" s="1"/>
  <c r="U114" i="25"/>
  <c r="AG114" i="25" s="1"/>
  <c r="U113" i="25"/>
  <c r="AG113" i="25" s="1"/>
  <c r="U112" i="25"/>
  <c r="AG112" i="25" s="1"/>
  <c r="U111" i="25"/>
  <c r="AG111" i="25" s="1"/>
  <c r="U110" i="25"/>
  <c r="AG110" i="25" s="1"/>
  <c r="U109" i="25"/>
  <c r="AG109" i="25" s="1"/>
  <c r="U108" i="25"/>
  <c r="AG108" i="25" s="1"/>
  <c r="U107" i="25"/>
  <c r="AG107" i="25" s="1"/>
  <c r="U106" i="25"/>
  <c r="AG106" i="25" s="1"/>
  <c r="U105" i="25"/>
  <c r="AG105" i="25" s="1"/>
  <c r="U104" i="25"/>
  <c r="AG104" i="25" s="1"/>
  <c r="U103" i="25"/>
  <c r="AG103" i="25" s="1"/>
  <c r="U102" i="25"/>
  <c r="AG102" i="25" s="1"/>
  <c r="U101" i="25"/>
  <c r="AG101" i="25" s="1"/>
  <c r="U100" i="25"/>
  <c r="AG100" i="25" s="1"/>
  <c r="U99" i="25"/>
  <c r="AG99" i="25" s="1"/>
  <c r="U98" i="25"/>
  <c r="AG98" i="25" s="1"/>
  <c r="U97" i="25"/>
  <c r="AG97" i="25" s="1"/>
  <c r="U96" i="25"/>
  <c r="AG96" i="25" s="1"/>
  <c r="U95" i="25"/>
  <c r="AG95" i="25" s="1"/>
  <c r="U94" i="25"/>
  <c r="AG94" i="25" s="1"/>
  <c r="U93" i="25"/>
  <c r="AG93" i="25" s="1"/>
  <c r="U92" i="25"/>
  <c r="AG92" i="25" s="1"/>
  <c r="U91" i="25"/>
  <c r="AG91" i="25" s="1"/>
  <c r="U90" i="25"/>
  <c r="AG90" i="25" s="1"/>
  <c r="U89" i="25"/>
  <c r="AG89" i="25" s="1"/>
  <c r="U88" i="25"/>
  <c r="AG88" i="25" s="1"/>
  <c r="U87" i="25"/>
  <c r="AG87" i="25" s="1"/>
  <c r="U86" i="25"/>
  <c r="AG86" i="25" s="1"/>
  <c r="U85" i="25"/>
  <c r="AG85" i="25" s="1"/>
  <c r="U84" i="25"/>
  <c r="AG84" i="25" s="1"/>
  <c r="U83" i="25"/>
  <c r="AG83" i="25" s="1"/>
  <c r="U82" i="25"/>
  <c r="AG82" i="25" s="1"/>
  <c r="U81" i="25"/>
  <c r="AG81" i="25" s="1"/>
  <c r="U80" i="25"/>
  <c r="AG80" i="25" s="1"/>
  <c r="U79" i="25"/>
  <c r="AG79" i="25" s="1"/>
  <c r="U78" i="25"/>
  <c r="AG78" i="25" s="1"/>
  <c r="U77" i="25"/>
  <c r="AG77" i="25" s="1"/>
  <c r="U76" i="25"/>
  <c r="AG76" i="25" s="1"/>
  <c r="U75" i="25"/>
  <c r="AG75" i="25" s="1"/>
  <c r="U74" i="25"/>
  <c r="AG74" i="25" s="1"/>
  <c r="U73" i="25"/>
  <c r="AG73" i="25" s="1"/>
  <c r="U72" i="25"/>
  <c r="AG72" i="25" s="1"/>
  <c r="U71" i="25"/>
  <c r="AG71" i="25" s="1"/>
  <c r="U70" i="25"/>
  <c r="AG70" i="25" s="1"/>
  <c r="U69" i="25"/>
  <c r="AG69" i="25" s="1"/>
  <c r="U68" i="25"/>
  <c r="AG68" i="25" s="1"/>
  <c r="U67" i="25"/>
  <c r="AG67" i="25" s="1"/>
  <c r="U66" i="25"/>
  <c r="AG66" i="25" s="1"/>
  <c r="U65" i="25"/>
  <c r="AG65" i="25" s="1"/>
  <c r="U64" i="25"/>
  <c r="AG64" i="25" s="1"/>
  <c r="U63" i="25"/>
  <c r="AG63" i="25" s="1"/>
  <c r="U62" i="25"/>
  <c r="AG62" i="25" s="1"/>
  <c r="U61" i="25"/>
  <c r="AG61" i="25" s="1"/>
  <c r="U60" i="25"/>
  <c r="AG60" i="25" s="1"/>
  <c r="U59" i="25"/>
  <c r="AG59" i="25" s="1"/>
  <c r="U58" i="25"/>
  <c r="AG58" i="25" s="1"/>
  <c r="U57" i="25"/>
  <c r="AG57" i="25" s="1"/>
  <c r="U56" i="25"/>
  <c r="AG56" i="25" s="1"/>
  <c r="U55" i="25"/>
  <c r="AG55" i="25" s="1"/>
  <c r="U54" i="25"/>
  <c r="AG54" i="25" s="1"/>
  <c r="U53" i="25"/>
  <c r="AG53" i="25" s="1"/>
  <c r="U52" i="25"/>
  <c r="AG52" i="25" s="1"/>
  <c r="U51" i="25"/>
  <c r="AG51" i="25" s="1"/>
  <c r="U50" i="25"/>
  <c r="AG50" i="25" s="1"/>
  <c r="U49" i="25"/>
  <c r="AG49" i="25" s="1"/>
  <c r="U48" i="25"/>
  <c r="AG48" i="25" s="1"/>
  <c r="U47" i="25"/>
  <c r="AG47" i="25" s="1"/>
  <c r="U46" i="25"/>
  <c r="AG46" i="25" s="1"/>
  <c r="U45" i="25"/>
  <c r="AG45" i="25" s="1"/>
  <c r="U44" i="25"/>
  <c r="AG44" i="25" s="1"/>
  <c r="U43" i="25"/>
  <c r="AG43" i="25" s="1"/>
  <c r="U42" i="25"/>
  <c r="AG42" i="25" s="1"/>
  <c r="U41" i="25"/>
  <c r="AG41" i="25" s="1"/>
  <c r="U40" i="25"/>
  <c r="AG40" i="25" s="1"/>
  <c r="U39" i="25"/>
  <c r="AG39" i="25" s="1"/>
  <c r="U38" i="25"/>
  <c r="AG38" i="25" s="1"/>
  <c r="U37" i="25"/>
  <c r="AG37" i="25" s="1"/>
  <c r="U36" i="25"/>
  <c r="AG36" i="25" s="1"/>
  <c r="U35" i="25"/>
  <c r="AG35" i="25" s="1"/>
  <c r="U34" i="25"/>
  <c r="AG34" i="25" s="1"/>
  <c r="U33" i="25"/>
  <c r="AG33" i="25" s="1"/>
  <c r="U32" i="25"/>
  <c r="AG32" i="25" s="1"/>
  <c r="U31" i="25"/>
  <c r="AG31" i="25" s="1"/>
  <c r="U30" i="25"/>
  <c r="AG30" i="25" s="1"/>
  <c r="U29" i="25"/>
  <c r="AG29" i="25" s="1"/>
  <c r="U28" i="25"/>
  <c r="AG28" i="25" s="1"/>
  <c r="U27" i="25"/>
  <c r="AG27" i="25" s="1"/>
  <c r="U26" i="25"/>
  <c r="AG26" i="25" s="1"/>
  <c r="U25" i="25"/>
  <c r="AG25" i="25" s="1"/>
  <c r="U24" i="25"/>
  <c r="AG24" i="25" s="1"/>
  <c r="U23" i="25"/>
  <c r="AG23" i="25" s="1"/>
  <c r="U22" i="25"/>
  <c r="AG22" i="25" s="1"/>
  <c r="U21" i="25"/>
  <c r="AG21" i="25" s="1"/>
  <c r="U20" i="25"/>
  <c r="AG20" i="25" s="1"/>
  <c r="U19" i="25"/>
  <c r="AG19" i="25" s="1"/>
  <c r="U18" i="25"/>
  <c r="AG18" i="25" s="1"/>
  <c r="U17" i="25"/>
  <c r="AG17" i="25" s="1"/>
  <c r="U16" i="25"/>
  <c r="AG16" i="25" s="1"/>
  <c r="U15" i="25"/>
  <c r="AG15" i="25" s="1"/>
  <c r="U14" i="25"/>
  <c r="AG14" i="25" s="1"/>
  <c r="U13" i="25"/>
  <c r="AG13" i="25" s="1"/>
  <c r="U12" i="25"/>
  <c r="AG12" i="25" s="1"/>
  <c r="U11" i="25"/>
  <c r="AG11" i="25" s="1"/>
  <c r="U10" i="25"/>
  <c r="AG10" i="25" s="1"/>
  <c r="U9" i="25"/>
  <c r="AG9" i="25" s="1"/>
  <c r="U8" i="25"/>
  <c r="AG8" i="25" s="1"/>
  <c r="U7" i="25"/>
  <c r="AG7" i="25" s="1"/>
  <c r="U6" i="25"/>
  <c r="AG6" i="25" s="1"/>
  <c r="U5" i="25"/>
  <c r="AG5" i="25" s="1"/>
  <c r="U4" i="25"/>
  <c r="AG4" i="25" s="1"/>
  <c r="U3" i="25"/>
  <c r="AG3" i="25" s="1"/>
  <c r="U2" i="25"/>
  <c r="AG2" i="25" s="1"/>
  <c r="U344" i="25" l="1"/>
  <c r="AG344" i="25" s="1"/>
  <c r="AL344" i="7"/>
  <c r="V388" i="37"/>
  <c r="U388" i="37"/>
  <c r="T388" i="37"/>
  <c r="R388" i="37"/>
  <c r="Q388" i="37"/>
  <c r="C388" i="37" s="1"/>
  <c r="P388" i="37"/>
  <c r="O388" i="37"/>
  <c r="M388" i="37"/>
  <c r="L388" i="37"/>
  <c r="K388" i="37"/>
  <c r="J388" i="37"/>
  <c r="I388" i="37"/>
  <c r="H388" i="37"/>
  <c r="F388" i="37"/>
  <c r="V381" i="37"/>
  <c r="U381" i="37"/>
  <c r="T381" i="37"/>
  <c r="R381" i="37"/>
  <c r="Q381" i="37"/>
  <c r="P381" i="37"/>
  <c r="O381" i="37"/>
  <c r="M381" i="37"/>
  <c r="L381" i="37"/>
  <c r="K381" i="37"/>
  <c r="J381" i="37"/>
  <c r="I381" i="37"/>
  <c r="H381" i="37"/>
  <c r="F381" i="37"/>
  <c r="V377" i="37"/>
  <c r="U377" i="37"/>
  <c r="T377" i="37"/>
  <c r="R377" i="37"/>
  <c r="Q377" i="37"/>
  <c r="P377" i="37"/>
  <c r="O377" i="37"/>
  <c r="M377" i="37"/>
  <c r="L377" i="37"/>
  <c r="K377" i="37"/>
  <c r="J377" i="37"/>
  <c r="I377" i="37"/>
  <c r="H377" i="37"/>
  <c r="F377" i="37"/>
  <c r="V373" i="37"/>
  <c r="U373" i="37"/>
  <c r="T373" i="37"/>
  <c r="R373" i="37"/>
  <c r="Q373" i="37"/>
  <c r="P373" i="37"/>
  <c r="O373" i="37"/>
  <c r="M373" i="37"/>
  <c r="L373" i="37"/>
  <c r="K373" i="37"/>
  <c r="J373" i="37"/>
  <c r="I373" i="37"/>
  <c r="H373" i="37"/>
  <c r="F373" i="37"/>
  <c r="O344" i="21"/>
  <c r="N344" i="21"/>
  <c r="M344" i="21"/>
  <c r="L344" i="21"/>
  <c r="K344" i="21"/>
  <c r="J344" i="21"/>
  <c r="I344" i="21"/>
  <c r="H344" i="21"/>
  <c r="G344" i="21"/>
  <c r="F344" i="21"/>
  <c r="E344" i="21"/>
  <c r="D344" i="21"/>
  <c r="R344" i="21"/>
  <c r="Q344" i="21"/>
  <c r="P344" i="21"/>
  <c r="W344" i="21"/>
  <c r="M344" i="33"/>
  <c r="P155" i="33"/>
  <c r="Q370" i="33"/>
  <c r="O370" i="33"/>
  <c r="N370" i="33"/>
  <c r="M370" i="33"/>
  <c r="K370" i="33"/>
  <c r="H370" i="33"/>
  <c r="G370" i="33"/>
  <c r="F370" i="33"/>
  <c r="E370" i="33"/>
  <c r="D370" i="33"/>
  <c r="C370" i="33"/>
  <c r="B370" i="33"/>
  <c r="P86" i="33"/>
  <c r="Q363" i="33"/>
  <c r="M363" i="33"/>
  <c r="O363" i="33" s="1"/>
  <c r="K363" i="33"/>
  <c r="H363" i="33"/>
  <c r="G363" i="33"/>
  <c r="F363" i="33"/>
  <c r="E363" i="33"/>
  <c r="D363" i="33"/>
  <c r="C363" i="33"/>
  <c r="B363" i="33"/>
  <c r="P71" i="33"/>
  <c r="Q358" i="33"/>
  <c r="O358" i="33"/>
  <c r="N358" i="33"/>
  <c r="M358" i="33"/>
  <c r="K358" i="33"/>
  <c r="H358" i="33"/>
  <c r="G358" i="33"/>
  <c r="F358" i="33"/>
  <c r="E358" i="33"/>
  <c r="D358" i="33"/>
  <c r="C358" i="33"/>
  <c r="B358" i="33"/>
  <c r="P175" i="33"/>
  <c r="Q354" i="33"/>
  <c r="O354" i="33"/>
  <c r="N354" i="33"/>
  <c r="M354" i="33"/>
  <c r="K354" i="33"/>
  <c r="H354" i="33"/>
  <c r="G354" i="33"/>
  <c r="F354" i="33"/>
  <c r="E354" i="33"/>
  <c r="D354" i="33"/>
  <c r="C354" i="33"/>
  <c r="B354" i="33"/>
  <c r="P228" i="33"/>
  <c r="Q350" i="33"/>
  <c r="O350" i="33"/>
  <c r="N350" i="33"/>
  <c r="M350" i="33"/>
  <c r="K350" i="33"/>
  <c r="H350" i="33"/>
  <c r="G350" i="33"/>
  <c r="F350" i="33"/>
  <c r="E350" i="33"/>
  <c r="D350" i="33"/>
  <c r="C350" i="33"/>
  <c r="B350" i="33"/>
  <c r="L344" i="33"/>
  <c r="P344" i="33" s="1"/>
  <c r="L343" i="33"/>
  <c r="P343" i="33" s="1"/>
  <c r="L342" i="33"/>
  <c r="P342" i="33" s="1"/>
  <c r="L341" i="33"/>
  <c r="P341" i="33" s="1"/>
  <c r="L340" i="33"/>
  <c r="P340" i="33" s="1"/>
  <c r="L339" i="33"/>
  <c r="P339" i="33" s="1"/>
  <c r="L338" i="33"/>
  <c r="P338" i="33" s="1"/>
  <c r="L337" i="33"/>
  <c r="P337" i="33" s="1"/>
  <c r="L336" i="33"/>
  <c r="P336" i="33" s="1"/>
  <c r="L335" i="33"/>
  <c r="P335" i="33" s="1"/>
  <c r="L334" i="33"/>
  <c r="P334" i="33" s="1"/>
  <c r="L333" i="33"/>
  <c r="P333" i="33" s="1"/>
  <c r="L332" i="33"/>
  <c r="P332" i="33" s="1"/>
  <c r="L331" i="33"/>
  <c r="P331" i="33" s="1"/>
  <c r="L330" i="33"/>
  <c r="P330" i="33" s="1"/>
  <c r="L329" i="33"/>
  <c r="P329" i="33" s="1"/>
  <c r="L328" i="33"/>
  <c r="P328" i="33" s="1"/>
  <c r="L327" i="33"/>
  <c r="P327" i="33" s="1"/>
  <c r="L326" i="33"/>
  <c r="P326" i="33" s="1"/>
  <c r="L325" i="33"/>
  <c r="P325" i="33" s="1"/>
  <c r="L324" i="33"/>
  <c r="P324" i="33" s="1"/>
  <c r="L323" i="33"/>
  <c r="P323" i="33" s="1"/>
  <c r="L322" i="33"/>
  <c r="P322" i="33" s="1"/>
  <c r="L321" i="33"/>
  <c r="P321" i="33" s="1"/>
  <c r="L387" i="33"/>
  <c r="P387" i="33" s="1"/>
  <c r="L320" i="33"/>
  <c r="P320" i="33" s="1"/>
  <c r="L319" i="33"/>
  <c r="P319" i="33" s="1"/>
  <c r="L318" i="33"/>
  <c r="P318" i="33" s="1"/>
  <c r="L317" i="33"/>
  <c r="P317" i="33" s="1"/>
  <c r="L316" i="33"/>
  <c r="P316" i="33" s="1"/>
  <c r="L315" i="33"/>
  <c r="P315" i="33" s="1"/>
  <c r="L314" i="33"/>
  <c r="P314" i="33" s="1"/>
  <c r="L313" i="33"/>
  <c r="P313" i="33" s="1"/>
  <c r="L390" i="33"/>
  <c r="P390" i="33" s="1"/>
  <c r="L312" i="33"/>
  <c r="P312" i="33" s="1"/>
  <c r="L311" i="33"/>
  <c r="P311" i="33" s="1"/>
  <c r="L310" i="33"/>
  <c r="P310" i="33" s="1"/>
  <c r="L309" i="33"/>
  <c r="P309" i="33" s="1"/>
  <c r="L308" i="33"/>
  <c r="P308" i="33" s="1"/>
  <c r="L307" i="33"/>
  <c r="P307" i="33" s="1"/>
  <c r="L306" i="33"/>
  <c r="P306" i="33" s="1"/>
  <c r="L305" i="33"/>
  <c r="P305" i="33" s="1"/>
  <c r="L382" i="33"/>
  <c r="P382" i="33" s="1"/>
  <c r="L303" i="33"/>
  <c r="P303" i="33" s="1"/>
  <c r="L302" i="33"/>
  <c r="P302" i="33" s="1"/>
  <c r="L300" i="33"/>
  <c r="P300" i="33" s="1"/>
  <c r="L299" i="33"/>
  <c r="P299" i="33" s="1"/>
  <c r="L298" i="33"/>
  <c r="P298" i="33" s="1"/>
  <c r="L297" i="33"/>
  <c r="P297" i="33" s="1"/>
  <c r="L296" i="33"/>
  <c r="P296" i="33" s="1"/>
  <c r="L295" i="33"/>
  <c r="P295" i="33" s="1"/>
  <c r="L294" i="33"/>
  <c r="P294" i="33" s="1"/>
  <c r="L293" i="33"/>
  <c r="P293" i="33" s="1"/>
  <c r="L292" i="33"/>
  <c r="P292" i="33" s="1"/>
  <c r="L291" i="33"/>
  <c r="P291" i="33" s="1"/>
  <c r="L290" i="33"/>
  <c r="P290" i="33" s="1"/>
  <c r="L289" i="33"/>
  <c r="P289" i="33" s="1"/>
  <c r="L288" i="33"/>
  <c r="P288" i="33" s="1"/>
  <c r="L287" i="33"/>
  <c r="P287" i="33" s="1"/>
  <c r="L286" i="33"/>
  <c r="P286" i="33" s="1"/>
  <c r="L285" i="33"/>
  <c r="P285" i="33" s="1"/>
  <c r="L284" i="33"/>
  <c r="P284" i="33" s="1"/>
  <c r="L283" i="33"/>
  <c r="P283" i="33" s="1"/>
  <c r="L282" i="33"/>
  <c r="P282" i="33" s="1"/>
  <c r="L281" i="33"/>
  <c r="P281" i="33" s="1"/>
  <c r="L353" i="33"/>
  <c r="P353" i="33" s="1"/>
  <c r="L280" i="33"/>
  <c r="P280" i="33" s="1"/>
  <c r="L279" i="33"/>
  <c r="P279" i="33" s="1"/>
  <c r="L278" i="33"/>
  <c r="P278" i="33" s="1"/>
  <c r="L277" i="33"/>
  <c r="P277" i="33" s="1"/>
  <c r="L379" i="33"/>
  <c r="P379" i="33" s="1"/>
  <c r="L275" i="33"/>
  <c r="P275" i="33" s="1"/>
  <c r="L274" i="33"/>
  <c r="P274" i="33" s="1"/>
  <c r="L273" i="33"/>
  <c r="P273" i="33" s="1"/>
  <c r="L272" i="33"/>
  <c r="P272" i="33" s="1"/>
  <c r="L271" i="33"/>
  <c r="P271" i="33" s="1"/>
  <c r="L270" i="33"/>
  <c r="P270" i="33" s="1"/>
  <c r="L269" i="33"/>
  <c r="P269" i="33" s="1"/>
  <c r="L268" i="33"/>
  <c r="P268" i="33" s="1"/>
  <c r="L267" i="33"/>
  <c r="P267" i="33" s="1"/>
  <c r="L266" i="33"/>
  <c r="P266" i="33" s="1"/>
  <c r="L265" i="33"/>
  <c r="P265" i="33" s="1"/>
  <c r="L264" i="33"/>
  <c r="P264" i="33" s="1"/>
  <c r="L263" i="33"/>
  <c r="P263" i="33" s="1"/>
  <c r="L262" i="33"/>
  <c r="P262" i="33" s="1"/>
  <c r="L261" i="33"/>
  <c r="P261" i="33" s="1"/>
  <c r="L260" i="33"/>
  <c r="P260" i="33" s="1"/>
  <c r="L259" i="33"/>
  <c r="P259" i="33" s="1"/>
  <c r="L258" i="33"/>
  <c r="P258" i="33" s="1"/>
  <c r="L257" i="33"/>
  <c r="P257" i="33" s="1"/>
  <c r="L256" i="33"/>
  <c r="P256" i="33" s="1"/>
  <c r="L255" i="33"/>
  <c r="P255" i="33" s="1"/>
  <c r="L254" i="33"/>
  <c r="P254" i="33" s="1"/>
  <c r="L369" i="33"/>
  <c r="P369" i="33" s="1"/>
  <c r="L253" i="33"/>
  <c r="P253" i="33" s="1"/>
  <c r="L252" i="33"/>
  <c r="P252" i="33" s="1"/>
  <c r="L251" i="33"/>
  <c r="P251" i="33" s="1"/>
  <c r="L250" i="33"/>
  <c r="P250" i="33" s="1"/>
  <c r="L249" i="33"/>
  <c r="P249" i="33" s="1"/>
  <c r="L248" i="33"/>
  <c r="P248" i="33" s="1"/>
  <c r="L247" i="33"/>
  <c r="P247" i="33" s="1"/>
  <c r="L246" i="33"/>
  <c r="P246" i="33" s="1"/>
  <c r="L245" i="33"/>
  <c r="P245" i="33" s="1"/>
  <c r="L244" i="33"/>
  <c r="P244" i="33" s="1"/>
  <c r="L243" i="33"/>
  <c r="P243" i="33" s="1"/>
  <c r="L242" i="33"/>
  <c r="P242" i="33" s="1"/>
  <c r="L241" i="33"/>
  <c r="P241" i="33" s="1"/>
  <c r="L240" i="33"/>
  <c r="P240" i="33" s="1"/>
  <c r="L239" i="33"/>
  <c r="P239" i="33" s="1"/>
  <c r="L238" i="33"/>
  <c r="P238" i="33" s="1"/>
  <c r="L237" i="33"/>
  <c r="P237" i="33" s="1"/>
  <c r="L236" i="33"/>
  <c r="P236" i="33" s="1"/>
  <c r="L235" i="33"/>
  <c r="P235" i="33" s="1"/>
  <c r="L234" i="33"/>
  <c r="P234" i="33" s="1"/>
  <c r="L233" i="33"/>
  <c r="P233" i="33" s="1"/>
  <c r="L232" i="33"/>
  <c r="P232" i="33" s="1"/>
  <c r="L231" i="33"/>
  <c r="P231" i="33" s="1"/>
  <c r="L230" i="33"/>
  <c r="P230" i="33" s="1"/>
  <c r="L229" i="33"/>
  <c r="P229" i="33" s="1"/>
  <c r="L348" i="33"/>
  <c r="P348" i="33" s="1"/>
  <c r="L227" i="33"/>
  <c r="P227" i="33" s="1"/>
  <c r="L226" i="33"/>
  <c r="P226" i="33" s="1"/>
  <c r="L225" i="33"/>
  <c r="P225" i="33" s="1"/>
  <c r="L224" i="33"/>
  <c r="P224" i="33" s="1"/>
  <c r="L223" i="33"/>
  <c r="P223" i="33" s="1"/>
  <c r="L222" i="33"/>
  <c r="P222" i="33" s="1"/>
  <c r="L221" i="33"/>
  <c r="P221" i="33" s="1"/>
  <c r="L220" i="33"/>
  <c r="P220" i="33" s="1"/>
  <c r="L219" i="33"/>
  <c r="P219" i="33" s="1"/>
  <c r="L218" i="33"/>
  <c r="P218" i="33" s="1"/>
  <c r="L217" i="33"/>
  <c r="P217" i="33" s="1"/>
  <c r="L216" i="33"/>
  <c r="P216" i="33" s="1"/>
  <c r="L215" i="33"/>
  <c r="P215" i="33" s="1"/>
  <c r="L214" i="33"/>
  <c r="P214" i="33" s="1"/>
  <c r="L213" i="33"/>
  <c r="P213" i="33" s="1"/>
  <c r="L212" i="33"/>
  <c r="P212" i="33" s="1"/>
  <c r="L211" i="33"/>
  <c r="P211" i="33" s="1"/>
  <c r="L210" i="33"/>
  <c r="P210" i="33" s="1"/>
  <c r="L209" i="33"/>
  <c r="P209" i="33" s="1"/>
  <c r="L208" i="33"/>
  <c r="P208" i="33" s="1"/>
  <c r="L376" i="33"/>
  <c r="P376" i="33" s="1"/>
  <c r="L206" i="33"/>
  <c r="P206" i="33" s="1"/>
  <c r="L205" i="33"/>
  <c r="P205" i="33" s="1"/>
  <c r="L204" i="33"/>
  <c r="P204" i="33" s="1"/>
  <c r="L203" i="33"/>
  <c r="P203" i="33" s="1"/>
  <c r="L202" i="33"/>
  <c r="P202" i="33" s="1"/>
  <c r="L201" i="33"/>
  <c r="P201" i="33" s="1"/>
  <c r="L200" i="33"/>
  <c r="P200" i="33" s="1"/>
  <c r="L199" i="33"/>
  <c r="P199" i="33" s="1"/>
  <c r="L198" i="33"/>
  <c r="P198" i="33" s="1"/>
  <c r="L197" i="33"/>
  <c r="P197" i="33" s="1"/>
  <c r="L196" i="33"/>
  <c r="P196" i="33" s="1"/>
  <c r="L195" i="33"/>
  <c r="P195" i="33" s="1"/>
  <c r="L194" i="33"/>
  <c r="P194" i="33" s="1"/>
  <c r="L193" i="33"/>
  <c r="P193" i="33" s="1"/>
  <c r="L192" i="33"/>
  <c r="P192" i="33" s="1"/>
  <c r="L191" i="33"/>
  <c r="P191" i="33" s="1"/>
  <c r="L190" i="33"/>
  <c r="P190" i="33" s="1"/>
  <c r="L189" i="33"/>
  <c r="P189" i="33" s="1"/>
  <c r="L188" i="33"/>
  <c r="P188" i="33" s="1"/>
  <c r="L187" i="33"/>
  <c r="P187" i="33" s="1"/>
  <c r="L186" i="33"/>
  <c r="P186" i="33" s="1"/>
  <c r="L365" i="33"/>
  <c r="P365" i="33" s="1"/>
  <c r="L185" i="33"/>
  <c r="P185" i="33" s="1"/>
  <c r="L184" i="33"/>
  <c r="P184" i="33" s="1"/>
  <c r="L183" i="33"/>
  <c r="P183" i="33" s="1"/>
  <c r="L182" i="33"/>
  <c r="P182" i="33" s="1"/>
  <c r="L181" i="33"/>
  <c r="P181" i="33" s="1"/>
  <c r="L180" i="33"/>
  <c r="P180" i="33" s="1"/>
  <c r="L179" i="33"/>
  <c r="P179" i="33" s="1"/>
  <c r="L178" i="33"/>
  <c r="P178" i="33" s="1"/>
  <c r="L177" i="33"/>
  <c r="P177" i="33" s="1"/>
  <c r="L176" i="33"/>
  <c r="P176" i="33" s="1"/>
  <c r="L174" i="33"/>
  <c r="P174" i="33" s="1"/>
  <c r="L173" i="33"/>
  <c r="P173" i="33" s="1"/>
  <c r="L172" i="33"/>
  <c r="P172" i="33" s="1"/>
  <c r="L362" i="33"/>
  <c r="P362" i="33" s="1"/>
  <c r="L171" i="33"/>
  <c r="P171" i="33" s="1"/>
  <c r="L170" i="33"/>
  <c r="P170" i="33" s="1"/>
  <c r="L169" i="33"/>
  <c r="P169" i="33" s="1"/>
  <c r="L168" i="33"/>
  <c r="P168" i="33" s="1"/>
  <c r="L167" i="33"/>
  <c r="P167" i="33" s="1"/>
  <c r="L166" i="33"/>
  <c r="P166" i="33" s="1"/>
  <c r="L165" i="33"/>
  <c r="P165" i="33" s="1"/>
  <c r="L164" i="33"/>
  <c r="P164" i="33" s="1"/>
  <c r="L163" i="33"/>
  <c r="P163" i="33" s="1"/>
  <c r="L162" i="33"/>
  <c r="P162" i="33" s="1"/>
  <c r="L161" i="33"/>
  <c r="P161" i="33" s="1"/>
  <c r="L160" i="33"/>
  <c r="P160" i="33" s="1"/>
  <c r="L159" i="33"/>
  <c r="P159" i="33" s="1"/>
  <c r="L158" i="33"/>
  <c r="P158" i="33" s="1"/>
  <c r="L357" i="33"/>
  <c r="P357" i="33" s="1"/>
  <c r="L157" i="33"/>
  <c r="P157" i="33" s="1"/>
  <c r="L156" i="33"/>
  <c r="P156" i="33" s="1"/>
  <c r="L352" i="33"/>
  <c r="P352" i="33" s="1"/>
  <c r="L154" i="33"/>
  <c r="P154" i="33" s="1"/>
  <c r="L153" i="33"/>
  <c r="P153" i="33" s="1"/>
  <c r="L152" i="33"/>
  <c r="P152" i="33" s="1"/>
  <c r="L151" i="33"/>
  <c r="P151" i="33" s="1"/>
  <c r="L150" i="33"/>
  <c r="P150" i="33" s="1"/>
  <c r="L149" i="33"/>
  <c r="P149" i="33" s="1"/>
  <c r="L148" i="33"/>
  <c r="P148" i="33" s="1"/>
  <c r="L147" i="33"/>
  <c r="P147" i="33" s="1"/>
  <c r="L146" i="33"/>
  <c r="P146" i="33" s="1"/>
  <c r="L145" i="33"/>
  <c r="P145" i="33" s="1"/>
  <c r="L144" i="33"/>
  <c r="P144" i="33" s="1"/>
  <c r="L143" i="33"/>
  <c r="P143" i="33" s="1"/>
  <c r="L142" i="33"/>
  <c r="P142" i="33" s="1"/>
  <c r="L141" i="33"/>
  <c r="P141" i="33" s="1"/>
  <c r="L140" i="33"/>
  <c r="P140" i="33" s="1"/>
  <c r="L139" i="33"/>
  <c r="P139" i="33" s="1"/>
  <c r="L138" i="33"/>
  <c r="P138" i="33" s="1"/>
  <c r="L137" i="33"/>
  <c r="P137" i="33" s="1"/>
  <c r="L136" i="33"/>
  <c r="P136" i="33" s="1"/>
  <c r="L135" i="33"/>
  <c r="P135" i="33" s="1"/>
  <c r="L134" i="33"/>
  <c r="P134" i="33" s="1"/>
  <c r="L133" i="33"/>
  <c r="P133" i="33" s="1"/>
  <c r="L132" i="33"/>
  <c r="P132" i="33" s="1"/>
  <c r="L131" i="33"/>
  <c r="P131" i="33" s="1"/>
  <c r="L130" i="33"/>
  <c r="P130" i="33" s="1"/>
  <c r="L129" i="33"/>
  <c r="P129" i="33" s="1"/>
  <c r="L128" i="33"/>
  <c r="P128" i="33" s="1"/>
  <c r="L127" i="33"/>
  <c r="P127" i="33" s="1"/>
  <c r="L386" i="33"/>
  <c r="P386" i="33" s="1"/>
  <c r="L126" i="33"/>
  <c r="P126" i="33" s="1"/>
  <c r="L125" i="33"/>
  <c r="P125" i="33" s="1"/>
  <c r="L124" i="33"/>
  <c r="P124" i="33" s="1"/>
  <c r="L123" i="33"/>
  <c r="P123" i="33" s="1"/>
  <c r="L356" i="33"/>
  <c r="P356" i="33" s="1"/>
  <c r="L122" i="33"/>
  <c r="P122" i="33" s="1"/>
  <c r="L121" i="33"/>
  <c r="P121" i="33" s="1"/>
  <c r="L120" i="33"/>
  <c r="P120" i="33" s="1"/>
  <c r="L119" i="33"/>
  <c r="P119" i="33" s="1"/>
  <c r="L118" i="33"/>
  <c r="P118" i="33" s="1"/>
  <c r="L117" i="33"/>
  <c r="P117" i="33" s="1"/>
  <c r="L116" i="33"/>
  <c r="P116" i="33" s="1"/>
  <c r="L115" i="33"/>
  <c r="P115" i="33" s="1"/>
  <c r="L114" i="33"/>
  <c r="P114" i="33" s="1"/>
  <c r="L113" i="33"/>
  <c r="P113" i="33" s="1"/>
  <c r="L112" i="33"/>
  <c r="P112" i="33" s="1"/>
  <c r="L111" i="33"/>
  <c r="P111" i="33" s="1"/>
  <c r="L372" i="33"/>
  <c r="L110" i="33"/>
  <c r="P110" i="33" s="1"/>
  <c r="L109" i="33"/>
  <c r="P109" i="33" s="1"/>
  <c r="L108" i="33"/>
  <c r="P108" i="33" s="1"/>
  <c r="L368" i="33"/>
  <c r="P368" i="33" s="1"/>
  <c r="L107" i="33"/>
  <c r="P107" i="33" s="1"/>
  <c r="L106" i="33"/>
  <c r="P106" i="33" s="1"/>
  <c r="L105" i="33"/>
  <c r="P105" i="33" s="1"/>
  <c r="L104" i="33"/>
  <c r="P104" i="33" s="1"/>
  <c r="L103" i="33"/>
  <c r="P103" i="33" s="1"/>
  <c r="L102" i="33"/>
  <c r="P102" i="33" s="1"/>
  <c r="L101" i="33"/>
  <c r="P101" i="33" s="1"/>
  <c r="L100" i="33"/>
  <c r="P100" i="33" s="1"/>
  <c r="L99" i="33"/>
  <c r="P99" i="33" s="1"/>
  <c r="L98" i="33"/>
  <c r="P98" i="33" s="1"/>
  <c r="L97" i="33"/>
  <c r="P97" i="33" s="1"/>
  <c r="L96" i="33"/>
  <c r="P96" i="33" s="1"/>
  <c r="L95" i="33"/>
  <c r="P95" i="33" s="1"/>
  <c r="L94" i="33"/>
  <c r="P94" i="33" s="1"/>
  <c r="L93" i="33"/>
  <c r="P93" i="33" s="1"/>
  <c r="L92" i="33"/>
  <c r="P92" i="33" s="1"/>
  <c r="L91" i="33"/>
  <c r="P91" i="33" s="1"/>
  <c r="L90" i="33"/>
  <c r="P90" i="33" s="1"/>
  <c r="L89" i="33"/>
  <c r="P89" i="33" s="1"/>
  <c r="L88" i="33"/>
  <c r="P88" i="33" s="1"/>
  <c r="L87" i="33"/>
  <c r="P87" i="33" s="1"/>
  <c r="L85" i="33"/>
  <c r="P85" i="33" s="1"/>
  <c r="L84" i="33"/>
  <c r="P84" i="33" s="1"/>
  <c r="L83" i="33"/>
  <c r="P83" i="33" s="1"/>
  <c r="L82" i="33"/>
  <c r="P82" i="33" s="1"/>
  <c r="L81" i="33"/>
  <c r="P81" i="33" s="1"/>
  <c r="L80" i="33"/>
  <c r="P80" i="33" s="1"/>
  <c r="L79" i="33"/>
  <c r="P79" i="33" s="1"/>
  <c r="L78" i="33"/>
  <c r="P78" i="33" s="1"/>
  <c r="L77" i="33"/>
  <c r="P77" i="33" s="1"/>
  <c r="L76" i="33"/>
  <c r="P76" i="33" s="1"/>
  <c r="L75" i="33"/>
  <c r="P75" i="33" s="1"/>
  <c r="L74" i="33"/>
  <c r="P74" i="33" s="1"/>
  <c r="L73" i="33"/>
  <c r="P73" i="33" s="1"/>
  <c r="L72" i="33"/>
  <c r="P72" i="33" s="1"/>
  <c r="L70" i="33"/>
  <c r="P70" i="33" s="1"/>
  <c r="L69" i="33"/>
  <c r="P69" i="33" s="1"/>
  <c r="L68" i="33"/>
  <c r="P68" i="33" s="1"/>
  <c r="L67" i="33"/>
  <c r="P67" i="33" s="1"/>
  <c r="L361" i="33"/>
  <c r="P361" i="33" s="1"/>
  <c r="L66" i="33"/>
  <c r="P66" i="33" s="1"/>
  <c r="L65" i="33"/>
  <c r="P65" i="33" s="1"/>
  <c r="L64" i="33"/>
  <c r="P64" i="33" s="1"/>
  <c r="L63" i="33"/>
  <c r="P63" i="33" s="1"/>
  <c r="L62" i="33"/>
  <c r="P62" i="33" s="1"/>
  <c r="L61" i="33"/>
  <c r="P61" i="33" s="1"/>
  <c r="L60" i="33"/>
  <c r="P60" i="33" s="1"/>
  <c r="L59" i="33"/>
  <c r="P59" i="33" s="1"/>
  <c r="L367" i="33"/>
  <c r="P367" i="33" s="1"/>
  <c r="L58" i="33"/>
  <c r="P58" i="33" s="1"/>
  <c r="L57" i="33"/>
  <c r="P57" i="33" s="1"/>
  <c r="L56" i="33"/>
  <c r="P56" i="33" s="1"/>
  <c r="L55" i="33"/>
  <c r="P55" i="33" s="1"/>
  <c r="L54" i="33"/>
  <c r="P54" i="33" s="1"/>
  <c r="L53" i="33"/>
  <c r="P53" i="33" s="1"/>
  <c r="L52" i="33"/>
  <c r="P52" i="33" s="1"/>
  <c r="L51" i="33"/>
  <c r="P51" i="33" s="1"/>
  <c r="L50" i="33"/>
  <c r="P50" i="33" s="1"/>
  <c r="L49" i="33"/>
  <c r="P49" i="33" s="1"/>
  <c r="L385" i="33"/>
  <c r="L48" i="33"/>
  <c r="P48" i="33" s="1"/>
  <c r="L373" i="33"/>
  <c r="P373" i="33" s="1"/>
  <c r="L366" i="33"/>
  <c r="P366" i="33" s="1"/>
  <c r="L46" i="33"/>
  <c r="P46" i="33" s="1"/>
  <c r="L45" i="33"/>
  <c r="P45" i="33" s="1"/>
  <c r="L44" i="33"/>
  <c r="P44" i="33" s="1"/>
  <c r="L43" i="33"/>
  <c r="P43" i="33" s="1"/>
  <c r="L42" i="33"/>
  <c r="P42" i="33" s="1"/>
  <c r="L41" i="33"/>
  <c r="P41" i="33" s="1"/>
  <c r="L40" i="33"/>
  <c r="P40" i="33" s="1"/>
  <c r="L39" i="33"/>
  <c r="P39" i="33" s="1"/>
  <c r="L38" i="33"/>
  <c r="P38" i="33" s="1"/>
  <c r="L37" i="33"/>
  <c r="P37" i="33" s="1"/>
  <c r="L36" i="33"/>
  <c r="P36" i="33" s="1"/>
  <c r="L35" i="33"/>
  <c r="P35" i="33" s="1"/>
  <c r="L34" i="33"/>
  <c r="P34" i="33" s="1"/>
  <c r="L33" i="33"/>
  <c r="P33" i="33" s="1"/>
  <c r="L32" i="33"/>
  <c r="P32" i="33" s="1"/>
  <c r="L31" i="33"/>
  <c r="P31" i="33" s="1"/>
  <c r="L30" i="33"/>
  <c r="P30" i="33" s="1"/>
  <c r="L29" i="33"/>
  <c r="P29" i="33" s="1"/>
  <c r="L28" i="33"/>
  <c r="P28" i="33" s="1"/>
  <c r="L349" i="33"/>
  <c r="P349" i="33" s="1"/>
  <c r="L27" i="33"/>
  <c r="P27" i="33" s="1"/>
  <c r="L26" i="33"/>
  <c r="P26" i="33" s="1"/>
  <c r="L25" i="33"/>
  <c r="P25" i="33" s="1"/>
  <c r="L24" i="33"/>
  <c r="P24" i="33" s="1"/>
  <c r="L23" i="33"/>
  <c r="P23" i="33" s="1"/>
  <c r="L22" i="33"/>
  <c r="P22" i="33" s="1"/>
  <c r="L21" i="33"/>
  <c r="P21" i="33" s="1"/>
  <c r="L20" i="33"/>
  <c r="P20" i="33" s="1"/>
  <c r="L19" i="33"/>
  <c r="P19" i="33" s="1"/>
  <c r="L360" i="33"/>
  <c r="P360" i="33" s="1"/>
  <c r="L18" i="33"/>
  <c r="P18" i="33" s="1"/>
  <c r="L17" i="33"/>
  <c r="P17" i="33" s="1"/>
  <c r="L16" i="33"/>
  <c r="P16" i="33" s="1"/>
  <c r="L15" i="33"/>
  <c r="P15" i="33" s="1"/>
  <c r="L14" i="33"/>
  <c r="P14" i="33" s="1"/>
  <c r="L13" i="33"/>
  <c r="P13" i="33" s="1"/>
  <c r="L12" i="33"/>
  <c r="P12" i="33" s="1"/>
  <c r="L11" i="33"/>
  <c r="P11" i="33" s="1"/>
  <c r="L10" i="33"/>
  <c r="P10" i="33" s="1"/>
  <c r="L9" i="33"/>
  <c r="P9" i="33" s="1"/>
  <c r="L8" i="33"/>
  <c r="P8" i="33" s="1"/>
  <c r="L7" i="33"/>
  <c r="P7" i="33" s="1"/>
  <c r="L6" i="33"/>
  <c r="P6" i="33" s="1"/>
  <c r="L5" i="33"/>
  <c r="P5" i="33" s="1"/>
  <c r="L4" i="33"/>
  <c r="P4" i="33" s="1"/>
  <c r="L3" i="33"/>
  <c r="P3" i="33" s="1"/>
  <c r="L2" i="33"/>
  <c r="P2" i="33" s="1"/>
  <c r="P385" i="33" l="1"/>
  <c r="L388" i="33"/>
  <c r="P388" i="33" s="1"/>
  <c r="C344" i="21"/>
  <c r="L383" i="33"/>
  <c r="P383" i="33" s="1"/>
  <c r="L377" i="33"/>
  <c r="P377" i="33" s="1"/>
  <c r="L380" i="33"/>
  <c r="P380" i="33" s="1"/>
  <c r="P372" i="33"/>
  <c r="L374" i="33"/>
  <c r="P374" i="33" s="1"/>
  <c r="E388" i="37"/>
  <c r="C381" i="37"/>
  <c r="E381" i="37"/>
  <c r="E377" i="37"/>
  <c r="C373" i="37"/>
  <c r="C377" i="37"/>
  <c r="E373" i="37"/>
  <c r="L370" i="33"/>
  <c r="P370" i="33" s="1"/>
  <c r="L363" i="33"/>
  <c r="P363" i="33" s="1"/>
  <c r="L358" i="33"/>
  <c r="P358" i="33" s="1"/>
  <c r="L354" i="33"/>
  <c r="P354" i="33" s="1"/>
  <c r="L350" i="33"/>
  <c r="P350" i="33" s="1"/>
  <c r="J25" i="1"/>
  <c r="J24" i="1"/>
  <c r="J22" i="1"/>
  <c r="J21" i="1"/>
  <c r="J20" i="1"/>
  <c r="J19" i="1"/>
  <c r="J18" i="1"/>
  <c r="J23" i="1"/>
  <c r="J17" i="1"/>
  <c r="F29" i="3" l="1"/>
  <c r="E29" i="3"/>
  <c r="D29" i="3"/>
  <c r="C29" i="3"/>
  <c r="F3" i="28"/>
  <c r="E369" i="37"/>
  <c r="C369" i="37"/>
  <c r="E368" i="37"/>
  <c r="C368" i="37"/>
  <c r="E367" i="37"/>
  <c r="C367" i="37"/>
  <c r="V365" i="37"/>
  <c r="U365" i="37"/>
  <c r="T365" i="37"/>
  <c r="R365" i="37"/>
  <c r="Q365" i="37"/>
  <c r="P365" i="37"/>
  <c r="O365" i="37"/>
  <c r="M365" i="37"/>
  <c r="L365" i="37"/>
  <c r="K365" i="37"/>
  <c r="J365" i="37"/>
  <c r="I365" i="37"/>
  <c r="H365" i="37"/>
  <c r="F365" i="37"/>
  <c r="E364" i="37"/>
  <c r="C364" i="37"/>
  <c r="V362" i="37"/>
  <c r="U362" i="37"/>
  <c r="T362" i="37"/>
  <c r="R362" i="37"/>
  <c r="Q362" i="37"/>
  <c r="P362" i="37"/>
  <c r="O362" i="37"/>
  <c r="M362" i="37"/>
  <c r="L362" i="37"/>
  <c r="K362" i="37"/>
  <c r="J362" i="37"/>
  <c r="I362" i="37"/>
  <c r="H362" i="37"/>
  <c r="F362" i="37"/>
  <c r="E361" i="37"/>
  <c r="C361" i="37"/>
  <c r="V359" i="37"/>
  <c r="U359" i="37"/>
  <c r="T359" i="37"/>
  <c r="R359" i="37"/>
  <c r="Q359" i="37"/>
  <c r="P359" i="37"/>
  <c r="O359" i="37"/>
  <c r="M359" i="37"/>
  <c r="L359" i="37"/>
  <c r="K359" i="37"/>
  <c r="J359" i="37"/>
  <c r="I359" i="37"/>
  <c r="H359" i="37"/>
  <c r="F359" i="37"/>
  <c r="E358" i="37"/>
  <c r="C358" i="37"/>
  <c r="V356" i="37"/>
  <c r="U356" i="37"/>
  <c r="T356" i="37"/>
  <c r="R356" i="37"/>
  <c r="Q356" i="37"/>
  <c r="P356" i="37"/>
  <c r="O356" i="37"/>
  <c r="M356" i="37"/>
  <c r="L356" i="37"/>
  <c r="K356" i="37"/>
  <c r="J356" i="37"/>
  <c r="I356" i="37"/>
  <c r="H356" i="37"/>
  <c r="F356" i="37"/>
  <c r="E355" i="37"/>
  <c r="C355" i="37"/>
  <c r="E353" i="37"/>
  <c r="C353" i="37"/>
  <c r="V351" i="37"/>
  <c r="U351" i="37"/>
  <c r="T351" i="37"/>
  <c r="R351" i="37"/>
  <c r="Q351" i="37"/>
  <c r="P351" i="37"/>
  <c r="O351" i="37"/>
  <c r="M351" i="37"/>
  <c r="L351" i="37"/>
  <c r="K351" i="37"/>
  <c r="J351" i="37"/>
  <c r="I351" i="37"/>
  <c r="H351" i="37"/>
  <c r="F351" i="37"/>
  <c r="E350" i="37"/>
  <c r="C350" i="37"/>
  <c r="E349" i="37"/>
  <c r="C349" i="37"/>
  <c r="E348" i="37"/>
  <c r="C348" i="37"/>
  <c r="C11" i="4"/>
  <c r="U344" i="37"/>
  <c r="M344" i="37"/>
  <c r="L344" i="37"/>
  <c r="K344" i="37"/>
  <c r="J344" i="37"/>
  <c r="I344" i="37"/>
  <c r="H344" i="37"/>
  <c r="E343" i="37"/>
  <c r="E342" i="37"/>
  <c r="E341" i="37"/>
  <c r="E340" i="37"/>
  <c r="E339" i="37"/>
  <c r="E338" i="37"/>
  <c r="E337" i="37"/>
  <c r="E336" i="37"/>
  <c r="E335" i="37"/>
  <c r="E334" i="37"/>
  <c r="E333" i="37"/>
  <c r="E332" i="37"/>
  <c r="E331" i="37"/>
  <c r="E330" i="37"/>
  <c r="E329" i="37"/>
  <c r="E328" i="37"/>
  <c r="E327" i="37"/>
  <c r="E326" i="37"/>
  <c r="E325" i="37"/>
  <c r="E324" i="37"/>
  <c r="E323" i="37"/>
  <c r="E322" i="37"/>
  <c r="E321" i="37"/>
  <c r="E396" i="37"/>
  <c r="E320" i="37"/>
  <c r="E319" i="37"/>
  <c r="E318" i="37"/>
  <c r="E317" i="37"/>
  <c r="E316" i="37"/>
  <c r="E315" i="37"/>
  <c r="E314" i="37"/>
  <c r="E313" i="37"/>
  <c r="E390" i="37"/>
  <c r="E312" i="37"/>
  <c r="E311" i="37"/>
  <c r="E310" i="37"/>
  <c r="E309" i="37"/>
  <c r="E308" i="37"/>
  <c r="E307" i="37"/>
  <c r="E306" i="37"/>
  <c r="E305" i="37"/>
  <c r="E303" i="37"/>
  <c r="E302" i="37"/>
  <c r="E300" i="37"/>
  <c r="E299" i="37"/>
  <c r="E298" i="37"/>
  <c r="E297" i="37"/>
  <c r="E296" i="37"/>
  <c r="E295" i="37"/>
  <c r="E294" i="37"/>
  <c r="E293" i="37"/>
  <c r="E292" i="37"/>
  <c r="E291" i="37"/>
  <c r="E290" i="37"/>
  <c r="E289" i="37"/>
  <c r="E288" i="37"/>
  <c r="E287" i="37"/>
  <c r="E286" i="37"/>
  <c r="E285" i="37"/>
  <c r="E284" i="37"/>
  <c r="E283" i="37"/>
  <c r="E282" i="37"/>
  <c r="E281" i="37"/>
  <c r="E380" i="37"/>
  <c r="C380" i="37"/>
  <c r="E280" i="37"/>
  <c r="E279" i="37"/>
  <c r="E278" i="37"/>
  <c r="E277" i="37"/>
  <c r="E275" i="37"/>
  <c r="E274" i="37"/>
  <c r="E273" i="37"/>
  <c r="E272" i="37"/>
  <c r="E271" i="37"/>
  <c r="E270" i="37"/>
  <c r="E269" i="37"/>
  <c r="E268" i="37"/>
  <c r="E267" i="37"/>
  <c r="E266" i="37"/>
  <c r="E265" i="37"/>
  <c r="E264" i="37"/>
  <c r="E263" i="37"/>
  <c r="E262" i="37"/>
  <c r="E261" i="37"/>
  <c r="E260" i="37"/>
  <c r="E259" i="37"/>
  <c r="E258" i="37"/>
  <c r="E257" i="37"/>
  <c r="E256" i="37"/>
  <c r="E255" i="37"/>
  <c r="E254" i="37"/>
  <c r="E387" i="37"/>
  <c r="C387" i="37"/>
  <c r="E253" i="37"/>
  <c r="E252" i="37"/>
  <c r="E251" i="37"/>
  <c r="E250" i="37"/>
  <c r="E249" i="37"/>
  <c r="E248" i="37"/>
  <c r="E247" i="37"/>
  <c r="E246" i="37"/>
  <c r="E245" i="37"/>
  <c r="E244" i="37"/>
  <c r="E243" i="37"/>
  <c r="E242" i="37"/>
  <c r="E241" i="37"/>
  <c r="E240" i="37"/>
  <c r="E239" i="37"/>
  <c r="E238" i="37"/>
  <c r="E237" i="37"/>
  <c r="E236" i="37"/>
  <c r="E235" i="37"/>
  <c r="E234" i="37"/>
  <c r="E233" i="37"/>
  <c r="E232" i="37"/>
  <c r="E231" i="37"/>
  <c r="E230" i="37"/>
  <c r="E229" i="37"/>
  <c r="E372" i="37"/>
  <c r="C372" i="37"/>
  <c r="E227" i="37"/>
  <c r="E226" i="37"/>
  <c r="E225" i="37"/>
  <c r="E224" i="37"/>
  <c r="E223" i="37"/>
  <c r="E222" i="37"/>
  <c r="E221" i="37"/>
  <c r="E220" i="37"/>
  <c r="E219" i="37"/>
  <c r="E218" i="37"/>
  <c r="E217" i="37"/>
  <c r="E216" i="37"/>
  <c r="E215" i="37"/>
  <c r="E214" i="37"/>
  <c r="E213" i="37"/>
  <c r="E212" i="37"/>
  <c r="E211" i="37"/>
  <c r="E210" i="37"/>
  <c r="E209" i="37"/>
  <c r="E208" i="37"/>
  <c r="E206" i="37"/>
  <c r="E205" i="37"/>
  <c r="E204" i="37"/>
  <c r="E203" i="37"/>
  <c r="E202" i="37"/>
  <c r="E201" i="37"/>
  <c r="E200" i="37"/>
  <c r="E199" i="37"/>
  <c r="E198" i="37"/>
  <c r="E197" i="37"/>
  <c r="E196" i="37"/>
  <c r="E195" i="37"/>
  <c r="E194" i="37"/>
  <c r="E193" i="37"/>
  <c r="E192" i="37"/>
  <c r="E191" i="37"/>
  <c r="E190" i="37"/>
  <c r="E189" i="37"/>
  <c r="E188" i="37"/>
  <c r="E187" i="37"/>
  <c r="E186" i="37"/>
  <c r="E386" i="37"/>
  <c r="C386" i="37"/>
  <c r="E185" i="37"/>
  <c r="E184" i="37"/>
  <c r="E183" i="37"/>
  <c r="E182" i="37"/>
  <c r="E181" i="37"/>
  <c r="E180" i="37"/>
  <c r="E179" i="37"/>
  <c r="E178" i="37"/>
  <c r="E177" i="37"/>
  <c r="E176" i="37"/>
  <c r="E174" i="37"/>
  <c r="E173" i="37"/>
  <c r="E172" i="37"/>
  <c r="E171" i="37"/>
  <c r="E170" i="37"/>
  <c r="E169" i="37"/>
  <c r="E168" i="37"/>
  <c r="E167" i="37"/>
  <c r="E166" i="37"/>
  <c r="E165" i="37"/>
  <c r="E164" i="37"/>
  <c r="E163" i="37"/>
  <c r="E162" i="37"/>
  <c r="E161" i="37"/>
  <c r="E160" i="37"/>
  <c r="E159" i="37"/>
  <c r="E158" i="37"/>
  <c r="E376" i="37"/>
  <c r="C376" i="37"/>
  <c r="E157" i="37"/>
  <c r="E156" i="37"/>
  <c r="E379" i="37"/>
  <c r="C379" i="37"/>
  <c r="E154" i="37"/>
  <c r="E153" i="37"/>
  <c r="E152" i="37"/>
  <c r="E151" i="37"/>
  <c r="E150" i="37"/>
  <c r="E149" i="37"/>
  <c r="E148" i="37"/>
  <c r="E147" i="37"/>
  <c r="E146" i="37"/>
  <c r="E145" i="37"/>
  <c r="E144" i="37"/>
  <c r="E143" i="37"/>
  <c r="E142" i="37"/>
  <c r="E141" i="37"/>
  <c r="E140" i="37"/>
  <c r="E139" i="37"/>
  <c r="E138" i="37"/>
  <c r="E137" i="37"/>
  <c r="E136" i="37"/>
  <c r="E135" i="37"/>
  <c r="E134" i="37"/>
  <c r="E133" i="37"/>
  <c r="E132" i="37"/>
  <c r="E131" i="37"/>
  <c r="E130" i="37"/>
  <c r="E129" i="37"/>
  <c r="E128" i="37"/>
  <c r="E127" i="37"/>
  <c r="E395" i="37"/>
  <c r="E126" i="37"/>
  <c r="E125" i="37"/>
  <c r="E124" i="37"/>
  <c r="E123" i="37"/>
  <c r="E375" i="37"/>
  <c r="C375" i="37"/>
  <c r="E122" i="37"/>
  <c r="E121" i="37"/>
  <c r="E120" i="37"/>
  <c r="E119" i="37"/>
  <c r="E118" i="37"/>
  <c r="E117" i="37"/>
  <c r="E116" i="37"/>
  <c r="E115" i="37"/>
  <c r="E114" i="37"/>
  <c r="E113" i="37"/>
  <c r="E112" i="37"/>
  <c r="E111" i="37"/>
  <c r="E110" i="37"/>
  <c r="E109" i="37"/>
  <c r="E108" i="37"/>
  <c r="E385" i="37"/>
  <c r="C385" i="37"/>
  <c r="E107" i="37"/>
  <c r="E106" i="37"/>
  <c r="E105" i="37"/>
  <c r="E104" i="37"/>
  <c r="E103" i="37"/>
  <c r="E102" i="37"/>
  <c r="E101" i="37"/>
  <c r="E100" i="37"/>
  <c r="E99" i="37"/>
  <c r="E98" i="37"/>
  <c r="E97" i="37"/>
  <c r="E96" i="37"/>
  <c r="E95" i="37"/>
  <c r="E94" i="37"/>
  <c r="E93" i="37"/>
  <c r="E92" i="37"/>
  <c r="E91" i="37"/>
  <c r="E90" i="37"/>
  <c r="E89" i="37"/>
  <c r="E88" i="37"/>
  <c r="E87" i="37"/>
  <c r="E85" i="37"/>
  <c r="E84" i="37"/>
  <c r="E83" i="37"/>
  <c r="E82" i="37"/>
  <c r="E81" i="37"/>
  <c r="E80" i="37"/>
  <c r="E79" i="37"/>
  <c r="E78" i="37"/>
  <c r="E77" i="37"/>
  <c r="E76" i="37"/>
  <c r="E75" i="37"/>
  <c r="E74" i="37"/>
  <c r="E73" i="37"/>
  <c r="E72" i="37"/>
  <c r="E70" i="37"/>
  <c r="E69" i="37"/>
  <c r="E68" i="37"/>
  <c r="E67" i="37"/>
  <c r="E66" i="37"/>
  <c r="E65" i="37"/>
  <c r="E64" i="37"/>
  <c r="E63" i="37"/>
  <c r="E62" i="37"/>
  <c r="E61" i="37"/>
  <c r="E60" i="37"/>
  <c r="E59" i="37"/>
  <c r="E384" i="37"/>
  <c r="C384" i="37"/>
  <c r="E58" i="37"/>
  <c r="E57" i="37"/>
  <c r="E56" i="37"/>
  <c r="E55" i="37"/>
  <c r="E54" i="37"/>
  <c r="E53" i="37"/>
  <c r="E52" i="37"/>
  <c r="E51" i="37"/>
  <c r="E50" i="37"/>
  <c r="E49" i="37"/>
  <c r="E394" i="37"/>
  <c r="E48" i="37"/>
  <c r="E383" i="37"/>
  <c r="C383" i="37"/>
  <c r="E46" i="37"/>
  <c r="E45" i="37"/>
  <c r="E44" i="37"/>
  <c r="E43" i="37"/>
  <c r="E42" i="37"/>
  <c r="E41" i="37"/>
  <c r="E40" i="37"/>
  <c r="E39" i="37"/>
  <c r="E38" i="37"/>
  <c r="E37" i="37"/>
  <c r="E36" i="37"/>
  <c r="E35" i="37"/>
  <c r="E34" i="37"/>
  <c r="E33" i="37"/>
  <c r="E32" i="37"/>
  <c r="E31" i="37"/>
  <c r="E30" i="37"/>
  <c r="E29" i="37"/>
  <c r="E28" i="37"/>
  <c r="E371" i="37"/>
  <c r="C371" i="37"/>
  <c r="E27" i="37"/>
  <c r="E26" i="37"/>
  <c r="E25" i="37"/>
  <c r="E24" i="37"/>
  <c r="E23" i="37"/>
  <c r="E22" i="37"/>
  <c r="E21" i="37"/>
  <c r="E20" i="37"/>
  <c r="E19" i="37"/>
  <c r="E18" i="37"/>
  <c r="E16" i="37"/>
  <c r="E15" i="37"/>
  <c r="E14" i="37"/>
  <c r="E13" i="37"/>
  <c r="E12" i="37"/>
  <c r="E11" i="37"/>
  <c r="E10" i="37"/>
  <c r="E9" i="37"/>
  <c r="E8" i="37"/>
  <c r="E7" i="37"/>
  <c r="E6" i="37"/>
  <c r="E5" i="37"/>
  <c r="E4" i="37"/>
  <c r="E3" i="37"/>
  <c r="E2" i="37"/>
  <c r="C359" i="37" l="1"/>
  <c r="C362" i="37"/>
  <c r="C365" i="37"/>
  <c r="E351" i="37"/>
  <c r="E356" i="37"/>
  <c r="C351" i="37"/>
  <c r="C356" i="37"/>
  <c r="E359" i="37"/>
  <c r="E365" i="37"/>
  <c r="E362" i="37"/>
  <c r="E344" i="37"/>
  <c r="AT344" i="7" l="1"/>
  <c r="AS344" i="7"/>
  <c r="AR344" i="7"/>
  <c r="V344" i="7"/>
  <c r="U344" i="7"/>
  <c r="T344" i="7"/>
  <c r="S344" i="7"/>
  <c r="R344" i="7"/>
  <c r="Q344" i="7"/>
  <c r="P344" i="7"/>
  <c r="O344" i="7"/>
  <c r="N344" i="7"/>
  <c r="M344" i="7"/>
  <c r="L344" i="7"/>
  <c r="K344" i="7"/>
  <c r="J344" i="7"/>
  <c r="I344" i="7"/>
  <c r="T315" i="27" l="1"/>
  <c r="T217" i="27"/>
  <c r="T72" i="27"/>
  <c r="T19" i="27"/>
  <c r="T116" i="27" l="1"/>
  <c r="T287" i="27"/>
  <c r="U287" i="27" s="1"/>
  <c r="T50" i="27"/>
  <c r="U50" i="27" s="1"/>
  <c r="T181" i="27"/>
  <c r="W181" i="27" s="1"/>
  <c r="U315" i="27"/>
  <c r="W315" i="27"/>
  <c r="W217" i="27"/>
  <c r="U217" i="27"/>
  <c r="W116" i="27"/>
  <c r="U116" i="27"/>
  <c r="W72" i="27"/>
  <c r="U72" i="27"/>
  <c r="U19" i="27"/>
  <c r="W19" i="27"/>
  <c r="W287" i="27" l="1"/>
  <c r="W50" i="27"/>
  <c r="U181" i="27"/>
  <c r="G18" i="1"/>
  <c r="G19" i="1"/>
  <c r="G27" i="1"/>
  <c r="G28" i="1"/>
  <c r="G20" i="1"/>
  <c r="G4" i="1"/>
  <c r="AI344" i="25"/>
  <c r="AI343" i="25"/>
  <c r="AI342" i="25"/>
  <c r="AI341" i="25"/>
  <c r="AI70" i="25"/>
  <c r="AI340" i="25"/>
  <c r="AI339" i="25"/>
  <c r="AI338" i="25"/>
  <c r="AI337" i="25"/>
  <c r="AI336" i="25"/>
  <c r="AI335" i="25"/>
  <c r="AI334" i="25"/>
  <c r="AI333" i="25"/>
  <c r="AI332" i="25"/>
  <c r="AI331" i="25"/>
  <c r="AI330" i="25"/>
  <c r="AI329" i="25"/>
  <c r="AI328" i="25"/>
  <c r="AI327" i="25"/>
  <c r="AI326" i="25"/>
  <c r="AI325" i="25"/>
  <c r="AI324" i="25"/>
  <c r="AI323" i="25"/>
  <c r="AI322" i="25"/>
  <c r="AI321" i="25"/>
  <c r="AI320" i="25"/>
  <c r="AI319" i="25"/>
  <c r="AI318" i="25"/>
  <c r="AI317" i="25"/>
  <c r="AI316" i="25"/>
  <c r="AI315" i="25"/>
  <c r="AI314" i="25"/>
  <c r="AI313" i="25"/>
  <c r="AI312" i="25"/>
  <c r="AI311" i="25"/>
  <c r="AI310" i="25"/>
  <c r="AI309" i="25"/>
  <c r="AI308" i="25"/>
  <c r="AI307" i="25"/>
  <c r="AI306" i="25"/>
  <c r="AI305" i="25"/>
  <c r="AI304" i="25"/>
  <c r="AI303" i="25"/>
  <c r="AI302" i="25"/>
  <c r="AI301" i="25"/>
  <c r="AI300" i="25"/>
  <c r="AI299" i="25"/>
  <c r="AI298" i="25"/>
  <c r="AI297" i="25"/>
  <c r="AI296" i="25"/>
  <c r="AI295" i="25"/>
  <c r="AI294" i="25"/>
  <c r="AI293" i="25"/>
  <c r="AI292" i="25"/>
  <c r="AI291" i="25"/>
  <c r="AI290" i="25"/>
  <c r="AI289" i="25"/>
  <c r="AI288" i="25"/>
  <c r="AI287" i="25"/>
  <c r="AI286" i="25"/>
  <c r="AI285" i="25"/>
  <c r="AI284" i="25"/>
  <c r="AI283" i="25"/>
  <c r="AI282" i="25"/>
  <c r="AI281" i="25"/>
  <c r="AI280" i="25"/>
  <c r="AI279" i="25"/>
  <c r="AI278" i="25"/>
  <c r="AI277" i="25"/>
  <c r="AI276" i="25"/>
  <c r="AI275" i="25"/>
  <c r="AI274" i="25"/>
  <c r="AI273" i="25"/>
  <c r="AI272" i="25"/>
  <c r="AI271" i="25"/>
  <c r="AI270" i="25"/>
  <c r="AI269" i="25"/>
  <c r="AI268" i="25"/>
  <c r="AI267" i="25"/>
  <c r="AI266" i="25"/>
  <c r="AI265" i="25"/>
  <c r="AI264" i="25"/>
  <c r="AI263" i="25"/>
  <c r="AI260" i="25"/>
  <c r="AI259" i="25"/>
  <c r="AI258" i="25"/>
  <c r="AI257" i="25"/>
  <c r="AI256" i="25"/>
  <c r="AI255" i="25"/>
  <c r="AI254" i="25"/>
  <c r="AI253" i="25"/>
  <c r="AI252" i="25"/>
  <c r="AI69" i="25"/>
  <c r="AI251" i="25"/>
  <c r="AI250" i="25"/>
  <c r="AI249" i="25"/>
  <c r="AI248" i="25"/>
  <c r="AI247" i="25"/>
  <c r="AI246" i="25"/>
  <c r="AI245" i="25"/>
  <c r="AI244" i="25"/>
  <c r="AI243" i="25"/>
  <c r="AI242" i="25"/>
  <c r="AI241" i="25"/>
  <c r="AI240" i="25"/>
  <c r="AI239" i="25"/>
  <c r="AI238" i="25"/>
  <c r="AI237" i="25"/>
  <c r="AI236" i="25"/>
  <c r="AI235" i="25"/>
  <c r="AI234" i="25"/>
  <c r="AI233" i="25"/>
  <c r="AI232" i="25"/>
  <c r="AI231" i="25"/>
  <c r="AI230" i="25"/>
  <c r="AI229" i="25"/>
  <c r="AI228" i="25"/>
  <c r="AI227" i="25"/>
  <c r="AI226" i="25"/>
  <c r="AI225" i="25"/>
  <c r="AI224" i="25"/>
  <c r="AI223" i="25"/>
  <c r="AI222" i="25"/>
  <c r="AI221" i="25"/>
  <c r="AI220" i="25"/>
  <c r="AI219" i="25"/>
  <c r="AI218" i="25"/>
  <c r="AI217" i="25"/>
  <c r="AI216" i="25"/>
  <c r="AI215" i="25"/>
  <c r="AI214" i="25"/>
  <c r="AI213" i="25"/>
  <c r="AI212" i="25"/>
  <c r="AI211" i="25"/>
  <c r="AI210" i="25"/>
  <c r="AI209" i="25"/>
  <c r="AI208" i="25"/>
  <c r="AI207" i="25"/>
  <c r="AI206" i="25"/>
  <c r="AI205" i="25"/>
  <c r="AI204" i="25"/>
  <c r="AI203" i="25"/>
  <c r="AI202" i="25"/>
  <c r="AI201" i="25"/>
  <c r="AI200" i="25"/>
  <c r="AI199" i="25"/>
  <c r="AI198" i="25"/>
  <c r="AI197" i="25"/>
  <c r="AI196" i="25"/>
  <c r="AI195" i="25"/>
  <c r="AI194" i="25"/>
  <c r="AI193" i="25"/>
  <c r="AI192" i="25"/>
  <c r="AI191" i="25"/>
  <c r="AI190" i="25"/>
  <c r="AI189" i="25"/>
  <c r="AI188" i="25"/>
  <c r="AI187" i="25"/>
  <c r="AI186" i="25"/>
  <c r="AI185" i="25"/>
  <c r="AI184" i="25"/>
  <c r="AI183" i="25"/>
  <c r="AI182" i="25"/>
  <c r="AI181" i="25"/>
  <c r="AI180" i="25"/>
  <c r="AI179" i="25"/>
  <c r="AI178" i="25"/>
  <c r="AI177" i="25"/>
  <c r="AI176" i="25"/>
  <c r="AI175" i="25"/>
  <c r="AI174" i="25"/>
  <c r="AI173" i="25"/>
  <c r="AI172" i="25"/>
  <c r="AI171" i="25"/>
  <c r="AI170" i="25"/>
  <c r="AI169" i="25"/>
  <c r="AI168" i="25"/>
  <c r="AI167" i="25"/>
  <c r="AI166" i="25"/>
  <c r="AI165" i="25"/>
  <c r="AI164" i="25"/>
  <c r="AI163" i="25"/>
  <c r="AI162" i="25"/>
  <c r="AI161" i="25"/>
  <c r="AI160" i="25"/>
  <c r="AI159" i="25"/>
  <c r="AI158" i="25"/>
  <c r="AI157" i="25"/>
  <c r="AI156" i="25"/>
  <c r="AI155" i="25"/>
  <c r="AI154" i="25"/>
  <c r="AI153" i="25"/>
  <c r="AI152" i="25"/>
  <c r="AI151" i="25"/>
  <c r="AI150" i="25"/>
  <c r="AI149" i="25"/>
  <c r="AI148" i="25"/>
  <c r="AI147" i="25"/>
  <c r="AI146" i="25"/>
  <c r="AI138" i="25"/>
  <c r="AI145" i="25"/>
  <c r="AI144" i="25"/>
  <c r="AI143" i="25"/>
  <c r="AI142" i="25"/>
  <c r="AI141" i="25"/>
  <c r="AI140" i="25"/>
  <c r="AI139" i="25"/>
  <c r="AI262" i="25"/>
  <c r="AI137" i="25"/>
  <c r="AI136" i="25"/>
  <c r="AI135" i="25"/>
  <c r="AI134" i="25"/>
  <c r="AI133" i="25"/>
  <c r="AI73" i="25"/>
  <c r="AI132" i="25"/>
  <c r="AI131" i="25"/>
  <c r="AI130" i="25"/>
  <c r="AI129" i="25"/>
  <c r="AI128" i="25"/>
  <c r="AI127" i="25"/>
  <c r="AI126" i="25"/>
  <c r="AI125" i="25"/>
  <c r="AI124" i="25"/>
  <c r="AI123" i="25"/>
  <c r="AI122" i="25"/>
  <c r="AI121" i="25"/>
  <c r="AI120" i="25"/>
  <c r="AI119" i="25"/>
  <c r="AI118" i="25"/>
  <c r="AI117" i="25"/>
  <c r="AI116" i="25"/>
  <c r="AI115" i="25"/>
  <c r="AI114" i="25"/>
  <c r="AI113" i="25"/>
  <c r="AI261" i="25"/>
  <c r="AI112" i="25"/>
  <c r="AI111" i="25"/>
  <c r="AI110" i="25"/>
  <c r="AI109" i="25"/>
  <c r="AI108" i="25"/>
  <c r="AI107" i="25"/>
  <c r="AI106" i="25"/>
  <c r="AI105" i="25"/>
  <c r="AI104" i="25"/>
  <c r="AI103" i="25"/>
  <c r="AI102" i="25"/>
  <c r="AI101" i="25"/>
  <c r="AI68" i="25"/>
  <c r="AI100" i="25"/>
  <c r="AI99" i="25"/>
  <c r="AI98" i="25"/>
  <c r="AI97" i="25"/>
  <c r="AI96" i="25"/>
  <c r="AI95" i="25"/>
  <c r="AI94" i="25"/>
  <c r="AI93" i="25"/>
  <c r="AI92" i="25"/>
  <c r="AI91" i="25"/>
  <c r="AI90" i="25"/>
  <c r="AI89" i="25"/>
  <c r="AI88" i="25"/>
  <c r="AI87" i="25"/>
  <c r="AI86" i="25"/>
  <c r="AI85" i="25"/>
  <c r="AI84" i="25"/>
  <c r="AI83" i="25"/>
  <c r="AI82" i="25"/>
  <c r="AI81" i="25"/>
  <c r="AI80" i="25"/>
  <c r="AI79" i="25"/>
  <c r="AI78" i="25"/>
  <c r="AI77" i="25"/>
  <c r="AI76" i="25"/>
  <c r="AI75" i="25"/>
  <c r="AI74" i="25"/>
  <c r="AI72" i="25"/>
  <c r="AI71" i="25"/>
  <c r="AI66" i="25"/>
  <c r="AI65" i="25"/>
  <c r="AI64" i="25"/>
  <c r="AI63" i="25"/>
  <c r="AI62" i="25"/>
  <c r="AI61" i="25"/>
  <c r="AI60" i="25"/>
  <c r="AI59" i="25"/>
  <c r="AI58" i="25"/>
  <c r="AI57" i="25"/>
  <c r="AI56" i="25"/>
  <c r="AI55" i="25"/>
  <c r="AI54" i="25"/>
  <c r="AI53" i="25"/>
  <c r="AI52" i="25"/>
  <c r="AI51" i="25"/>
  <c r="AI50" i="25"/>
  <c r="AI49" i="25"/>
  <c r="AI48" i="25"/>
  <c r="AI47" i="25"/>
  <c r="AI46" i="25"/>
  <c r="AI45" i="25"/>
  <c r="AI44" i="25"/>
  <c r="AI43" i="25"/>
  <c r="AI42" i="25"/>
  <c r="AI41" i="25"/>
  <c r="AI67" i="25"/>
  <c r="AI40" i="25"/>
  <c r="AI39" i="25"/>
  <c r="AI38" i="25"/>
  <c r="AI37" i="25"/>
  <c r="AI36" i="25"/>
  <c r="AI35" i="25"/>
  <c r="AI34" i="25"/>
  <c r="AI33" i="25"/>
  <c r="AI32" i="25"/>
  <c r="AI31" i="25"/>
  <c r="AI30" i="25"/>
  <c r="AI29" i="25"/>
  <c r="AI28" i="25"/>
  <c r="AI27" i="25"/>
  <c r="AI26" i="25"/>
  <c r="AI25" i="25"/>
  <c r="AI24" i="25"/>
  <c r="AI23" i="25"/>
  <c r="AI22" i="25"/>
  <c r="AI21" i="25"/>
  <c r="AI20" i="25"/>
  <c r="AI19" i="25"/>
  <c r="AI18" i="25"/>
  <c r="AI17" i="25"/>
  <c r="AI16" i="25"/>
  <c r="AI15" i="25"/>
  <c r="AI14" i="25"/>
  <c r="AI13" i="25"/>
  <c r="AI12" i="25"/>
  <c r="AI11" i="25"/>
  <c r="AI10" i="25"/>
  <c r="AI9" i="25"/>
  <c r="AI8" i="25"/>
  <c r="AI7" i="25"/>
  <c r="AI6" i="25"/>
  <c r="AI5" i="25"/>
  <c r="AI4" i="25"/>
  <c r="AI3" i="25"/>
  <c r="W344" i="7"/>
  <c r="C344" i="7" s="1"/>
  <c r="X344" i="7"/>
  <c r="D344" i="7" s="1"/>
  <c r="G32" i="1" l="1"/>
  <c r="AI2" i="25"/>
  <c r="L29" i="3" l="1"/>
  <c r="J29" i="3"/>
  <c r="I29" i="3"/>
  <c r="H29" i="3"/>
  <c r="K29" i="3"/>
  <c r="G29" i="3"/>
  <c r="M29" i="3" l="1"/>
  <c r="AB27" i="3"/>
  <c r="E6" i="3" l="1"/>
  <c r="P29" i="28"/>
  <c r="C173" i="32"/>
  <c r="S88" i="21"/>
  <c r="T88" i="21"/>
  <c r="U88" i="21" s="1"/>
  <c r="P6" i="28" l="1"/>
  <c r="P4" i="28" s="1"/>
  <c r="N6" i="28"/>
  <c r="N4" i="28" s="1"/>
  <c r="P7" i="28"/>
  <c r="P5" i="28" s="1"/>
  <c r="O7" i="28"/>
  <c r="O5" i="28" s="1"/>
  <c r="O6" i="28"/>
  <c r="O4" i="28" s="1"/>
  <c r="N7" i="28"/>
  <c r="N5" i="28" s="1"/>
  <c r="T282" i="21"/>
  <c r="T311" i="21"/>
  <c r="X88" i="21"/>
  <c r="T212" i="21"/>
  <c r="U212" i="21" l="1"/>
  <c r="X212" i="21" s="1"/>
  <c r="U311" i="21"/>
  <c r="V311" i="21" s="1"/>
  <c r="U282" i="21"/>
  <c r="V282" i="21" s="1"/>
  <c r="V88" i="21"/>
  <c r="G16" i="28"/>
  <c r="H16" i="28"/>
  <c r="H15" i="28"/>
  <c r="G15" i="28"/>
  <c r="O344" i="32"/>
  <c r="N344" i="32"/>
  <c r="M344" i="32"/>
  <c r="L344" i="32"/>
  <c r="K344" i="32"/>
  <c r="J344" i="32"/>
  <c r="I344" i="32"/>
  <c r="H344" i="32"/>
  <c r="G344" i="32"/>
  <c r="F344" i="32"/>
  <c r="E344" i="32"/>
  <c r="D344" i="32"/>
  <c r="C343" i="32"/>
  <c r="C342" i="32"/>
  <c r="C341" i="32"/>
  <c r="C340" i="32"/>
  <c r="C339" i="32"/>
  <c r="C338" i="32"/>
  <c r="C337" i="32"/>
  <c r="C336" i="32"/>
  <c r="C335" i="32"/>
  <c r="C334" i="32"/>
  <c r="C333" i="32"/>
  <c r="C332" i="32"/>
  <c r="C331" i="32"/>
  <c r="C330" i="32"/>
  <c r="C329" i="32"/>
  <c r="C328" i="32"/>
  <c r="C327" i="32"/>
  <c r="C326" i="32"/>
  <c r="C325" i="32"/>
  <c r="C324" i="32"/>
  <c r="C323" i="32"/>
  <c r="C322" i="32"/>
  <c r="C321" i="32"/>
  <c r="C320" i="32"/>
  <c r="C319" i="32"/>
  <c r="C318" i="32"/>
  <c r="C317" i="32"/>
  <c r="C316" i="32"/>
  <c r="C315" i="32"/>
  <c r="C314" i="32"/>
  <c r="C313" i="32"/>
  <c r="C312" i="32"/>
  <c r="C311" i="32"/>
  <c r="C310" i="32"/>
  <c r="C309" i="32"/>
  <c r="C308" i="32"/>
  <c r="C307" i="32"/>
  <c r="C306" i="32"/>
  <c r="C305" i="32"/>
  <c r="C303" i="32"/>
  <c r="C302" i="32"/>
  <c r="C300" i="32"/>
  <c r="C299" i="32"/>
  <c r="C298" i="32"/>
  <c r="C297" i="32"/>
  <c r="C295" i="32"/>
  <c r="C294" i="32"/>
  <c r="C293" i="32"/>
  <c r="C292" i="32"/>
  <c r="C291" i="32"/>
  <c r="C290" i="32"/>
  <c r="C289" i="32"/>
  <c r="C288" i="32"/>
  <c r="C287" i="32"/>
  <c r="C286" i="32"/>
  <c r="C285" i="32"/>
  <c r="C284" i="32"/>
  <c r="C283" i="32"/>
  <c r="C282" i="32"/>
  <c r="C281" i="32"/>
  <c r="C280" i="32"/>
  <c r="C279" i="32"/>
  <c r="C278" i="32"/>
  <c r="C277" i="32"/>
  <c r="C275" i="32"/>
  <c r="C274" i="32"/>
  <c r="C273" i="32"/>
  <c r="C272" i="32"/>
  <c r="C271" i="32"/>
  <c r="C270" i="32"/>
  <c r="C269" i="32"/>
  <c r="C268" i="32"/>
  <c r="C267" i="32"/>
  <c r="C266" i="32"/>
  <c r="C265" i="32"/>
  <c r="C264" i="32"/>
  <c r="C263" i="32"/>
  <c r="C262" i="32"/>
  <c r="C261" i="32"/>
  <c r="C260" i="32"/>
  <c r="C259" i="32"/>
  <c r="C258" i="32"/>
  <c r="C257" i="32"/>
  <c r="C256" i="32"/>
  <c r="C255" i="32"/>
  <c r="C254" i="32"/>
  <c r="C253" i="32"/>
  <c r="C252" i="32"/>
  <c r="C251" i="32"/>
  <c r="C250" i="32"/>
  <c r="C249" i="32"/>
  <c r="C248" i="32"/>
  <c r="C247" i="32"/>
  <c r="C246" i="32"/>
  <c r="C245" i="32"/>
  <c r="C244" i="32"/>
  <c r="C243" i="32"/>
  <c r="C242" i="32"/>
  <c r="C241" i="32"/>
  <c r="C240" i="32"/>
  <c r="C239" i="32"/>
  <c r="C238" i="32"/>
  <c r="C237" i="32"/>
  <c r="C236" i="32"/>
  <c r="C235" i="32"/>
  <c r="C234" i="32"/>
  <c r="C233" i="32"/>
  <c r="C232" i="32"/>
  <c r="C231" i="32"/>
  <c r="C230" i="32"/>
  <c r="C229" i="32"/>
  <c r="C227" i="32"/>
  <c r="C226" i="32"/>
  <c r="C225" i="32"/>
  <c r="C224" i="32"/>
  <c r="C223" i="32"/>
  <c r="C222" i="32"/>
  <c r="C221" i="32"/>
  <c r="C220" i="32"/>
  <c r="C219" i="32"/>
  <c r="C218" i="32"/>
  <c r="C217" i="32"/>
  <c r="C216" i="32"/>
  <c r="C215" i="32"/>
  <c r="C214" i="32"/>
  <c r="C213" i="32"/>
  <c r="C212" i="32"/>
  <c r="C211" i="32"/>
  <c r="C210" i="32"/>
  <c r="C209" i="32"/>
  <c r="C208" i="32"/>
  <c r="C206" i="32"/>
  <c r="C205" i="32"/>
  <c r="C204" i="32"/>
  <c r="C203" i="32"/>
  <c r="C202" i="32"/>
  <c r="C201" i="32"/>
  <c r="C200" i="32"/>
  <c r="C199" i="32"/>
  <c r="C198" i="32"/>
  <c r="C197" i="32"/>
  <c r="C196" i="32"/>
  <c r="C195" i="32"/>
  <c r="C194" i="32"/>
  <c r="C193" i="32"/>
  <c r="C192" i="32"/>
  <c r="C191" i="32"/>
  <c r="C190" i="32"/>
  <c r="C189" i="32"/>
  <c r="C188" i="32"/>
  <c r="C187" i="32"/>
  <c r="C186" i="32"/>
  <c r="C185" i="32"/>
  <c r="C183" i="32"/>
  <c r="C182" i="32"/>
  <c r="C181" i="32"/>
  <c r="C180" i="32"/>
  <c r="C179" i="32"/>
  <c r="C178" i="32"/>
  <c r="C177" i="32"/>
  <c r="C176" i="32"/>
  <c r="C174" i="32"/>
  <c r="C172" i="32"/>
  <c r="C171" i="32"/>
  <c r="C170" i="32"/>
  <c r="C169" i="32"/>
  <c r="C168" i="32"/>
  <c r="C167" i="32"/>
  <c r="C166" i="32"/>
  <c r="C165" i="32"/>
  <c r="C164" i="32"/>
  <c r="C163" i="32"/>
  <c r="C162" i="32"/>
  <c r="C161" i="32"/>
  <c r="C160" i="32"/>
  <c r="C159" i="32"/>
  <c r="C158" i="32"/>
  <c r="C156" i="32"/>
  <c r="C154" i="32"/>
  <c r="C153" i="32"/>
  <c r="C152" i="32"/>
  <c r="C151" i="32"/>
  <c r="C150" i="32"/>
  <c r="C149" i="32"/>
  <c r="C148" i="32"/>
  <c r="C147" i="32"/>
  <c r="C146" i="32"/>
  <c r="C145" i="32"/>
  <c r="C144" i="32"/>
  <c r="C143" i="32"/>
  <c r="C142" i="32"/>
  <c r="C141" i="32"/>
  <c r="C140" i="32"/>
  <c r="C139" i="32"/>
  <c r="C138" i="32"/>
  <c r="C137" i="32"/>
  <c r="C136" i="32"/>
  <c r="C135" i="32"/>
  <c r="C134" i="32"/>
  <c r="C133" i="32"/>
  <c r="C132" i="32"/>
  <c r="C131" i="32"/>
  <c r="C130" i="32"/>
  <c r="C129" i="32"/>
  <c r="C128" i="32"/>
  <c r="C127" i="32"/>
  <c r="C126" i="32"/>
  <c r="C125" i="32"/>
  <c r="C124" i="32"/>
  <c r="C123" i="32"/>
  <c r="C122" i="32"/>
  <c r="C121" i="32"/>
  <c r="C120" i="32"/>
  <c r="C119" i="32"/>
  <c r="C118" i="32"/>
  <c r="C117" i="32"/>
  <c r="C116" i="32"/>
  <c r="C115" i="32"/>
  <c r="C114" i="32"/>
  <c r="C113" i="32"/>
  <c r="C112" i="32"/>
  <c r="C111" i="32"/>
  <c r="C110" i="32"/>
  <c r="C109" i="32"/>
  <c r="C108" i="32"/>
  <c r="C107" i="32"/>
  <c r="C106" i="32"/>
  <c r="C105" i="32"/>
  <c r="C104" i="32"/>
  <c r="C103" i="32"/>
  <c r="C102" i="32"/>
  <c r="C101" i="32"/>
  <c r="C100" i="32"/>
  <c r="C99" i="32"/>
  <c r="C98" i="32"/>
  <c r="C97" i="32"/>
  <c r="C96" i="32"/>
  <c r="C95" i="32"/>
  <c r="C94" i="32"/>
  <c r="C93" i="32"/>
  <c r="C92" i="32"/>
  <c r="C91" i="32"/>
  <c r="C90" i="32"/>
  <c r="C89" i="32"/>
  <c r="C88" i="32"/>
  <c r="C87" i="32"/>
  <c r="C85" i="32"/>
  <c r="C84" i="32"/>
  <c r="C83" i="32"/>
  <c r="C82" i="32"/>
  <c r="C81" i="32"/>
  <c r="C80" i="32"/>
  <c r="C79" i="32"/>
  <c r="C78" i="32"/>
  <c r="C77" i="32"/>
  <c r="C76" i="32"/>
  <c r="C75" i="32"/>
  <c r="C74" i="32"/>
  <c r="C73" i="32"/>
  <c r="C72" i="32"/>
  <c r="C70" i="32"/>
  <c r="C69" i="32"/>
  <c r="C68" i="32"/>
  <c r="C67" i="32"/>
  <c r="C66" i="32"/>
  <c r="C65" i="32"/>
  <c r="C64" i="32"/>
  <c r="C63" i="32"/>
  <c r="C62" i="32"/>
  <c r="C61" i="32"/>
  <c r="C60" i="32"/>
  <c r="C59" i="32"/>
  <c r="C58" i="32"/>
  <c r="C57" i="32"/>
  <c r="C56" i="32"/>
  <c r="C55" i="32"/>
  <c r="C54" i="32"/>
  <c r="C53" i="32"/>
  <c r="C52" i="32"/>
  <c r="C51" i="32"/>
  <c r="C50" i="32"/>
  <c r="C49" i="32"/>
  <c r="C48" i="32"/>
  <c r="C46" i="32"/>
  <c r="C45" i="32"/>
  <c r="C44" i="32"/>
  <c r="C43" i="32"/>
  <c r="C42" i="32"/>
  <c r="C41" i="32"/>
  <c r="C40" i="32"/>
  <c r="C39" i="32"/>
  <c r="C38" i="32"/>
  <c r="C37" i="32"/>
  <c r="C36" i="32"/>
  <c r="C35" i="32"/>
  <c r="C34" i="32"/>
  <c r="C33" i="32"/>
  <c r="C32" i="32"/>
  <c r="C31" i="32"/>
  <c r="C30" i="32"/>
  <c r="C29" i="32"/>
  <c r="C28" i="32"/>
  <c r="C27" i="32"/>
  <c r="C26" i="32"/>
  <c r="C25" i="32"/>
  <c r="C24" i="32"/>
  <c r="C23" i="32"/>
  <c r="C22" i="32"/>
  <c r="C21" i="32"/>
  <c r="C20" i="32"/>
  <c r="C19" i="32"/>
  <c r="C18" i="32"/>
  <c r="C16" i="32"/>
  <c r="C15" i="32"/>
  <c r="C14" i="32"/>
  <c r="C13" i="32"/>
  <c r="C12" i="32"/>
  <c r="C11" i="32"/>
  <c r="C10" i="32"/>
  <c r="C9" i="32"/>
  <c r="C8" i="32"/>
  <c r="C7" i="32"/>
  <c r="C6" i="32"/>
  <c r="C5" i="32"/>
  <c r="C4" i="32"/>
  <c r="C3" i="32"/>
  <c r="C2" i="32"/>
  <c r="M12" i="1"/>
  <c r="W23" i="3"/>
  <c r="W22" i="3"/>
  <c r="W21" i="3"/>
  <c r="C28" i="4"/>
  <c r="W20" i="3" s="1"/>
  <c r="C27" i="4"/>
  <c r="W19" i="3" s="1"/>
  <c r="C26" i="4"/>
  <c r="W16" i="3" s="1"/>
  <c r="C25" i="4"/>
  <c r="W15" i="3" s="1"/>
  <c r="C24" i="4"/>
  <c r="M6" i="1" s="1"/>
  <c r="C23" i="4"/>
  <c r="M5" i="1" s="1"/>
  <c r="C22" i="4"/>
  <c r="M3" i="1" s="1"/>
  <c r="C21" i="4"/>
  <c r="M2" i="1" s="1"/>
  <c r="T340" i="32" l="1"/>
  <c r="U340" i="32" s="1"/>
  <c r="V212" i="21"/>
  <c r="X282" i="21"/>
  <c r="X311" i="21"/>
  <c r="T223" i="32"/>
  <c r="W223" i="32" s="1"/>
  <c r="T73" i="32"/>
  <c r="W73" i="32" s="1"/>
  <c r="T36" i="32"/>
  <c r="U36" i="32" s="1"/>
  <c r="T278" i="32"/>
  <c r="W278" i="32" s="1"/>
  <c r="T120" i="32"/>
  <c r="W120" i="32" s="1"/>
  <c r="T164" i="32"/>
  <c r="U164" i="32" s="1"/>
  <c r="T31" i="32"/>
  <c r="U31" i="32" s="1"/>
  <c r="T25" i="32"/>
  <c r="U25" i="32" s="1"/>
  <c r="T109" i="32"/>
  <c r="U109" i="32" s="1"/>
  <c r="T68" i="32"/>
  <c r="U68" i="32" s="1"/>
  <c r="T169" i="32"/>
  <c r="U169" i="32" s="1"/>
  <c r="T60" i="32"/>
  <c r="W60" i="32" s="1"/>
  <c r="T168" i="32"/>
  <c r="U168" i="32" s="1"/>
  <c r="T40" i="32"/>
  <c r="U40" i="32" s="1"/>
  <c r="T138" i="32"/>
  <c r="U138" i="32" s="1"/>
  <c r="T239" i="32"/>
  <c r="U239" i="32" s="1"/>
  <c r="T35" i="32"/>
  <c r="T119" i="32"/>
  <c r="T181" i="32"/>
  <c r="T200" i="32"/>
  <c r="T208" i="32"/>
  <c r="T262" i="32"/>
  <c r="T222" i="32"/>
  <c r="T6" i="32"/>
  <c r="T10" i="32"/>
  <c r="T316" i="32"/>
  <c r="T101" i="32"/>
  <c r="T111" i="32"/>
  <c r="T149" i="32"/>
  <c r="T28" i="32"/>
  <c r="T172" i="32"/>
  <c r="T89" i="32"/>
  <c r="T204" i="32"/>
  <c r="T5" i="32"/>
  <c r="T129" i="32"/>
  <c r="T145" i="32"/>
  <c r="T49" i="32"/>
  <c r="T115" i="32"/>
  <c r="T254" i="32"/>
  <c r="T24" i="32"/>
  <c r="T310" i="32"/>
  <c r="T21" i="32"/>
  <c r="T44" i="32"/>
  <c r="T106" i="32"/>
  <c r="T188" i="32"/>
  <c r="T160" i="32"/>
  <c r="T39" i="32"/>
  <c r="T9" i="32"/>
  <c r="T324" i="32"/>
  <c r="T57" i="32"/>
  <c r="T247" i="32"/>
  <c r="T105" i="32"/>
  <c r="T157" i="32"/>
  <c r="T332" i="32"/>
  <c r="T137" i="32"/>
  <c r="T64" i="32"/>
  <c r="T133" i="32"/>
  <c r="T270" i="32"/>
  <c r="T20" i="32"/>
  <c r="T54" i="32"/>
  <c r="T94" i="32"/>
  <c r="T196" i="32"/>
  <c r="T317" i="32"/>
  <c r="T108" i="32"/>
  <c r="T141" i="32"/>
  <c r="T13" i="32"/>
  <c r="T43" i="32"/>
  <c r="T58" i="32"/>
  <c r="T97" i="32"/>
  <c r="T154" i="32"/>
  <c r="T32" i="32"/>
  <c r="T112" i="32"/>
  <c r="T293" i="32"/>
  <c r="T93" i="32"/>
  <c r="T126" i="32"/>
  <c r="T53" i="32"/>
  <c r="T142" i="32"/>
  <c r="T285" i="32"/>
  <c r="T102" i="32"/>
  <c r="T146" i="32"/>
  <c r="T302" i="32"/>
  <c r="T4" i="32"/>
  <c r="T12" i="32"/>
  <c r="T16" i="32"/>
  <c r="T38" i="32"/>
  <c r="T46" i="32"/>
  <c r="T92" i="32"/>
  <c r="T128" i="32"/>
  <c r="T194" i="32"/>
  <c r="T210" i="32"/>
  <c r="T238" i="32"/>
  <c r="T246" i="32"/>
  <c r="T257" i="32"/>
  <c r="T269" i="32"/>
  <c r="T284" i="32"/>
  <c r="T292" i="32"/>
  <c r="T300" i="32"/>
  <c r="T309" i="32"/>
  <c r="T323" i="32"/>
  <c r="T331" i="32"/>
  <c r="T277" i="32"/>
  <c r="T339" i="32"/>
  <c r="T8" i="32"/>
  <c r="T152" i="32"/>
  <c r="T230" i="32"/>
  <c r="T261" i="32"/>
  <c r="T273" i="32"/>
  <c r="T81" i="32"/>
  <c r="T130" i="32"/>
  <c r="T150" i="32"/>
  <c r="T177" i="32"/>
  <c r="T192" i="32"/>
  <c r="T98" i="32"/>
  <c r="T161" i="32"/>
  <c r="T184" i="32"/>
  <c r="T187" i="32"/>
  <c r="T199" i="32"/>
  <c r="T243" i="32"/>
  <c r="T336" i="32"/>
  <c r="C344" i="32"/>
  <c r="T18" i="32"/>
  <c r="T65" i="32"/>
  <c r="T61" i="32"/>
  <c r="T50" i="32"/>
  <c r="T90" i="32"/>
  <c r="T185" i="32"/>
  <c r="T123" i="32"/>
  <c r="T165" i="32"/>
  <c r="T134" i="32"/>
  <c r="T77" i="32"/>
  <c r="T216" i="32"/>
  <c r="T212" i="32"/>
  <c r="T85" i="32"/>
  <c r="T116" i="32"/>
  <c r="T153" i="32"/>
  <c r="T231" i="32"/>
  <c r="T11" i="32"/>
  <c r="T15" i="32"/>
  <c r="T55" i="32"/>
  <c r="T62" i="32"/>
  <c r="T87" i="32"/>
  <c r="T103" i="32"/>
  <c r="T110" i="32"/>
  <c r="T127" i="32"/>
  <c r="T135" i="32"/>
  <c r="T151" i="32"/>
  <c r="T162" i="32"/>
  <c r="T182" i="32"/>
  <c r="T205" i="32"/>
  <c r="T221" i="32"/>
  <c r="T256" i="32"/>
  <c r="T299" i="32"/>
  <c r="T308" i="32"/>
  <c r="T3" i="32"/>
  <c r="T7" i="32"/>
  <c r="T22" i="32"/>
  <c r="T26" i="32"/>
  <c r="T29" i="32"/>
  <c r="T33" i="32"/>
  <c r="T37" i="32"/>
  <c r="T41" i="32"/>
  <c r="T45" i="32"/>
  <c r="T48" i="32"/>
  <c r="T51" i="32"/>
  <c r="T66" i="32"/>
  <c r="T69" i="32"/>
  <c r="T74" i="32"/>
  <c r="T78" i="32"/>
  <c r="T82" i="32"/>
  <c r="T91" i="32"/>
  <c r="T95" i="32"/>
  <c r="T99" i="32"/>
  <c r="T107" i="32"/>
  <c r="T113" i="32"/>
  <c r="T117" i="32"/>
  <c r="T121" i="32"/>
  <c r="T124" i="32"/>
  <c r="T131" i="32"/>
  <c r="T139" i="32"/>
  <c r="T143" i="32"/>
  <c r="T147" i="32"/>
  <c r="T158" i="32"/>
  <c r="T166" i="32"/>
  <c r="T170" i="32"/>
  <c r="T173" i="32"/>
  <c r="T178" i="32"/>
  <c r="T189" i="32"/>
  <c r="T193" i="32"/>
  <c r="T197" i="32"/>
  <c r="T201" i="32"/>
  <c r="T209" i="32"/>
  <c r="T213" i="32"/>
  <c r="T217" i="32"/>
  <c r="T225" i="32"/>
  <c r="T229" i="32"/>
  <c r="T233" i="32"/>
  <c r="T237" i="32"/>
  <c r="T241" i="32"/>
  <c r="T245" i="32"/>
  <c r="T249" i="32"/>
  <c r="T253" i="32"/>
  <c r="T260" i="32"/>
  <c r="T264" i="32"/>
  <c r="T268" i="32"/>
  <c r="T272" i="32"/>
  <c r="T280" i="32"/>
  <c r="T283" i="32"/>
  <c r="T287" i="32"/>
  <c r="T291" i="32"/>
  <c r="T295" i="32"/>
  <c r="T312" i="32"/>
  <c r="T315" i="32"/>
  <c r="T319" i="32"/>
  <c r="T322" i="32"/>
  <c r="T326" i="32"/>
  <c r="T330" i="32"/>
  <c r="T334" i="32"/>
  <c r="T338" i="32"/>
  <c r="T342" i="32"/>
  <c r="T14" i="32"/>
  <c r="T19" i="32"/>
  <c r="T23" i="32"/>
  <c r="T27" i="32"/>
  <c r="T30" i="32"/>
  <c r="T34" i="32"/>
  <c r="T42" i="32"/>
  <c r="T52" i="32"/>
  <c r="T56" i="32"/>
  <c r="T59" i="32"/>
  <c r="T63" i="32"/>
  <c r="T70" i="32"/>
  <c r="T75" i="32"/>
  <c r="T79" i="32"/>
  <c r="T83" i="32"/>
  <c r="T88" i="32"/>
  <c r="T96" i="32"/>
  <c r="T100" i="32"/>
  <c r="T104" i="32"/>
  <c r="T114" i="32"/>
  <c r="T118" i="32"/>
  <c r="T122" i="32"/>
  <c r="T125" i="32"/>
  <c r="T132" i="32"/>
  <c r="T136" i="32"/>
  <c r="T140" i="32"/>
  <c r="T144" i="32"/>
  <c r="T148" i="32"/>
  <c r="T156" i="32"/>
  <c r="T159" i="32"/>
  <c r="T163" i="32"/>
  <c r="T167" i="32"/>
  <c r="T171" i="32"/>
  <c r="T174" i="32"/>
  <c r="T179" i="32"/>
  <c r="T183" i="32"/>
  <c r="T186" i="32"/>
  <c r="T190" i="32"/>
  <c r="T198" i="32"/>
  <c r="T202" i="32"/>
  <c r="T206" i="32"/>
  <c r="T214" i="32"/>
  <c r="T218" i="32"/>
  <c r="T226" i="32"/>
  <c r="T234" i="32"/>
  <c r="T242" i="32"/>
  <c r="T250" i="32"/>
  <c r="T265" i="32"/>
  <c r="T288" i="32"/>
  <c r="T296" i="32"/>
  <c r="T305" i="32"/>
  <c r="T320" i="32"/>
  <c r="T327" i="32"/>
  <c r="T335" i="32"/>
  <c r="T343" i="32"/>
  <c r="T67" i="32"/>
  <c r="T72" i="32"/>
  <c r="T76" i="32"/>
  <c r="T80" i="32"/>
  <c r="T84" i="32"/>
  <c r="T176" i="32"/>
  <c r="T180" i="32"/>
  <c r="T191" i="32"/>
  <c r="T195" i="32"/>
  <c r="T203" i="32"/>
  <c r="T211" i="32"/>
  <c r="T215" i="32"/>
  <c r="T219" i="32"/>
  <c r="T227" i="32"/>
  <c r="T235" i="32"/>
  <c r="T251" i="32"/>
  <c r="T258" i="32"/>
  <c r="T266" i="32"/>
  <c r="T274" i="32"/>
  <c r="T281" i="32"/>
  <c r="T289" i="32"/>
  <c r="T297" i="32"/>
  <c r="T306" i="32"/>
  <c r="T313" i="32"/>
  <c r="T328" i="32"/>
  <c r="T2" i="32"/>
  <c r="T220" i="32"/>
  <c r="T224" i="32"/>
  <c r="T232" i="32"/>
  <c r="T236" i="32"/>
  <c r="T240" i="32"/>
  <c r="T244" i="32"/>
  <c r="T248" i="32"/>
  <c r="T252" i="32"/>
  <c r="T255" i="32"/>
  <c r="T259" i="32"/>
  <c r="T263" i="32"/>
  <c r="T267" i="32"/>
  <c r="T271" i="32"/>
  <c r="T275" i="32"/>
  <c r="T279" i="32"/>
  <c r="T282" i="32"/>
  <c r="T286" i="32"/>
  <c r="T290" i="32"/>
  <c r="T294" i="32"/>
  <c r="T298" i="32"/>
  <c r="T303" i="32"/>
  <c r="T307" i="32"/>
  <c r="T311" i="32"/>
  <c r="T314" i="32"/>
  <c r="T318" i="32"/>
  <c r="T321" i="32"/>
  <c r="T325" i="32"/>
  <c r="T329" i="32"/>
  <c r="T333" i="32"/>
  <c r="T337" i="32"/>
  <c r="T341" i="32"/>
  <c r="M9" i="1"/>
  <c r="M10" i="1"/>
  <c r="M11" i="1"/>
  <c r="B1" i="6"/>
  <c r="C37" i="4"/>
  <c r="C2" i="4"/>
  <c r="E11" i="4" s="1"/>
  <c r="A2" i="4"/>
  <c r="J12" i="1" l="1"/>
  <c r="M13" i="1"/>
  <c r="I23" i="28"/>
  <c r="L23" i="28" s="1"/>
  <c r="C45" i="1"/>
  <c r="C10" i="1"/>
  <c r="C26" i="1"/>
  <c r="C54" i="1"/>
  <c r="C44" i="1"/>
  <c r="C43" i="1"/>
  <c r="C11" i="1"/>
  <c r="C25" i="1"/>
  <c r="C14" i="1"/>
  <c r="C55" i="1"/>
  <c r="C12" i="1"/>
  <c r="W340" i="32"/>
  <c r="C46" i="1"/>
  <c r="C71" i="1"/>
  <c r="C12" i="4"/>
  <c r="C18" i="1"/>
  <c r="C35" i="1"/>
  <c r="W36" i="32"/>
  <c r="U73" i="32"/>
  <c r="U223" i="32"/>
  <c r="C27" i="1"/>
  <c r="C28" i="1"/>
  <c r="C29" i="1"/>
  <c r="U60" i="32"/>
  <c r="U120" i="32"/>
  <c r="U278" i="32"/>
  <c r="W164" i="32"/>
  <c r="W25" i="32"/>
  <c r="W109" i="32"/>
  <c r="W68" i="32"/>
  <c r="W169" i="32"/>
  <c r="W31" i="32"/>
  <c r="W239" i="32"/>
  <c r="W168" i="32"/>
  <c r="W40" i="32"/>
  <c r="W138" i="32"/>
  <c r="E11" i="28"/>
  <c r="C47" i="1"/>
  <c r="C10" i="4"/>
  <c r="C18" i="4"/>
  <c r="C3" i="1"/>
  <c r="C4" i="1"/>
  <c r="C36" i="1"/>
  <c r="U341" i="32"/>
  <c r="W341" i="32"/>
  <c r="U311" i="32"/>
  <c r="W311" i="32"/>
  <c r="U279" i="32"/>
  <c r="W279" i="32"/>
  <c r="U248" i="32"/>
  <c r="W248" i="32"/>
  <c r="U2" i="32"/>
  <c r="W2" i="32"/>
  <c r="U281" i="32"/>
  <c r="W281" i="32"/>
  <c r="U215" i="32"/>
  <c r="W215" i="32"/>
  <c r="U84" i="32"/>
  <c r="W84" i="32"/>
  <c r="U320" i="32"/>
  <c r="W320" i="32"/>
  <c r="U242" i="32"/>
  <c r="W242" i="32"/>
  <c r="U190" i="32"/>
  <c r="W190" i="32"/>
  <c r="U159" i="32"/>
  <c r="W159" i="32"/>
  <c r="U122" i="32"/>
  <c r="W122" i="32"/>
  <c r="U83" i="32"/>
  <c r="W83" i="32"/>
  <c r="U342" i="32"/>
  <c r="W342" i="32"/>
  <c r="U312" i="32"/>
  <c r="W312" i="32"/>
  <c r="U272" i="32"/>
  <c r="W272" i="32"/>
  <c r="U237" i="32"/>
  <c r="W237" i="32"/>
  <c r="U197" i="32"/>
  <c r="W197" i="32"/>
  <c r="U113" i="32"/>
  <c r="W113" i="32"/>
  <c r="U69" i="32"/>
  <c r="W69" i="32"/>
  <c r="U29" i="32"/>
  <c r="W29" i="32"/>
  <c r="U221" i="32"/>
  <c r="W221" i="32"/>
  <c r="U231" i="32"/>
  <c r="W231" i="32"/>
  <c r="U134" i="32"/>
  <c r="W134" i="32"/>
  <c r="U18" i="32"/>
  <c r="W18" i="32"/>
  <c r="U98" i="32"/>
  <c r="W98" i="32"/>
  <c r="U230" i="32"/>
  <c r="W230" i="32"/>
  <c r="U300" i="32"/>
  <c r="W300" i="32"/>
  <c r="U210" i="32"/>
  <c r="W210" i="32"/>
  <c r="U12" i="32"/>
  <c r="W12" i="32"/>
  <c r="U53" i="32"/>
  <c r="W53" i="32"/>
  <c r="U58" i="32"/>
  <c r="W58" i="32"/>
  <c r="U54" i="32"/>
  <c r="W54" i="32"/>
  <c r="U105" i="32"/>
  <c r="W105" i="32"/>
  <c r="U39" i="32"/>
  <c r="W39" i="32"/>
  <c r="U254" i="32"/>
  <c r="W254" i="32"/>
  <c r="U172" i="32"/>
  <c r="W172" i="32"/>
  <c r="U222" i="32"/>
  <c r="W222" i="32"/>
  <c r="U307" i="32"/>
  <c r="W307" i="32"/>
  <c r="U274" i="32"/>
  <c r="W274" i="32"/>
  <c r="U234" i="32"/>
  <c r="W234" i="32"/>
  <c r="U79" i="32"/>
  <c r="W79" i="32"/>
  <c r="U233" i="32"/>
  <c r="W233" i="32"/>
  <c r="U107" i="32"/>
  <c r="W107" i="32"/>
  <c r="U205" i="32"/>
  <c r="W205" i="32"/>
  <c r="U192" i="32"/>
  <c r="W192" i="32"/>
  <c r="U4" i="32"/>
  <c r="W4" i="32"/>
  <c r="U115" i="32"/>
  <c r="W115" i="32"/>
  <c r="U333" i="32"/>
  <c r="W333" i="32"/>
  <c r="U303" i="32"/>
  <c r="W303" i="32"/>
  <c r="U271" i="32"/>
  <c r="W271" i="32"/>
  <c r="U240" i="32"/>
  <c r="W240" i="32"/>
  <c r="U328" i="32"/>
  <c r="W328" i="32"/>
  <c r="U266" i="32"/>
  <c r="W266" i="32"/>
  <c r="U76" i="32"/>
  <c r="W76" i="32"/>
  <c r="U305" i="32"/>
  <c r="W305" i="32"/>
  <c r="U226" i="32"/>
  <c r="W226" i="32"/>
  <c r="U183" i="32"/>
  <c r="W183" i="32"/>
  <c r="U148" i="32"/>
  <c r="W148" i="32"/>
  <c r="U114" i="32"/>
  <c r="W114" i="32"/>
  <c r="U75" i="32"/>
  <c r="W75" i="32"/>
  <c r="U34" i="32"/>
  <c r="W34" i="32"/>
  <c r="U334" i="32"/>
  <c r="W334" i="32"/>
  <c r="U295" i="32"/>
  <c r="W295" i="32"/>
  <c r="U264" i="32"/>
  <c r="W264" i="32"/>
  <c r="U229" i="32"/>
  <c r="W229" i="32"/>
  <c r="U189" i="32"/>
  <c r="W189" i="32"/>
  <c r="U143" i="32"/>
  <c r="W143" i="32"/>
  <c r="U99" i="32"/>
  <c r="W99" i="32"/>
  <c r="U51" i="32"/>
  <c r="W51" i="32"/>
  <c r="U22" i="32"/>
  <c r="W22" i="32"/>
  <c r="U87" i="32"/>
  <c r="W87" i="32"/>
  <c r="U116" i="32"/>
  <c r="W116" i="32"/>
  <c r="U123" i="32"/>
  <c r="W123" i="32"/>
  <c r="U336" i="32"/>
  <c r="W336" i="32"/>
  <c r="U177" i="32"/>
  <c r="W177" i="32"/>
  <c r="U8" i="32"/>
  <c r="W8" i="32"/>
  <c r="U284" i="32"/>
  <c r="W284" i="32"/>
  <c r="U128" i="32"/>
  <c r="W128" i="32"/>
  <c r="U302" i="32"/>
  <c r="W302" i="32"/>
  <c r="U93" i="32"/>
  <c r="W93" i="32"/>
  <c r="U13" i="32"/>
  <c r="W13" i="32"/>
  <c r="U270" i="32"/>
  <c r="W270" i="32"/>
  <c r="U247" i="32"/>
  <c r="W247" i="32"/>
  <c r="U188" i="32"/>
  <c r="W188" i="32"/>
  <c r="U49" i="32"/>
  <c r="W49" i="32"/>
  <c r="U149" i="32"/>
  <c r="W149" i="32"/>
  <c r="U275" i="32"/>
  <c r="W275" i="32"/>
  <c r="U211" i="32"/>
  <c r="W211" i="32"/>
  <c r="U186" i="32"/>
  <c r="W186" i="32"/>
  <c r="U118" i="32"/>
  <c r="W118" i="32"/>
  <c r="U193" i="32"/>
  <c r="W193" i="32"/>
  <c r="U66" i="32"/>
  <c r="W66" i="32"/>
  <c r="U103" i="32"/>
  <c r="W103" i="32"/>
  <c r="U152" i="32"/>
  <c r="W152" i="32"/>
  <c r="U43" i="32"/>
  <c r="W43" i="32"/>
  <c r="U160" i="32"/>
  <c r="W160" i="32"/>
  <c r="U329" i="32"/>
  <c r="W329" i="32"/>
  <c r="U298" i="32"/>
  <c r="W298" i="32"/>
  <c r="U267" i="32"/>
  <c r="W267" i="32"/>
  <c r="U203" i="32"/>
  <c r="W203" i="32"/>
  <c r="U72" i="32"/>
  <c r="W72" i="32"/>
  <c r="U296" i="32"/>
  <c r="W296" i="32"/>
  <c r="U218" i="32"/>
  <c r="W218" i="32"/>
  <c r="U179" i="32"/>
  <c r="W179" i="32"/>
  <c r="U144" i="32"/>
  <c r="W144" i="32"/>
  <c r="U70" i="32"/>
  <c r="W70" i="32"/>
  <c r="U30" i="32"/>
  <c r="W30" i="32"/>
  <c r="U330" i="32"/>
  <c r="W330" i="32"/>
  <c r="U291" i="32"/>
  <c r="W291" i="32"/>
  <c r="U260" i="32"/>
  <c r="W260" i="32"/>
  <c r="U225" i="32"/>
  <c r="W225" i="32"/>
  <c r="U139" i="32"/>
  <c r="W139" i="32"/>
  <c r="U95" i="32"/>
  <c r="W95" i="32"/>
  <c r="U48" i="32"/>
  <c r="W48" i="32"/>
  <c r="U7" i="32"/>
  <c r="W7" i="32"/>
  <c r="U162" i="32"/>
  <c r="W162" i="32"/>
  <c r="U62" i="32"/>
  <c r="W62" i="32"/>
  <c r="U85" i="32"/>
  <c r="W85" i="32"/>
  <c r="U185" i="32"/>
  <c r="W185" i="32"/>
  <c r="U150" i="32"/>
  <c r="W150" i="32"/>
  <c r="U339" i="32"/>
  <c r="W339" i="32"/>
  <c r="U269" i="32"/>
  <c r="W269" i="32"/>
  <c r="U146" i="32"/>
  <c r="W146" i="32"/>
  <c r="U293" i="32"/>
  <c r="W293" i="32"/>
  <c r="U141" i="32"/>
  <c r="W141" i="32"/>
  <c r="U133" i="32"/>
  <c r="W133" i="32"/>
  <c r="U57" i="32"/>
  <c r="W57" i="32"/>
  <c r="U106" i="32"/>
  <c r="W106" i="32"/>
  <c r="U145" i="32"/>
  <c r="W145" i="32"/>
  <c r="U111" i="32"/>
  <c r="W111" i="32"/>
  <c r="U208" i="32"/>
  <c r="W208" i="32"/>
  <c r="U194" i="32"/>
  <c r="W194" i="32"/>
  <c r="U20" i="32"/>
  <c r="W20" i="32"/>
  <c r="U28" i="32"/>
  <c r="W28" i="32"/>
  <c r="U325" i="32"/>
  <c r="W325" i="32"/>
  <c r="U294" i="32"/>
  <c r="W294" i="32"/>
  <c r="U263" i="32"/>
  <c r="W263" i="32"/>
  <c r="U232" i="32"/>
  <c r="W232" i="32"/>
  <c r="U251" i="32"/>
  <c r="W251" i="32"/>
  <c r="U195" i="32"/>
  <c r="W195" i="32"/>
  <c r="U67" i="32"/>
  <c r="W67" i="32"/>
  <c r="U288" i="32"/>
  <c r="W288" i="32"/>
  <c r="U214" i="32"/>
  <c r="W214" i="32"/>
  <c r="U174" i="32"/>
  <c r="W174" i="32"/>
  <c r="U140" i="32"/>
  <c r="W140" i="32"/>
  <c r="U63" i="32"/>
  <c r="W63" i="32"/>
  <c r="U27" i="32"/>
  <c r="W27" i="32"/>
  <c r="U326" i="32"/>
  <c r="W326" i="32"/>
  <c r="U287" i="32"/>
  <c r="W287" i="32"/>
  <c r="U253" i="32"/>
  <c r="W253" i="32"/>
  <c r="U217" i="32"/>
  <c r="W217" i="32"/>
  <c r="U178" i="32"/>
  <c r="W178" i="32"/>
  <c r="U131" i="32"/>
  <c r="W131" i="32"/>
  <c r="U91" i="32"/>
  <c r="W91" i="32"/>
  <c r="U45" i="32"/>
  <c r="W45" i="32"/>
  <c r="U3" i="32"/>
  <c r="W3" i="32"/>
  <c r="U212" i="32"/>
  <c r="W212" i="32"/>
  <c r="U199" i="32"/>
  <c r="W199" i="32"/>
  <c r="U130" i="32"/>
  <c r="W130" i="32"/>
  <c r="U277" i="32"/>
  <c r="W277" i="32"/>
  <c r="U257" i="32"/>
  <c r="W257" i="32"/>
  <c r="U92" i="32"/>
  <c r="W92" i="32"/>
  <c r="U112" i="32"/>
  <c r="W112" i="32"/>
  <c r="U108" i="32"/>
  <c r="W108" i="32"/>
  <c r="U64" i="32"/>
  <c r="W64" i="32"/>
  <c r="U324" i="32"/>
  <c r="W324" i="32"/>
  <c r="U44" i="32"/>
  <c r="W44" i="32"/>
  <c r="U129" i="32"/>
  <c r="W129" i="32"/>
  <c r="U101" i="32"/>
  <c r="W101" i="32"/>
  <c r="U200" i="32"/>
  <c r="W200" i="32"/>
  <c r="U119" i="32"/>
  <c r="W119" i="32"/>
  <c r="U321" i="32"/>
  <c r="W321" i="32"/>
  <c r="U290" i="32"/>
  <c r="W290" i="32"/>
  <c r="U259" i="32"/>
  <c r="W259" i="32"/>
  <c r="U306" i="32"/>
  <c r="W306" i="32"/>
  <c r="U235" i="32"/>
  <c r="W235" i="32"/>
  <c r="U191" i="32"/>
  <c r="W191" i="32"/>
  <c r="U343" i="32"/>
  <c r="W343" i="32"/>
  <c r="U206" i="32"/>
  <c r="W206" i="32"/>
  <c r="U171" i="32"/>
  <c r="W171" i="32"/>
  <c r="U136" i="32"/>
  <c r="W136" i="32"/>
  <c r="U100" i="32"/>
  <c r="W100" i="32"/>
  <c r="U59" i="32"/>
  <c r="W59" i="32"/>
  <c r="U23" i="32"/>
  <c r="W23" i="32"/>
  <c r="U322" i="32"/>
  <c r="W322" i="32"/>
  <c r="U283" i="32"/>
  <c r="W283" i="32"/>
  <c r="U249" i="32"/>
  <c r="W249" i="32"/>
  <c r="U213" i="32"/>
  <c r="W213" i="32"/>
  <c r="U124" i="32"/>
  <c r="W124" i="32"/>
  <c r="U82" i="32"/>
  <c r="W82" i="32"/>
  <c r="U41" i="32"/>
  <c r="W41" i="32"/>
  <c r="U308" i="32"/>
  <c r="W308" i="32"/>
  <c r="U151" i="32"/>
  <c r="W151" i="32"/>
  <c r="U55" i="32"/>
  <c r="W55" i="32"/>
  <c r="U216" i="32"/>
  <c r="W216" i="32"/>
  <c r="U50" i="32"/>
  <c r="W50" i="32"/>
  <c r="U187" i="32"/>
  <c r="W187" i="32"/>
  <c r="U81" i="32"/>
  <c r="W81" i="32"/>
  <c r="U331" i="32"/>
  <c r="W331" i="32"/>
  <c r="U46" i="32"/>
  <c r="W46" i="32"/>
  <c r="U102" i="32"/>
  <c r="W102" i="32"/>
  <c r="U32" i="32"/>
  <c r="W32" i="32"/>
  <c r="U317" i="32"/>
  <c r="W317" i="32"/>
  <c r="U137" i="32"/>
  <c r="W137" i="32"/>
  <c r="U9" i="32"/>
  <c r="W9" i="32"/>
  <c r="U21" i="32"/>
  <c r="W21" i="32"/>
  <c r="U5" i="32"/>
  <c r="W5" i="32"/>
  <c r="U316" i="32"/>
  <c r="W316" i="32"/>
  <c r="U181" i="32"/>
  <c r="W181" i="32"/>
  <c r="U35" i="32"/>
  <c r="W35" i="32"/>
  <c r="U244" i="32"/>
  <c r="W244" i="32"/>
  <c r="U338" i="32"/>
  <c r="W338" i="32"/>
  <c r="U165" i="32"/>
  <c r="W165" i="32"/>
  <c r="U318" i="32"/>
  <c r="W318" i="32"/>
  <c r="U286" i="32"/>
  <c r="W286" i="32"/>
  <c r="U255" i="32"/>
  <c r="W255" i="32"/>
  <c r="U224" i="32"/>
  <c r="W224" i="32"/>
  <c r="U227" i="32"/>
  <c r="W227" i="32"/>
  <c r="U180" i="32"/>
  <c r="W180" i="32"/>
  <c r="U335" i="32"/>
  <c r="W335" i="32"/>
  <c r="U265" i="32"/>
  <c r="W265" i="32"/>
  <c r="U202" i="32"/>
  <c r="W202" i="32"/>
  <c r="U167" i="32"/>
  <c r="W167" i="32"/>
  <c r="U132" i="32"/>
  <c r="W132" i="32"/>
  <c r="U96" i="32"/>
  <c r="W96" i="32"/>
  <c r="U19" i="32"/>
  <c r="W19" i="32"/>
  <c r="U319" i="32"/>
  <c r="W319" i="32"/>
  <c r="U280" i="32"/>
  <c r="W280" i="32"/>
  <c r="U245" i="32"/>
  <c r="W245" i="32"/>
  <c r="U209" i="32"/>
  <c r="W209" i="32"/>
  <c r="U170" i="32"/>
  <c r="W170" i="32"/>
  <c r="U78" i="32"/>
  <c r="W78" i="32"/>
  <c r="U37" i="32"/>
  <c r="W37" i="32"/>
  <c r="U299" i="32"/>
  <c r="W299" i="32"/>
  <c r="U135" i="32"/>
  <c r="W135" i="32"/>
  <c r="U15" i="32"/>
  <c r="W15" i="32"/>
  <c r="U61" i="32"/>
  <c r="W61" i="32"/>
  <c r="U184" i="32"/>
  <c r="W184" i="32"/>
  <c r="U273" i="32"/>
  <c r="W273" i="32"/>
  <c r="U323" i="32"/>
  <c r="W323" i="32"/>
  <c r="U246" i="32"/>
  <c r="W246" i="32"/>
  <c r="U38" i="32"/>
  <c r="W38" i="32"/>
  <c r="U285" i="32"/>
  <c r="W285" i="32"/>
  <c r="U154" i="32"/>
  <c r="W154" i="32"/>
  <c r="U196" i="32"/>
  <c r="W196" i="32"/>
  <c r="U332" i="32"/>
  <c r="W332" i="32"/>
  <c r="U310" i="32"/>
  <c r="W310" i="32"/>
  <c r="U204" i="32"/>
  <c r="W204" i="32"/>
  <c r="U10" i="32"/>
  <c r="W10" i="32"/>
  <c r="U337" i="32"/>
  <c r="W337" i="32"/>
  <c r="U80" i="32"/>
  <c r="W80" i="32"/>
  <c r="U156" i="32"/>
  <c r="W156" i="32"/>
  <c r="U42" i="32"/>
  <c r="W42" i="32"/>
  <c r="U268" i="32"/>
  <c r="W268" i="32"/>
  <c r="U147" i="32"/>
  <c r="W147" i="32"/>
  <c r="U26" i="32"/>
  <c r="W26" i="32"/>
  <c r="U153" i="32"/>
  <c r="W153" i="32"/>
  <c r="U292" i="32"/>
  <c r="W292" i="32"/>
  <c r="U126" i="32"/>
  <c r="W126" i="32"/>
  <c r="U262" i="32"/>
  <c r="W262" i="32"/>
  <c r="U314" i="32"/>
  <c r="W314" i="32"/>
  <c r="U282" i="32"/>
  <c r="W282" i="32"/>
  <c r="U252" i="32"/>
  <c r="W252" i="32"/>
  <c r="U220" i="32"/>
  <c r="W220" i="32"/>
  <c r="U289" i="32"/>
  <c r="W289" i="32"/>
  <c r="U219" i="32"/>
  <c r="W219" i="32"/>
  <c r="U176" i="32"/>
  <c r="W176" i="32"/>
  <c r="U327" i="32"/>
  <c r="W327" i="32"/>
  <c r="U250" i="32"/>
  <c r="W250" i="32"/>
  <c r="U198" i="32"/>
  <c r="W198" i="32"/>
  <c r="U163" i="32"/>
  <c r="W163" i="32"/>
  <c r="U125" i="32"/>
  <c r="W125" i="32"/>
  <c r="U88" i="32"/>
  <c r="W88" i="32"/>
  <c r="U52" i="32"/>
  <c r="W52" i="32"/>
  <c r="U14" i="32"/>
  <c r="W14" i="32"/>
  <c r="U315" i="32"/>
  <c r="W315" i="32"/>
  <c r="U241" i="32"/>
  <c r="W241" i="32"/>
  <c r="U201" i="32"/>
  <c r="W201" i="32"/>
  <c r="U166" i="32"/>
  <c r="W166" i="32"/>
  <c r="U117" i="32"/>
  <c r="W117" i="32"/>
  <c r="U74" i="32"/>
  <c r="W74" i="32"/>
  <c r="U33" i="32"/>
  <c r="W33" i="32"/>
  <c r="U256" i="32"/>
  <c r="W256" i="32"/>
  <c r="U127" i="32"/>
  <c r="W127" i="32"/>
  <c r="U11" i="32"/>
  <c r="W11" i="32"/>
  <c r="U77" i="32"/>
  <c r="W77" i="32"/>
  <c r="U65" i="32"/>
  <c r="W65" i="32"/>
  <c r="U161" i="32"/>
  <c r="W161" i="32"/>
  <c r="U261" i="32"/>
  <c r="W261" i="32"/>
  <c r="U309" i="32"/>
  <c r="W309" i="32"/>
  <c r="U238" i="32"/>
  <c r="W238" i="32"/>
  <c r="U16" i="32"/>
  <c r="W16" i="32"/>
  <c r="U142" i="32"/>
  <c r="W142" i="32"/>
  <c r="U97" i="32"/>
  <c r="W97" i="32"/>
  <c r="U94" i="32"/>
  <c r="W94" i="32"/>
  <c r="U157" i="32"/>
  <c r="W157" i="32"/>
  <c r="U24" i="32"/>
  <c r="W24" i="32"/>
  <c r="U89" i="32"/>
  <c r="W89" i="32"/>
  <c r="U6" i="32"/>
  <c r="W6" i="32"/>
  <c r="W24" i="3"/>
  <c r="D15" i="28"/>
  <c r="E16" i="28"/>
  <c r="D16" i="28"/>
  <c r="E15" i="28"/>
  <c r="E10" i="28"/>
  <c r="D10" i="28"/>
  <c r="P30" i="28"/>
  <c r="U313" i="32"/>
  <c r="W313" i="32"/>
  <c r="U297" i="32"/>
  <c r="W297" i="32"/>
  <c r="U258" i="32"/>
  <c r="W258" i="32"/>
  <c r="U243" i="32"/>
  <c r="W243" i="32"/>
  <c r="U236" i="32"/>
  <c r="W236" i="32"/>
  <c r="U182" i="32"/>
  <c r="W182" i="32"/>
  <c r="U173" i="32"/>
  <c r="W173" i="32"/>
  <c r="U158" i="32"/>
  <c r="W158" i="32"/>
  <c r="U121" i="32"/>
  <c r="W121" i="32"/>
  <c r="U110" i="32"/>
  <c r="W110" i="32"/>
  <c r="U104" i="32"/>
  <c r="W104" i="32"/>
  <c r="U90" i="32"/>
  <c r="W90" i="32"/>
  <c r="U56" i="32"/>
  <c r="W56" i="32"/>
  <c r="T344" i="32"/>
  <c r="E13" i="28"/>
  <c r="D11" i="28"/>
  <c r="E7" i="28"/>
  <c r="D7" i="28"/>
  <c r="E6" i="28"/>
  <c r="D6" i="28"/>
  <c r="E4" i="4"/>
  <c r="E9" i="4"/>
  <c r="E12" i="4"/>
  <c r="E5" i="4"/>
  <c r="E13" i="4"/>
  <c r="E8" i="4"/>
  <c r="E6" i="4"/>
  <c r="E10" i="4"/>
  <c r="E14" i="4"/>
  <c r="E7" i="4"/>
  <c r="M8" i="1" l="1"/>
  <c r="C39" i="1"/>
  <c r="U346" i="32"/>
  <c r="U344" i="32"/>
  <c r="W344" i="32"/>
  <c r="C20" i="28"/>
  <c r="AB26" i="3" l="1"/>
  <c r="AB25" i="3"/>
  <c r="AB24" i="3"/>
  <c r="AB12" i="3"/>
  <c r="AB11" i="3"/>
  <c r="AB10" i="3"/>
  <c r="AB9" i="3"/>
  <c r="AB8" i="3"/>
  <c r="AB7" i="3"/>
  <c r="AB6" i="3"/>
  <c r="AB5" i="3"/>
  <c r="AB4" i="3"/>
  <c r="AB3" i="3"/>
  <c r="AB23" i="3" l="1"/>
  <c r="AB15" i="3"/>
  <c r="AB19" i="3"/>
  <c r="AB16" i="3"/>
  <c r="AB20" i="3"/>
  <c r="AB13" i="3"/>
  <c r="AB17" i="3"/>
  <c r="AB21" i="3"/>
  <c r="AB14" i="3"/>
  <c r="AB18" i="3"/>
  <c r="AB22" i="3"/>
  <c r="AF5" i="7"/>
  <c r="AF8" i="7" s="1"/>
  <c r="AG7" i="7" l="1"/>
  <c r="AG8" i="7" s="1"/>
  <c r="AF7" i="7"/>
  <c r="AF14" i="7" s="1"/>
  <c r="AF15" i="7" s="1"/>
  <c r="AF12" i="7" l="1"/>
  <c r="E7" i="3"/>
  <c r="F340" i="7" l="1"/>
  <c r="F332" i="7"/>
  <c r="F324" i="7"/>
  <c r="F316" i="7"/>
  <c r="F308" i="7"/>
  <c r="F300" i="7"/>
  <c r="F292" i="7"/>
  <c r="F284" i="7"/>
  <c r="F276" i="7"/>
  <c r="F268" i="7"/>
  <c r="F260" i="7"/>
  <c r="F252" i="7"/>
  <c r="F244" i="7"/>
  <c r="F236" i="7"/>
  <c r="F228" i="7"/>
  <c r="F220" i="7"/>
  <c r="F212" i="7"/>
  <c r="F204" i="7"/>
  <c r="F196" i="7"/>
  <c r="F188" i="7"/>
  <c r="F180" i="7"/>
  <c r="F172" i="7"/>
  <c r="F164" i="7"/>
  <c r="F155" i="7"/>
  <c r="F148" i="7"/>
  <c r="F140" i="7"/>
  <c r="F132" i="7"/>
  <c r="F124" i="7"/>
  <c r="F116" i="7"/>
  <c r="F108" i="7"/>
  <c r="F100" i="7"/>
  <c r="F92" i="7"/>
  <c r="F84" i="7"/>
  <c r="F76" i="7"/>
  <c r="F68" i="7"/>
  <c r="F60" i="7"/>
  <c r="F52" i="7"/>
  <c r="F44" i="7"/>
  <c r="F36" i="7"/>
  <c r="F28" i="7"/>
  <c r="F20" i="7"/>
  <c r="F339" i="7"/>
  <c r="F331" i="7"/>
  <c r="F323" i="7"/>
  <c r="F315" i="7"/>
  <c r="F307" i="7"/>
  <c r="F299" i="7"/>
  <c r="F291" i="7"/>
  <c r="F283" i="7"/>
  <c r="F275" i="7"/>
  <c r="F267" i="7"/>
  <c r="F259" i="7"/>
  <c r="F251" i="7"/>
  <c r="F243" i="7"/>
  <c r="F235" i="7"/>
  <c r="F227" i="7"/>
  <c r="F219" i="7"/>
  <c r="F211" i="7"/>
  <c r="F203" i="7"/>
  <c r="F195" i="7"/>
  <c r="F187" i="7"/>
  <c r="F179" i="7"/>
  <c r="F171" i="7"/>
  <c r="F163" i="7"/>
  <c r="F157" i="7"/>
  <c r="F147" i="7"/>
  <c r="F139" i="7"/>
  <c r="F131" i="7"/>
  <c r="F123" i="7"/>
  <c r="F115" i="7"/>
  <c r="F107" i="7"/>
  <c r="F99" i="7"/>
  <c r="F91" i="7"/>
  <c r="F83" i="7"/>
  <c r="F75" i="7"/>
  <c r="F67" i="7"/>
  <c r="F59" i="7"/>
  <c r="F51" i="7"/>
  <c r="F43" i="7"/>
  <c r="F35" i="7"/>
  <c r="F27" i="7"/>
  <c r="F19" i="7"/>
  <c r="F11" i="7"/>
  <c r="F3" i="7"/>
  <c r="F13" i="7"/>
  <c r="F338" i="7"/>
  <c r="F330" i="7"/>
  <c r="F322" i="7"/>
  <c r="F314" i="7"/>
  <c r="F306" i="7"/>
  <c r="F298" i="7"/>
  <c r="F290" i="7"/>
  <c r="F282" i="7"/>
  <c r="F274" i="7"/>
  <c r="F266" i="7"/>
  <c r="F258" i="7"/>
  <c r="F250" i="7"/>
  <c r="F242" i="7"/>
  <c r="F234" i="7"/>
  <c r="F226" i="7"/>
  <c r="F218" i="7"/>
  <c r="F210" i="7"/>
  <c r="F202" i="7"/>
  <c r="F194" i="7"/>
  <c r="F186" i="7"/>
  <c r="F178" i="7"/>
  <c r="F170" i="7"/>
  <c r="F162" i="7"/>
  <c r="F154" i="7"/>
  <c r="F146" i="7"/>
  <c r="F138" i="7"/>
  <c r="F130" i="7"/>
  <c r="F122" i="7"/>
  <c r="F114" i="7"/>
  <c r="F106" i="7"/>
  <c r="F98" i="7"/>
  <c r="F90" i="7"/>
  <c r="F82" i="7"/>
  <c r="F74" i="7"/>
  <c r="F66" i="7"/>
  <c r="F58" i="7"/>
  <c r="F50" i="7"/>
  <c r="F42" i="7"/>
  <c r="F34" i="7"/>
  <c r="F26" i="7"/>
  <c r="F18" i="7"/>
  <c r="F10" i="7"/>
  <c r="F2" i="7"/>
  <c r="F273" i="7"/>
  <c r="F241" i="7"/>
  <c r="F217" i="7"/>
  <c r="F201" i="7"/>
  <c r="F185" i="7"/>
  <c r="F177" i="7"/>
  <c r="F169" i="7"/>
  <c r="F153" i="7"/>
  <c r="F145" i="7"/>
  <c r="F129" i="7"/>
  <c r="F113" i="7"/>
  <c r="F97" i="7"/>
  <c r="F81" i="7"/>
  <c r="F73" i="7"/>
  <c r="F57" i="7"/>
  <c r="F41" i="7"/>
  <c r="F25" i="7"/>
  <c r="F9" i="7"/>
  <c r="F15" i="7"/>
  <c r="F189" i="7"/>
  <c r="F109" i="7"/>
  <c r="F85" i="7"/>
  <c r="F53" i="7"/>
  <c r="F21" i="7"/>
  <c r="F5" i="7"/>
  <c r="F337" i="7"/>
  <c r="F329" i="7"/>
  <c r="F321" i="7"/>
  <c r="F313" i="7"/>
  <c r="F305" i="7"/>
  <c r="F297" i="7"/>
  <c r="F289" i="7"/>
  <c r="F281" i="7"/>
  <c r="F265" i="7"/>
  <c r="F257" i="7"/>
  <c r="F249" i="7"/>
  <c r="F233" i="7"/>
  <c r="F225" i="7"/>
  <c r="F209" i="7"/>
  <c r="F193" i="7"/>
  <c r="F161" i="7"/>
  <c r="F137" i="7"/>
  <c r="F121" i="7"/>
  <c r="F105" i="7"/>
  <c r="F89" i="7"/>
  <c r="F65" i="7"/>
  <c r="F49" i="7"/>
  <c r="F33" i="7"/>
  <c r="F17" i="7"/>
  <c r="F39" i="7"/>
  <c r="F7" i="7"/>
  <c r="F165" i="7"/>
  <c r="F133" i="7"/>
  <c r="F93" i="7"/>
  <c r="F45" i="7"/>
  <c r="F336" i="7"/>
  <c r="F328" i="7"/>
  <c r="F320" i="7"/>
  <c r="F312" i="7"/>
  <c r="F304" i="7"/>
  <c r="F296" i="7"/>
  <c r="F288" i="7"/>
  <c r="F280" i="7"/>
  <c r="F272" i="7"/>
  <c r="F264" i="7"/>
  <c r="F256" i="7"/>
  <c r="F248" i="7"/>
  <c r="F240" i="7"/>
  <c r="F232" i="7"/>
  <c r="F224" i="7"/>
  <c r="F216" i="7"/>
  <c r="F208" i="7"/>
  <c r="F200" i="7"/>
  <c r="F192" i="7"/>
  <c r="F184" i="7"/>
  <c r="F176" i="7"/>
  <c r="F168" i="7"/>
  <c r="F160" i="7"/>
  <c r="F152" i="7"/>
  <c r="F144" i="7"/>
  <c r="F136" i="7"/>
  <c r="F128" i="7"/>
  <c r="F120" i="7"/>
  <c r="F112" i="7"/>
  <c r="F104" i="7"/>
  <c r="F96" i="7"/>
  <c r="F88" i="7"/>
  <c r="F80" i="7"/>
  <c r="F72" i="7"/>
  <c r="F64" i="7"/>
  <c r="F56" i="7"/>
  <c r="F48" i="7"/>
  <c r="F40" i="7"/>
  <c r="F32" i="7"/>
  <c r="F24" i="7"/>
  <c r="F16" i="7"/>
  <c r="F8" i="7"/>
  <c r="F295" i="7"/>
  <c r="F263" i="7"/>
  <c r="F247" i="7"/>
  <c r="F231" i="7"/>
  <c r="F223" i="7"/>
  <c r="F207" i="7"/>
  <c r="F191" i="7"/>
  <c r="F175" i="7"/>
  <c r="F167" i="7"/>
  <c r="F151" i="7"/>
  <c r="F135" i="7"/>
  <c r="F119" i="7"/>
  <c r="F103" i="7"/>
  <c r="F87" i="7"/>
  <c r="F79" i="7"/>
  <c r="F63" i="7"/>
  <c r="F47" i="7"/>
  <c r="F23" i="7"/>
  <c r="F173" i="7"/>
  <c r="F117" i="7"/>
  <c r="F343" i="7"/>
  <c r="F335" i="7"/>
  <c r="F327" i="7"/>
  <c r="F319" i="7"/>
  <c r="F311" i="7"/>
  <c r="F303" i="7"/>
  <c r="F287" i="7"/>
  <c r="F279" i="7"/>
  <c r="F271" i="7"/>
  <c r="F255" i="7"/>
  <c r="F239" i="7"/>
  <c r="F215" i="7"/>
  <c r="F199" i="7"/>
  <c r="F183" i="7"/>
  <c r="F159" i="7"/>
  <c r="F143" i="7"/>
  <c r="F127" i="7"/>
  <c r="F111" i="7"/>
  <c r="F95" i="7"/>
  <c r="F71" i="7"/>
  <c r="F55" i="7"/>
  <c r="F31" i="7"/>
  <c r="F156" i="7"/>
  <c r="F125" i="7"/>
  <c r="F69" i="7"/>
  <c r="F37" i="7"/>
  <c r="F12" i="7"/>
  <c r="F342" i="7"/>
  <c r="F334" i="7"/>
  <c r="F326" i="7"/>
  <c r="F318" i="7"/>
  <c r="F310" i="7"/>
  <c r="F302" i="7"/>
  <c r="F294" i="7"/>
  <c r="F286" i="7"/>
  <c r="F278" i="7"/>
  <c r="F270" i="7"/>
  <c r="F262" i="7"/>
  <c r="F254" i="7"/>
  <c r="F246" i="7"/>
  <c r="F238" i="7"/>
  <c r="F230" i="7"/>
  <c r="F222" i="7"/>
  <c r="F214" i="7"/>
  <c r="F206" i="7"/>
  <c r="F198" i="7"/>
  <c r="F190" i="7"/>
  <c r="F182" i="7"/>
  <c r="F174" i="7"/>
  <c r="F166" i="7"/>
  <c r="F158" i="7"/>
  <c r="F150" i="7"/>
  <c r="F142" i="7"/>
  <c r="F134" i="7"/>
  <c r="F126" i="7"/>
  <c r="F118" i="7"/>
  <c r="F110" i="7"/>
  <c r="F102" i="7"/>
  <c r="F94" i="7"/>
  <c r="F86" i="7"/>
  <c r="F78" i="7"/>
  <c r="F70" i="7"/>
  <c r="F62" i="7"/>
  <c r="F54" i="7"/>
  <c r="F46" i="7"/>
  <c r="F38" i="7"/>
  <c r="F30" i="7"/>
  <c r="F22" i="7"/>
  <c r="F14" i="7"/>
  <c r="F6" i="7"/>
  <c r="F341" i="7"/>
  <c r="F333" i="7"/>
  <c r="F325" i="7"/>
  <c r="F317" i="7"/>
  <c r="F309" i="7"/>
  <c r="F301" i="7"/>
  <c r="F293" i="7"/>
  <c r="F285" i="7"/>
  <c r="F277" i="7"/>
  <c r="F269" i="7"/>
  <c r="F261" i="7"/>
  <c r="F253" i="7"/>
  <c r="F245" i="7"/>
  <c r="F237" i="7"/>
  <c r="F229" i="7"/>
  <c r="F221" i="7"/>
  <c r="F213" i="7"/>
  <c r="F205" i="7"/>
  <c r="F197" i="7"/>
  <c r="F181" i="7"/>
  <c r="F149" i="7"/>
  <c r="F141" i="7"/>
  <c r="F101" i="7"/>
  <c r="F77" i="7"/>
  <c r="F61" i="7"/>
  <c r="F29" i="7"/>
  <c r="F4" i="7"/>
  <c r="F344" i="7"/>
  <c r="T344" i="27"/>
  <c r="T343" i="27"/>
  <c r="W343" i="27" s="1"/>
  <c r="T342" i="27"/>
  <c r="T341" i="27"/>
  <c r="W341" i="27" s="1"/>
  <c r="T340" i="27"/>
  <c r="T339" i="27"/>
  <c r="W339" i="27" s="1"/>
  <c r="T338" i="27"/>
  <c r="T337" i="27"/>
  <c r="W337" i="27" s="1"/>
  <c r="T336" i="27"/>
  <c r="T335" i="27"/>
  <c r="W335" i="27" s="1"/>
  <c r="T334" i="27"/>
  <c r="T333" i="27"/>
  <c r="W333" i="27" s="1"/>
  <c r="T332" i="27"/>
  <c r="T331" i="27"/>
  <c r="W331" i="27" s="1"/>
  <c r="T330" i="27"/>
  <c r="T329" i="27"/>
  <c r="W329" i="27" s="1"/>
  <c r="T328" i="27"/>
  <c r="T327" i="27"/>
  <c r="W327" i="27" s="1"/>
  <c r="T326" i="27"/>
  <c r="T325" i="27"/>
  <c r="W325" i="27" s="1"/>
  <c r="T324" i="27"/>
  <c r="T323" i="27"/>
  <c r="W323" i="27" s="1"/>
  <c r="T322" i="27"/>
  <c r="T321" i="27"/>
  <c r="W321" i="27" s="1"/>
  <c r="T320" i="27"/>
  <c r="T319" i="27"/>
  <c r="W319" i="27" s="1"/>
  <c r="T318" i="27"/>
  <c r="T317" i="27"/>
  <c r="W317" i="27" s="1"/>
  <c r="T316" i="27"/>
  <c r="T314" i="27"/>
  <c r="T313" i="27"/>
  <c r="W313" i="27" s="1"/>
  <c r="T312" i="27"/>
  <c r="T311" i="27"/>
  <c r="W311" i="27" s="1"/>
  <c r="T310" i="27"/>
  <c r="T309" i="27"/>
  <c r="W309" i="27" s="1"/>
  <c r="T308" i="27"/>
  <c r="T307" i="27"/>
  <c r="W307" i="27" s="1"/>
  <c r="T306" i="27"/>
  <c r="T305" i="27"/>
  <c r="T304" i="27"/>
  <c r="T303" i="27"/>
  <c r="W303" i="27" s="1"/>
  <c r="T302" i="27"/>
  <c r="T301" i="27"/>
  <c r="T300" i="27"/>
  <c r="T299" i="27"/>
  <c r="W299" i="27" s="1"/>
  <c r="T298" i="27"/>
  <c r="T297" i="27"/>
  <c r="W297" i="27" s="1"/>
  <c r="T296" i="27"/>
  <c r="T295" i="27"/>
  <c r="W295" i="27" s="1"/>
  <c r="T294" i="27"/>
  <c r="T293" i="27"/>
  <c r="W293" i="27" s="1"/>
  <c r="T292" i="27"/>
  <c r="T291" i="27"/>
  <c r="W291" i="27" s="1"/>
  <c r="T290" i="27"/>
  <c r="T289" i="27"/>
  <c r="T288" i="27"/>
  <c r="T286" i="27"/>
  <c r="T285" i="27"/>
  <c r="T284" i="27"/>
  <c r="T283" i="27"/>
  <c r="W283" i="27" s="1"/>
  <c r="T282" i="27"/>
  <c r="T281" i="27"/>
  <c r="W281" i="27" s="1"/>
  <c r="T280" i="27"/>
  <c r="T279" i="27"/>
  <c r="W279" i="27" s="1"/>
  <c r="T278" i="27"/>
  <c r="T277" i="27"/>
  <c r="W277" i="27" s="1"/>
  <c r="T276" i="27"/>
  <c r="T275" i="27"/>
  <c r="W275" i="27" s="1"/>
  <c r="T274" i="27"/>
  <c r="T273" i="27"/>
  <c r="T272" i="27"/>
  <c r="T271" i="27"/>
  <c r="W271" i="27" s="1"/>
  <c r="T270" i="27"/>
  <c r="T269" i="27"/>
  <c r="T268" i="27"/>
  <c r="T267" i="27"/>
  <c r="W267" i="27" s="1"/>
  <c r="T266" i="27"/>
  <c r="T265" i="27"/>
  <c r="W265" i="27" s="1"/>
  <c r="T264" i="27"/>
  <c r="T263" i="27"/>
  <c r="W263" i="27" s="1"/>
  <c r="T262" i="27"/>
  <c r="T261" i="27"/>
  <c r="W261" i="27" s="1"/>
  <c r="T260" i="27"/>
  <c r="T259" i="27"/>
  <c r="W259" i="27" s="1"/>
  <c r="T258" i="27"/>
  <c r="T257" i="27"/>
  <c r="T256" i="27"/>
  <c r="T255" i="27"/>
  <c r="W255" i="27" s="1"/>
  <c r="T254" i="27"/>
  <c r="T253" i="27"/>
  <c r="T252" i="27"/>
  <c r="T251" i="27"/>
  <c r="W251" i="27" s="1"/>
  <c r="T250" i="27"/>
  <c r="T249" i="27"/>
  <c r="W249" i="27" s="1"/>
  <c r="T248" i="27"/>
  <c r="T247" i="27"/>
  <c r="W247" i="27" s="1"/>
  <c r="T246" i="27"/>
  <c r="T245" i="27"/>
  <c r="W245" i="27" s="1"/>
  <c r="T244" i="27"/>
  <c r="T243" i="27"/>
  <c r="W243" i="27" s="1"/>
  <c r="T242" i="27"/>
  <c r="T241" i="27"/>
  <c r="T240" i="27"/>
  <c r="T239" i="27"/>
  <c r="W239" i="27" s="1"/>
  <c r="T238" i="27"/>
  <c r="T237" i="27"/>
  <c r="T236" i="27"/>
  <c r="T235" i="27"/>
  <c r="W235" i="27" s="1"/>
  <c r="T234" i="27"/>
  <c r="T233" i="27"/>
  <c r="W233" i="27" s="1"/>
  <c r="T232" i="27"/>
  <c r="T231" i="27"/>
  <c r="W231" i="27" s="1"/>
  <c r="T230" i="27"/>
  <c r="T229" i="27"/>
  <c r="W229" i="27" s="1"/>
  <c r="T228" i="27"/>
  <c r="T227" i="27"/>
  <c r="W227" i="27" s="1"/>
  <c r="T226" i="27"/>
  <c r="T225" i="27"/>
  <c r="T224" i="27"/>
  <c r="T223" i="27"/>
  <c r="W223" i="27" s="1"/>
  <c r="T222" i="27"/>
  <c r="T221" i="27"/>
  <c r="T220" i="27"/>
  <c r="T219" i="27"/>
  <c r="W219" i="27" s="1"/>
  <c r="T218" i="27"/>
  <c r="T216" i="27"/>
  <c r="T215" i="27"/>
  <c r="W215" i="27" s="1"/>
  <c r="T214" i="27"/>
  <c r="T213" i="27"/>
  <c r="W213" i="27" s="1"/>
  <c r="T212" i="27"/>
  <c r="T211" i="27"/>
  <c r="W211" i="27" s="1"/>
  <c r="T210" i="27"/>
  <c r="T209" i="27"/>
  <c r="T208" i="27"/>
  <c r="T207" i="27"/>
  <c r="W207" i="27" s="1"/>
  <c r="T206" i="27"/>
  <c r="T205" i="27"/>
  <c r="T204" i="27"/>
  <c r="T203" i="27"/>
  <c r="W203" i="27" s="1"/>
  <c r="T202" i="27"/>
  <c r="T201" i="27"/>
  <c r="W201" i="27" s="1"/>
  <c r="T200" i="27"/>
  <c r="T199" i="27"/>
  <c r="W199" i="27" s="1"/>
  <c r="T198" i="27"/>
  <c r="T197" i="27"/>
  <c r="W197" i="27" s="1"/>
  <c r="T196" i="27"/>
  <c r="T195" i="27"/>
  <c r="W195" i="27" s="1"/>
  <c r="T194" i="27"/>
  <c r="T193" i="27"/>
  <c r="T192" i="27"/>
  <c r="T191" i="27"/>
  <c r="T190" i="27"/>
  <c r="T189" i="27"/>
  <c r="T188" i="27"/>
  <c r="T187" i="27"/>
  <c r="W187" i="27" s="1"/>
  <c r="T186" i="27"/>
  <c r="T185" i="27"/>
  <c r="W185" i="27" s="1"/>
  <c r="T184" i="27"/>
  <c r="T183" i="27"/>
  <c r="W183" i="27" s="1"/>
  <c r="T182" i="27"/>
  <c r="T180" i="27"/>
  <c r="T179" i="27"/>
  <c r="W179" i="27" s="1"/>
  <c r="T178" i="27"/>
  <c r="T177" i="27"/>
  <c r="T176" i="27"/>
  <c r="T175" i="27"/>
  <c r="W175" i="27" s="1"/>
  <c r="T174" i="27"/>
  <c r="T173" i="27"/>
  <c r="T172" i="27"/>
  <c r="T171" i="27"/>
  <c r="W171" i="27" s="1"/>
  <c r="T170" i="27"/>
  <c r="T169" i="27"/>
  <c r="W169" i="27" s="1"/>
  <c r="T168" i="27"/>
  <c r="T167" i="27"/>
  <c r="W167" i="27" s="1"/>
  <c r="T166" i="27"/>
  <c r="T165" i="27"/>
  <c r="W165" i="27" s="1"/>
  <c r="T164" i="27"/>
  <c r="T163" i="27"/>
  <c r="W163" i="27" s="1"/>
  <c r="T162" i="27"/>
  <c r="T161" i="27"/>
  <c r="T160" i="27"/>
  <c r="T159" i="27"/>
  <c r="W159" i="27" s="1"/>
  <c r="T158" i="27"/>
  <c r="T157" i="27"/>
  <c r="T156" i="27"/>
  <c r="T155" i="27"/>
  <c r="W155" i="27" s="1"/>
  <c r="T154" i="27"/>
  <c r="T153" i="27"/>
  <c r="W153" i="27" s="1"/>
  <c r="T152" i="27"/>
  <c r="T151" i="27"/>
  <c r="W151" i="27" s="1"/>
  <c r="T150" i="27"/>
  <c r="T149" i="27"/>
  <c r="W149" i="27" s="1"/>
  <c r="T148" i="27"/>
  <c r="T147" i="27"/>
  <c r="W147" i="27" s="1"/>
  <c r="T146" i="27"/>
  <c r="T145" i="27"/>
  <c r="T144" i="27"/>
  <c r="T143" i="27"/>
  <c r="W143" i="27" s="1"/>
  <c r="T142" i="27"/>
  <c r="T141" i="27"/>
  <c r="T140" i="27"/>
  <c r="T139" i="27"/>
  <c r="W139" i="27" s="1"/>
  <c r="T138" i="27"/>
  <c r="T137" i="27"/>
  <c r="W137" i="27" s="1"/>
  <c r="T136" i="27"/>
  <c r="T135" i="27"/>
  <c r="W135" i="27" s="1"/>
  <c r="T134" i="27"/>
  <c r="T133" i="27"/>
  <c r="W133" i="27" s="1"/>
  <c r="T132" i="27"/>
  <c r="T131" i="27"/>
  <c r="W131" i="27" s="1"/>
  <c r="T130" i="27"/>
  <c r="T129" i="27"/>
  <c r="T128" i="27"/>
  <c r="T127" i="27"/>
  <c r="W127" i="27" s="1"/>
  <c r="T126" i="27"/>
  <c r="T125" i="27"/>
  <c r="T124" i="27"/>
  <c r="T123" i="27"/>
  <c r="W123" i="27" s="1"/>
  <c r="T122" i="27"/>
  <c r="T121" i="27"/>
  <c r="W121" i="27" s="1"/>
  <c r="T120" i="27"/>
  <c r="T119" i="27"/>
  <c r="W119" i="27" s="1"/>
  <c r="T118" i="27"/>
  <c r="T117" i="27"/>
  <c r="W117" i="27" s="1"/>
  <c r="T115" i="27"/>
  <c r="W115" i="27" s="1"/>
  <c r="T114" i="27"/>
  <c r="T113" i="27"/>
  <c r="T112" i="27"/>
  <c r="T111" i="27"/>
  <c r="W111" i="27" s="1"/>
  <c r="T110" i="27"/>
  <c r="T109" i="27"/>
  <c r="T108" i="27"/>
  <c r="T107" i="27"/>
  <c r="W107" i="27" s="1"/>
  <c r="T106" i="27"/>
  <c r="T105" i="27"/>
  <c r="W105" i="27" s="1"/>
  <c r="T104" i="27"/>
  <c r="T103" i="27"/>
  <c r="W103" i="27" s="1"/>
  <c r="T102" i="27"/>
  <c r="T101" i="27"/>
  <c r="W101" i="27" s="1"/>
  <c r="T100" i="27"/>
  <c r="T99" i="27"/>
  <c r="W99" i="27" s="1"/>
  <c r="T98" i="27"/>
  <c r="T97" i="27"/>
  <c r="T96" i="27"/>
  <c r="T95" i="27"/>
  <c r="W95" i="27" s="1"/>
  <c r="T94" i="27"/>
  <c r="T93" i="27"/>
  <c r="T92" i="27"/>
  <c r="T91" i="27"/>
  <c r="W91" i="27" s="1"/>
  <c r="T90" i="27"/>
  <c r="T89" i="27"/>
  <c r="W89" i="27" s="1"/>
  <c r="T88" i="27"/>
  <c r="T87" i="27"/>
  <c r="W87" i="27" s="1"/>
  <c r="T86" i="27"/>
  <c r="T85" i="27"/>
  <c r="W85" i="27" s="1"/>
  <c r="T84" i="27"/>
  <c r="T83" i="27"/>
  <c r="W83" i="27" s="1"/>
  <c r="T82" i="27"/>
  <c r="T81" i="27"/>
  <c r="T80" i="27"/>
  <c r="T79" i="27"/>
  <c r="W79" i="27" s="1"/>
  <c r="T78" i="27"/>
  <c r="T77" i="27"/>
  <c r="T76" i="27"/>
  <c r="T75" i="27"/>
  <c r="W75" i="27" s="1"/>
  <c r="T74" i="27"/>
  <c r="T73" i="27"/>
  <c r="W73" i="27" s="1"/>
  <c r="T71" i="27"/>
  <c r="W71" i="27" s="1"/>
  <c r="T70" i="27"/>
  <c r="T69" i="27"/>
  <c r="W69" i="27" s="1"/>
  <c r="T68" i="27"/>
  <c r="T67" i="27"/>
  <c r="W67" i="27" s="1"/>
  <c r="T66" i="27"/>
  <c r="T65" i="27"/>
  <c r="T64" i="27"/>
  <c r="T63" i="27"/>
  <c r="W63" i="27" s="1"/>
  <c r="T62" i="27"/>
  <c r="T61" i="27"/>
  <c r="T60" i="27"/>
  <c r="T59" i="27"/>
  <c r="W59" i="27" s="1"/>
  <c r="T58" i="27"/>
  <c r="T57" i="27"/>
  <c r="W57" i="27" s="1"/>
  <c r="T56" i="27"/>
  <c r="T55" i="27"/>
  <c r="W55" i="27" s="1"/>
  <c r="T54" i="27"/>
  <c r="T53" i="27"/>
  <c r="W53" i="27" s="1"/>
  <c r="T52" i="27"/>
  <c r="T51" i="27"/>
  <c r="W51" i="27" s="1"/>
  <c r="T49" i="27"/>
  <c r="T48" i="27"/>
  <c r="T47" i="27"/>
  <c r="W47" i="27" s="1"/>
  <c r="T46" i="27"/>
  <c r="T45" i="27"/>
  <c r="T44" i="27"/>
  <c r="T43" i="27"/>
  <c r="W43" i="27" s="1"/>
  <c r="T42" i="27"/>
  <c r="T41" i="27"/>
  <c r="W41" i="27" s="1"/>
  <c r="T40" i="27"/>
  <c r="T39" i="27"/>
  <c r="W39" i="27" s="1"/>
  <c r="T38" i="27"/>
  <c r="T37" i="27"/>
  <c r="W37" i="27" s="1"/>
  <c r="T36" i="27"/>
  <c r="T35" i="27"/>
  <c r="T34" i="27"/>
  <c r="T33" i="27"/>
  <c r="W33" i="27" s="1"/>
  <c r="T32" i="27"/>
  <c r="T31" i="27"/>
  <c r="T30" i="27"/>
  <c r="T29" i="27"/>
  <c r="W29" i="27" s="1"/>
  <c r="T28" i="27"/>
  <c r="T27" i="27"/>
  <c r="T26" i="27"/>
  <c r="T25" i="27"/>
  <c r="W25" i="27" s="1"/>
  <c r="T24" i="27"/>
  <c r="T23" i="27"/>
  <c r="T22" i="27"/>
  <c r="T21" i="27"/>
  <c r="W21" i="27" s="1"/>
  <c r="T20" i="27"/>
  <c r="T18" i="27"/>
  <c r="T17" i="27"/>
  <c r="W17" i="27" s="1"/>
  <c r="T16" i="27"/>
  <c r="T15" i="27"/>
  <c r="T14" i="27"/>
  <c r="T13" i="27"/>
  <c r="W13" i="27" s="1"/>
  <c r="T12" i="27"/>
  <c r="T11" i="27"/>
  <c r="T10" i="27"/>
  <c r="T9" i="27"/>
  <c r="W9" i="27" s="1"/>
  <c r="T8" i="27"/>
  <c r="T7" i="27"/>
  <c r="T6" i="27"/>
  <c r="T5" i="27"/>
  <c r="W5" i="27" s="1"/>
  <c r="T4" i="27"/>
  <c r="T3" i="27"/>
  <c r="W191" i="27" l="1"/>
  <c r="U333" i="27"/>
  <c r="U341" i="27"/>
  <c r="U317" i="27"/>
  <c r="U325" i="27"/>
  <c r="W2" i="27"/>
  <c r="U2" i="27"/>
  <c r="W6" i="27"/>
  <c r="U6" i="27"/>
  <c r="W14" i="27"/>
  <c r="U14" i="27"/>
  <c r="W18" i="27"/>
  <c r="U18" i="27"/>
  <c r="W22" i="27"/>
  <c r="U22" i="27"/>
  <c r="W30" i="27"/>
  <c r="U30" i="27"/>
  <c r="W34" i="27"/>
  <c r="U34" i="27"/>
  <c r="W38" i="27"/>
  <c r="U38" i="27"/>
  <c r="W54" i="27"/>
  <c r="U54" i="27"/>
  <c r="W66" i="27"/>
  <c r="U66" i="27"/>
  <c r="W70" i="27"/>
  <c r="U70" i="27"/>
  <c r="W86" i="27"/>
  <c r="U86" i="27"/>
  <c r="W102" i="27"/>
  <c r="U102" i="27"/>
  <c r="W4" i="27"/>
  <c r="U4" i="27"/>
  <c r="W8" i="27"/>
  <c r="U8" i="27"/>
  <c r="W12" i="27"/>
  <c r="U12" i="27"/>
  <c r="W16" i="27"/>
  <c r="U16" i="27"/>
  <c r="W20" i="27"/>
  <c r="U20" i="27"/>
  <c r="W24" i="27"/>
  <c r="U24" i="27"/>
  <c r="W28" i="27"/>
  <c r="U28" i="27"/>
  <c r="W32" i="27"/>
  <c r="U32" i="27"/>
  <c r="W36" i="27"/>
  <c r="U36" i="27"/>
  <c r="W40" i="27"/>
  <c r="U40" i="27"/>
  <c r="W44" i="27"/>
  <c r="U44" i="27"/>
  <c r="W48" i="27"/>
  <c r="U48" i="27"/>
  <c r="W52" i="27"/>
  <c r="U52" i="27"/>
  <c r="W56" i="27"/>
  <c r="U56" i="27"/>
  <c r="W60" i="27"/>
  <c r="U60" i="27"/>
  <c r="W64" i="27"/>
  <c r="U64" i="27"/>
  <c r="W68" i="27"/>
  <c r="U68" i="27"/>
  <c r="W76" i="27"/>
  <c r="U76" i="27"/>
  <c r="W80" i="27"/>
  <c r="U80" i="27"/>
  <c r="W84" i="27"/>
  <c r="U84" i="27"/>
  <c r="W88" i="27"/>
  <c r="U88" i="27"/>
  <c r="W92" i="27"/>
  <c r="U92" i="27"/>
  <c r="W96" i="27"/>
  <c r="U96" i="27"/>
  <c r="W100" i="27"/>
  <c r="U100" i="27"/>
  <c r="W104" i="27"/>
  <c r="U104" i="27"/>
  <c r="W108" i="27"/>
  <c r="U108" i="27"/>
  <c r="W112" i="27"/>
  <c r="U112" i="27"/>
  <c r="W120" i="27"/>
  <c r="U120" i="27"/>
  <c r="W124" i="27"/>
  <c r="U124" i="27"/>
  <c r="W128" i="27"/>
  <c r="U128" i="27"/>
  <c r="W132" i="27"/>
  <c r="U132" i="27"/>
  <c r="W136" i="27"/>
  <c r="U136" i="27"/>
  <c r="W140" i="27"/>
  <c r="U140" i="27"/>
  <c r="W144" i="27"/>
  <c r="U144" i="27"/>
  <c r="W148" i="27"/>
  <c r="U148" i="27"/>
  <c r="W152" i="27"/>
  <c r="U152" i="27"/>
  <c r="W156" i="27"/>
  <c r="U156" i="27"/>
  <c r="W160" i="27"/>
  <c r="U160" i="27"/>
  <c r="W164" i="27"/>
  <c r="U164" i="27"/>
  <c r="W168" i="27"/>
  <c r="U168" i="27"/>
  <c r="W172" i="27"/>
  <c r="U172" i="27"/>
  <c r="W176" i="27"/>
  <c r="U176" i="27"/>
  <c r="W180" i="27"/>
  <c r="U180" i="27"/>
  <c r="W184" i="27"/>
  <c r="U184" i="27"/>
  <c r="W188" i="27"/>
  <c r="U188" i="27"/>
  <c r="W192" i="27"/>
  <c r="U192" i="27"/>
  <c r="W196" i="27"/>
  <c r="U196" i="27"/>
  <c r="W200" i="27"/>
  <c r="U200" i="27"/>
  <c r="W204" i="27"/>
  <c r="U204" i="27"/>
  <c r="W208" i="27"/>
  <c r="U208" i="27"/>
  <c r="W212" i="27"/>
  <c r="U212" i="27"/>
  <c r="W216" i="27"/>
  <c r="U216" i="27"/>
  <c r="W220" i="27"/>
  <c r="U220" i="27"/>
  <c r="W224" i="27"/>
  <c r="U224" i="27"/>
  <c r="W228" i="27"/>
  <c r="U228" i="27"/>
  <c r="W232" i="27"/>
  <c r="U232" i="27"/>
  <c r="W236" i="27"/>
  <c r="U236" i="27"/>
  <c r="W240" i="27"/>
  <c r="U240" i="27"/>
  <c r="W244" i="27"/>
  <c r="U244" i="27"/>
  <c r="W248" i="27"/>
  <c r="U248" i="27"/>
  <c r="W252" i="27"/>
  <c r="U252" i="27"/>
  <c r="W256" i="27"/>
  <c r="U256" i="27"/>
  <c r="W260" i="27"/>
  <c r="U260" i="27"/>
  <c r="W264" i="27"/>
  <c r="U264" i="27"/>
  <c r="W268" i="27"/>
  <c r="U268" i="27"/>
  <c r="W272" i="27"/>
  <c r="U272" i="27"/>
  <c r="W276" i="27"/>
  <c r="U276" i="27"/>
  <c r="W280" i="27"/>
  <c r="U280" i="27"/>
  <c r="W284" i="27"/>
  <c r="U284" i="27"/>
  <c r="W288" i="27"/>
  <c r="U288" i="27"/>
  <c r="W292" i="27"/>
  <c r="U292" i="27"/>
  <c r="W296" i="27"/>
  <c r="U296" i="27"/>
  <c r="W300" i="27"/>
  <c r="U300" i="27"/>
  <c r="W304" i="27"/>
  <c r="U304" i="27"/>
  <c r="W308" i="27"/>
  <c r="U308" i="27"/>
  <c r="W312" i="27"/>
  <c r="U312" i="27"/>
  <c r="W316" i="27"/>
  <c r="U316" i="27"/>
  <c r="W320" i="27"/>
  <c r="U320" i="27"/>
  <c r="W324" i="27"/>
  <c r="U324" i="27"/>
  <c r="W328" i="27"/>
  <c r="U328" i="27"/>
  <c r="W332" i="27"/>
  <c r="U332" i="27"/>
  <c r="W336" i="27"/>
  <c r="U336" i="27"/>
  <c r="W340" i="27"/>
  <c r="U340" i="27"/>
  <c r="W344" i="27"/>
  <c r="U344" i="27"/>
  <c r="W45" i="27"/>
  <c r="U45" i="27"/>
  <c r="W49" i="27"/>
  <c r="U49" i="27"/>
  <c r="W61" i="27"/>
  <c r="U61" i="27"/>
  <c r="W65" i="27"/>
  <c r="U65" i="27"/>
  <c r="W77" i="27"/>
  <c r="U77" i="27"/>
  <c r="W81" i="27"/>
  <c r="U81" i="27"/>
  <c r="W93" i="27"/>
  <c r="U93" i="27"/>
  <c r="W97" i="27"/>
  <c r="U97" i="27"/>
  <c r="W109" i="27"/>
  <c r="U109" i="27"/>
  <c r="W113" i="27"/>
  <c r="U113" i="27"/>
  <c r="W125" i="27"/>
  <c r="U125" i="27"/>
  <c r="W129" i="27"/>
  <c r="U129" i="27"/>
  <c r="W141" i="27"/>
  <c r="U141" i="27"/>
  <c r="W145" i="27"/>
  <c r="U145" i="27"/>
  <c r="W157" i="27"/>
  <c r="U157" i="27"/>
  <c r="W161" i="27"/>
  <c r="U161" i="27"/>
  <c r="W173" i="27"/>
  <c r="U173" i="27"/>
  <c r="W177" i="27"/>
  <c r="U177" i="27"/>
  <c r="W189" i="27"/>
  <c r="U189" i="27"/>
  <c r="W193" i="27"/>
  <c r="U193" i="27"/>
  <c r="W205" i="27"/>
  <c r="U205" i="27"/>
  <c r="W209" i="27"/>
  <c r="U209" i="27"/>
  <c r="W221" i="27"/>
  <c r="U221" i="27"/>
  <c r="W225" i="27"/>
  <c r="U225" i="27"/>
  <c r="W237" i="27"/>
  <c r="U237" i="27"/>
  <c r="W241" i="27"/>
  <c r="U241" i="27"/>
  <c r="W253" i="27"/>
  <c r="U253" i="27"/>
  <c r="W257" i="27"/>
  <c r="U257" i="27"/>
  <c r="W269" i="27"/>
  <c r="U269" i="27"/>
  <c r="W273" i="27"/>
  <c r="U273" i="27"/>
  <c r="W285" i="27"/>
  <c r="U285" i="27"/>
  <c r="W289" i="27"/>
  <c r="U289" i="27"/>
  <c r="W301" i="27"/>
  <c r="U301" i="27"/>
  <c r="W305" i="27"/>
  <c r="U305" i="27"/>
  <c r="W10" i="27"/>
  <c r="U10" i="27"/>
  <c r="W26" i="27"/>
  <c r="U26" i="27"/>
  <c r="W82" i="27"/>
  <c r="U82" i="27"/>
  <c r="W98" i="27"/>
  <c r="U98" i="27"/>
  <c r="W114" i="27"/>
  <c r="U114" i="27"/>
  <c r="W118" i="27"/>
  <c r="U118" i="27"/>
  <c r="W130" i="27"/>
  <c r="U130" i="27"/>
  <c r="W134" i="27"/>
  <c r="U134" i="27"/>
  <c r="W146" i="27"/>
  <c r="U146" i="27"/>
  <c r="W150" i="27"/>
  <c r="U150" i="27"/>
  <c r="W162" i="27"/>
  <c r="U162" i="27"/>
  <c r="W166" i="27"/>
  <c r="U166" i="27"/>
  <c r="W178" i="27"/>
  <c r="U178" i="27"/>
  <c r="W182" i="27"/>
  <c r="U182" i="27"/>
  <c r="W194" i="27"/>
  <c r="U194" i="27"/>
  <c r="W198" i="27"/>
  <c r="U198" i="27"/>
  <c r="W210" i="27"/>
  <c r="U210" i="27"/>
  <c r="W214" i="27"/>
  <c r="U214" i="27"/>
  <c r="W226" i="27"/>
  <c r="U226" i="27"/>
  <c r="W230" i="27"/>
  <c r="U230" i="27"/>
  <c r="W242" i="27"/>
  <c r="U242" i="27"/>
  <c r="W246" i="27"/>
  <c r="U246" i="27"/>
  <c r="W258" i="27"/>
  <c r="U258" i="27"/>
  <c r="W262" i="27"/>
  <c r="U262" i="27"/>
  <c r="W274" i="27"/>
  <c r="U274" i="27"/>
  <c r="W278" i="27"/>
  <c r="U278" i="27"/>
  <c r="W290" i="27"/>
  <c r="U290" i="27"/>
  <c r="W294" i="27"/>
  <c r="U294" i="27"/>
  <c r="W306" i="27"/>
  <c r="U306" i="27"/>
  <c r="W310" i="27"/>
  <c r="U310" i="27"/>
  <c r="W318" i="27"/>
  <c r="U318" i="27"/>
  <c r="W326" i="27"/>
  <c r="U326" i="27"/>
  <c r="W334" i="27"/>
  <c r="U334" i="27"/>
  <c r="W342" i="27"/>
  <c r="U342" i="27"/>
  <c r="W3" i="27"/>
  <c r="U3" i="27"/>
  <c r="W7" i="27"/>
  <c r="U7" i="27"/>
  <c r="W11" i="27"/>
  <c r="U11" i="27"/>
  <c r="W15" i="27"/>
  <c r="U15" i="27"/>
  <c r="W23" i="27"/>
  <c r="U23" i="27"/>
  <c r="W27" i="27"/>
  <c r="U27" i="27"/>
  <c r="W31" i="27"/>
  <c r="U31" i="27"/>
  <c r="W35" i="27"/>
  <c r="U35" i="27"/>
  <c r="W42" i="27"/>
  <c r="U42" i="27"/>
  <c r="W58" i="27"/>
  <c r="U58" i="27"/>
  <c r="W74" i="27"/>
  <c r="U74" i="27"/>
  <c r="W90" i="27"/>
  <c r="U90" i="27"/>
  <c r="W106" i="27"/>
  <c r="U106" i="27"/>
  <c r="W122" i="27"/>
  <c r="U122" i="27"/>
  <c r="W138" i="27"/>
  <c r="U138" i="27"/>
  <c r="W154" i="27"/>
  <c r="U154" i="27"/>
  <c r="W170" i="27"/>
  <c r="U170" i="27"/>
  <c r="W186" i="27"/>
  <c r="U186" i="27"/>
  <c r="W202" i="27"/>
  <c r="U202" i="27"/>
  <c r="W234" i="27"/>
  <c r="U234" i="27"/>
  <c r="W250" i="27"/>
  <c r="U250" i="27"/>
  <c r="W266" i="27"/>
  <c r="U266" i="27"/>
  <c r="W282" i="27"/>
  <c r="U282" i="27"/>
  <c r="W298" i="27"/>
  <c r="U298" i="27"/>
  <c r="W314" i="27"/>
  <c r="U314" i="27"/>
  <c r="W322" i="27"/>
  <c r="U322" i="27"/>
  <c r="W330" i="27"/>
  <c r="U330" i="27"/>
  <c r="W338" i="27"/>
  <c r="U338" i="27"/>
  <c r="U39" i="27"/>
  <c r="U47" i="27"/>
  <c r="U55" i="27"/>
  <c r="U63" i="27"/>
  <c r="U71" i="27"/>
  <c r="U79" i="27"/>
  <c r="U87" i="27"/>
  <c r="U95" i="27"/>
  <c r="U103" i="27"/>
  <c r="U111" i="27"/>
  <c r="U119" i="27"/>
  <c r="U127" i="27"/>
  <c r="U135" i="27"/>
  <c r="U143" i="27"/>
  <c r="U151" i="27"/>
  <c r="U159" i="27"/>
  <c r="U167" i="27"/>
  <c r="U175" i="27"/>
  <c r="U183" i="27"/>
  <c r="U191" i="27"/>
  <c r="U199" i="27"/>
  <c r="U207" i="27"/>
  <c r="U215" i="27"/>
  <c r="U223" i="27"/>
  <c r="U231" i="27"/>
  <c r="U239" i="27"/>
  <c r="U247" i="27"/>
  <c r="U255" i="27"/>
  <c r="U263" i="27"/>
  <c r="U271" i="27"/>
  <c r="U279" i="27"/>
  <c r="U295" i="27"/>
  <c r="U303" i="27"/>
  <c r="U311" i="27"/>
  <c r="U319" i="27"/>
  <c r="U327" i="27"/>
  <c r="U335" i="27"/>
  <c r="U343" i="27"/>
  <c r="U9" i="27"/>
  <c r="U17" i="27"/>
  <c r="U25" i="27"/>
  <c r="U33" i="27"/>
  <c r="U41" i="27"/>
  <c r="U57" i="27"/>
  <c r="U73" i="27"/>
  <c r="U89" i="27"/>
  <c r="U105" i="27"/>
  <c r="U121" i="27"/>
  <c r="U137" i="27"/>
  <c r="U153" i="27"/>
  <c r="U169" i="27"/>
  <c r="U185" i="27"/>
  <c r="U201" i="27"/>
  <c r="U233" i="27"/>
  <c r="U249" i="27"/>
  <c r="U265" i="27"/>
  <c r="U281" i="27"/>
  <c r="U297" i="27"/>
  <c r="U313" i="27"/>
  <c r="U321" i="27"/>
  <c r="U329" i="27"/>
  <c r="U337" i="27"/>
  <c r="W218" i="27"/>
  <c r="U218" i="27"/>
  <c r="U43" i="27"/>
  <c r="U51" i="27"/>
  <c r="U59" i="27"/>
  <c r="U67" i="27"/>
  <c r="U75" i="27"/>
  <c r="U83" i="27"/>
  <c r="U91" i="27"/>
  <c r="U99" i="27"/>
  <c r="U107" i="27"/>
  <c r="U115" i="27"/>
  <c r="U123" i="27"/>
  <c r="U131" i="27"/>
  <c r="U139" i="27"/>
  <c r="U147" i="27"/>
  <c r="U155" i="27"/>
  <c r="U163" i="27"/>
  <c r="U171" i="27"/>
  <c r="U179" i="27"/>
  <c r="U187" i="27"/>
  <c r="U195" i="27"/>
  <c r="U203" i="27"/>
  <c r="U211" i="27"/>
  <c r="U219" i="27"/>
  <c r="U227" i="27"/>
  <c r="U235" i="27"/>
  <c r="U243" i="27"/>
  <c r="U251" i="27"/>
  <c r="U259" i="27"/>
  <c r="U267" i="27"/>
  <c r="U275" i="27"/>
  <c r="U283" i="27"/>
  <c r="U291" i="27"/>
  <c r="U299" i="27"/>
  <c r="U307" i="27"/>
  <c r="U323" i="27"/>
  <c r="U331" i="27"/>
  <c r="U339" i="27"/>
  <c r="W46" i="27"/>
  <c r="U46" i="27"/>
  <c r="W62" i="27"/>
  <c r="U62" i="27"/>
  <c r="W78" i="27"/>
  <c r="U78" i="27"/>
  <c r="W94" i="27"/>
  <c r="U94" i="27"/>
  <c r="W110" i="27"/>
  <c r="U110" i="27"/>
  <c r="W126" i="27"/>
  <c r="U126" i="27"/>
  <c r="W142" i="27"/>
  <c r="U142" i="27"/>
  <c r="W158" i="27"/>
  <c r="U158" i="27"/>
  <c r="W174" i="27"/>
  <c r="U174" i="27"/>
  <c r="W190" i="27"/>
  <c r="U190" i="27"/>
  <c r="W206" i="27"/>
  <c r="U206" i="27"/>
  <c r="W222" i="27"/>
  <c r="U222" i="27"/>
  <c r="W238" i="27"/>
  <c r="U238" i="27"/>
  <c r="W254" i="27"/>
  <c r="U254" i="27"/>
  <c r="W270" i="27"/>
  <c r="U270" i="27"/>
  <c r="W286" i="27"/>
  <c r="U286" i="27"/>
  <c r="W302" i="27"/>
  <c r="U302" i="27"/>
  <c r="U5" i="27"/>
  <c r="U13" i="27"/>
  <c r="U21" i="27"/>
  <c r="U29" i="27"/>
  <c r="U37" i="27"/>
  <c r="U53" i="27"/>
  <c r="U69" i="27"/>
  <c r="U85" i="27"/>
  <c r="U101" i="27"/>
  <c r="U117" i="27"/>
  <c r="U133" i="27"/>
  <c r="U149" i="27"/>
  <c r="U165" i="27"/>
  <c r="U197" i="27"/>
  <c r="U213" i="27"/>
  <c r="U229" i="27"/>
  <c r="U245" i="27"/>
  <c r="U261" i="27"/>
  <c r="U277" i="27"/>
  <c r="U293" i="27"/>
  <c r="U309" i="27"/>
  <c r="M23" i="4" l="1"/>
  <c r="K23" i="4"/>
  <c r="K24" i="4"/>
  <c r="L23" i="4"/>
  <c r="K39" i="4"/>
  <c r="K40" i="4"/>
  <c r="K11" i="1"/>
  <c r="J11" i="1" s="1"/>
  <c r="G18" i="28" l="1"/>
  <c r="H18" i="28"/>
  <c r="K26" i="4"/>
  <c r="K38" i="4" l="1"/>
  <c r="C72" i="1" l="1"/>
  <c r="C73" i="1"/>
  <c r="G73" i="1"/>
  <c r="J9" i="1" l="1"/>
  <c r="G71" i="1" l="1"/>
  <c r="G72" i="1" l="1"/>
  <c r="G24" i="1" l="1"/>
  <c r="G8" i="1"/>
  <c r="G15" i="1"/>
  <c r="G74" i="1" l="1"/>
  <c r="J15" i="1" l="1"/>
  <c r="T4" i="4"/>
  <c r="F3" i="3"/>
  <c r="G3" i="3"/>
  <c r="W10" i="3"/>
  <c r="Z54" i="3"/>
  <c r="W9" i="3"/>
  <c r="W8" i="3"/>
  <c r="W7" i="3"/>
  <c r="J7" i="1"/>
  <c r="J10" i="1"/>
  <c r="J5" i="1"/>
  <c r="J3" i="1" s="1"/>
  <c r="J8" i="1"/>
  <c r="J4" i="1"/>
  <c r="J2" i="1"/>
  <c r="T344" i="21"/>
  <c r="T343" i="21"/>
  <c r="T342" i="21"/>
  <c r="T341" i="21"/>
  <c r="T340" i="21"/>
  <c r="T339" i="21"/>
  <c r="T338" i="21"/>
  <c r="T337" i="21"/>
  <c r="T336" i="21"/>
  <c r="T335" i="21"/>
  <c r="T334" i="21"/>
  <c r="T333" i="21"/>
  <c r="T332" i="21"/>
  <c r="T331" i="21"/>
  <c r="T330" i="21"/>
  <c r="T329" i="21"/>
  <c r="T328" i="21"/>
  <c r="T327" i="21"/>
  <c r="T326" i="21"/>
  <c r="T325" i="21"/>
  <c r="T324" i="21"/>
  <c r="T323" i="21"/>
  <c r="T322" i="21"/>
  <c r="T321" i="21"/>
  <c r="T349" i="21"/>
  <c r="T320" i="21"/>
  <c r="T319" i="21"/>
  <c r="T318" i="21"/>
  <c r="T317" i="21"/>
  <c r="T316" i="21"/>
  <c r="T315" i="21"/>
  <c r="T314" i="21"/>
  <c r="T313" i="21"/>
  <c r="T353" i="21"/>
  <c r="T312" i="21"/>
  <c r="T310" i="21"/>
  <c r="T309" i="21"/>
  <c r="T308" i="21"/>
  <c r="T307" i="21"/>
  <c r="T306" i="21"/>
  <c r="T305" i="21"/>
  <c r="T304" i="21"/>
  <c r="T303" i="21"/>
  <c r="T302" i="21"/>
  <c r="T300" i="21"/>
  <c r="T299" i="21"/>
  <c r="T298" i="21"/>
  <c r="T297" i="21"/>
  <c r="T296" i="21"/>
  <c r="T295" i="21"/>
  <c r="T294" i="21"/>
  <c r="T293" i="21"/>
  <c r="T292" i="21"/>
  <c r="T291" i="21"/>
  <c r="T290" i="21"/>
  <c r="T289" i="21"/>
  <c r="T288" i="21"/>
  <c r="T287" i="21"/>
  <c r="T286" i="21"/>
  <c r="T285" i="21"/>
  <c r="T284" i="21"/>
  <c r="T283" i="21"/>
  <c r="T281" i="21"/>
  <c r="T280" i="21"/>
  <c r="T279" i="21"/>
  <c r="T278" i="21"/>
  <c r="T277" i="21"/>
  <c r="T276" i="21"/>
  <c r="T275" i="21"/>
  <c r="T274" i="21"/>
  <c r="T273" i="21"/>
  <c r="T272" i="21"/>
  <c r="T271" i="21"/>
  <c r="T270" i="21"/>
  <c r="T269" i="21"/>
  <c r="T268" i="21"/>
  <c r="T267" i="21"/>
  <c r="T266" i="21"/>
  <c r="T265" i="21"/>
  <c r="T264" i="21"/>
  <c r="T263" i="21"/>
  <c r="T262" i="21"/>
  <c r="T261" i="21"/>
  <c r="T260" i="21"/>
  <c r="T259" i="21"/>
  <c r="T258" i="21"/>
  <c r="T257" i="21"/>
  <c r="T256" i="21"/>
  <c r="T255" i="21"/>
  <c r="T254" i="21"/>
  <c r="T253" i="21"/>
  <c r="T252" i="21"/>
  <c r="T251" i="21"/>
  <c r="T250" i="21"/>
  <c r="T249" i="21"/>
  <c r="T248" i="21"/>
  <c r="T247" i="21"/>
  <c r="T246" i="21"/>
  <c r="T245" i="21"/>
  <c r="T244" i="21"/>
  <c r="T243" i="21"/>
  <c r="T242" i="21"/>
  <c r="T241" i="21"/>
  <c r="T240" i="21"/>
  <c r="T239" i="21"/>
  <c r="T238" i="21"/>
  <c r="T237" i="21"/>
  <c r="T236" i="21"/>
  <c r="T235" i="21"/>
  <c r="T234" i="21"/>
  <c r="T233" i="21"/>
  <c r="T232" i="21"/>
  <c r="T231" i="21"/>
  <c r="T230" i="21"/>
  <c r="T229" i="21"/>
  <c r="T228" i="21"/>
  <c r="T227" i="21"/>
  <c r="T226" i="21"/>
  <c r="T225" i="21"/>
  <c r="T224" i="21"/>
  <c r="T223" i="21"/>
  <c r="T222" i="21"/>
  <c r="T221" i="21"/>
  <c r="T220" i="21"/>
  <c r="T219" i="21"/>
  <c r="T218" i="21"/>
  <c r="T217" i="21"/>
  <c r="T216" i="21"/>
  <c r="T215" i="21"/>
  <c r="T214" i="21"/>
  <c r="T213" i="21"/>
  <c r="T211" i="21"/>
  <c r="T210" i="21"/>
  <c r="T209" i="21"/>
  <c r="T208" i="21"/>
  <c r="T207" i="21"/>
  <c r="T206" i="21"/>
  <c r="T205" i="21"/>
  <c r="T204" i="21"/>
  <c r="T203" i="21"/>
  <c r="T202" i="21"/>
  <c r="T201" i="21"/>
  <c r="T200" i="21"/>
  <c r="T199" i="21"/>
  <c r="T198" i="21"/>
  <c r="T197" i="21"/>
  <c r="T196" i="21"/>
  <c r="T195" i="21"/>
  <c r="T194" i="21"/>
  <c r="T193" i="21"/>
  <c r="T192" i="21"/>
  <c r="T191" i="21"/>
  <c r="T190" i="21"/>
  <c r="T189" i="21"/>
  <c r="T188" i="21"/>
  <c r="T187" i="21"/>
  <c r="T186" i="21"/>
  <c r="T185" i="21"/>
  <c r="T184" i="21"/>
  <c r="T183" i="21"/>
  <c r="T182" i="21"/>
  <c r="T181" i="21"/>
  <c r="T180" i="21"/>
  <c r="T179" i="21"/>
  <c r="T178" i="21"/>
  <c r="T177" i="21"/>
  <c r="T176" i="21"/>
  <c r="T175" i="21"/>
  <c r="T174" i="21"/>
  <c r="T173" i="21"/>
  <c r="T172" i="21"/>
  <c r="T171" i="21"/>
  <c r="T170" i="21"/>
  <c r="T169" i="21"/>
  <c r="T168" i="21"/>
  <c r="T167" i="21"/>
  <c r="T166" i="21"/>
  <c r="T165" i="21"/>
  <c r="T164" i="21"/>
  <c r="T163" i="21"/>
  <c r="T162" i="21"/>
  <c r="T161" i="21"/>
  <c r="T160" i="21"/>
  <c r="T159" i="21"/>
  <c r="T158" i="21"/>
  <c r="T157" i="21"/>
  <c r="T156" i="21"/>
  <c r="T155" i="21"/>
  <c r="T154" i="21"/>
  <c r="T153" i="21"/>
  <c r="T152" i="21"/>
  <c r="T151" i="21"/>
  <c r="T150" i="21"/>
  <c r="T149" i="21"/>
  <c r="T148" i="21"/>
  <c r="T147" i="21"/>
  <c r="T146" i="21"/>
  <c r="T145" i="21"/>
  <c r="T144" i="21"/>
  <c r="T143" i="21"/>
  <c r="T142" i="21"/>
  <c r="T141" i="21"/>
  <c r="T140" i="21"/>
  <c r="T139" i="21"/>
  <c r="T138" i="21"/>
  <c r="T137" i="21"/>
  <c r="T136" i="21"/>
  <c r="T135" i="21"/>
  <c r="T134" i="21"/>
  <c r="T133" i="21"/>
  <c r="T132" i="21"/>
  <c r="T131" i="21"/>
  <c r="T130" i="21"/>
  <c r="T129" i="21"/>
  <c r="T128" i="21"/>
  <c r="T127" i="21"/>
  <c r="T348" i="21"/>
  <c r="T126" i="21"/>
  <c r="T125" i="21"/>
  <c r="T124" i="21"/>
  <c r="T123" i="21"/>
  <c r="T122" i="21"/>
  <c r="T121" i="21"/>
  <c r="T120" i="21"/>
  <c r="T119" i="21"/>
  <c r="T118" i="21"/>
  <c r="T117" i="21"/>
  <c r="T116" i="21"/>
  <c r="T115" i="21"/>
  <c r="T114" i="21"/>
  <c r="T113" i="21"/>
  <c r="T112" i="21"/>
  <c r="T111" i="21"/>
  <c r="T110" i="21"/>
  <c r="T109" i="21"/>
  <c r="T108" i="21"/>
  <c r="T107" i="21"/>
  <c r="T106" i="21"/>
  <c r="T105" i="21"/>
  <c r="T104" i="21"/>
  <c r="T103" i="21"/>
  <c r="T102" i="21"/>
  <c r="T101" i="21"/>
  <c r="T100" i="21"/>
  <c r="T99" i="21"/>
  <c r="T98" i="21"/>
  <c r="T97" i="21"/>
  <c r="T96" i="21"/>
  <c r="T95" i="21"/>
  <c r="T94" i="21"/>
  <c r="T93" i="21"/>
  <c r="T92" i="21"/>
  <c r="T91" i="21"/>
  <c r="T90" i="21"/>
  <c r="T89" i="21"/>
  <c r="T87" i="21"/>
  <c r="T86" i="21"/>
  <c r="T85" i="21"/>
  <c r="T84" i="21"/>
  <c r="T83" i="21"/>
  <c r="T82" i="21"/>
  <c r="T81" i="21"/>
  <c r="T80" i="21"/>
  <c r="T79" i="21"/>
  <c r="T78" i="21"/>
  <c r="T77" i="21"/>
  <c r="T76" i="21"/>
  <c r="T75" i="21"/>
  <c r="T74" i="21"/>
  <c r="T73" i="21"/>
  <c r="T72" i="21"/>
  <c r="U72" i="21" s="1"/>
  <c r="T71" i="21"/>
  <c r="T70" i="21"/>
  <c r="T69" i="21"/>
  <c r="T68" i="21"/>
  <c r="T67" i="21"/>
  <c r="T66" i="21"/>
  <c r="T65" i="21"/>
  <c r="T64" i="21"/>
  <c r="T63" i="21"/>
  <c r="T62" i="21"/>
  <c r="T61" i="21"/>
  <c r="T60" i="21"/>
  <c r="T59" i="21"/>
  <c r="T58" i="21"/>
  <c r="T57" i="21"/>
  <c r="T56" i="21"/>
  <c r="T55" i="21"/>
  <c r="T54" i="21"/>
  <c r="T53" i="21"/>
  <c r="T52" i="21"/>
  <c r="T51" i="21"/>
  <c r="T50" i="21"/>
  <c r="T49" i="21"/>
  <c r="T48" i="21"/>
  <c r="T47" i="21"/>
  <c r="T46" i="21"/>
  <c r="T45" i="21"/>
  <c r="T44" i="21"/>
  <c r="T43" i="21"/>
  <c r="T42" i="21"/>
  <c r="T41" i="21"/>
  <c r="T40" i="21"/>
  <c r="T39" i="21"/>
  <c r="T38" i="21"/>
  <c r="T37" i="21"/>
  <c r="T36" i="21"/>
  <c r="T35" i="21"/>
  <c r="T34" i="21"/>
  <c r="T33" i="21"/>
  <c r="T32" i="21"/>
  <c r="T31" i="21"/>
  <c r="T30" i="21"/>
  <c r="T29" i="21"/>
  <c r="T28" i="21"/>
  <c r="T27" i="21"/>
  <c r="T26" i="21"/>
  <c r="T25" i="21"/>
  <c r="T24" i="21"/>
  <c r="T23" i="21"/>
  <c r="T22" i="21"/>
  <c r="T21" i="21"/>
  <c r="T20" i="21"/>
  <c r="T19" i="21"/>
  <c r="T18" i="21"/>
  <c r="T16" i="21"/>
  <c r="T15" i="21"/>
  <c r="T14" i="21"/>
  <c r="T13" i="21"/>
  <c r="T12" i="21"/>
  <c r="T11" i="21"/>
  <c r="T10" i="21"/>
  <c r="T9" i="21"/>
  <c r="T2" i="21"/>
  <c r="T8" i="21"/>
  <c r="T7" i="21"/>
  <c r="T6" i="21"/>
  <c r="T5" i="21"/>
  <c r="T4" i="21"/>
  <c r="T3" i="21"/>
  <c r="AO344" i="7"/>
  <c r="AP344" i="7"/>
  <c r="E3" i="3"/>
  <c r="G19" i="6"/>
  <c r="Z63" i="3"/>
  <c r="Z62" i="3"/>
  <c r="Z61" i="3"/>
  <c r="Z60" i="3"/>
  <c r="Z59" i="3"/>
  <c r="Z58" i="3"/>
  <c r="Z57" i="3"/>
  <c r="Z56" i="3"/>
  <c r="Z55" i="3"/>
  <c r="W5" i="3"/>
  <c r="W3" i="3" s="1"/>
  <c r="W4" i="3"/>
  <c r="Y3" i="3"/>
  <c r="Y4" i="3" s="1"/>
  <c r="Y5" i="3" s="1"/>
  <c r="Y6" i="3" s="1"/>
  <c r="Y7" i="3" s="1"/>
  <c r="Y8" i="3" s="1"/>
  <c r="Y9" i="3" s="1"/>
  <c r="Y10" i="3" s="1"/>
  <c r="Y11" i="3" s="1"/>
  <c r="Y12" i="3" s="1"/>
  <c r="Y13" i="3" s="1"/>
  <c r="Y14" i="3" s="1"/>
  <c r="Y15" i="3" s="1"/>
  <c r="Y16" i="3" s="1"/>
  <c r="Y17" i="3" s="1"/>
  <c r="Y18" i="3" s="1"/>
  <c r="Y19" i="3" s="1"/>
  <c r="Y20" i="3" s="1"/>
  <c r="Y21" i="3" s="1"/>
  <c r="Y22" i="3" s="1"/>
  <c r="Y23" i="3" s="1"/>
  <c r="Y24" i="3" s="1"/>
  <c r="Y25" i="3" s="1"/>
  <c r="W2" i="3"/>
  <c r="X2" i="3" s="1"/>
  <c r="B2" i="6"/>
  <c r="F4" i="6"/>
  <c r="AC19" i="4"/>
  <c r="X24" i="3" s="1"/>
  <c r="AC14" i="4"/>
  <c r="AC13" i="4"/>
  <c r="AC12" i="4"/>
  <c r="AC10" i="4"/>
  <c r="X20" i="3" s="1"/>
  <c r="AC9" i="4"/>
  <c r="AC8" i="4"/>
  <c r="X16" i="3"/>
  <c r="AC7" i="4"/>
  <c r="X15" i="3"/>
  <c r="AC6" i="4"/>
  <c r="AC5" i="4"/>
  <c r="AC4" i="4"/>
  <c r="N3" i="1"/>
  <c r="AC3" i="4"/>
  <c r="N2" i="1"/>
  <c r="D3" i="3"/>
  <c r="C8" i="6"/>
  <c r="Y26" i="3" l="1"/>
  <c r="Y27" i="3" s="1"/>
  <c r="Y28" i="3" s="1"/>
  <c r="Y54" i="3" s="1"/>
  <c r="Y55" i="3" s="1"/>
  <c r="Y56" i="3" s="1"/>
  <c r="Y57" i="3" s="1"/>
  <c r="Y58" i="3" s="1"/>
  <c r="Y59" i="3" s="1"/>
  <c r="Y60" i="3" s="1"/>
  <c r="Y61" i="3" s="1"/>
  <c r="Y62" i="3" s="1"/>
  <c r="Y63" i="3" s="1"/>
  <c r="U22" i="21"/>
  <c r="X22" i="21" s="1"/>
  <c r="U103" i="21"/>
  <c r="X103" i="21" s="1"/>
  <c r="U223" i="21"/>
  <c r="X223" i="21" s="1"/>
  <c r="U239" i="21"/>
  <c r="X239" i="21" s="1"/>
  <c r="U255" i="21"/>
  <c r="X255" i="21" s="1"/>
  <c r="U263" i="21"/>
  <c r="X263" i="21" s="1"/>
  <c r="U271" i="21"/>
  <c r="X271" i="21" s="1"/>
  <c r="U279" i="21"/>
  <c r="X279" i="21" s="1"/>
  <c r="U288" i="21"/>
  <c r="X288" i="21" s="1"/>
  <c r="U296" i="21"/>
  <c r="X296" i="21" s="1"/>
  <c r="U305" i="21"/>
  <c r="X305" i="21" s="1"/>
  <c r="U313" i="21"/>
  <c r="X313" i="21" s="1"/>
  <c r="U349" i="21"/>
  <c r="X349" i="21" s="1"/>
  <c r="U328" i="21"/>
  <c r="X328" i="21" s="1"/>
  <c r="U336" i="21"/>
  <c r="X336" i="21" s="1"/>
  <c r="U344" i="21"/>
  <c r="X344" i="21" s="1"/>
  <c r="U8" i="21"/>
  <c r="X8" i="21" s="1"/>
  <c r="U15" i="21"/>
  <c r="X15" i="21" s="1"/>
  <c r="U23" i="21"/>
  <c r="X23" i="21" s="1"/>
  <c r="U31" i="21"/>
  <c r="X31" i="21" s="1"/>
  <c r="U39" i="21"/>
  <c r="X39" i="21" s="1"/>
  <c r="U47" i="21"/>
  <c r="X47" i="21" s="1"/>
  <c r="U55" i="21"/>
  <c r="X55" i="21" s="1"/>
  <c r="X63" i="21"/>
  <c r="U63" i="21"/>
  <c r="U71" i="21"/>
  <c r="X71" i="21" s="1"/>
  <c r="U79" i="21"/>
  <c r="X79" i="21" s="1"/>
  <c r="U87" i="21"/>
  <c r="X87" i="21" s="1"/>
  <c r="U96" i="21"/>
  <c r="X96" i="21" s="1"/>
  <c r="U104" i="21"/>
  <c r="X104" i="21" s="1"/>
  <c r="U112" i="21"/>
  <c r="X112" i="21" s="1"/>
  <c r="U120" i="21"/>
  <c r="X120" i="21" s="1"/>
  <c r="U127" i="21"/>
  <c r="X127" i="21" s="1"/>
  <c r="U135" i="21"/>
  <c r="X135" i="21" s="1"/>
  <c r="U143" i="21"/>
  <c r="X143" i="21" s="1"/>
  <c r="U151" i="21"/>
  <c r="X151" i="21" s="1"/>
  <c r="U159" i="21"/>
  <c r="V159" i="21" s="1"/>
  <c r="U167" i="21"/>
  <c r="X167" i="21" s="1"/>
  <c r="U175" i="21"/>
  <c r="X175" i="21" s="1"/>
  <c r="U183" i="21"/>
  <c r="X183" i="21" s="1"/>
  <c r="U191" i="21"/>
  <c r="X191" i="21" s="1"/>
  <c r="U199" i="21"/>
  <c r="X199" i="21" s="1"/>
  <c r="U207" i="21"/>
  <c r="X207" i="21" s="1"/>
  <c r="U216" i="21"/>
  <c r="X216" i="21" s="1"/>
  <c r="U224" i="21"/>
  <c r="X224" i="21" s="1"/>
  <c r="U232" i="21"/>
  <c r="X232" i="21" s="1"/>
  <c r="U240" i="21"/>
  <c r="X240" i="21" s="1"/>
  <c r="U248" i="21"/>
  <c r="X248" i="21" s="1"/>
  <c r="U256" i="21"/>
  <c r="X256" i="21" s="1"/>
  <c r="U264" i="21"/>
  <c r="X264" i="21" s="1"/>
  <c r="U272" i="21"/>
  <c r="X272" i="21" s="1"/>
  <c r="U280" i="21"/>
  <c r="X280" i="21" s="1"/>
  <c r="U289" i="21"/>
  <c r="X289" i="21" s="1"/>
  <c r="U297" i="21"/>
  <c r="X297" i="21" s="1"/>
  <c r="U306" i="21"/>
  <c r="X306" i="21" s="1"/>
  <c r="U314" i="21"/>
  <c r="X314" i="21" s="1"/>
  <c r="U321" i="21"/>
  <c r="X321" i="21" s="1"/>
  <c r="U329" i="21"/>
  <c r="X329" i="21" s="1"/>
  <c r="U337" i="21"/>
  <c r="X337" i="21" s="1"/>
  <c r="U40" i="21"/>
  <c r="X40" i="21" s="1"/>
  <c r="U48" i="21"/>
  <c r="X48" i="21" s="1"/>
  <c r="U56" i="21"/>
  <c r="X56" i="21" s="1"/>
  <c r="U64" i="21"/>
  <c r="X64" i="21" s="1"/>
  <c r="U80" i="21"/>
  <c r="X80" i="21" s="1"/>
  <c r="U89" i="21"/>
  <c r="X89" i="21" s="1"/>
  <c r="U97" i="21"/>
  <c r="X97" i="21" s="1"/>
  <c r="U105" i="21"/>
  <c r="X105" i="21" s="1"/>
  <c r="U113" i="21"/>
  <c r="X113" i="21" s="1"/>
  <c r="U121" i="21"/>
  <c r="V121" i="21" s="1"/>
  <c r="U128" i="21"/>
  <c r="X128" i="21" s="1"/>
  <c r="U136" i="21"/>
  <c r="X136" i="21" s="1"/>
  <c r="U144" i="21"/>
  <c r="X144" i="21" s="1"/>
  <c r="U152" i="21"/>
  <c r="X152" i="21" s="1"/>
  <c r="U160" i="21"/>
  <c r="X160" i="21" s="1"/>
  <c r="U168" i="21"/>
  <c r="X168" i="21" s="1"/>
  <c r="U176" i="21"/>
  <c r="X176" i="21" s="1"/>
  <c r="U184" i="21"/>
  <c r="X184" i="21" s="1"/>
  <c r="U192" i="21"/>
  <c r="X192" i="21" s="1"/>
  <c r="U200" i="21"/>
  <c r="X200" i="21" s="1"/>
  <c r="U208" i="21"/>
  <c r="X208" i="21" s="1"/>
  <c r="U217" i="21"/>
  <c r="X217" i="21" s="1"/>
  <c r="U225" i="21"/>
  <c r="X225" i="21" s="1"/>
  <c r="U233" i="21"/>
  <c r="X233" i="21" s="1"/>
  <c r="U241" i="21"/>
  <c r="X241" i="21" s="1"/>
  <c r="U249" i="21"/>
  <c r="V249" i="21" s="1"/>
  <c r="U257" i="21"/>
  <c r="X257" i="21" s="1"/>
  <c r="U265" i="21"/>
  <c r="X265" i="21" s="1"/>
  <c r="U273" i="21"/>
  <c r="X273" i="21" s="1"/>
  <c r="U281" i="21"/>
  <c r="X281" i="21" s="1"/>
  <c r="U290" i="21"/>
  <c r="X290" i="21" s="1"/>
  <c r="U298" i="21"/>
  <c r="X298" i="21" s="1"/>
  <c r="U307" i="21"/>
  <c r="X307" i="21" s="1"/>
  <c r="U315" i="21"/>
  <c r="X315" i="21" s="1"/>
  <c r="U322" i="21"/>
  <c r="X322" i="21" s="1"/>
  <c r="U330" i="21"/>
  <c r="X330" i="21" s="1"/>
  <c r="U338" i="21"/>
  <c r="X338" i="21" s="1"/>
  <c r="U46" i="21"/>
  <c r="X46" i="21" s="1"/>
  <c r="U86" i="21"/>
  <c r="X86" i="21" s="1"/>
  <c r="U111" i="21"/>
  <c r="X111" i="21" s="1"/>
  <c r="U142" i="21"/>
  <c r="X142" i="21" s="1"/>
  <c r="U166" i="21"/>
  <c r="V166" i="21" s="1"/>
  <c r="U198" i="21"/>
  <c r="X198" i="21" s="1"/>
  <c r="U247" i="21"/>
  <c r="X247" i="21" s="1"/>
  <c r="U32" i="21"/>
  <c r="X32" i="21" s="1"/>
  <c r="U9" i="21"/>
  <c r="X9" i="21" s="1"/>
  <c r="U33" i="21"/>
  <c r="X33" i="21" s="1"/>
  <c r="U98" i="21"/>
  <c r="X98" i="21" s="1"/>
  <c r="U153" i="21"/>
  <c r="X153" i="21" s="1"/>
  <c r="U177" i="21"/>
  <c r="X177" i="21" s="1"/>
  <c r="U193" i="21"/>
  <c r="X193" i="21" s="1"/>
  <c r="U226" i="21"/>
  <c r="X226" i="21" s="1"/>
  <c r="U242" i="21"/>
  <c r="X242" i="21" s="1"/>
  <c r="U258" i="21"/>
  <c r="X258" i="21" s="1"/>
  <c r="U299" i="21"/>
  <c r="X299" i="21" s="1"/>
  <c r="U308" i="21"/>
  <c r="X308" i="21" s="1"/>
  <c r="U323" i="21"/>
  <c r="X323" i="21" s="1"/>
  <c r="U331" i="21"/>
  <c r="X331" i="21" s="1"/>
  <c r="U339" i="21"/>
  <c r="X339" i="21" s="1"/>
  <c r="U70" i="21"/>
  <c r="X70" i="21" s="1"/>
  <c r="U348" i="21"/>
  <c r="X348" i="21" s="1"/>
  <c r="U158" i="21"/>
  <c r="V158" i="21" s="1"/>
  <c r="U206" i="21"/>
  <c r="X206" i="21" s="1"/>
  <c r="U2" i="21"/>
  <c r="X2" i="21" s="1"/>
  <c r="U25" i="21"/>
  <c r="U49" i="21"/>
  <c r="X49" i="21" s="1"/>
  <c r="U81" i="21"/>
  <c r="X81" i="21" s="1"/>
  <c r="U129" i="21"/>
  <c r="X129" i="21" s="1"/>
  <c r="U137" i="21"/>
  <c r="X137" i="21" s="1"/>
  <c r="U201" i="21"/>
  <c r="X201" i="21" s="1"/>
  <c r="U234" i="21"/>
  <c r="X234" i="21" s="1"/>
  <c r="U266" i="21"/>
  <c r="X266" i="21" s="1"/>
  <c r="U316" i="21"/>
  <c r="X316" i="21" s="1"/>
  <c r="U3" i="21"/>
  <c r="V3" i="21" s="1"/>
  <c r="U10" i="21"/>
  <c r="X10" i="21" s="1"/>
  <c r="U18" i="21"/>
  <c r="X18" i="21" s="1"/>
  <c r="U26" i="21"/>
  <c r="X26" i="21" s="1"/>
  <c r="U34" i="21"/>
  <c r="X34" i="21" s="1"/>
  <c r="U42" i="21"/>
  <c r="X42" i="21" s="1"/>
  <c r="U50" i="21"/>
  <c r="X50" i="21" s="1"/>
  <c r="U58" i="21"/>
  <c r="X58" i="21" s="1"/>
  <c r="U66" i="21"/>
  <c r="X66" i="21" s="1"/>
  <c r="U74" i="21"/>
  <c r="X74" i="21" s="1"/>
  <c r="U82" i="21"/>
  <c r="X82" i="21" s="1"/>
  <c r="U91" i="21"/>
  <c r="X91" i="21" s="1"/>
  <c r="U99" i="21"/>
  <c r="V99" i="21" s="1"/>
  <c r="U107" i="21"/>
  <c r="X107" i="21" s="1"/>
  <c r="U115" i="21"/>
  <c r="X115" i="21" s="1"/>
  <c r="U123" i="21"/>
  <c r="X123" i="21" s="1"/>
  <c r="U130" i="21"/>
  <c r="X130" i="21" s="1"/>
  <c r="U138" i="21"/>
  <c r="X138" i="21" s="1"/>
  <c r="U146" i="21"/>
  <c r="X146" i="21" s="1"/>
  <c r="U154" i="21"/>
  <c r="X154" i="21" s="1"/>
  <c r="U162" i="21"/>
  <c r="X162" i="21" s="1"/>
  <c r="U170" i="21"/>
  <c r="X170" i="21" s="1"/>
  <c r="U178" i="21"/>
  <c r="X178" i="21" s="1"/>
  <c r="U186" i="21"/>
  <c r="X186" i="21" s="1"/>
  <c r="U194" i="21"/>
  <c r="X194" i="21" s="1"/>
  <c r="U202" i="21"/>
  <c r="X202" i="21" s="1"/>
  <c r="U210" i="21"/>
  <c r="X210" i="21" s="1"/>
  <c r="U219" i="21"/>
  <c r="X219" i="21" s="1"/>
  <c r="U227" i="21"/>
  <c r="X227" i="21" s="1"/>
  <c r="U235" i="21"/>
  <c r="X235" i="21" s="1"/>
  <c r="U243" i="21"/>
  <c r="X243" i="21" s="1"/>
  <c r="U251" i="21"/>
  <c r="X251" i="21" s="1"/>
  <c r="U259" i="21"/>
  <c r="V259" i="21" s="1"/>
  <c r="U267" i="21"/>
  <c r="X267" i="21" s="1"/>
  <c r="U275" i="21"/>
  <c r="X275" i="21" s="1"/>
  <c r="U284" i="21"/>
  <c r="X284" i="21" s="1"/>
  <c r="U292" i="21"/>
  <c r="X292" i="21" s="1"/>
  <c r="U300" i="21"/>
  <c r="X300" i="21" s="1"/>
  <c r="U309" i="21"/>
  <c r="X309" i="21" s="1"/>
  <c r="U317" i="21"/>
  <c r="X317" i="21" s="1"/>
  <c r="U324" i="21"/>
  <c r="X324" i="21" s="1"/>
  <c r="U332" i="21"/>
  <c r="X332" i="21" s="1"/>
  <c r="U340" i="21"/>
  <c r="X340" i="21" s="1"/>
  <c r="U14" i="21"/>
  <c r="X14" i="21" s="1"/>
  <c r="U30" i="21"/>
  <c r="V30" i="21" s="1"/>
  <c r="U54" i="21"/>
  <c r="X54" i="21" s="1"/>
  <c r="U134" i="21"/>
  <c r="X134" i="21" s="1"/>
  <c r="U174" i="21"/>
  <c r="X174" i="21" s="1"/>
  <c r="U231" i="21"/>
  <c r="V231" i="21" s="1"/>
  <c r="U16" i="21"/>
  <c r="X16" i="21" s="1"/>
  <c r="U65" i="21"/>
  <c r="X65" i="21" s="1"/>
  <c r="U122" i="21"/>
  <c r="X122" i="21" s="1"/>
  <c r="U161" i="21"/>
  <c r="X161" i="21" s="1"/>
  <c r="U185" i="21"/>
  <c r="X185" i="21" s="1"/>
  <c r="U218" i="21"/>
  <c r="X218" i="21" s="1"/>
  <c r="U250" i="21"/>
  <c r="X250" i="21" s="1"/>
  <c r="U274" i="21"/>
  <c r="X274" i="21" s="1"/>
  <c r="U4" i="21"/>
  <c r="X4" i="21" s="1"/>
  <c r="U11" i="21"/>
  <c r="X11" i="21" s="1"/>
  <c r="U19" i="21"/>
  <c r="X19" i="21" s="1"/>
  <c r="U27" i="21"/>
  <c r="X27" i="21" s="1"/>
  <c r="U35" i="21"/>
  <c r="X35" i="21" s="1"/>
  <c r="U43" i="21"/>
  <c r="X43" i="21" s="1"/>
  <c r="U51" i="21"/>
  <c r="X51" i="21" s="1"/>
  <c r="U59" i="21"/>
  <c r="X59" i="21" s="1"/>
  <c r="U67" i="21"/>
  <c r="X67" i="21" s="1"/>
  <c r="U75" i="21"/>
  <c r="X75" i="21" s="1"/>
  <c r="U83" i="21"/>
  <c r="X83" i="21" s="1"/>
  <c r="U92" i="21"/>
  <c r="X92" i="21" s="1"/>
  <c r="U100" i="21"/>
  <c r="X100" i="21" s="1"/>
  <c r="U108" i="21"/>
  <c r="X108" i="21" s="1"/>
  <c r="U116" i="21"/>
  <c r="X116" i="21" s="1"/>
  <c r="U124" i="21"/>
  <c r="X124" i="21" s="1"/>
  <c r="U131" i="21"/>
  <c r="X131" i="21" s="1"/>
  <c r="U139" i="21"/>
  <c r="X139" i="21" s="1"/>
  <c r="U147" i="21"/>
  <c r="X147" i="21" s="1"/>
  <c r="U155" i="21"/>
  <c r="V155" i="21" s="1"/>
  <c r="U163" i="21"/>
  <c r="X163" i="21" s="1"/>
  <c r="U171" i="21"/>
  <c r="X171" i="21" s="1"/>
  <c r="U179" i="21"/>
  <c r="X179" i="21" s="1"/>
  <c r="U187" i="21"/>
  <c r="X187" i="21" s="1"/>
  <c r="U195" i="21"/>
  <c r="X195" i="21" s="1"/>
  <c r="U203" i="21"/>
  <c r="X203" i="21" s="1"/>
  <c r="U211" i="21"/>
  <c r="X211" i="21" s="1"/>
  <c r="U220" i="21"/>
  <c r="X220" i="21" s="1"/>
  <c r="U228" i="21"/>
  <c r="X228" i="21" s="1"/>
  <c r="U236" i="21"/>
  <c r="X236" i="21" s="1"/>
  <c r="U244" i="21"/>
  <c r="X244" i="21" s="1"/>
  <c r="U252" i="21"/>
  <c r="X252" i="21" s="1"/>
  <c r="U260" i="21"/>
  <c r="X260" i="21" s="1"/>
  <c r="U268" i="21"/>
  <c r="X268" i="21" s="1"/>
  <c r="U276" i="21"/>
  <c r="X276" i="21" s="1"/>
  <c r="U285" i="21"/>
  <c r="X285" i="21" s="1"/>
  <c r="U293" i="21"/>
  <c r="X293" i="21" s="1"/>
  <c r="U302" i="21"/>
  <c r="X302" i="21" s="1"/>
  <c r="U310" i="21"/>
  <c r="X310" i="21" s="1"/>
  <c r="U318" i="21"/>
  <c r="V318" i="21" s="1"/>
  <c r="U325" i="21"/>
  <c r="X325" i="21" s="1"/>
  <c r="U333" i="21"/>
  <c r="X333" i="21" s="1"/>
  <c r="U341" i="21"/>
  <c r="X341" i="21" s="1"/>
  <c r="U62" i="21"/>
  <c r="X62" i="21" s="1"/>
  <c r="U78" i="21"/>
  <c r="X78" i="21" s="1"/>
  <c r="U95" i="21"/>
  <c r="X95" i="21" s="1"/>
  <c r="U119" i="21"/>
  <c r="X119" i="21" s="1"/>
  <c r="U182" i="21"/>
  <c r="X182" i="21" s="1"/>
  <c r="U24" i="21"/>
  <c r="X24" i="21" s="1"/>
  <c r="U57" i="21"/>
  <c r="X57" i="21" s="1"/>
  <c r="U106" i="21"/>
  <c r="X106" i="21" s="1"/>
  <c r="U169" i="21"/>
  <c r="X169" i="21" s="1"/>
  <c r="U291" i="21"/>
  <c r="X291" i="21" s="1"/>
  <c r="U5" i="21"/>
  <c r="X5" i="21" s="1"/>
  <c r="U12" i="21"/>
  <c r="X12" i="21" s="1"/>
  <c r="U20" i="21"/>
  <c r="X20" i="21" s="1"/>
  <c r="U28" i="21"/>
  <c r="X28" i="21" s="1"/>
  <c r="U36" i="21"/>
  <c r="X36" i="21" s="1"/>
  <c r="U44" i="21"/>
  <c r="X44" i="21" s="1"/>
  <c r="U52" i="21"/>
  <c r="X52" i="21" s="1"/>
  <c r="U60" i="21"/>
  <c r="X60" i="21" s="1"/>
  <c r="U68" i="21"/>
  <c r="X68" i="21" s="1"/>
  <c r="U76" i="21"/>
  <c r="X76" i="21" s="1"/>
  <c r="U84" i="21"/>
  <c r="X84" i="21" s="1"/>
  <c r="U93" i="21"/>
  <c r="X93" i="21" s="1"/>
  <c r="U101" i="21"/>
  <c r="X101" i="21" s="1"/>
  <c r="U109" i="21"/>
  <c r="X109" i="21" s="1"/>
  <c r="U117" i="21"/>
  <c r="X117" i="21" s="1"/>
  <c r="U125" i="21"/>
  <c r="X125" i="21" s="1"/>
  <c r="U132" i="21"/>
  <c r="X132" i="21" s="1"/>
  <c r="U140" i="21"/>
  <c r="X140" i="21" s="1"/>
  <c r="U148" i="21"/>
  <c r="V148" i="21" s="1"/>
  <c r="U156" i="21"/>
  <c r="X156" i="21" s="1"/>
  <c r="U164" i="21"/>
  <c r="X164" i="21" s="1"/>
  <c r="U172" i="21"/>
  <c r="X172" i="21" s="1"/>
  <c r="U180" i="21"/>
  <c r="X180" i="21" s="1"/>
  <c r="U188" i="21"/>
  <c r="X188" i="21" s="1"/>
  <c r="U196" i="21"/>
  <c r="X196" i="21" s="1"/>
  <c r="U204" i="21"/>
  <c r="X204" i="21" s="1"/>
  <c r="U213" i="21"/>
  <c r="X213" i="21" s="1"/>
  <c r="U221" i="21"/>
  <c r="X221" i="21" s="1"/>
  <c r="U229" i="21"/>
  <c r="X229" i="21" s="1"/>
  <c r="U237" i="21"/>
  <c r="X237" i="21" s="1"/>
  <c r="U245" i="21"/>
  <c r="V245" i="21" s="1"/>
  <c r="U253" i="21"/>
  <c r="X253" i="21" s="1"/>
  <c r="U261" i="21"/>
  <c r="X261" i="21" s="1"/>
  <c r="U269" i="21"/>
  <c r="X269" i="21" s="1"/>
  <c r="U277" i="21"/>
  <c r="X277" i="21" s="1"/>
  <c r="U286" i="21"/>
  <c r="X286" i="21" s="1"/>
  <c r="U294" i="21"/>
  <c r="X294" i="21" s="1"/>
  <c r="U303" i="21"/>
  <c r="X303" i="21" s="1"/>
  <c r="U312" i="21"/>
  <c r="X312" i="21" s="1"/>
  <c r="U319" i="21"/>
  <c r="X319" i="21" s="1"/>
  <c r="U326" i="21"/>
  <c r="X326" i="21" s="1"/>
  <c r="U334" i="21"/>
  <c r="X334" i="21" s="1"/>
  <c r="U342" i="21"/>
  <c r="X342" i="21" s="1"/>
  <c r="U7" i="21"/>
  <c r="X7" i="21" s="1"/>
  <c r="U38" i="21"/>
  <c r="X38" i="21" s="1"/>
  <c r="U150" i="21"/>
  <c r="X150" i="21" s="1"/>
  <c r="U190" i="21"/>
  <c r="X190" i="21" s="1"/>
  <c r="U215" i="21"/>
  <c r="X215" i="21" s="1"/>
  <c r="C33" i="4"/>
  <c r="U41" i="21"/>
  <c r="X41" i="21" s="1"/>
  <c r="U73" i="21"/>
  <c r="X73" i="21" s="1"/>
  <c r="U90" i="21"/>
  <c r="X90" i="21" s="1"/>
  <c r="U114" i="21"/>
  <c r="V114" i="21" s="1"/>
  <c r="U145" i="21"/>
  <c r="V145" i="21" s="1"/>
  <c r="U209" i="21"/>
  <c r="X209" i="21" s="1"/>
  <c r="U283" i="21"/>
  <c r="X283" i="21" s="1"/>
  <c r="U6" i="21"/>
  <c r="X6" i="21" s="1"/>
  <c r="U13" i="21"/>
  <c r="X13" i="21" s="1"/>
  <c r="U21" i="21"/>
  <c r="X21" i="21" s="1"/>
  <c r="U29" i="21"/>
  <c r="X29" i="21" s="1"/>
  <c r="U37" i="21"/>
  <c r="X37" i="21" s="1"/>
  <c r="U45" i="21"/>
  <c r="X45" i="21" s="1"/>
  <c r="U53" i="21"/>
  <c r="X53" i="21" s="1"/>
  <c r="U61" i="21"/>
  <c r="X61" i="21" s="1"/>
  <c r="U69" i="21"/>
  <c r="X69" i="21" s="1"/>
  <c r="U77" i="21"/>
  <c r="X77" i="21" s="1"/>
  <c r="U85" i="21"/>
  <c r="X85" i="21" s="1"/>
  <c r="U94" i="21"/>
  <c r="X94" i="21" s="1"/>
  <c r="U102" i="21"/>
  <c r="X102" i="21" s="1"/>
  <c r="U110" i="21"/>
  <c r="X110" i="21" s="1"/>
  <c r="U118" i="21"/>
  <c r="X118" i="21" s="1"/>
  <c r="U126" i="21"/>
  <c r="X126" i="21" s="1"/>
  <c r="U133" i="21"/>
  <c r="X133" i="21" s="1"/>
  <c r="U141" i="21"/>
  <c r="X141" i="21" s="1"/>
  <c r="U149" i="21"/>
  <c r="X149" i="21" s="1"/>
  <c r="U157" i="21"/>
  <c r="X157" i="21" s="1"/>
  <c r="U165" i="21"/>
  <c r="X165" i="21" s="1"/>
  <c r="U173" i="21"/>
  <c r="X173" i="21" s="1"/>
  <c r="U181" i="21"/>
  <c r="X181" i="21" s="1"/>
  <c r="U189" i="21"/>
  <c r="X189" i="21" s="1"/>
  <c r="U197" i="21"/>
  <c r="X197" i="21" s="1"/>
  <c r="U205" i="21"/>
  <c r="X205" i="21" s="1"/>
  <c r="U214" i="21"/>
  <c r="X214" i="21" s="1"/>
  <c r="U222" i="21"/>
  <c r="X222" i="21" s="1"/>
  <c r="U230" i="21"/>
  <c r="X230" i="21" s="1"/>
  <c r="U238" i="21"/>
  <c r="X238" i="21" s="1"/>
  <c r="U246" i="21"/>
  <c r="X246" i="21" s="1"/>
  <c r="U254" i="21"/>
  <c r="X254" i="21" s="1"/>
  <c r="U262" i="21"/>
  <c r="X262" i="21" s="1"/>
  <c r="U270" i="21"/>
  <c r="X270" i="21" s="1"/>
  <c r="U278" i="21"/>
  <c r="X278" i="21" s="1"/>
  <c r="U287" i="21"/>
  <c r="X287" i="21" s="1"/>
  <c r="U295" i="21"/>
  <c r="X295" i="21" s="1"/>
  <c r="U304" i="21"/>
  <c r="X304" i="21" s="1"/>
  <c r="U353" i="21"/>
  <c r="X353" i="21" s="1"/>
  <c r="U320" i="21"/>
  <c r="X320" i="21" s="1"/>
  <c r="U327" i="21"/>
  <c r="V327" i="21" s="1"/>
  <c r="U335" i="21"/>
  <c r="X335" i="21" s="1"/>
  <c r="U343" i="21"/>
  <c r="X343" i="21" s="1"/>
  <c r="X72" i="21"/>
  <c r="I35" i="3"/>
  <c r="J35" i="3"/>
  <c r="I37" i="3"/>
  <c r="J37" i="3"/>
  <c r="N45" i="3"/>
  <c r="N39" i="3"/>
  <c r="N33" i="3"/>
  <c r="N31" i="3"/>
  <c r="N43" i="3"/>
  <c r="N41" i="3"/>
  <c r="N49" i="3"/>
  <c r="N37" i="3"/>
  <c r="N35" i="3"/>
  <c r="N47" i="3"/>
  <c r="I39" i="3"/>
  <c r="J39" i="3"/>
  <c r="I41" i="3"/>
  <c r="J41" i="3"/>
  <c r="K45" i="3"/>
  <c r="K41" i="3"/>
  <c r="K39" i="3"/>
  <c r="K33" i="3"/>
  <c r="K47" i="3"/>
  <c r="K43" i="3"/>
  <c r="K37" i="3"/>
  <c r="K35" i="3"/>
  <c r="K49" i="3"/>
  <c r="K31" i="3"/>
  <c r="J43" i="3"/>
  <c r="I43" i="3"/>
  <c r="AB54" i="3"/>
  <c r="D42" i="3"/>
  <c r="D34" i="3"/>
  <c r="E42" i="3"/>
  <c r="D46" i="3"/>
  <c r="E34" i="3"/>
  <c r="D30" i="3"/>
  <c r="D48" i="3"/>
  <c r="D40" i="3"/>
  <c r="D32" i="3"/>
  <c r="D38" i="3"/>
  <c r="C30" i="3"/>
  <c r="C41" i="6" s="1"/>
  <c r="E38" i="3"/>
  <c r="E30" i="3"/>
  <c r="C43" i="6" s="1"/>
  <c r="E32" i="3"/>
  <c r="E40" i="3"/>
  <c r="E36" i="3"/>
  <c r="E46" i="3"/>
  <c r="E44" i="3"/>
  <c r="D36" i="3"/>
  <c r="D44" i="3"/>
  <c r="E48" i="3"/>
  <c r="I48" i="3"/>
  <c r="I34" i="3"/>
  <c r="J40" i="3"/>
  <c r="J44" i="3"/>
  <c r="J38" i="3"/>
  <c r="I46" i="3"/>
  <c r="I40" i="3"/>
  <c r="J32" i="3"/>
  <c r="I38" i="3"/>
  <c r="I30" i="3"/>
  <c r="J42" i="3"/>
  <c r="J30" i="3"/>
  <c r="I36" i="3"/>
  <c r="J34" i="3"/>
  <c r="I42" i="3"/>
  <c r="J46" i="3"/>
  <c r="I32" i="3"/>
  <c r="J36" i="3"/>
  <c r="I44" i="3"/>
  <c r="J48" i="3"/>
  <c r="J45" i="3"/>
  <c r="I45" i="3"/>
  <c r="O49" i="3"/>
  <c r="O33" i="3"/>
  <c r="O45" i="3"/>
  <c r="O43" i="3"/>
  <c r="O39" i="3"/>
  <c r="O37" i="3"/>
  <c r="O35" i="3"/>
  <c r="O47" i="3"/>
  <c r="O31" i="3"/>
  <c r="R35" i="3"/>
  <c r="R33" i="3"/>
  <c r="O41" i="3"/>
  <c r="R31" i="3"/>
  <c r="I47" i="3"/>
  <c r="J47" i="3"/>
  <c r="J33" i="3"/>
  <c r="I33" i="3"/>
  <c r="J49" i="3"/>
  <c r="I49" i="3"/>
  <c r="V6" i="21"/>
  <c r="V13" i="21"/>
  <c r="V51" i="21"/>
  <c r="V59" i="21"/>
  <c r="V161" i="21"/>
  <c r="V184" i="21"/>
  <c r="V200" i="21"/>
  <c r="V208" i="21"/>
  <c r="V224" i="21"/>
  <c r="V240" i="21"/>
  <c r="V272" i="21"/>
  <c r="V280" i="21"/>
  <c r="V288" i="21"/>
  <c r="V305" i="21"/>
  <c r="V14" i="21"/>
  <c r="V45" i="21"/>
  <c r="V52" i="21"/>
  <c r="V68" i="21"/>
  <c r="V92" i="21"/>
  <c r="V115" i="21"/>
  <c r="V123" i="21"/>
  <c r="V130" i="21"/>
  <c r="V162" i="21"/>
  <c r="V177" i="21"/>
  <c r="V201" i="21"/>
  <c r="V217" i="21"/>
  <c r="V233" i="21"/>
  <c r="V241" i="21"/>
  <c r="V281" i="21"/>
  <c r="V289" i="21"/>
  <c r="V306" i="21"/>
  <c r="V313" i="21"/>
  <c r="V349" i="21"/>
  <c r="V336" i="21"/>
  <c r="V8" i="21"/>
  <c r="V22" i="21"/>
  <c r="V46" i="21"/>
  <c r="V61" i="21"/>
  <c r="V69" i="21"/>
  <c r="V84" i="21"/>
  <c r="V124" i="21"/>
  <c r="V147" i="21"/>
  <c r="V178" i="21"/>
  <c r="V186" i="21"/>
  <c r="V194" i="21"/>
  <c r="V218" i="21"/>
  <c r="V258" i="21"/>
  <c r="V266" i="21"/>
  <c r="V274" i="21"/>
  <c r="V290" i="21"/>
  <c r="V298" i="21"/>
  <c r="V307" i="21"/>
  <c r="V321" i="21"/>
  <c r="V329" i="21"/>
  <c r="V337" i="21"/>
  <c r="V2" i="21"/>
  <c r="V23" i="21"/>
  <c r="V31" i="21"/>
  <c r="V39" i="21"/>
  <c r="V54" i="21"/>
  <c r="V62" i="21"/>
  <c r="V117" i="21"/>
  <c r="V132" i="21"/>
  <c r="V140" i="21"/>
  <c r="V179" i="21"/>
  <c r="V187" i="21"/>
  <c r="V203" i="21"/>
  <c r="V227" i="21"/>
  <c r="V235" i="21"/>
  <c r="V243" i="21"/>
  <c r="V251" i="21"/>
  <c r="V283" i="21"/>
  <c r="V315" i="21"/>
  <c r="V330" i="21"/>
  <c r="V338" i="21"/>
  <c r="V9" i="21"/>
  <c r="V40" i="21"/>
  <c r="V48" i="21"/>
  <c r="V63" i="21"/>
  <c r="V70" i="21"/>
  <c r="V78" i="21"/>
  <c r="V95" i="21"/>
  <c r="V126" i="21"/>
  <c r="V133" i="21"/>
  <c r="V141" i="21"/>
  <c r="V220" i="21"/>
  <c r="V236" i="21"/>
  <c r="V292" i="21"/>
  <c r="V316" i="21"/>
  <c r="V331" i="21"/>
  <c r="V25" i="21"/>
  <c r="V41" i="21"/>
  <c r="V56" i="21"/>
  <c r="V79" i="21"/>
  <c r="V87" i="21"/>
  <c r="V96" i="21"/>
  <c r="V112" i="21"/>
  <c r="V134" i="21"/>
  <c r="V174" i="21"/>
  <c r="V189" i="21"/>
  <c r="V205" i="21"/>
  <c r="V261" i="21"/>
  <c r="V285" i="21"/>
  <c r="V302" i="21"/>
  <c r="V310" i="21"/>
  <c r="V340" i="21"/>
  <c r="V42" i="21"/>
  <c r="V49" i="21"/>
  <c r="V72" i="21"/>
  <c r="V89" i="21"/>
  <c r="V105" i="21"/>
  <c r="V113" i="21"/>
  <c r="V120" i="21"/>
  <c r="V127" i="21"/>
  <c r="V135" i="21"/>
  <c r="V143" i="21"/>
  <c r="V151" i="21"/>
  <c r="V175" i="21"/>
  <c r="V182" i="21"/>
  <c r="V190" i="21"/>
  <c r="V230" i="21"/>
  <c r="V254" i="21"/>
  <c r="V262" i="21"/>
  <c r="V270" i="21"/>
  <c r="V5" i="21"/>
  <c r="V19" i="21"/>
  <c r="V27" i="21"/>
  <c r="V66" i="21"/>
  <c r="V98" i="21"/>
  <c r="V152" i="21"/>
  <c r="V168" i="21"/>
  <c r="V176" i="21"/>
  <c r="V191" i="21"/>
  <c r="V207" i="21"/>
  <c r="V223" i="21"/>
  <c r="V239" i="21"/>
  <c r="V247" i="21"/>
  <c r="V255" i="21"/>
  <c r="V304" i="21"/>
  <c r="V312" i="21"/>
  <c r="V326" i="21"/>
  <c r="V342" i="21"/>
  <c r="K33" i="4"/>
  <c r="K32" i="4" s="1"/>
  <c r="K35" i="4"/>
  <c r="C7" i="1"/>
  <c r="C51" i="1"/>
  <c r="AB63" i="3"/>
  <c r="AB59" i="3"/>
  <c r="AB55" i="3"/>
  <c r="AB60" i="3"/>
  <c r="AB62" i="3"/>
  <c r="AB58" i="3"/>
  <c r="AB56" i="3"/>
  <c r="AB61" i="3"/>
  <c r="AB57" i="3"/>
  <c r="AG2" i="7"/>
  <c r="AG3" i="7" s="1"/>
  <c r="J6" i="1"/>
  <c r="C2" i="1" s="1"/>
  <c r="F41" i="6"/>
  <c r="B15" i="6"/>
  <c r="C24" i="6"/>
  <c r="G17" i="6"/>
  <c r="B22" i="6"/>
  <c r="F13" i="6"/>
  <c r="G21" i="6"/>
  <c r="C32" i="1"/>
  <c r="E9" i="3"/>
  <c r="X19" i="3"/>
  <c r="C40" i="3" s="1"/>
  <c r="G4" i="6"/>
  <c r="B4" i="6"/>
  <c r="C4" i="6"/>
  <c r="C3" i="3"/>
  <c r="B9" i="6"/>
  <c r="C28" i="6"/>
  <c r="E11" i="3"/>
  <c r="V31" i="3" s="1"/>
  <c r="G31" i="3"/>
  <c r="F47" i="6" l="1"/>
  <c r="Q4" i="4"/>
  <c r="F48" i="6"/>
  <c r="F8" i="28" s="1"/>
  <c r="G10" i="1"/>
  <c r="G26" i="1"/>
  <c r="C53" i="1"/>
  <c r="C34" i="1"/>
  <c r="C24" i="1"/>
  <c r="V284" i="21"/>
  <c r="V341" i="21"/>
  <c r="V102" i="21"/>
  <c r="V109" i="21"/>
  <c r="V333" i="21"/>
  <c r="V150" i="21"/>
  <c r="V226" i="21"/>
  <c r="V83" i="21"/>
  <c r="V219" i="21"/>
  <c r="V90" i="21"/>
  <c r="V294" i="21"/>
  <c r="V80" i="21"/>
  <c r="V275" i="21"/>
  <c r="V75" i="21"/>
  <c r="V137" i="21"/>
  <c r="V144" i="21"/>
  <c r="V242" i="21"/>
  <c r="V73" i="21"/>
  <c r="V348" i="21"/>
  <c r="V18" i="21"/>
  <c r="V172" i="21"/>
  <c r="V248" i="21"/>
  <c r="V122" i="21"/>
  <c r="V276" i="21"/>
  <c r="V295" i="21"/>
  <c r="V183" i="21"/>
  <c r="V65" i="21"/>
  <c r="V32" i="21"/>
  <c r="V164" i="21"/>
  <c r="V146" i="21"/>
  <c r="V91" i="21"/>
  <c r="V279" i="21"/>
  <c r="V57" i="21"/>
  <c r="V237" i="21"/>
  <c r="V265" i="21"/>
  <c r="V82" i="21"/>
  <c r="V192" i="21"/>
  <c r="V195" i="21"/>
  <c r="V131" i="21"/>
  <c r="V165" i="21"/>
  <c r="V94" i="21"/>
  <c r="V232" i="21"/>
  <c r="V343" i="21"/>
  <c r="V222" i="21"/>
  <c r="V214" i="21"/>
  <c r="V193" i="21"/>
  <c r="V67" i="21"/>
  <c r="V344" i="21"/>
  <c r="V160" i="21"/>
  <c r="V278" i="21"/>
  <c r="V33" i="21"/>
  <c r="V322" i="21"/>
  <c r="V100" i="21"/>
  <c r="V21" i="21"/>
  <c r="V215" i="21"/>
  <c r="V221" i="21"/>
  <c r="V104" i="21"/>
  <c r="V328" i="21"/>
  <c r="V170" i="21"/>
  <c r="V28" i="21"/>
  <c r="V199" i="21"/>
  <c r="V97" i="21"/>
  <c r="V10" i="21"/>
  <c r="V103" i="21"/>
  <c r="V16" i="21"/>
  <c r="V225" i="21"/>
  <c r="V263" i="21"/>
  <c r="V339" i="21"/>
  <c r="V24" i="21"/>
  <c r="V85" i="21"/>
  <c r="V138" i="21"/>
  <c r="V296" i="21"/>
  <c r="V128" i="21"/>
  <c r="V167" i="21"/>
  <c r="V325" i="21"/>
  <c r="V71" i="21"/>
  <c r="V188" i="21"/>
  <c r="V86" i="21"/>
  <c r="V297" i="21"/>
  <c r="V60" i="21"/>
  <c r="V74" i="21"/>
  <c r="V319" i="21"/>
  <c r="V286" i="21"/>
  <c r="V198" i="21"/>
  <c r="V300" i="21"/>
  <c r="V149" i="21"/>
  <c r="V47" i="21"/>
  <c r="V234" i="21"/>
  <c r="V185" i="21"/>
  <c r="V37" i="21"/>
  <c r="V320" i="21"/>
  <c r="X25" i="21"/>
  <c r="C42" i="1"/>
  <c r="G17" i="1"/>
  <c r="G34" i="1"/>
  <c r="V34" i="21"/>
  <c r="V264" i="21"/>
  <c r="X159" i="21"/>
  <c r="V181" i="21"/>
  <c r="X231" i="21"/>
  <c r="V136" i="21"/>
  <c r="V26" i="21"/>
  <c r="V269" i="21"/>
  <c r="V180" i="21"/>
  <c r="V111" i="21"/>
  <c r="V156" i="21"/>
  <c r="V77" i="21"/>
  <c r="V257" i="21"/>
  <c r="V256" i="21"/>
  <c r="X158" i="21"/>
  <c r="X249" i="21"/>
  <c r="V43" i="21"/>
  <c r="V277" i="21"/>
  <c r="V335" i="21"/>
  <c r="X114" i="21"/>
  <c r="V35" i="21"/>
  <c r="V334" i="21"/>
  <c r="V206" i="21"/>
  <c r="V173" i="21"/>
  <c r="V308" i="21"/>
  <c r="V353" i="21"/>
  <c r="V106" i="21"/>
  <c r="V332" i="21"/>
  <c r="V250" i="21"/>
  <c r="V171" i="21"/>
  <c r="V12" i="21"/>
  <c r="V324" i="21"/>
  <c r="V142" i="21"/>
  <c r="V252" i="21"/>
  <c r="V157" i="21"/>
  <c r="V125" i="21"/>
  <c r="V29" i="21"/>
  <c r="V36" i="21"/>
  <c r="V213" i="21"/>
  <c r="V64" i="21"/>
  <c r="V267" i="21"/>
  <c r="V15" i="21"/>
  <c r="V154" i="21"/>
  <c r="V323" i="21"/>
  <c r="V228" i="21"/>
  <c r="X148" i="21"/>
  <c r="X318" i="21"/>
  <c r="X259" i="21"/>
  <c r="X3" i="21"/>
  <c r="X166" i="21"/>
  <c r="X121" i="21"/>
  <c r="V287" i="21"/>
  <c r="V303" i="21"/>
  <c r="V238" i="21"/>
  <c r="V197" i="21"/>
  <c r="V299" i="21"/>
  <c r="V110" i="21"/>
  <c r="V314" i="21"/>
  <c r="V116" i="21"/>
  <c r="V53" i="21"/>
  <c r="V273" i="21"/>
  <c r="V209" i="21"/>
  <c r="V169" i="21"/>
  <c r="V107" i="21"/>
  <c r="V44" i="21"/>
  <c r="X327" i="21"/>
  <c r="X145" i="21"/>
  <c r="X245" i="21"/>
  <c r="X155" i="21"/>
  <c r="X30" i="21"/>
  <c r="X99" i="21"/>
  <c r="V81" i="21"/>
  <c r="V317" i="21"/>
  <c r="V253" i="21"/>
  <c r="V204" i="21"/>
  <c r="V291" i="21"/>
  <c r="V271" i="21"/>
  <c r="V119" i="21"/>
  <c r="V268" i="21"/>
  <c r="V163" i="21"/>
  <c r="V260" i="21"/>
  <c r="V211" i="21"/>
  <c r="V93" i="21"/>
  <c r="V216" i="21"/>
  <c r="V20" i="21"/>
  <c r="V196" i="21"/>
  <c r="V101" i="21"/>
  <c r="V58" i="21"/>
  <c r="V11" i="21"/>
  <c r="V293" i="21"/>
  <c r="V229" i="21"/>
  <c r="V118" i="21"/>
  <c r="V55" i="21"/>
  <c r="V210" i="21"/>
  <c r="V246" i="21"/>
  <c r="V38" i="21"/>
  <c r="V7" i="21"/>
  <c r="V153" i="21"/>
  <c r="V50" i="21"/>
  <c r="V4" i="21"/>
  <c r="V309" i="21"/>
  <c r="V244" i="21"/>
  <c r="V202" i="21"/>
  <c r="V139" i="21"/>
  <c r="V76" i="21"/>
  <c r="V108" i="21"/>
  <c r="V129" i="21"/>
  <c r="D37" i="3"/>
  <c r="E37" i="3"/>
  <c r="C37" i="3"/>
  <c r="C41" i="3"/>
  <c r="E41" i="3"/>
  <c r="D41" i="3"/>
  <c r="C32" i="3"/>
  <c r="C42" i="3"/>
  <c r="I31" i="3"/>
  <c r="J31" i="3"/>
  <c r="C49" i="3"/>
  <c r="E49" i="3"/>
  <c r="D49" i="3"/>
  <c r="C31" i="3"/>
  <c r="E31" i="3"/>
  <c r="D31" i="3"/>
  <c r="C48" i="3"/>
  <c r="C39" i="3"/>
  <c r="D39" i="3"/>
  <c r="E39" i="3"/>
  <c r="C46" i="3"/>
  <c r="N46" i="3" s="1"/>
  <c r="O46" i="3" s="1"/>
  <c r="C47" i="3"/>
  <c r="D47" i="3"/>
  <c r="E47" i="3"/>
  <c r="C44" i="3"/>
  <c r="N44" i="3" s="1"/>
  <c r="C43" i="3"/>
  <c r="D43" i="3"/>
  <c r="E43" i="3"/>
  <c r="C34" i="3"/>
  <c r="N32" i="3" s="1"/>
  <c r="C38" i="3"/>
  <c r="C36" i="3"/>
  <c r="N36" i="3" s="1"/>
  <c r="O36" i="3" s="1"/>
  <c r="D45" i="3"/>
  <c r="E45" i="3"/>
  <c r="C45" i="3"/>
  <c r="D35" i="3"/>
  <c r="C35" i="3"/>
  <c r="E35" i="3"/>
  <c r="C33" i="3"/>
  <c r="E33" i="3"/>
  <c r="D33" i="3"/>
  <c r="F44" i="6"/>
  <c r="K25" i="4"/>
  <c r="K29" i="4"/>
  <c r="K28" i="4"/>
  <c r="K31" i="4"/>
  <c r="K30" i="4"/>
  <c r="C42" i="6"/>
  <c r="C14" i="6" s="1"/>
  <c r="G2" i="1"/>
  <c r="C5" i="3"/>
  <c r="W11" i="3" s="1"/>
  <c r="F43" i="6"/>
  <c r="C17" i="6"/>
  <c r="N7" i="3"/>
  <c r="I5" i="4"/>
  <c r="W6" i="3"/>
  <c r="C9" i="1"/>
  <c r="G6" i="3"/>
  <c r="C11" i="6" s="1"/>
  <c r="C38" i="28" s="1"/>
  <c r="T5" i="4"/>
  <c r="F6" i="3"/>
  <c r="C21" i="6" s="1"/>
  <c r="B30" i="6"/>
  <c r="F30" i="6" s="1"/>
  <c r="F39" i="6" s="1"/>
  <c r="C13" i="6"/>
  <c r="C20" i="6"/>
  <c r="E8" i="3"/>
  <c r="I6" i="4" s="1"/>
  <c r="F40" i="6"/>
  <c r="C26" i="6"/>
  <c r="G39" i="3"/>
  <c r="G35" i="3"/>
  <c r="R47" i="3"/>
  <c r="R49" i="3"/>
  <c r="R37" i="3"/>
  <c r="R41" i="3"/>
  <c r="G49" i="3"/>
  <c r="R43" i="3"/>
  <c r="R45" i="3"/>
  <c r="G43" i="3"/>
  <c r="G41" i="3"/>
  <c r="R39" i="3"/>
  <c r="G47" i="3"/>
  <c r="G45" i="3"/>
  <c r="G37" i="3"/>
  <c r="G33" i="3"/>
  <c r="N9" i="3"/>
  <c r="N11" i="3"/>
  <c r="V33" i="3"/>
  <c r="H8" i="28" l="1"/>
  <c r="G8" i="28"/>
  <c r="C22" i="6"/>
  <c r="C37" i="28" s="1"/>
  <c r="T6" i="4"/>
  <c r="C8" i="3" s="1"/>
  <c r="C6" i="3"/>
  <c r="F6" i="6"/>
  <c r="N34" i="3"/>
  <c r="O34" i="3" s="1"/>
  <c r="O32" i="3"/>
  <c r="G40" i="6"/>
  <c r="G41" i="6"/>
  <c r="Q5" i="4"/>
  <c r="Q6" i="4" s="1"/>
  <c r="N30" i="3"/>
  <c r="O30" i="3" s="1"/>
  <c r="S30" i="3" s="1"/>
  <c r="C15" i="6"/>
  <c r="C74" i="1"/>
  <c r="Q31" i="1" s="1"/>
  <c r="J14" i="1"/>
  <c r="F46" i="6"/>
  <c r="F10" i="28" s="1"/>
  <c r="P31" i="28" s="1"/>
  <c r="G46" i="6"/>
  <c r="I10" i="28" s="1"/>
  <c r="F42" i="6"/>
  <c r="F6" i="28" s="1"/>
  <c r="G4" i="4"/>
  <c r="F8" i="3"/>
  <c r="F10" i="3" s="1"/>
  <c r="F12" i="3" s="1"/>
  <c r="G8" i="3"/>
  <c r="O44" i="3"/>
  <c r="N40" i="3"/>
  <c r="O40" i="3" s="1"/>
  <c r="N42" i="3"/>
  <c r="O42" i="3" s="1"/>
  <c r="N48" i="3"/>
  <c r="N38" i="3"/>
  <c r="P29" i="3"/>
  <c r="N4" i="4" s="1"/>
  <c r="E12" i="3"/>
  <c r="E22" i="3"/>
  <c r="E14" i="3"/>
  <c r="E20" i="3"/>
  <c r="E16" i="3"/>
  <c r="E18" i="3"/>
  <c r="E10" i="3"/>
  <c r="V30" i="3" s="1"/>
  <c r="E24" i="3"/>
  <c r="P32" i="28" l="1"/>
  <c r="C35" i="28"/>
  <c r="G44" i="6"/>
  <c r="I18" i="28"/>
  <c r="G43" i="6"/>
  <c r="T7" i="4"/>
  <c r="C10" i="3" s="1"/>
  <c r="Q7" i="1"/>
  <c r="G10" i="28"/>
  <c r="H10" i="28"/>
  <c r="K10" i="28"/>
  <c r="J10" i="28"/>
  <c r="H6" i="28"/>
  <c r="G6" i="28"/>
  <c r="F14" i="28"/>
  <c r="H14" i="28" s="1"/>
  <c r="K36" i="4"/>
  <c r="C9" i="6"/>
  <c r="C36" i="28" s="1"/>
  <c r="S2" i="1"/>
  <c r="Q8" i="1"/>
  <c r="S3" i="1"/>
  <c r="Q6" i="1"/>
  <c r="Q4" i="1"/>
  <c r="Q34" i="1"/>
  <c r="Q5" i="1"/>
  <c r="Q3" i="1"/>
  <c r="Q32" i="1"/>
  <c r="F45" i="6"/>
  <c r="J6" i="4"/>
  <c r="R8" i="3"/>
  <c r="O8" i="3"/>
  <c r="J5" i="4"/>
  <c r="G10" i="3"/>
  <c r="G12" i="3" s="1"/>
  <c r="G14" i="3" s="1"/>
  <c r="O6" i="3"/>
  <c r="P6" i="3" s="1"/>
  <c r="Q6" i="3" s="1"/>
  <c r="R6" i="3"/>
  <c r="S6" i="3" s="1"/>
  <c r="T42" i="3"/>
  <c r="R11" i="4" s="1"/>
  <c r="T38" i="3"/>
  <c r="R9" i="4" s="1"/>
  <c r="T32" i="3"/>
  <c r="R6" i="4" s="1"/>
  <c r="F38" i="6"/>
  <c r="F17" i="28" s="1"/>
  <c r="F9" i="6"/>
  <c r="T48" i="3"/>
  <c r="R14" i="4" s="1"/>
  <c r="T44" i="3"/>
  <c r="R12" i="4" s="1"/>
  <c r="F14" i="3"/>
  <c r="T40" i="3"/>
  <c r="R10" i="4" s="1"/>
  <c r="T36" i="3"/>
  <c r="R8" i="4" s="1"/>
  <c r="O38" i="3"/>
  <c r="O48" i="3"/>
  <c r="T30" i="3"/>
  <c r="C70" i="1" s="1"/>
  <c r="Q9" i="1" s="1"/>
  <c r="Q7" i="4"/>
  <c r="T46" i="3"/>
  <c r="R13" i="4" s="1"/>
  <c r="T34" i="3"/>
  <c r="R7" i="4" s="1"/>
  <c r="I7" i="4"/>
  <c r="V32" i="3"/>
  <c r="V34" i="3" s="1"/>
  <c r="V35" i="3" s="1"/>
  <c r="L17" i="28" l="1"/>
  <c r="H17" i="28"/>
  <c r="G17" i="28"/>
  <c r="G47" i="6"/>
  <c r="K18" i="28"/>
  <c r="J18" i="28"/>
  <c r="G14" i="28"/>
  <c r="G13" i="28"/>
  <c r="T8" i="4"/>
  <c r="T9" i="4" s="1"/>
  <c r="C14" i="3" s="1"/>
  <c r="J9" i="4" s="1"/>
  <c r="I11" i="28"/>
  <c r="F11" i="28"/>
  <c r="F4" i="4"/>
  <c r="H13" i="28"/>
  <c r="K37" i="4"/>
  <c r="F7" i="28"/>
  <c r="L7" i="28" s="1"/>
  <c r="C6" i="6"/>
  <c r="P8" i="3"/>
  <c r="Q8" i="3" s="1"/>
  <c r="H70" i="1"/>
  <c r="H73" i="1" s="1"/>
  <c r="C30" i="6"/>
  <c r="G30" i="6" s="1"/>
  <c r="J7" i="4"/>
  <c r="O10" i="3"/>
  <c r="R10" i="3"/>
  <c r="G16" i="3"/>
  <c r="G18" i="3" s="1"/>
  <c r="F16" i="3"/>
  <c r="F18" i="3" s="1"/>
  <c r="F20" i="3" s="1"/>
  <c r="E15" i="3"/>
  <c r="E13" i="3"/>
  <c r="E17" i="3"/>
  <c r="E19" i="3"/>
  <c r="E23" i="3"/>
  <c r="E21" i="3"/>
  <c r="E25" i="3"/>
  <c r="O4" i="4"/>
  <c r="P4" i="4"/>
  <c r="R5" i="4"/>
  <c r="T6" i="3"/>
  <c r="Q30" i="3"/>
  <c r="Q8" i="4"/>
  <c r="T10" i="4" l="1"/>
  <c r="T11" i="4" s="1"/>
  <c r="C12" i="3"/>
  <c r="J8" i="4" s="1"/>
  <c r="G11" i="28"/>
  <c r="H11" i="28"/>
  <c r="J11" i="28"/>
  <c r="K11" i="28"/>
  <c r="H7" i="28"/>
  <c r="G7" i="28"/>
  <c r="I14" i="28"/>
  <c r="K14" i="28" s="1"/>
  <c r="K27" i="4"/>
  <c r="P10" i="3"/>
  <c r="Q10" i="3" s="1"/>
  <c r="G70" i="1"/>
  <c r="G67" i="1" s="1"/>
  <c r="F22" i="3"/>
  <c r="F24" i="3" s="1"/>
  <c r="R30" i="3"/>
  <c r="N25" i="3"/>
  <c r="I14" i="4"/>
  <c r="C67" i="1"/>
  <c r="N23" i="3"/>
  <c r="I13" i="4"/>
  <c r="N15" i="3"/>
  <c r="R14" i="3"/>
  <c r="O14" i="3"/>
  <c r="I9" i="4"/>
  <c r="G20" i="3"/>
  <c r="G22" i="3" s="1"/>
  <c r="Q9" i="4"/>
  <c r="N17" i="3"/>
  <c r="I10" i="4"/>
  <c r="N21" i="3"/>
  <c r="I12" i="4"/>
  <c r="N13" i="3"/>
  <c r="I8" i="4"/>
  <c r="S8" i="3"/>
  <c r="L5" i="4"/>
  <c r="N19" i="3"/>
  <c r="I11" i="4"/>
  <c r="J14" i="28" l="1"/>
  <c r="J13" i="28"/>
  <c r="C16" i="3"/>
  <c r="J10" i="4" s="1"/>
  <c r="R12" i="3"/>
  <c r="O12" i="3"/>
  <c r="P12" i="3" s="1"/>
  <c r="Q12" i="3" s="1"/>
  <c r="G39" i="1"/>
  <c r="K13" i="28"/>
  <c r="F20" i="28"/>
  <c r="G24" i="3"/>
  <c r="T12" i="4"/>
  <c r="C18" i="3"/>
  <c r="I30" i="1"/>
  <c r="G5" i="4" s="1"/>
  <c r="T8" i="3"/>
  <c r="Q10" i="4"/>
  <c r="M5" i="4"/>
  <c r="S32" i="3"/>
  <c r="Q32" i="3" s="1"/>
  <c r="R32" i="3" s="1"/>
  <c r="P30" i="3"/>
  <c r="O16" i="3" l="1"/>
  <c r="R16" i="3"/>
  <c r="Q33" i="1"/>
  <c r="J11" i="4"/>
  <c r="R18" i="3"/>
  <c r="O18" i="3"/>
  <c r="T13" i="4"/>
  <c r="C20" i="3"/>
  <c r="P14" i="3"/>
  <c r="Q14" i="3" s="1"/>
  <c r="P31" i="3"/>
  <c r="L6" i="4"/>
  <c r="S10" i="3"/>
  <c r="Q11" i="4"/>
  <c r="H71" i="1" l="1"/>
  <c r="H72" i="1" s="1"/>
  <c r="H74" i="1" s="1"/>
  <c r="G41" i="1"/>
  <c r="H41" i="1" s="1"/>
  <c r="G66" i="1" s="1"/>
  <c r="M23" i="1"/>
  <c r="M25" i="1" s="1"/>
  <c r="N6" i="1" s="1"/>
  <c r="J30" i="1"/>
  <c r="L30" i="1" s="1"/>
  <c r="T14" i="4"/>
  <c r="C24" i="3" s="1"/>
  <c r="C22" i="3"/>
  <c r="O20" i="3"/>
  <c r="R20" i="3"/>
  <c r="J12" i="4"/>
  <c r="T10" i="3"/>
  <c r="Q12" i="4"/>
  <c r="M6" i="4"/>
  <c r="S34" i="3"/>
  <c r="Q34" i="3" s="1"/>
  <c r="P32" i="3"/>
  <c r="P16" i="3"/>
  <c r="Q16" i="3" s="1"/>
  <c r="J38" i="1" l="1"/>
  <c r="J32" i="1"/>
  <c r="J33" i="1"/>
  <c r="J39" i="1"/>
  <c r="J34" i="1"/>
  <c r="J35" i="1"/>
  <c r="J36" i="1"/>
  <c r="J37" i="1"/>
  <c r="N21" i="4"/>
  <c r="H5" i="4"/>
  <c r="M24" i="1"/>
  <c r="N5" i="1" s="1"/>
  <c r="J31" i="1" s="1"/>
  <c r="O24" i="3"/>
  <c r="J14" i="4"/>
  <c r="R24" i="3"/>
  <c r="O22" i="3"/>
  <c r="J13" i="4"/>
  <c r="R22" i="3"/>
  <c r="P33" i="3"/>
  <c r="Q13" i="4"/>
  <c r="M30" i="1"/>
  <c r="S5" i="4" s="1"/>
  <c r="R34" i="3"/>
  <c r="L7" i="4"/>
  <c r="S12" i="3"/>
  <c r="P18" i="3"/>
  <c r="Q18" i="3" s="1"/>
  <c r="N30" i="1" l="1"/>
  <c r="K5" i="4" s="1"/>
  <c r="N5" i="4" s="1"/>
  <c r="P20" i="3"/>
  <c r="Q20" i="3" s="1"/>
  <c r="T12" i="3"/>
  <c r="M7" i="4"/>
  <c r="S36" i="3"/>
  <c r="Q36" i="3" s="1"/>
  <c r="P34" i="3"/>
  <c r="Q14" i="4"/>
  <c r="O5" i="4" l="1"/>
  <c r="F5" i="4"/>
  <c r="P5" i="4"/>
  <c r="G13" i="6"/>
  <c r="L8" i="4"/>
  <c r="S14" i="3"/>
  <c r="P35" i="3"/>
  <c r="P22" i="3"/>
  <c r="Q22" i="3" s="1"/>
  <c r="P24" i="3" s="1"/>
  <c r="Q24" i="3" s="1"/>
  <c r="R36" i="3"/>
  <c r="P36" i="3" s="1"/>
  <c r="G48" i="6" l="1"/>
  <c r="I8" i="28" s="1"/>
  <c r="G42" i="6"/>
  <c r="G6" i="6"/>
  <c r="G38" i="6" s="1"/>
  <c r="I17" i="28" s="1"/>
  <c r="G39" i="6"/>
  <c r="M8" i="4"/>
  <c r="S38" i="3"/>
  <c r="Q38" i="3" s="1"/>
  <c r="T14" i="3"/>
  <c r="P37" i="3"/>
  <c r="K8" i="28" l="1"/>
  <c r="J8" i="28"/>
  <c r="J17" i="28"/>
  <c r="K17" i="28"/>
  <c r="I6" i="28"/>
  <c r="G45" i="6"/>
  <c r="G9" i="6"/>
  <c r="L9" i="4"/>
  <c r="S16" i="3"/>
  <c r="R38" i="3"/>
  <c r="K6" i="28" l="1"/>
  <c r="J6" i="28"/>
  <c r="I7" i="28"/>
  <c r="M9" i="4"/>
  <c r="S40" i="3"/>
  <c r="Q40" i="3" s="1"/>
  <c r="P38" i="3"/>
  <c r="T16" i="3"/>
  <c r="J7" i="28" l="1"/>
  <c r="K7" i="28"/>
  <c r="L10" i="4"/>
  <c r="S18" i="3"/>
  <c r="P39" i="3"/>
  <c r="R40" i="3"/>
  <c r="M10" i="4" l="1"/>
  <c r="S42" i="3"/>
  <c r="Q42" i="3" s="1"/>
  <c r="P40" i="3"/>
  <c r="T18" i="3"/>
  <c r="P41" i="3" l="1"/>
  <c r="L11" i="4"/>
  <c r="S20" i="3"/>
  <c r="R42" i="3"/>
  <c r="P42" i="3" s="1"/>
  <c r="P43" i="3" l="1"/>
  <c r="T20" i="3"/>
  <c r="M11" i="4"/>
  <c r="S44" i="3"/>
  <c r="Q44" i="3" s="1"/>
  <c r="L12" i="4" l="1"/>
  <c r="S22" i="3"/>
  <c r="R44" i="3"/>
  <c r="M12" i="4" l="1"/>
  <c r="P44" i="3"/>
  <c r="S46" i="3"/>
  <c r="Q46" i="3" s="1"/>
  <c r="T22" i="3"/>
  <c r="R46" i="3" l="1"/>
  <c r="P46" i="3" s="1"/>
  <c r="L13" i="4"/>
  <c r="S24" i="3"/>
  <c r="P45" i="3"/>
  <c r="T24" i="3" l="1"/>
  <c r="L14" i="4" s="1"/>
  <c r="M13" i="4"/>
  <c r="S48" i="3"/>
  <c r="Q48" i="3" s="1"/>
  <c r="P47" i="3"/>
  <c r="R48" i="3" l="1"/>
  <c r="M14" i="4" l="1"/>
  <c r="P48" i="3"/>
  <c r="P49" i="3" s="1"/>
  <c r="G1" i="1" l="1"/>
  <c r="C1" i="1"/>
  <c r="Q28" i="1" s="1"/>
  <c r="C1" i="3"/>
  <c r="H30" i="1"/>
  <c r="H31" i="1" s="1"/>
  <c r="H32" i="1" s="1"/>
  <c r="H33" i="1" s="1"/>
  <c r="H34" i="1" s="1"/>
  <c r="H35" i="1" s="1"/>
  <c r="H36" i="1" s="1"/>
  <c r="H37" i="1" s="1"/>
  <c r="H38" i="1" s="1"/>
  <c r="H39" i="1" s="1"/>
  <c r="C58" i="1" l="1"/>
  <c r="X344" i="35"/>
  <c r="X302" i="35"/>
  <c r="C15" i="1" l="1"/>
  <c r="Q35" i="1" s="1"/>
  <c r="I15" i="28" s="1"/>
  <c r="J15" i="28" s="1"/>
  <c r="S4" i="1" l="1"/>
  <c r="Q2" i="1"/>
  <c r="Q10" i="1" s="1"/>
  <c r="M18" i="1" s="1"/>
  <c r="M20" i="1" s="1"/>
  <c r="K16" i="28"/>
  <c r="C20" i="1"/>
  <c r="C22" i="1" s="1"/>
  <c r="H60" i="1" s="1"/>
  <c r="C66" i="1" s="1"/>
  <c r="M17" i="1"/>
  <c r="M19" i="1" s="1"/>
  <c r="J16" i="28"/>
  <c r="K15" i="28"/>
  <c r="M14" i="1"/>
  <c r="Q30" i="1" s="1"/>
  <c r="M21" i="1" l="1"/>
  <c r="N21" i="1" s="1"/>
  <c r="I12" i="28"/>
  <c r="K12" i="28" s="1"/>
  <c r="C34" i="4"/>
  <c r="D35" i="4" s="1"/>
  <c r="D36" i="4" s="1"/>
  <c r="M15" i="1" s="1"/>
  <c r="N13" i="1" s="1"/>
  <c r="K39" i="1" s="1"/>
  <c r="Q29" i="1"/>
  <c r="J12" i="28" l="1"/>
  <c r="I20" i="28" s="1"/>
  <c r="K36" i="1"/>
  <c r="K33" i="1"/>
  <c r="K37" i="1"/>
  <c r="K34" i="1"/>
  <c r="I38" i="1"/>
  <c r="G13" i="4" s="1"/>
  <c r="K32" i="1"/>
  <c r="I37" i="1"/>
  <c r="G12" i="4" s="1"/>
  <c r="I39" i="1"/>
  <c r="G14" i="4" s="1"/>
  <c r="I33" i="1"/>
  <c r="G8" i="4" s="1"/>
  <c r="K38" i="1"/>
  <c r="I32" i="1"/>
  <c r="G7" i="4" s="1"/>
  <c r="I34" i="1"/>
  <c r="G9" i="4" s="1"/>
  <c r="I36" i="1"/>
  <c r="G11" i="4" s="1"/>
  <c r="K31" i="1"/>
  <c r="K35" i="1"/>
  <c r="I31" i="1"/>
  <c r="G6" i="4" s="1"/>
  <c r="I35" i="1"/>
  <c r="G10" i="4" s="1"/>
  <c r="L32" i="1" l="1"/>
  <c r="L38" i="1"/>
  <c r="L36" i="1"/>
  <c r="L34" i="1"/>
  <c r="L37" i="1"/>
  <c r="L39" i="1"/>
  <c r="L33" i="1"/>
  <c r="L35" i="1"/>
  <c r="L31" i="1"/>
  <c r="M31" i="1" s="1"/>
  <c r="S6" i="4" s="1"/>
  <c r="H6" i="4" s="1"/>
  <c r="N31" i="1" l="1"/>
  <c r="K6" i="4" l="1"/>
  <c r="N6" i="4" s="1"/>
  <c r="M32" i="1"/>
  <c r="S7" i="4" l="1"/>
  <c r="H7" i="4" s="1"/>
  <c r="N32" i="1"/>
  <c r="O6" i="4"/>
  <c r="P6" i="4"/>
  <c r="F6" i="4"/>
  <c r="K7" i="4" l="1"/>
  <c r="N7" i="4" s="1"/>
  <c r="M33" i="1"/>
  <c r="S8" i="4" l="1"/>
  <c r="H8" i="4" s="1"/>
  <c r="N33" i="1"/>
  <c r="P7" i="4"/>
  <c r="O7" i="4"/>
  <c r="F7" i="4"/>
  <c r="K8" i="4" l="1"/>
  <c r="N8" i="4" s="1"/>
  <c r="M34" i="1"/>
  <c r="S9" i="4" l="1"/>
  <c r="H9" i="4" s="1"/>
  <c r="N34" i="1"/>
  <c r="O8" i="4"/>
  <c r="P8" i="4"/>
  <c r="F8" i="4"/>
  <c r="K9" i="4" l="1"/>
  <c r="N9" i="4" s="1"/>
  <c r="M35" i="1"/>
  <c r="S10" i="4" l="1"/>
  <c r="H10" i="4" s="1"/>
  <c r="N35" i="1"/>
  <c r="F9" i="4"/>
  <c r="O9" i="4"/>
  <c r="P9" i="4"/>
  <c r="K10" i="4" l="1"/>
  <c r="N10" i="4" s="1"/>
  <c r="M36" i="1"/>
  <c r="S11" i="4" l="1"/>
  <c r="H11" i="4" s="1"/>
  <c r="N36" i="1"/>
  <c r="P10" i="4"/>
  <c r="F10" i="4"/>
  <c r="O10" i="4"/>
  <c r="K11" i="4" l="1"/>
  <c r="N11" i="4" s="1"/>
  <c r="M37" i="1"/>
  <c r="S12" i="4" l="1"/>
  <c r="H12" i="4" s="1"/>
  <c r="N37" i="1"/>
  <c r="O11" i="4"/>
  <c r="P11" i="4"/>
  <c r="F11" i="4"/>
  <c r="K12" i="4" l="1"/>
  <c r="N12" i="4" s="1"/>
  <c r="M38" i="1"/>
  <c r="S13" i="4" l="1"/>
  <c r="H13" i="4" s="1"/>
  <c r="N38" i="1"/>
  <c r="P12" i="4"/>
  <c r="O12" i="4"/>
  <c r="F12" i="4"/>
  <c r="K13" i="4" l="1"/>
  <c r="N13" i="4" s="1"/>
  <c r="M39" i="1"/>
  <c r="S14" i="4" l="1"/>
  <c r="H14" i="4" s="1"/>
  <c r="N39" i="1"/>
  <c r="K14" i="4" s="1"/>
  <c r="N14" i="4" s="1"/>
  <c r="P13" i="4"/>
  <c r="F13" i="4"/>
  <c r="O13" i="4"/>
  <c r="P14" i="4" l="1"/>
  <c r="O14" i="4"/>
  <c r="F14" i="4"/>
  <c r="F16"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AC12" authorId="0" shapeId="0" xr:uid="{00000000-0006-0000-0000-000001000000}">
      <text>
        <r>
          <rPr>
            <b/>
            <sz val="9"/>
            <color indexed="81"/>
            <rFont val="Tahoma"/>
            <family val="2"/>
          </rPr>
          <t>Handmatige bijstelling rentestijging</t>
        </r>
      </text>
    </comment>
    <comment ref="AC13" authorId="0" shapeId="0" xr:uid="{00000000-0006-0000-0000-000002000000}">
      <text>
        <r>
          <rPr>
            <b/>
            <sz val="9"/>
            <color indexed="81"/>
            <rFont val="Tahoma"/>
            <family val="2"/>
          </rPr>
          <t>Handmatige bijstelling rentestijging</t>
        </r>
      </text>
    </comment>
    <comment ref="AC14" authorId="0" shapeId="0" xr:uid="{00000000-0006-0000-0000-000003000000}">
      <text>
        <r>
          <rPr>
            <b/>
            <sz val="9"/>
            <color indexed="81"/>
            <rFont val="Tahoma"/>
            <family val="2"/>
          </rPr>
          <t>Handmatige bijstelling rentestijging</t>
        </r>
      </text>
    </comment>
    <comment ref="AC19" authorId="0" shapeId="0" xr:uid="{00000000-0006-0000-0000-000004000000}">
      <text>
        <r>
          <rPr>
            <b/>
            <sz val="9"/>
            <color indexed="81"/>
            <rFont val="Tahoma"/>
            <family val="2"/>
          </rPr>
          <t>Handmatige bijstelling investeringsruimte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Z1" authorId="0" shapeId="0" xr:uid="{00000000-0006-0000-0200-000001000000}">
      <text>
        <r>
          <rPr>
            <b/>
            <sz val="9"/>
            <color indexed="81"/>
            <rFont val="Tahoma"/>
            <family val="2"/>
          </rPr>
          <t>Jan van der Lei:</t>
        </r>
        <r>
          <rPr>
            <sz val="9"/>
            <color indexed="81"/>
            <rFont val="Tahoma"/>
            <family val="2"/>
          </rPr>
          <t xml:space="preserve">
Bron: DNB gemiddelde rente tien jaars staatslening.</t>
        </r>
      </text>
    </comment>
    <comment ref="AA1" authorId="0" shapeId="0" xr:uid="{00000000-0006-0000-0200-000002000000}">
      <text>
        <r>
          <rPr>
            <sz val="9"/>
            <color indexed="81"/>
            <rFont val="Tahoma"/>
            <family val="2"/>
          </rPr>
          <t>spread in overeenkomst BNG is 0,35% -  0,4% t.o.v. staats 10 jaar en 0,6 staats 15 jaar.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N13" authorId="0" shapeId="0" xr:uid="{00000000-0006-0000-0300-000001000000}">
      <text>
        <r>
          <rPr>
            <b/>
            <sz val="9"/>
            <color indexed="81"/>
            <rFont val="Tahoma"/>
            <family val="2"/>
          </rPr>
          <t>Jan van der Lei:</t>
        </r>
        <r>
          <rPr>
            <sz val="9"/>
            <color indexed="81"/>
            <rFont val="Tahoma"/>
            <family val="2"/>
          </rPr>
          <t xml:space="preserve">
Invulling inkomstenverhoging 1 / 5 deel belastingverhoging per jaar i.v.m. noemereffect schuldquote.</t>
        </r>
      </text>
    </comment>
    <comment ref="K31" authorId="0" shapeId="0" xr:uid="{00000000-0006-0000-0300-000002000000}">
      <text>
        <r>
          <rPr>
            <b/>
            <sz val="9"/>
            <color indexed="81"/>
            <rFont val="Tahoma"/>
            <family val="2"/>
          </rPr>
          <t>Jan van der Lei:</t>
        </r>
        <r>
          <rPr>
            <sz val="9"/>
            <color indexed="81"/>
            <rFont val="Tahoma"/>
            <family val="2"/>
          </rPr>
          <t xml:space="preserve">
Boven 0,5 ombuigingspotentieel correctie voor opplussen inkomsten met benutting belastingcapaciteit. </t>
        </r>
      </text>
    </comment>
    <comment ref="H41" authorId="0" shapeId="0" xr:uid="{00000000-0006-0000-0300-000003000000}">
      <text>
        <r>
          <rPr>
            <b/>
            <sz val="9"/>
            <color indexed="81"/>
            <rFont val="Tahoma"/>
            <family val="2"/>
          </rPr>
          <t xml:space="preserve">correctie voor berekening juiste groeipercentage uitgaven </t>
        </r>
      </text>
    </comment>
    <comment ref="H60" authorId="0" shapeId="0" xr:uid="{00000000-0006-0000-0300-000004000000}">
      <text>
        <r>
          <rPr>
            <b/>
            <sz val="9"/>
            <color indexed="81"/>
            <rFont val="Tahoma"/>
            <family val="2"/>
          </rPr>
          <t>correctie voor berekening juiste groeipercentage inkomsten</t>
        </r>
      </text>
    </comment>
    <comment ref="H70" authorId="0" shapeId="0" xr:uid="{00000000-0006-0000-0300-000005000000}">
      <text>
        <r>
          <rPr>
            <b/>
            <sz val="9"/>
            <color indexed="81"/>
            <rFont val="Tahoma"/>
            <family val="2"/>
          </rPr>
          <t>Jan van der Lei:</t>
        </r>
        <r>
          <rPr>
            <sz val="9"/>
            <color indexed="81"/>
            <rFont val="Tahoma"/>
            <family val="2"/>
          </rPr>
          <t xml:space="preserve">
half jaar rente over financieringsresulltaat exploitatie exlcusief rente over rente</t>
        </r>
      </text>
    </comment>
    <comment ref="H71" authorId="0" shapeId="0" xr:uid="{00000000-0006-0000-0300-000006000000}">
      <text>
        <r>
          <rPr>
            <b/>
            <sz val="9"/>
            <color indexed="81"/>
            <rFont val="Tahoma"/>
            <family val="2"/>
          </rPr>
          <t>Jan van der Lei:</t>
        </r>
        <r>
          <rPr>
            <sz val="9"/>
            <color indexed="81"/>
            <rFont val="Tahoma"/>
            <family val="2"/>
          </rPr>
          <t xml:space="preserve">
Dit is het renteresultaat over financieringsstroom exploitatie</t>
        </r>
      </text>
    </comment>
    <comment ref="H72" authorId="0" shapeId="0" xr:uid="{00000000-0006-0000-0300-000007000000}">
      <text>
        <r>
          <rPr>
            <b/>
            <sz val="9"/>
            <color indexed="81"/>
            <rFont val="Tahoma"/>
            <family val="2"/>
          </rPr>
          <t>Jan van der Lei:</t>
        </r>
        <r>
          <rPr>
            <sz val="9"/>
            <color indexed="81"/>
            <rFont val="Tahoma"/>
            <family val="2"/>
          </rPr>
          <t xml:space="preserve">
benodigde correctie voor rente over rente. (verwaarloosbare afwijking).
</t>
        </r>
      </text>
    </comment>
    <comment ref="H73" authorId="0" shapeId="0" xr:uid="{00000000-0006-0000-0300-000008000000}">
      <text>
        <r>
          <rPr>
            <b/>
            <sz val="9"/>
            <color indexed="81"/>
            <rFont val="Tahoma"/>
            <family val="2"/>
          </rPr>
          <t>Jan van der Lei:</t>
        </r>
        <r>
          <rPr>
            <sz val="9"/>
            <color indexed="81"/>
            <rFont val="Tahoma"/>
            <family val="2"/>
          </rPr>
          <t xml:space="preserve">
rente over het renteresultaat inkomsten en uitgaven plus correctie rente mutatie voorzieningen</t>
        </r>
      </text>
    </comment>
    <comment ref="H74" authorId="0" shapeId="0" xr:uid="{924355CE-A186-4040-8499-7E636EEC3508}">
      <text>
        <r>
          <rPr>
            <b/>
            <sz val="9"/>
            <color indexed="81"/>
            <rFont val="Tahoma"/>
            <family val="2"/>
          </rPr>
          <t>Jan van der Lei:</t>
        </r>
        <r>
          <rPr>
            <sz val="9"/>
            <color indexed="81"/>
            <rFont val="Tahoma"/>
            <family val="2"/>
          </rPr>
          <t xml:space="preserve">
afwijking in procenten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AF1" authorId="0" shapeId="0" xr:uid="{60574BA9-1C94-4EF6-ABC7-98545737402D}">
      <text>
        <r>
          <rPr>
            <b/>
            <sz val="9"/>
            <color indexed="81"/>
            <rFont val="Tahoma"/>
            <family val="2"/>
          </rPr>
          <t>Jan van der Lei:</t>
        </r>
        <r>
          <rPr>
            <sz val="9"/>
            <color indexed="81"/>
            <rFont val="Tahoma"/>
            <family val="2"/>
          </rPr>
          <t xml:space="preserve">
balanstotaal 2022
im- materiele activa</t>
        </r>
      </text>
    </comment>
    <comment ref="AF2" authorId="0" shapeId="0" xr:uid="{6A8523F2-F329-449B-BC6F-D6E48B92B1EA}">
      <text>
        <r>
          <rPr>
            <b/>
            <sz val="9"/>
            <color indexed="81"/>
            <rFont val="Tahoma"/>
            <family val="2"/>
          </rPr>
          <t>Jan van der Lei:</t>
        </r>
        <r>
          <rPr>
            <sz val="9"/>
            <color indexed="81"/>
            <rFont val="Tahoma"/>
            <family val="2"/>
          </rPr>
          <t xml:space="preserve">
balanstotaal 2023
imateriele en materiele activa</t>
        </r>
      </text>
    </comment>
    <comment ref="AF3" authorId="0" shapeId="0" xr:uid="{AC84CCA2-59EF-4345-8E51-CF3E7EFCA68B}">
      <text>
        <r>
          <rPr>
            <b/>
            <sz val="9"/>
            <color indexed="81"/>
            <rFont val="Tahoma"/>
            <family val="2"/>
          </rPr>
          <t>Jan van der Lei:</t>
        </r>
        <r>
          <rPr>
            <sz val="9"/>
            <color indexed="81"/>
            <rFont val="Tahoma"/>
            <family val="2"/>
          </rPr>
          <t xml:space="preserve">
toename balanstotaal immateriele en materiele activa</t>
        </r>
      </text>
    </comment>
    <comment ref="AF4" authorId="0" shapeId="0" xr:uid="{9B72F268-D67F-4BC8-990F-F0FEE8DF29A0}">
      <text>
        <r>
          <rPr>
            <b/>
            <sz val="9"/>
            <color indexed="81"/>
            <rFont val="Tahoma"/>
            <family val="2"/>
          </rPr>
          <t>Jan van der Lei:</t>
        </r>
        <r>
          <rPr>
            <sz val="9"/>
            <color indexed="81"/>
            <rFont val="Tahoma"/>
            <family val="2"/>
          </rPr>
          <t xml:space="preserve">
afschrijvingen 2023</t>
        </r>
      </text>
    </comment>
    <comment ref="AF5" authorId="0" shapeId="0" xr:uid="{C954566B-E9FD-469F-A5DC-EC1790DEC693}">
      <text>
        <r>
          <rPr>
            <b/>
            <sz val="9"/>
            <color indexed="81"/>
            <rFont val="Tahoma"/>
            <family val="2"/>
          </rPr>
          <t>Jan van der Lei:</t>
        </r>
        <r>
          <rPr>
            <sz val="9"/>
            <color indexed="81"/>
            <rFont val="Tahoma"/>
            <family val="2"/>
          </rPr>
          <t xml:space="preserve">
bruto investeringen</t>
        </r>
      </text>
    </comment>
    <comment ref="AG5" authorId="0" shapeId="0" xr:uid="{BF9E5696-A71B-45DF-9B5F-F4B36F602E8D}">
      <text>
        <r>
          <rPr>
            <b/>
            <sz val="9"/>
            <color indexed="81"/>
            <rFont val="Tahoma"/>
            <family val="2"/>
          </rPr>
          <t>Jan van der Lei:</t>
        </r>
        <r>
          <rPr>
            <sz val="9"/>
            <color indexed="81"/>
            <rFont val="Tahoma"/>
            <family val="2"/>
          </rPr>
          <t xml:space="preserve">
Bruto investeringen NR als aandeel bbp in 2007</t>
        </r>
      </text>
    </comment>
    <comment ref="AF6" authorId="0" shapeId="0" xr:uid="{D96F7135-FA4B-415B-A364-7838069B6D74}">
      <text>
        <r>
          <rPr>
            <b/>
            <sz val="9"/>
            <color indexed="81"/>
            <rFont val="Tahoma"/>
            <family val="2"/>
          </rPr>
          <t>Jan van der Lei:</t>
        </r>
        <r>
          <rPr>
            <sz val="9"/>
            <color indexed="81"/>
            <rFont val="Tahoma"/>
            <family val="2"/>
          </rPr>
          <t xml:space="preserve">
inwonertal eind 2022</t>
        </r>
      </text>
    </comment>
    <comment ref="AG6" authorId="0" shapeId="0" xr:uid="{75AA4F83-145A-41D4-943C-706F8214CAE2}">
      <text>
        <r>
          <rPr>
            <b/>
            <sz val="9"/>
            <color indexed="81"/>
            <rFont val="Tahoma"/>
            <family val="2"/>
          </rPr>
          <t>Jan van der Lei:</t>
        </r>
        <r>
          <rPr>
            <sz val="9"/>
            <color indexed="81"/>
            <rFont val="Tahoma"/>
            <family val="2"/>
          </rPr>
          <t xml:space="preserve">
inwonertal eind 2021</t>
        </r>
      </text>
    </comment>
    <comment ref="AF7" authorId="0" shapeId="0" xr:uid="{59037682-D37A-4BF4-8FC9-20B86E7F5E14}">
      <text>
        <r>
          <rPr>
            <b/>
            <sz val="9"/>
            <color indexed="81"/>
            <rFont val="Tahoma"/>
            <family val="2"/>
          </rPr>
          <t>Jan van der Lei:</t>
        </r>
        <r>
          <rPr>
            <sz val="9"/>
            <color indexed="81"/>
            <rFont val="Tahoma"/>
            <family val="2"/>
          </rPr>
          <t xml:space="preserve">
investeringen per inwoner 2023</t>
        </r>
      </text>
    </comment>
    <comment ref="AG7" authorId="0" shapeId="0" xr:uid="{8CA1388A-2B0E-4366-A8FA-9668BC98FDBE}">
      <text>
        <r>
          <rPr>
            <b/>
            <sz val="9"/>
            <color indexed="81"/>
            <rFont val="Tahoma"/>
            <family val="2"/>
          </rPr>
          <t>Jan van der Lei:</t>
        </r>
        <r>
          <rPr>
            <sz val="9"/>
            <color indexed="81"/>
            <rFont val="Tahoma"/>
            <family val="2"/>
          </rPr>
          <t xml:space="preserve">
bruto investeringen normaal</t>
        </r>
      </text>
    </comment>
    <comment ref="AF8" authorId="0" shapeId="0" xr:uid="{2AFAFAEF-CBFD-4ECF-A6F5-A76E47FACE06}">
      <text>
        <r>
          <rPr>
            <b/>
            <sz val="9"/>
            <color indexed="81"/>
            <rFont val="Tahoma"/>
            <family val="2"/>
          </rPr>
          <t>Jan van der Lei:</t>
        </r>
        <r>
          <rPr>
            <sz val="9"/>
            <color indexed="81"/>
            <rFont val="Tahoma"/>
            <family val="2"/>
          </rPr>
          <t xml:space="preserve">
Bruto investeringen uitgedrukt als % aandeel van bbp 2023</t>
        </r>
      </text>
    </comment>
    <comment ref="AG8" authorId="0" shapeId="0" xr:uid="{14FBCDD9-502E-424C-A598-8EF4DADA7D54}">
      <text>
        <r>
          <rPr>
            <b/>
            <sz val="9"/>
            <color indexed="81"/>
            <rFont val="Tahoma"/>
            <family val="2"/>
          </rPr>
          <t>Jan van der Lei:</t>
        </r>
        <r>
          <rPr>
            <sz val="9"/>
            <color indexed="81"/>
            <rFont val="Tahoma"/>
            <family val="2"/>
          </rPr>
          <t xml:space="preserve">
Bruto investeringen per inwoner 2021</t>
        </r>
      </text>
    </comment>
    <comment ref="AF9" authorId="0" shapeId="0" xr:uid="{7F67C273-BEF0-49EB-9488-01D47D82D9D9}">
      <text>
        <r>
          <rPr>
            <b/>
            <sz val="9"/>
            <color indexed="81"/>
            <rFont val="Tahoma"/>
            <family val="2"/>
          </rPr>
          <t>Jan van der Lei:</t>
        </r>
        <r>
          <rPr>
            <sz val="9"/>
            <color indexed="81"/>
            <rFont val="Tahoma"/>
            <family val="2"/>
          </rPr>
          <t xml:space="preserve">
Invest/inw 2021 NR</t>
        </r>
      </text>
    </comment>
    <comment ref="AF10" authorId="0" shapeId="0" xr:uid="{BE0C370A-3AE9-475E-A19E-C95C884BF834}">
      <text>
        <r>
          <rPr>
            <b/>
            <sz val="9"/>
            <color indexed="81"/>
            <rFont val="Tahoma"/>
            <family val="2"/>
          </rPr>
          <t>Jan van der Lei:</t>
        </r>
        <r>
          <rPr>
            <sz val="9"/>
            <color indexed="81"/>
            <rFont val="Tahoma"/>
            <family val="2"/>
          </rPr>
          <t xml:space="preserve">
invest/inw 2007 NR</t>
        </r>
      </text>
    </comment>
    <comment ref="AF11" authorId="0" shapeId="0" xr:uid="{3A6C094D-CB62-4ACC-9980-0CBDB2E99AE4}">
      <text>
        <r>
          <rPr>
            <b/>
            <sz val="9"/>
            <color indexed="81"/>
            <rFont val="Tahoma"/>
            <family val="2"/>
          </rPr>
          <t>Jan van der Lei:</t>
        </r>
        <r>
          <rPr>
            <sz val="9"/>
            <color indexed="81"/>
            <rFont val="Tahoma"/>
            <family val="2"/>
          </rPr>
          <t xml:space="preserve">
Verschil met administratie NR 2007 met NR 2021</t>
        </r>
      </text>
    </comment>
    <comment ref="AF12" authorId="0" shapeId="0" xr:uid="{1DC9FADC-AB01-4FFD-A79E-178DCE0CDC1A}">
      <text>
        <r>
          <rPr>
            <b/>
            <sz val="9"/>
            <color indexed="81"/>
            <rFont val="Tahoma"/>
            <family val="2"/>
          </rPr>
          <t>Jan van der Lei:</t>
        </r>
        <r>
          <rPr>
            <sz val="9"/>
            <color indexed="81"/>
            <rFont val="Tahoma"/>
            <family val="2"/>
          </rPr>
          <t xml:space="preserve">
investeringen per inwoner 2021 met correctie verschil NR 2008/ NR 2020</t>
        </r>
      </text>
    </comment>
    <comment ref="AF14" authorId="0" shapeId="0" xr:uid="{ED68D6C4-BFFB-4BC3-9DAD-05730C3584A7}">
      <text>
        <r>
          <rPr>
            <b/>
            <sz val="9"/>
            <color indexed="81"/>
            <rFont val="Tahoma"/>
            <family val="2"/>
          </rPr>
          <t>Jan van der Lei:</t>
        </r>
        <r>
          <rPr>
            <sz val="9"/>
            <color indexed="81"/>
            <rFont val="Tahoma"/>
            <family val="2"/>
          </rPr>
          <t xml:space="preserve">
invest per inw 2023 maal iboi 2024</t>
        </r>
      </text>
    </comment>
    <comment ref="AF15" authorId="0" shapeId="0" xr:uid="{46643D23-08C3-4011-B014-4E9BC47B2662}">
      <text>
        <r>
          <rPr>
            <b/>
            <sz val="9"/>
            <color indexed="81"/>
            <rFont val="Tahoma"/>
            <family val="2"/>
          </rPr>
          <t>Jan van der Lei:</t>
        </r>
        <r>
          <rPr>
            <sz val="9"/>
            <color indexed="81"/>
            <rFont val="Tahoma"/>
            <family val="2"/>
          </rPr>
          <t xml:space="preserve">
invest per inwon 2024 * iboi 2025</t>
        </r>
      </text>
    </comment>
    <comment ref="O29" authorId="0" shapeId="0" xr:uid="{00000000-0006-0000-0600-000004000000}">
      <text>
        <r>
          <rPr>
            <b/>
            <sz val="9"/>
            <color indexed="81"/>
            <rFont val="Tahoma"/>
            <family val="2"/>
          </rPr>
          <t>Jan van der Lei:</t>
        </r>
        <r>
          <rPr>
            <sz val="9"/>
            <color indexed="81"/>
            <rFont val="Tahoma"/>
            <family val="2"/>
          </rPr>
          <t xml:space="preserve">
Alleen Groesbeek in cijfers opendata 2015</t>
        </r>
      </text>
    </comment>
    <comment ref="P29" authorId="0" shapeId="0" xr:uid="{00000000-0006-0000-0600-000005000000}">
      <text>
        <r>
          <rPr>
            <b/>
            <sz val="9"/>
            <color indexed="81"/>
            <rFont val="Tahoma"/>
            <family val="2"/>
          </rPr>
          <t>Jan van der Lei:</t>
        </r>
        <r>
          <rPr>
            <sz val="9"/>
            <color indexed="81"/>
            <rFont val="Tahoma"/>
            <family val="2"/>
          </rPr>
          <t xml:space="preserve">
alleen Groesbeek in cijfers opendata 2015</t>
        </r>
      </text>
    </comment>
    <comment ref="O58" authorId="0" shapeId="0" xr:uid="{00000000-0006-0000-0600-000006000000}">
      <text>
        <r>
          <rPr>
            <b/>
            <sz val="9"/>
            <color indexed="81"/>
            <rFont val="Tahoma"/>
            <family val="2"/>
          </rPr>
          <t>Jan van der Lei:</t>
        </r>
        <r>
          <rPr>
            <sz val="9"/>
            <color indexed="81"/>
            <rFont val="Tahoma"/>
            <family val="2"/>
          </rPr>
          <t xml:space="preserve">
gemeente en cijfer ontbreken in opendata cbs 2015</t>
        </r>
      </text>
    </comment>
    <comment ref="P58" authorId="0" shapeId="0" xr:uid="{00000000-0006-0000-0600-000007000000}">
      <text>
        <r>
          <rPr>
            <b/>
            <sz val="9"/>
            <color indexed="81"/>
            <rFont val="Tahoma"/>
            <family val="2"/>
          </rPr>
          <t>Jan van der Lei:</t>
        </r>
        <r>
          <rPr>
            <sz val="9"/>
            <color indexed="81"/>
            <rFont val="Tahoma"/>
            <family val="2"/>
          </rPr>
          <t xml:space="preserve">
gemeente en cijfer ontbreken in opendata 2015 cbs</t>
        </r>
      </text>
    </comment>
    <comment ref="W122" authorId="0" shapeId="0" xr:uid="{00000000-0006-0000-0600-000008000000}">
      <text>
        <r>
          <rPr>
            <b/>
            <sz val="9"/>
            <color indexed="81"/>
            <rFont val="Tahoma"/>
            <family val="2"/>
          </rPr>
          <t>Jan van der Lei:</t>
        </r>
        <r>
          <rPr>
            <sz val="9"/>
            <color indexed="81"/>
            <rFont val="Tahoma"/>
            <family val="2"/>
          </rPr>
          <t xml:space="preserve">
5742494 + BH
578572</t>
        </r>
      </text>
    </comment>
    <comment ref="AS296" authorId="0" shapeId="0" xr:uid="{C243D167-30BE-4C65-AD06-44A7821E9742}">
      <text>
        <r>
          <rPr>
            <b/>
            <sz val="9"/>
            <color indexed="81"/>
            <rFont val="Tahoma"/>
            <family val="2"/>
          </rPr>
          <t>Jan van der Lei:</t>
        </r>
        <r>
          <rPr>
            <sz val="9"/>
            <color indexed="81"/>
            <rFont val="Tahoma"/>
            <family val="2"/>
          </rPr>
          <t xml:space="preserve">
2017</t>
        </r>
      </text>
    </comment>
    <comment ref="AR308" authorId="0" shapeId="0" xr:uid="{F8C273B4-AF30-4F08-BF45-45CD972B7AE3}">
      <text>
        <r>
          <rPr>
            <b/>
            <sz val="9"/>
            <color indexed="81"/>
            <rFont val="Tahoma"/>
            <family val="2"/>
          </rPr>
          <t>Jan van der Lei:</t>
        </r>
        <r>
          <rPr>
            <sz val="9"/>
            <color indexed="81"/>
            <rFont val="Tahoma"/>
            <family val="2"/>
          </rPr>
          <t xml:space="preserve">
2018</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D375" authorId="0" shapeId="0" xr:uid="{0FBAA3F7-7C6A-40E6-8582-BA7869369600}">
      <text>
        <r>
          <rPr>
            <b/>
            <sz val="9"/>
            <color indexed="81"/>
            <rFont val="Tahoma"/>
            <family val="2"/>
          </rPr>
          <t>Jan van der Lei:</t>
        </r>
        <r>
          <rPr>
            <sz val="9"/>
            <color indexed="81"/>
            <rFont val="Tahoma"/>
            <family val="2"/>
          </rPr>
          <t xml:space="preserve">
aangepast van hoog</t>
        </r>
      </text>
    </comment>
    <comment ref="D380" authorId="0" shapeId="0" xr:uid="{12E1ADD9-90BF-44EF-A12B-0A7AB35B4E9B}">
      <text>
        <r>
          <rPr>
            <b/>
            <sz val="9"/>
            <color indexed="81"/>
            <rFont val="Tahoma"/>
            <family val="2"/>
          </rPr>
          <t>Jan van der Lei:</t>
        </r>
        <r>
          <rPr>
            <sz val="9"/>
            <color indexed="81"/>
            <rFont val="Tahoma"/>
            <family val="2"/>
          </rPr>
          <t xml:space="preserve">
aangepast van hoog</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M58" authorId="0" shapeId="0" xr:uid="{422DC9D2-219D-4501-8E65-010807407D4C}">
      <text>
        <r>
          <rPr>
            <b/>
            <sz val="9"/>
            <color indexed="81"/>
            <rFont val="Tahoma"/>
            <family val="2"/>
          </rPr>
          <t>Jan van der Lei:</t>
        </r>
        <r>
          <rPr>
            <sz val="9"/>
            <color indexed="81"/>
            <rFont val="Tahoma"/>
            <family val="2"/>
          </rPr>
          <t xml:space="preserve">
51000000
</t>
        </r>
      </text>
    </comment>
    <comment ref="M62" authorId="0" shapeId="0" xr:uid="{D83756BC-3685-461C-B2B8-3CB9CBCF0786}">
      <text>
        <r>
          <rPr>
            <b/>
            <sz val="9"/>
            <color indexed="81"/>
            <rFont val="Tahoma"/>
            <family val="2"/>
          </rPr>
          <t>Jan van der Lei:</t>
        </r>
        <r>
          <rPr>
            <sz val="9"/>
            <color indexed="81"/>
            <rFont val="Tahoma"/>
            <family val="2"/>
          </rPr>
          <t xml:space="preserve">
schatting</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P1" authorId="0" shapeId="0" xr:uid="{E5FAA4F9-8892-4209-9D65-15842DE0BC7D}">
      <text>
        <r>
          <rPr>
            <b/>
            <sz val="9"/>
            <color indexed="81"/>
            <rFont val="Tahoma"/>
            <family val="2"/>
          </rPr>
          <t>Jan van der Lei:</t>
        </r>
        <r>
          <rPr>
            <sz val="9"/>
            <color indexed="81"/>
            <rFont val="Tahoma"/>
            <family val="2"/>
          </rPr>
          <t xml:space="preserve">
WOZ waarde 2023 vlgs waarderingskamer</t>
        </r>
      </text>
    </comment>
    <comment ref="Q1" authorId="0" shapeId="0" xr:uid="{F0552805-93D0-4E51-9DA9-4E43696AB172}">
      <text>
        <r>
          <rPr>
            <b/>
            <sz val="9"/>
            <color indexed="81"/>
            <rFont val="Tahoma"/>
            <family val="2"/>
          </rPr>
          <t>Jan van der Lei:</t>
        </r>
        <r>
          <rPr>
            <sz val="9"/>
            <color indexed="81"/>
            <rFont val="Tahoma"/>
            <family val="2"/>
          </rPr>
          <t xml:space="preserve">
WOZ waarde 2023 vlgs waarderingskamer</t>
        </r>
      </text>
    </comment>
    <comment ref="R1" authorId="0" shapeId="0" xr:uid="{7A635561-F816-4D3D-8B4B-95A3734538AE}">
      <text>
        <r>
          <rPr>
            <b/>
            <sz val="9"/>
            <color indexed="81"/>
            <rFont val="Tahoma"/>
            <family val="2"/>
          </rPr>
          <t>Jan van der Lei:</t>
        </r>
        <r>
          <rPr>
            <sz val="9"/>
            <color indexed="81"/>
            <rFont val="Tahoma"/>
            <family val="2"/>
          </rPr>
          <t xml:space="preserve">
Waarde niet woningen volgs waarderingskamer gecorrigeerd voor verhoudingen in verdeelmodel Gf.</t>
        </r>
      </text>
    </comment>
    <comment ref="S1" authorId="0" shapeId="0" xr:uid="{6CEF7508-A4EE-433A-B4BB-345D4BD2E0AA}">
      <text>
        <r>
          <rPr>
            <b/>
            <sz val="9"/>
            <color indexed="81"/>
            <rFont val="Tahoma"/>
            <family val="2"/>
          </rPr>
          <t>Jan van der Lei:</t>
        </r>
        <r>
          <rPr>
            <sz val="9"/>
            <color indexed="81"/>
            <rFont val="Tahoma"/>
            <family val="2"/>
          </rPr>
          <t xml:space="preserve">
Redelijk peil 2023 vlgs meicirculaire 2022</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P1" authorId="0" shapeId="0" xr:uid="{7C4A9BCD-9290-46E1-AACC-9B754105DCEA}">
      <text>
        <r>
          <rPr>
            <b/>
            <sz val="9"/>
            <color indexed="81"/>
            <rFont val="Tahoma"/>
            <family val="2"/>
          </rPr>
          <t>Jan van der Lei:</t>
        </r>
        <r>
          <rPr>
            <sz val="9"/>
            <color indexed="81"/>
            <rFont val="Tahoma"/>
            <family val="2"/>
          </rPr>
          <t xml:space="preserve">
Waarde vlgs waarderingskamer</t>
        </r>
      </text>
    </comment>
    <comment ref="Q1" authorId="0" shapeId="0" xr:uid="{0254EC7C-9040-49AA-A768-434046D2F4B4}">
      <text>
        <r>
          <rPr>
            <b/>
            <sz val="9"/>
            <color indexed="81"/>
            <rFont val="Tahoma"/>
            <family val="2"/>
          </rPr>
          <t>Jan van der Lei:</t>
        </r>
        <r>
          <rPr>
            <sz val="9"/>
            <color indexed="81"/>
            <rFont val="Tahoma"/>
            <family val="2"/>
          </rPr>
          <t xml:space="preserve">
Waarde vlgs waarderingskamer</t>
        </r>
      </text>
    </comment>
    <comment ref="R1" authorId="0" shapeId="0" xr:uid="{36802D7B-35B6-4423-8129-49A36FE484F7}">
      <text>
        <r>
          <rPr>
            <b/>
            <sz val="9"/>
            <color indexed="81"/>
            <rFont val="Tahoma"/>
            <family val="2"/>
          </rPr>
          <t>Jan van der Lei:</t>
        </r>
        <r>
          <rPr>
            <sz val="9"/>
            <color indexed="81"/>
            <rFont val="Tahoma"/>
            <family val="2"/>
          </rPr>
          <t xml:space="preserve">
Aandeel vlgs spreadsheet septembercirculaire 2024</t>
        </r>
      </text>
    </comment>
    <comment ref="S1" authorId="0" shapeId="0" xr:uid="{56077EAB-5314-4AB5-8AB4-4E19088CCD57}">
      <text>
        <r>
          <rPr>
            <b/>
            <sz val="9"/>
            <color indexed="81"/>
            <rFont val="Tahoma"/>
            <family val="2"/>
          </rPr>
          <t>Jan van der Lei:</t>
        </r>
        <r>
          <rPr>
            <sz val="9"/>
            <color indexed="81"/>
            <rFont val="Tahoma"/>
            <family val="2"/>
          </rPr>
          <t xml:space="preserve">
meicirculaire 2023 blz. 35</t>
        </r>
      </text>
    </comment>
    <comment ref="B296" authorId="0" shapeId="0" xr:uid="{C506C23B-8207-4726-A315-C37E92A0C5D8}">
      <text>
        <r>
          <rPr>
            <b/>
            <sz val="9"/>
            <color indexed="81"/>
            <rFont val="Tahoma"/>
            <family val="2"/>
          </rPr>
          <t>Jan van der Lei:</t>
        </r>
        <r>
          <rPr>
            <sz val="9"/>
            <color indexed="81"/>
            <rFont val="Tahoma"/>
            <family val="2"/>
          </rPr>
          <t xml:space="preserve">
cijfers 2023</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S1" authorId="0" shapeId="0" xr:uid="{9B148470-4644-4B60-9DC7-3128485186F4}">
      <text>
        <r>
          <rPr>
            <b/>
            <sz val="9"/>
            <color indexed="81"/>
            <rFont val="Tahoma"/>
            <family val="2"/>
          </rPr>
          <t>Jan van der Lei:</t>
        </r>
        <r>
          <rPr>
            <sz val="9"/>
            <color indexed="81"/>
            <rFont val="Tahoma"/>
            <family val="2"/>
          </rPr>
          <t xml:space="preserve">
Meicirculaire 2024 blz 44</t>
        </r>
      </text>
    </comment>
    <comment ref="V62" authorId="0" shapeId="0" xr:uid="{E2D59207-198D-45B8-8794-32FE9690BC1A}">
      <text>
        <r>
          <rPr>
            <b/>
            <sz val="9"/>
            <color indexed="81"/>
            <rFont val="Tahoma"/>
            <family val="2"/>
          </rPr>
          <t>Jan van der Lei:</t>
        </r>
        <r>
          <rPr>
            <sz val="9"/>
            <color indexed="81"/>
            <rFont val="Tahoma"/>
            <family val="2"/>
          </rPr>
          <t xml:space="preserve">
begroting 2024</t>
        </r>
      </text>
    </comment>
    <comment ref="V157" authorId="0" shapeId="0" xr:uid="{5B7CC754-C9C9-4103-84EA-BD2C5D5E0BFD}">
      <text>
        <r>
          <rPr>
            <b/>
            <sz val="9"/>
            <color indexed="81"/>
            <rFont val="Tahoma"/>
            <family val="2"/>
          </rPr>
          <t>Jan van der Lei:</t>
        </r>
        <r>
          <rPr>
            <sz val="9"/>
            <color indexed="81"/>
            <rFont val="Tahoma"/>
            <family val="2"/>
          </rPr>
          <t xml:space="preserve">
baten begroting 2024</t>
        </r>
      </text>
    </comment>
    <comment ref="V184" authorId="0" shapeId="0" xr:uid="{DBA3E633-AF7D-49AE-B7F7-8C5B4B677DC0}">
      <text>
        <r>
          <rPr>
            <b/>
            <sz val="9"/>
            <color indexed="81"/>
            <rFont val="Tahoma"/>
            <family val="2"/>
          </rPr>
          <t>Jan van der Lei:</t>
        </r>
        <r>
          <rPr>
            <sz val="9"/>
            <color indexed="81"/>
            <rFont val="Tahoma"/>
            <family val="2"/>
          </rPr>
          <t xml:space="preserve">
Baten begroting 2024</t>
        </r>
      </text>
    </comment>
    <comment ref="V296" authorId="0" shapeId="0" xr:uid="{B9D6A3C3-3BBF-4E24-93CC-AF43CAC968BF}">
      <text>
        <r>
          <rPr>
            <b/>
            <sz val="9"/>
            <color indexed="81"/>
            <rFont val="Tahoma"/>
            <family val="2"/>
          </rPr>
          <t>Jan van der Lei:</t>
        </r>
        <r>
          <rPr>
            <sz val="9"/>
            <color indexed="81"/>
            <rFont val="Tahoma"/>
            <family val="2"/>
          </rPr>
          <t xml:space="preserve">
Baten 2023</t>
        </r>
      </text>
    </comment>
  </commentList>
</comments>
</file>

<file path=xl/sharedStrings.xml><?xml version="1.0" encoding="utf-8"?>
<sst xmlns="http://schemas.openxmlformats.org/spreadsheetml/2006/main" count="11295" uniqueCount="993">
  <si>
    <t>Groeivoeten</t>
  </si>
  <si>
    <t>Inflatie</t>
  </si>
  <si>
    <t>Loonstijging</t>
  </si>
  <si>
    <t>Rente</t>
  </si>
  <si>
    <t>a.</t>
  </si>
  <si>
    <t>b.</t>
  </si>
  <si>
    <t>c.</t>
  </si>
  <si>
    <t>Totaal a.</t>
  </si>
  <si>
    <t>Totaal b.</t>
  </si>
  <si>
    <t>Totaal c.</t>
  </si>
  <si>
    <t>d.</t>
  </si>
  <si>
    <t>Totaal d.</t>
  </si>
  <si>
    <t>e.</t>
  </si>
  <si>
    <t>Totaal e.</t>
  </si>
  <si>
    <t>f.</t>
  </si>
  <si>
    <t>Totaal f.</t>
  </si>
  <si>
    <t>Groei inwoners Nederland</t>
  </si>
  <si>
    <t>Groeivoet totale inkomsten</t>
  </si>
  <si>
    <t>Inkomsten</t>
  </si>
  <si>
    <t>Jaar</t>
  </si>
  <si>
    <t>Uitgaven</t>
  </si>
  <si>
    <t>Groei inwoners gemeente</t>
  </si>
  <si>
    <t>Rente 10 jaar lening</t>
  </si>
  <si>
    <t>Kapitaalverstrekkingen</t>
  </si>
  <si>
    <t>Overige voorraden</t>
  </si>
  <si>
    <t>Overlopende activa</t>
  </si>
  <si>
    <t>Overlopende passiva</t>
  </si>
  <si>
    <t>Slechtweerscenario</t>
  </si>
  <si>
    <t xml:space="preserve">Rente 1 jaarslening </t>
  </si>
  <si>
    <t xml:space="preserve">Rente doorgeleend geld </t>
  </si>
  <si>
    <t>Crediteuren</t>
  </si>
  <si>
    <t>Leningen aan verbonden partijen oud</t>
  </si>
  <si>
    <t>Langlopende leningen derden oud</t>
  </si>
  <si>
    <t>Langlopende uitzettingen oud</t>
  </si>
  <si>
    <t>Onderhandse leningen oud</t>
  </si>
  <si>
    <t>Overige vaste schuld oud</t>
  </si>
  <si>
    <t>Rente liquide middelen</t>
  </si>
  <si>
    <t>Leningen derden nieuw</t>
  </si>
  <si>
    <t>Herfinanciering nieuw</t>
  </si>
  <si>
    <t xml:space="preserve">Netto financiering </t>
  </si>
  <si>
    <t>Rente financiering</t>
  </si>
  <si>
    <t>Percentage</t>
  </si>
  <si>
    <t>Afschrijving leningen derden</t>
  </si>
  <si>
    <t xml:space="preserve">Afschrijving leningen verbonden partijen </t>
  </si>
  <si>
    <t>Ombuigingen</t>
  </si>
  <si>
    <t>Financieringsresultaat exploitatie met schok</t>
  </si>
  <si>
    <t>Netto financieringsresultaat</t>
  </si>
  <si>
    <t xml:space="preserve">Effectiviteit pol.&amp; org. </t>
  </si>
  <si>
    <t>Financieringsresultaat expl.</t>
  </si>
  <si>
    <t>Netto financiering</t>
  </si>
  <si>
    <t>Netto schuldquote</t>
  </si>
  <si>
    <t>Doorgeleend geld</t>
  </si>
  <si>
    <t>Financiering bezit normaal</t>
  </si>
  <si>
    <t>Financiering bezit met schok</t>
  </si>
  <si>
    <t>Fin.result.financiering</t>
  </si>
  <si>
    <t>Fin.result.bezit</t>
  </si>
  <si>
    <t>Groei inwoners Ned.</t>
  </si>
  <si>
    <t xml:space="preserve">Groei inwoners gemeente </t>
  </si>
  <si>
    <t>Fin.expl.</t>
  </si>
  <si>
    <t>Fin.bezit</t>
  </si>
  <si>
    <t xml:space="preserve">Fin.finan. </t>
  </si>
  <si>
    <t>Algemene uitkering</t>
  </si>
  <si>
    <t>Onroerende zaak belasting woningen</t>
  </si>
  <si>
    <t>Afvalstoffenheffing</t>
  </si>
  <si>
    <t>Rioolheffing</t>
  </si>
  <si>
    <t>Secretarieleges</t>
  </si>
  <si>
    <t>Toeristenbelasting</t>
  </si>
  <si>
    <t>Marktgelden</t>
  </si>
  <si>
    <t>Sportcomplexen</t>
  </si>
  <si>
    <t>Specifieke uitkeringen onderwijs</t>
  </si>
  <si>
    <t>Uitkeringen bijstand inclusief BBZ</t>
  </si>
  <si>
    <t>Uitleenquote</t>
  </si>
  <si>
    <t>Solvabiliteitsratio</t>
  </si>
  <si>
    <t>Inwoners</t>
  </si>
  <si>
    <r>
      <t xml:space="preserve">Inkomsten uit gewone exploitatie </t>
    </r>
    <r>
      <rPr>
        <sz val="10"/>
        <color theme="1"/>
        <rFont val="Arial"/>
        <family val="2"/>
      </rPr>
      <t>(exclusief rente en voor bestemming reserves)</t>
    </r>
  </si>
  <si>
    <r>
      <t xml:space="preserve">Uitgaven uit gewone exploitatie </t>
    </r>
    <r>
      <rPr>
        <sz val="10"/>
        <color theme="1"/>
        <rFont val="Arial"/>
        <family val="2"/>
      </rPr>
      <t>(exclusief afschrijvingen, rente en voor bestemming reserves)</t>
    </r>
  </si>
  <si>
    <t>Schuldratio</t>
  </si>
  <si>
    <t>Inwonergevoeligheid Alg.Uitk.</t>
  </si>
  <si>
    <t xml:space="preserve">In euro </t>
  </si>
  <si>
    <t>Rente-inkomsten uitzettingen</t>
  </si>
  <si>
    <t>Fin.resultaat bezit</t>
  </si>
  <si>
    <t>Investeringen</t>
  </si>
  <si>
    <t>Overige specifieke uitkeringen</t>
  </si>
  <si>
    <t>Rente kortlopende schuld</t>
  </si>
  <si>
    <t>Houdbaarheidstest gemeentefinanciën</t>
  </si>
  <si>
    <t>Kaptaalverstrekkingen</t>
  </si>
  <si>
    <t>Leningen aan verbonden partijen</t>
  </si>
  <si>
    <t>Leningen aan derden</t>
  </si>
  <si>
    <t>Langlopende uitzettingen</t>
  </si>
  <si>
    <t>Balanstotaal</t>
  </si>
  <si>
    <t>Debet</t>
  </si>
  <si>
    <t>Credit</t>
  </si>
  <si>
    <t>Rentekosten leningen</t>
  </si>
  <si>
    <t>Eind</t>
  </si>
  <si>
    <t>Rentekosten</t>
  </si>
  <si>
    <t>Lopende uitgaven</t>
  </si>
  <si>
    <t>Scenario</t>
  </si>
  <si>
    <t>Nieuwe leningen verbonden partijen</t>
  </si>
  <si>
    <t>Nieuwe leningen aan derden</t>
  </si>
  <si>
    <t>Rente 10 jaar staatslening</t>
  </si>
  <si>
    <t>Rente uitgeleend</t>
  </si>
  <si>
    <t>Rente langlopende lening</t>
  </si>
  <si>
    <t>jaar</t>
  </si>
  <si>
    <t>looptijd</t>
  </si>
  <si>
    <t>Aa en Hunze</t>
  </si>
  <si>
    <t>Assen</t>
  </si>
  <si>
    <t>Borger-Odoorn</t>
  </si>
  <si>
    <t>Coevorden</t>
  </si>
  <si>
    <t>Emmen</t>
  </si>
  <si>
    <t>Hoogeveen</t>
  </si>
  <si>
    <t>Meppel</t>
  </si>
  <si>
    <t>Midden-Drenthe</t>
  </si>
  <si>
    <t>Noordenveld</t>
  </si>
  <si>
    <t>Tynaarlo</t>
  </si>
  <si>
    <t>Westerveld</t>
  </si>
  <si>
    <t>De Wolden</t>
  </si>
  <si>
    <t>Midden</t>
  </si>
  <si>
    <t>Appingedam</t>
  </si>
  <si>
    <t>Delfzijl</t>
  </si>
  <si>
    <t>Groningen</t>
  </si>
  <si>
    <t>Loppersum</t>
  </si>
  <si>
    <t>Oldambt</t>
  </si>
  <si>
    <t>Pekela</t>
  </si>
  <si>
    <t>Stadskanaal</t>
  </si>
  <si>
    <t>Veendam</t>
  </si>
  <si>
    <t>Achtkarspelen</t>
  </si>
  <si>
    <t>Ameland</t>
  </si>
  <si>
    <t>Dantumadiel</t>
  </si>
  <si>
    <t>Harlingen</t>
  </si>
  <si>
    <t>Heerenveen</t>
  </si>
  <si>
    <t>Leeuwarden</t>
  </si>
  <si>
    <t>Ooststellingwerf</t>
  </si>
  <si>
    <t>Opsterland</t>
  </si>
  <si>
    <t>Schiermonnikoog</t>
  </si>
  <si>
    <t>Smallingerland</t>
  </si>
  <si>
    <t>Terschelling</t>
  </si>
  <si>
    <t>Tytsjerksteradiel</t>
  </si>
  <si>
    <t>Vlieland</t>
  </si>
  <si>
    <t>Weststellingwerf</t>
  </si>
  <si>
    <t>Almelo</t>
  </si>
  <si>
    <t>Borne</t>
  </si>
  <si>
    <t>Dalfsen</t>
  </si>
  <si>
    <t>Deventer</t>
  </si>
  <si>
    <t>Dinkelland</t>
  </si>
  <si>
    <t>Enschede</t>
  </si>
  <si>
    <t>Haaksbergen</t>
  </si>
  <si>
    <t>Hardenberg</t>
  </si>
  <si>
    <t>Hellendoorn</t>
  </si>
  <si>
    <t>Hof van Twente</t>
  </si>
  <si>
    <t>Kampen</t>
  </si>
  <si>
    <t>Losser</t>
  </si>
  <si>
    <t>Oldenzaal</t>
  </si>
  <si>
    <t>Olst-Wijhe</t>
  </si>
  <si>
    <t>Ommen</t>
  </si>
  <si>
    <t>Raalte</t>
  </si>
  <si>
    <t>Rijssen-Holten</t>
  </si>
  <si>
    <t>Staphorst</t>
  </si>
  <si>
    <t>Steenwijkerland</t>
  </si>
  <si>
    <t>Tubbergen</t>
  </si>
  <si>
    <t>Twenterand</t>
  </si>
  <si>
    <t>Wierden</t>
  </si>
  <si>
    <t>Zwartewaterland</t>
  </si>
  <si>
    <t>Zwolle</t>
  </si>
  <si>
    <t>Aalten</t>
  </si>
  <si>
    <t>Apeldoorn</t>
  </si>
  <si>
    <t>Arnhem</t>
  </si>
  <si>
    <t>Barneveld</t>
  </si>
  <si>
    <t>Berkelland</t>
  </si>
  <si>
    <t>Beuningen</t>
  </si>
  <si>
    <t>Bronckhorst</t>
  </si>
  <si>
    <t>Brummen</t>
  </si>
  <si>
    <t>Buren</t>
  </si>
  <si>
    <t>Culemborg</t>
  </si>
  <si>
    <t>Doesburg</t>
  </si>
  <si>
    <t>Doetinchem</t>
  </si>
  <si>
    <t>Druten</t>
  </si>
  <si>
    <t>Duiven</t>
  </si>
  <si>
    <t>Ede</t>
  </si>
  <si>
    <t>Elburg</t>
  </si>
  <si>
    <t>Epe</t>
  </si>
  <si>
    <t>Ermelo</t>
  </si>
  <si>
    <t>Harderwijk</t>
  </si>
  <si>
    <t>Hattem</t>
  </si>
  <si>
    <t>Heerde</t>
  </si>
  <si>
    <t>Heumen</t>
  </si>
  <si>
    <t>Lingewaard</t>
  </si>
  <si>
    <t>Lochem</t>
  </si>
  <si>
    <t>Maasdriel</t>
  </si>
  <si>
    <t>Montferland</t>
  </si>
  <si>
    <t>Neder-Betuwe</t>
  </si>
  <si>
    <t>Nijkerk</t>
  </si>
  <si>
    <t>Nijmegen</t>
  </si>
  <si>
    <t>Nunspeet</t>
  </si>
  <si>
    <t>Oldebroek</t>
  </si>
  <si>
    <t>Oost Gelre</t>
  </si>
  <si>
    <t>Oude IJsselstreek</t>
  </si>
  <si>
    <t>Overbetuwe</t>
  </si>
  <si>
    <t>Putten</t>
  </si>
  <si>
    <t>Renkum</t>
  </si>
  <si>
    <t>Rheden</t>
  </si>
  <si>
    <t>Rozendaal</t>
  </si>
  <si>
    <t>Scherpenzeel</t>
  </si>
  <si>
    <t>Tiel</t>
  </si>
  <si>
    <t>Voorst</t>
  </si>
  <si>
    <t>Wageningen</t>
  </si>
  <si>
    <t>West Maas en Waal</t>
  </si>
  <si>
    <t>Westervoort</t>
  </si>
  <si>
    <t>Wijchen</t>
  </si>
  <si>
    <t>Winterswijk</t>
  </si>
  <si>
    <t>Zaltbommel</t>
  </si>
  <si>
    <t>Zevenaar</t>
  </si>
  <si>
    <t>Zutphen</t>
  </si>
  <si>
    <t>Amersfoort</t>
  </si>
  <si>
    <t>Baarn</t>
  </si>
  <si>
    <t>Bunnik</t>
  </si>
  <si>
    <t>Bunschoten</t>
  </si>
  <si>
    <t>De Bilt</t>
  </si>
  <si>
    <t>De Ronde Venen</t>
  </si>
  <si>
    <t>Eemnes</t>
  </si>
  <si>
    <t>Houten</t>
  </si>
  <si>
    <t>IJsselstein</t>
  </si>
  <si>
    <t>Leusden</t>
  </si>
  <si>
    <t>Lopik</t>
  </si>
  <si>
    <t>Nieuwegein</t>
  </si>
  <si>
    <t>Oudewater</t>
  </si>
  <si>
    <t>Renswoude</t>
  </si>
  <si>
    <t>Rhenen</t>
  </si>
  <si>
    <t>Soest</t>
  </si>
  <si>
    <t>Stichtse Vecht</t>
  </si>
  <si>
    <t>Utrecht</t>
  </si>
  <si>
    <t>Utrechtse Heuvelrug</t>
  </si>
  <si>
    <t>Veenendaal</t>
  </si>
  <si>
    <t>Wijk bij Duurstede</t>
  </si>
  <si>
    <t>Woerden</t>
  </si>
  <si>
    <t>Woudenberg</t>
  </si>
  <si>
    <t>Zeist</t>
  </si>
  <si>
    <t>Aalsmeer</t>
  </si>
  <si>
    <t>Alkmaar</t>
  </si>
  <si>
    <t>Amstelveen</t>
  </si>
  <si>
    <t>Amsterdam</t>
  </si>
  <si>
    <t>Beemster</t>
  </si>
  <si>
    <t>Beverwijk</t>
  </si>
  <si>
    <t>Blaricum</t>
  </si>
  <si>
    <t>Bloemendaal</t>
  </si>
  <si>
    <t>Castricum</t>
  </si>
  <si>
    <t>Den Helder</t>
  </si>
  <si>
    <t>Diemen</t>
  </si>
  <si>
    <t>Drechterland</t>
  </si>
  <si>
    <t>Edam-Volendam</t>
  </si>
  <si>
    <t>Enkhuizen</t>
  </si>
  <si>
    <t>Haarlem</t>
  </si>
  <si>
    <t>Haarlemmermeer</t>
  </si>
  <si>
    <t>Heemskerk</t>
  </si>
  <si>
    <t>Heemstede</t>
  </si>
  <si>
    <t>Heerhugowaard</t>
  </si>
  <si>
    <t>Heiloo</t>
  </si>
  <si>
    <t>Hilversum</t>
  </si>
  <si>
    <t>Hollands Kroon</t>
  </si>
  <si>
    <t>Hoorn</t>
  </si>
  <si>
    <t>Huizen</t>
  </si>
  <si>
    <t>Koggenland</t>
  </si>
  <si>
    <t>Landsmeer</t>
  </si>
  <si>
    <t>Langedijk</t>
  </si>
  <si>
    <t>Laren</t>
  </si>
  <si>
    <t>Medemblik</t>
  </si>
  <si>
    <t>Oostzaan</t>
  </si>
  <si>
    <t>Opmeer</t>
  </si>
  <si>
    <t>Ouder-Amstel</t>
  </si>
  <si>
    <t>Purmerend</t>
  </si>
  <si>
    <t>Schagen</t>
  </si>
  <si>
    <t>Stede Broec</t>
  </si>
  <si>
    <t>Texel</t>
  </si>
  <si>
    <t>Uitgeest</t>
  </si>
  <si>
    <t>Uithoorn</t>
  </si>
  <si>
    <t>Velsen</t>
  </si>
  <si>
    <t>Waterland</t>
  </si>
  <si>
    <t>Weesp</t>
  </si>
  <si>
    <t>Wijdemeren</t>
  </si>
  <si>
    <t>Wormerland</t>
  </si>
  <si>
    <t>Zaanstad</t>
  </si>
  <si>
    <t>Zandvoort</t>
  </si>
  <si>
    <t>Alblasserdam</t>
  </si>
  <si>
    <t>Albrandswaard</t>
  </si>
  <si>
    <t>Alphen aan den Rijn</t>
  </si>
  <si>
    <t>Barendrecht</t>
  </si>
  <si>
    <t>Bodegraven-Reeuwijk</t>
  </si>
  <si>
    <t>Brielle</t>
  </si>
  <si>
    <t>Capelle aan den IJssel</t>
  </si>
  <si>
    <t>Delft</t>
  </si>
  <si>
    <t>Dordrecht</t>
  </si>
  <si>
    <t>Goeree-Overflakkee</t>
  </si>
  <si>
    <t>Gorinchem</t>
  </si>
  <si>
    <t>Gouda</t>
  </si>
  <si>
    <t>Hardinxveld-Giessendam</t>
  </si>
  <si>
    <t>Hellevoetsluis</t>
  </si>
  <si>
    <t>Hendrik-Ido-Ambacht</t>
  </si>
  <si>
    <t>Hillegom</t>
  </si>
  <si>
    <t>Kaag en Braassem</t>
  </si>
  <si>
    <t>Katwijk</t>
  </si>
  <si>
    <t>Krimpen aan den IJssel</t>
  </si>
  <si>
    <t>Lansingerland</t>
  </si>
  <si>
    <t>Leiden</t>
  </si>
  <si>
    <t>Leiderdorp</t>
  </si>
  <si>
    <t>Leidschendam-Voorburg</t>
  </si>
  <si>
    <t>Lisse</t>
  </si>
  <si>
    <t>Maassluis</t>
  </si>
  <si>
    <t>Midden-Delfland</t>
  </si>
  <si>
    <t>Nieuwkoop</t>
  </si>
  <si>
    <t>Noordwijk</t>
  </si>
  <si>
    <t>Oegstgeest</t>
  </si>
  <si>
    <t>Papendrecht</t>
  </si>
  <si>
    <t>Pijnacker-Nootdorp</t>
  </si>
  <si>
    <t>Ridderkerk</t>
  </si>
  <si>
    <t>Rijswijk</t>
  </si>
  <si>
    <t>Rotterdam</t>
  </si>
  <si>
    <t>Schiedam</t>
  </si>
  <si>
    <t>Sliedrecht</t>
  </si>
  <si>
    <t>Teylingen</t>
  </si>
  <si>
    <t>Vlaardingen</t>
  </si>
  <si>
    <t>Voorschoten</t>
  </si>
  <si>
    <t>Waddinxveen</t>
  </si>
  <si>
    <t>Wassenaar</t>
  </si>
  <si>
    <t>Westland</t>
  </si>
  <si>
    <t>Westvoorne</t>
  </si>
  <si>
    <t>Zoetermeer</t>
  </si>
  <si>
    <t>Zoeterwoude</t>
  </si>
  <si>
    <t>Zuidplas</t>
  </si>
  <si>
    <t>Zwijndrecht</t>
  </si>
  <si>
    <t>Borsele</t>
  </si>
  <si>
    <t>Goes</t>
  </si>
  <si>
    <t>Hulst</t>
  </si>
  <si>
    <t>Kapelle</t>
  </si>
  <si>
    <t>Middelburg</t>
  </si>
  <si>
    <t>Noord-Beveland</t>
  </si>
  <si>
    <t>Reimerswaal</t>
  </si>
  <si>
    <t>Schouwen-Duiveland</t>
  </si>
  <si>
    <t>Sluis</t>
  </si>
  <si>
    <t>Terneuzen</t>
  </si>
  <si>
    <t>Tholen</t>
  </si>
  <si>
    <t>Veere</t>
  </si>
  <si>
    <t>Vlissingen</t>
  </si>
  <si>
    <t>Alphen-Chaam</t>
  </si>
  <si>
    <t>Asten</t>
  </si>
  <si>
    <t>Baarle-Nassau</t>
  </si>
  <si>
    <t>Bergeijk</t>
  </si>
  <si>
    <t>Bergen op Zoom</t>
  </si>
  <si>
    <t>Bernheze</t>
  </si>
  <si>
    <t>Best</t>
  </si>
  <si>
    <t>Bladel</t>
  </si>
  <si>
    <t>Boekel</t>
  </si>
  <si>
    <t>Boxmeer</t>
  </si>
  <si>
    <t>Boxtel</t>
  </si>
  <si>
    <t>Breda</t>
  </si>
  <si>
    <t>Cranendonck</t>
  </si>
  <si>
    <t>Cuijk</t>
  </si>
  <si>
    <t>Deurne</t>
  </si>
  <si>
    <t>Dongen</t>
  </si>
  <si>
    <t>Drimmelen</t>
  </si>
  <si>
    <t>Eersel</t>
  </si>
  <si>
    <t>Eindhoven</t>
  </si>
  <si>
    <t>Etten-Leur</t>
  </si>
  <si>
    <t>Geertruidenberg</t>
  </si>
  <si>
    <t>Geldrop-Mierlo</t>
  </si>
  <si>
    <t>Gemert-Bakel</t>
  </si>
  <si>
    <t>Gilze en Rijen</t>
  </si>
  <si>
    <t>Goirle</t>
  </si>
  <si>
    <t>Grave</t>
  </si>
  <si>
    <t>Haaren</t>
  </si>
  <si>
    <t>Halderberge</t>
  </si>
  <si>
    <t>Heeze-Leende</t>
  </si>
  <si>
    <t>Helmond</t>
  </si>
  <si>
    <t>Heusden</t>
  </si>
  <si>
    <t>Hilvarenbeek</t>
  </si>
  <si>
    <t>Laarbeek</t>
  </si>
  <si>
    <t>Landerd</t>
  </si>
  <si>
    <t>Loon op Zand</t>
  </si>
  <si>
    <t>Mill en Sint Hubert</t>
  </si>
  <si>
    <t>Moerdijk</t>
  </si>
  <si>
    <t>Oirschot</t>
  </si>
  <si>
    <t>Oisterwijk</t>
  </si>
  <si>
    <t>Oosterhout</t>
  </si>
  <si>
    <t>Oss</t>
  </si>
  <si>
    <t>Reusel-De Mierden</t>
  </si>
  <si>
    <t>Roosendaal</t>
  </si>
  <si>
    <t>Rucphen</t>
  </si>
  <si>
    <t>Sint-Michielsgestel</t>
  </si>
  <si>
    <t>Someren</t>
  </si>
  <si>
    <t>Son en Breugel</t>
  </si>
  <si>
    <t>Steenbergen</t>
  </si>
  <si>
    <t>Tilburg</t>
  </si>
  <si>
    <t>Uden</t>
  </si>
  <si>
    <t>Valkenswaard</t>
  </si>
  <si>
    <t>Veldhoven</t>
  </si>
  <si>
    <t>Vught</t>
  </si>
  <si>
    <t>Waalre</t>
  </si>
  <si>
    <t>Waalwijk</t>
  </si>
  <si>
    <t>Woensdrecht</t>
  </si>
  <si>
    <t>Zundert</t>
  </si>
  <si>
    <t>Beek</t>
  </si>
  <si>
    <t>Beesel</t>
  </si>
  <si>
    <t>Brunssum</t>
  </si>
  <si>
    <t>Echt-Susteren</t>
  </si>
  <si>
    <t>Eijsden-Margraten</t>
  </si>
  <si>
    <t>Gennep</t>
  </si>
  <si>
    <t>Gulpen-Wittem</t>
  </si>
  <si>
    <t>Heerlen</t>
  </si>
  <si>
    <t>Horst aan de Maas</t>
  </si>
  <si>
    <t>Kerkrade</t>
  </si>
  <si>
    <t>Landgraaf</t>
  </si>
  <si>
    <t>Leudal</t>
  </si>
  <si>
    <t>Maasgouw</t>
  </si>
  <si>
    <t>Maastricht</t>
  </si>
  <si>
    <t>Meerssen</t>
  </si>
  <si>
    <t>Mook en Middelaar</t>
  </si>
  <si>
    <t>Nederweert</t>
  </si>
  <si>
    <t>Peel en Maas</t>
  </si>
  <si>
    <t>Roerdalen</t>
  </si>
  <si>
    <t>Roermond</t>
  </si>
  <si>
    <t>Simpelveld</t>
  </si>
  <si>
    <t>Sittard-Geleen</t>
  </si>
  <si>
    <t>Stein</t>
  </si>
  <si>
    <t>Vaals</t>
  </si>
  <si>
    <t>Valkenburg aan de Geul</t>
  </si>
  <si>
    <t>Venlo</t>
  </si>
  <si>
    <t>Venray</t>
  </si>
  <si>
    <t>Voerendaal</t>
  </si>
  <si>
    <t>Weert</t>
  </si>
  <si>
    <t>Almere</t>
  </si>
  <si>
    <t>Dronten</t>
  </si>
  <si>
    <t>Lelystad</t>
  </si>
  <si>
    <t>Noordoostpolder</t>
  </si>
  <si>
    <t>Urk</t>
  </si>
  <si>
    <t>Zeewolde</t>
  </si>
  <si>
    <t>Nuenen, Gerwen en Nederwetten</t>
  </si>
  <si>
    <t>Bergen (L.)</t>
  </si>
  <si>
    <t>Bergen (NH.)</t>
  </si>
  <si>
    <t>Montfoort</t>
  </si>
  <si>
    <t>Sint Anthonis</t>
  </si>
  <si>
    <t>Súdwest-Fryslân</t>
  </si>
  <si>
    <t>Hoog</t>
  </si>
  <si>
    <t>Nederland</t>
  </si>
  <si>
    <t>s-Gravenhage</t>
  </si>
  <si>
    <t>Hengelo</t>
  </si>
  <si>
    <t>Investeringsruimte</t>
  </si>
  <si>
    <t>Onbenutte belastingcapaciteit</t>
  </si>
  <si>
    <t>Voorzieningen</t>
  </si>
  <si>
    <t>Overige langlopende schulden</t>
  </si>
  <si>
    <t>Langlopende leningen</t>
  </si>
  <si>
    <t>Reserves</t>
  </si>
  <si>
    <t>Totaal voorraden</t>
  </si>
  <si>
    <t>Totaal langlopende schuld</t>
  </si>
  <si>
    <t>Afschrijvingspercentage</t>
  </si>
  <si>
    <t>Mutatie voorziening</t>
  </si>
  <si>
    <t>Inw.gevoeligheid midden laag</t>
  </si>
  <si>
    <t>Overige niet ingedeelde uitgaven</t>
  </si>
  <si>
    <t>Overige niet ingedeelde inkomsten</t>
  </si>
  <si>
    <t>Materiële vaste activa</t>
  </si>
  <si>
    <t xml:space="preserve">Totaal (im-)materiële vaste activa </t>
  </si>
  <si>
    <t>Onderhanden werk incl. bouwgrond in expl.</t>
  </si>
  <si>
    <t>Rente-opbrengst</t>
  </si>
  <si>
    <t>Ombuiging grondexploitatie</t>
  </si>
  <si>
    <t>Gem kst.</t>
  </si>
  <si>
    <t>Gem opbrgst.</t>
  </si>
  <si>
    <t>Correctie 0%</t>
  </si>
  <si>
    <t>Inroepen verleende garanties</t>
  </si>
  <si>
    <t>Laag</t>
  </si>
  <si>
    <t>Boekwinst verkopen kapitaalverstrekkingen</t>
  </si>
  <si>
    <t>Handmatig</t>
  </si>
  <si>
    <t>Netto schuld incl.</t>
  </si>
  <si>
    <t>Taakwijziging fin.verhouding</t>
  </si>
  <si>
    <t>Onbenutte belst.cap.</t>
  </si>
  <si>
    <t>Ombuigingsrelevante uitgaven</t>
  </si>
  <si>
    <t>Balansprognose</t>
  </si>
  <si>
    <t>Nieuwe langlopende uitzettingen</t>
  </si>
  <si>
    <t>Krimpenerwaard</t>
  </si>
  <si>
    <t>Nissewaard</t>
  </si>
  <si>
    <t>s-Hertogenbosch</t>
  </si>
  <si>
    <t>Rente nieuwe 10 jaars lening</t>
  </si>
  <si>
    <t>Quick ratio</t>
  </si>
  <si>
    <t xml:space="preserve">Boekwinst verkopen materiele vaste activa </t>
  </si>
  <si>
    <t>Saldo bouwgrond</t>
  </si>
  <si>
    <t>(Im-)materiële vaste activa</t>
  </si>
  <si>
    <t>Opbrengst verkoop bezit</t>
  </si>
  <si>
    <t>in exploitatie result.</t>
  </si>
  <si>
    <t>Netto schuldquote (incl. uitgeleend geld)</t>
  </si>
  <si>
    <t>Opbrengst verkoop 2025</t>
  </si>
  <si>
    <t>Gooise Meren</t>
  </si>
  <si>
    <t>Baten v. mutatie reserves incl. bouwgrondexpl.</t>
  </si>
  <si>
    <t>Lasten v. mutatie reserves incl. kostprijs verk. bouwgrond</t>
  </si>
  <si>
    <t>Economische groei -/- groei inw. NL</t>
  </si>
  <si>
    <t>Niet in exploitatie genomen grond</t>
  </si>
  <si>
    <t>Onderh.werk bouwgrondexploitatie</t>
  </si>
  <si>
    <t>Netto schuld / inw.</t>
  </si>
  <si>
    <t>Ombuiging investeringen (im)materiële activa + invest.bijdragen derden</t>
  </si>
  <si>
    <t>Afname onderhanden werk (kst.pr.verkopen)</t>
  </si>
  <si>
    <t>Overige belastingen</t>
  </si>
  <si>
    <t>Bijstand</t>
  </si>
  <si>
    <t>Overige specifieke &amp; decentr. uitkeringen</t>
  </si>
  <si>
    <t>Groeivoet lopende uitgaven</t>
  </si>
  <si>
    <t>Inkomsten voor bestemming reserves en excl. rente, boekwinst verk. activa, bouwgrondexploitatie (a)</t>
  </si>
  <si>
    <t>Rente-inkomsten (b)</t>
  </si>
  <si>
    <t>Boekwinst (verkoop) vaste materiele en financiele activa (d)</t>
  </si>
  <si>
    <t xml:space="preserve">Baten bouwgrond (c) </t>
  </si>
  <si>
    <t>Lopende uitgaven excl. rente, afschrijvingen, investeringen, bouwgrondexploitatie (f)</t>
  </si>
  <si>
    <t>Rente-uitgaven (g)</t>
  </si>
  <si>
    <t>Lasten bouwgrond (h)</t>
  </si>
  <si>
    <t>Afschrijvingen (i)</t>
  </si>
  <si>
    <t>Mutatie voorzieningen (j)</t>
  </si>
  <si>
    <t>Baten voor mutatie reserves (a + b + c + d + e)</t>
  </si>
  <si>
    <t>Boekwinst (verlies) overboeking / verkoop strategische gronden (e)</t>
  </si>
  <si>
    <t>Netto schuld excl.</t>
  </si>
  <si>
    <t>Inkomensmix</t>
  </si>
  <si>
    <t>DR</t>
  </si>
  <si>
    <t>NB</t>
  </si>
  <si>
    <t>NH</t>
  </si>
  <si>
    <t>GLD</t>
  </si>
  <si>
    <t>FR</t>
  </si>
  <si>
    <t>ZH</t>
  </si>
  <si>
    <t>OV</t>
  </si>
  <si>
    <t>FL</t>
  </si>
  <si>
    <t>UT</t>
  </si>
  <si>
    <t>GR</t>
  </si>
  <si>
    <t>LB</t>
  </si>
  <si>
    <t>Berg en Dal</t>
  </si>
  <si>
    <t>ZL</t>
  </si>
  <si>
    <t>De Fryske Marren</t>
  </si>
  <si>
    <t>1. Gemeente</t>
  </si>
  <si>
    <t>Onroerende zaak belasting niet-woningen</t>
  </si>
  <si>
    <t>Rente liquide middelen &amp; uitzettingen</t>
  </si>
  <si>
    <t>Rente nieuw doorgeleend geld</t>
  </si>
  <si>
    <t>Immateriële vaste activa (incl.bijdr.activa derden)</t>
  </si>
  <si>
    <t>Vaste activa</t>
  </si>
  <si>
    <t>Vlottende activa</t>
  </si>
  <si>
    <t>Vlottende passiva</t>
  </si>
  <si>
    <t>Vaste Passiva</t>
  </si>
  <si>
    <t>Boekwinst overboeking NIEGG naar onderhandenwerk</t>
  </si>
  <si>
    <t>Afhankelijkheidsratio</t>
  </si>
  <si>
    <t>2019</t>
  </si>
  <si>
    <t>2. Groei inwoners</t>
  </si>
  <si>
    <t>4. Groei bedrijfsvestigingen</t>
  </si>
  <si>
    <t>Gemeente bevolkingsprognose</t>
  </si>
  <si>
    <t>Ratio's exploitatie</t>
  </si>
  <si>
    <t xml:space="preserve">Eigen bijdragen WMO &amp; Jeugd </t>
  </si>
  <si>
    <t xml:space="preserve">Inflatie CPI </t>
  </si>
  <si>
    <t xml:space="preserve">Trendmatige economische groei </t>
  </si>
  <si>
    <t>Totaal ombuigingen</t>
  </si>
  <si>
    <t>Meijerijstad</t>
  </si>
  <si>
    <t>Investering 2026</t>
  </si>
  <si>
    <t>Opbrengst verkoop 2026</t>
  </si>
  <si>
    <t>0. Provincie</t>
  </si>
  <si>
    <t>Vorderingen &amp; debiteuren</t>
  </si>
  <si>
    <t xml:space="preserve">Kortlopende uitzettingen &amp; liquide middelen </t>
  </si>
  <si>
    <t>Begeleid wonen</t>
  </si>
  <si>
    <t>Resultaat exploitatie in % van baten</t>
  </si>
  <si>
    <t>Bruto rentedruk in % van baten</t>
  </si>
  <si>
    <t>Onbenutte belastingcapaciteit in % baten</t>
  </si>
  <si>
    <t>Primair surplus in % baten</t>
  </si>
  <si>
    <t>Ombuigingsrelevante lopende uitg. in % van lasten</t>
  </si>
  <si>
    <t>Bedrijfsvestigingen 2017</t>
  </si>
  <si>
    <t>Bedrijfsvestigingen 2013</t>
  </si>
  <si>
    <t>Bedrijfsvestigingen 2014</t>
  </si>
  <si>
    <t>Bedrijfsvestigingen 2015</t>
  </si>
  <si>
    <t>Bedrijfsvestigingen 2016</t>
  </si>
  <si>
    <t>Effectieve netto schuldquote</t>
  </si>
  <si>
    <t>Netto investeringsquote</t>
  </si>
  <si>
    <t>2. Baten bouwgrond gem.</t>
  </si>
  <si>
    <t>3. Lasten bouwgrond gem.</t>
  </si>
  <si>
    <t>Prijspeil binnenlands bruto product</t>
  </si>
  <si>
    <t>Exploitatieresultaat</t>
  </si>
  <si>
    <t xml:space="preserve">Prijspeil beloning werknemers </t>
  </si>
  <si>
    <t>Prijspeil bruto binnenlandsproduct</t>
  </si>
  <si>
    <t>5. Investeringen</t>
  </si>
  <si>
    <t>Netto lasten per inwoner</t>
  </si>
  <si>
    <t xml:space="preserve">Ombuigingsrelevante netto lasten </t>
  </si>
  <si>
    <t xml:space="preserve">Totaal ombuigingen 5 jaar in constante prijzen </t>
  </si>
  <si>
    <t>Vorderingen en debiteuren</t>
  </si>
  <si>
    <t>Kortlopende uitzettingen en liquide middelen</t>
  </si>
  <si>
    <t>Kortlopende schuld en RC krediet</t>
  </si>
  <si>
    <t>Kortlopende leningen &amp; rek.courant krediet</t>
  </si>
  <si>
    <t>3. Klasse structuur</t>
  </si>
  <si>
    <t>Voorraadquote (inclusief NIEG)</t>
  </si>
  <si>
    <t>Meierijstad</t>
  </si>
  <si>
    <t>1. Gemeenten</t>
  </si>
  <si>
    <t>Totaal netto vermogen</t>
  </si>
  <si>
    <t>4. Afschrijvingslasten</t>
  </si>
  <si>
    <t>Overige leges</t>
  </si>
  <si>
    <t>Aandeel overdachten ex bijstand van baten</t>
  </si>
  <si>
    <t>Inkomsten val 20% rijksoverdrachten</t>
  </si>
  <si>
    <t>Aandeel overige inkomsten baten</t>
  </si>
  <si>
    <t xml:space="preserve">Aandeel lopende uitgaven ex bijstand </t>
  </si>
  <si>
    <t>Prijspeil netto materieel</t>
  </si>
  <si>
    <t>Altena</t>
  </si>
  <si>
    <t>Beekdaelen</t>
  </si>
  <si>
    <t>Het Hogeland</t>
  </si>
  <si>
    <t>Hoeksche Waard</t>
  </si>
  <si>
    <t>Midden-Groningen</t>
  </si>
  <si>
    <t>Molenlanden</t>
  </si>
  <si>
    <t>Noardeast-Fryslân</t>
  </si>
  <si>
    <t>Vijfheerenlanden</t>
  </si>
  <si>
    <t>Waadhoeke</t>
  </si>
  <si>
    <t>West-Betuwe</t>
  </si>
  <si>
    <t>Westerkwartier</t>
  </si>
  <si>
    <t>Westerwolde</t>
  </si>
  <si>
    <t>Opbrengst verkoop 2027</t>
  </si>
  <si>
    <t>Investering 2028</t>
  </si>
  <si>
    <t>Opbrengst verkoop 2028</t>
  </si>
  <si>
    <t>Aflossing 2027</t>
  </si>
  <si>
    <t>Totale correctie grondopbrengst</t>
  </si>
  <si>
    <t xml:space="preserve">Netto opbrengst 5% </t>
  </si>
  <si>
    <t>Correctie 5%</t>
  </si>
  <si>
    <t>5. Voorraadquote</t>
  </si>
  <si>
    <t>6. Effectieve netto schuldquote</t>
  </si>
  <si>
    <t>Bedrijfsvestigingen 2018</t>
  </si>
  <si>
    <t>-</t>
  </si>
  <si>
    <t>2. Onroerendezaakbelasting</t>
  </si>
  <si>
    <t>3. Onroerendezaakbelasting woningen</t>
  </si>
  <si>
    <t>4. Onroerendezaakbelasting niet-woningen</t>
  </si>
  <si>
    <t>5. Parkeerheffingen</t>
  </si>
  <si>
    <t>6. Precariobelasting</t>
  </si>
  <si>
    <t>7. Toeristenbelasting</t>
  </si>
  <si>
    <t>8. Overige belastingen</t>
  </si>
  <si>
    <t>9. Rioolheffing</t>
  </si>
  <si>
    <t>10. Reinigingsrechten en afvalstoffenheffing</t>
  </si>
  <si>
    <t>11. Secretarieleges burgerzaken</t>
  </si>
  <si>
    <t>12. Begraafplaatsrechten</t>
  </si>
  <si>
    <t>13. Leges wonen en bouwen</t>
  </si>
  <si>
    <t>14. Overige leges</t>
  </si>
  <si>
    <t>15. WOZ waarde totaal onroerende zaken x 1000</t>
  </si>
  <si>
    <t>16. WOZ waarde woningen x 1000</t>
  </si>
  <si>
    <t>17. WOZ waarde niet-woningen x 1000</t>
  </si>
  <si>
    <t>18. Gemiddelde woningwaarde x 1000</t>
  </si>
  <si>
    <t>19. Belastingcapaciteit OZB tarief 0,1905%</t>
  </si>
  <si>
    <t>20. Onbenutte belastingcapaciteit OZB</t>
  </si>
  <si>
    <t>21. Onbenutte belastingcapaciteit OZB</t>
  </si>
  <si>
    <t>Begraafplaatsrechten</t>
  </si>
  <si>
    <t>Stijging lopende uitgaven 2021</t>
  </si>
  <si>
    <t>9. BBZ</t>
  </si>
  <si>
    <t>10. Onderwijsachterstanden</t>
  </si>
  <si>
    <t>Integratie-uitkering WSW oud, beschut werk nieuw en Wajong</t>
  </si>
  <si>
    <t>Lonen en salarissen inclusief sociale lasten</t>
  </si>
  <si>
    <t>Inkomstenregelingen (bijstand, wsw-oud etc) excl. afschrijvingslasten, lonen gemeente en rentelasten</t>
  </si>
  <si>
    <t>Bestuur en ondersteuning excl. afschrijvingslasten, lonen gemeente en rentelasten</t>
  </si>
  <si>
    <t>Openbare orde &amp; veiligheid excl. afschrijvingslasten, lonen gemeente en rentelasten</t>
  </si>
  <si>
    <t>Onderwijs excl. afschrijvingslasten, lonen gemeente en rentelasten</t>
  </si>
  <si>
    <t>Economie excl. afschrijvingslasten, lonen gemeente en rentelasten</t>
  </si>
  <si>
    <t>Sport, cultuur en recreatie excl. afschrijvingslasten, lonen gemeente en rentelasten</t>
  </si>
  <si>
    <t>Volksgezondheid en milieu excl. afschrijvingslasten, lonen gemeente en rentelasten</t>
  </si>
  <si>
    <t>Volkshuisvesting excl. bouwgrondexploitatie, afschrijvingslasten, lonen gemeente en rentelasten</t>
  </si>
  <si>
    <t>Exploitatie</t>
  </si>
  <si>
    <t>Voorzieningenniveau</t>
  </si>
  <si>
    <t>Houdbaarheidsquote</t>
  </si>
  <si>
    <t>Rentestijging 2021 t.o.v. begin 2020</t>
  </si>
  <si>
    <t>Rentestijging 2022 t.o.v. begin 2020</t>
  </si>
  <si>
    <t>Rentestijging 2023 t.o.v. begin 2020</t>
  </si>
  <si>
    <t>Totale val aan baten in 2021</t>
  </si>
  <si>
    <t>Stijging lopende uitgaven 2022</t>
  </si>
  <si>
    <t>Groei zorgkosten</t>
  </si>
  <si>
    <t>Investering 2029</t>
  </si>
  <si>
    <t>Opbrengst verkoop 2029</t>
  </si>
  <si>
    <t>Aflossing 2025</t>
  </si>
  <si>
    <t>Aflossing 2029</t>
  </si>
  <si>
    <t>Inkomsten val 11% overige inkomsten</t>
  </si>
  <si>
    <t>excl.bouwgrondexpl.</t>
  </si>
  <si>
    <t>incl.bouwgrondexpl.</t>
  </si>
  <si>
    <t>Klasse centrumfunctie &amp; sociale structuur</t>
  </si>
  <si>
    <t>Langlopende uitgezette leningen</t>
  </si>
  <si>
    <t>Lasten voor mutatie reserves (f + g + h + i + j)</t>
  </si>
  <si>
    <t>Bedrijfsvestigingen 2019</t>
  </si>
  <si>
    <t>Leges wonen en bouwen</t>
  </si>
  <si>
    <t>6. Lonen en salarissen</t>
  </si>
  <si>
    <t>Inwoners 31 dec 2016</t>
  </si>
  <si>
    <t>Inwoners 31 december 2017</t>
  </si>
  <si>
    <r>
      <t>Financi</t>
    </r>
    <r>
      <rPr>
        <b/>
        <sz val="14"/>
        <color theme="1"/>
        <rFont val="Calibri"/>
        <family val="2"/>
      </rPr>
      <t>ë</t>
    </r>
    <r>
      <rPr>
        <b/>
        <sz val="14"/>
        <color theme="1"/>
        <rFont val="Calibri"/>
        <family val="2"/>
        <scheme val="minor"/>
      </rPr>
      <t>le conditie index</t>
    </r>
  </si>
  <si>
    <t>2. Immateriele activa</t>
  </si>
  <si>
    <t>3. Gronden &amp; terreinen</t>
  </si>
  <si>
    <t>4. Materiele vaste activa</t>
  </si>
  <si>
    <t>5. Kapitaalverstrekkingen</t>
  </si>
  <si>
    <t>6. Leningen aan verbonden partijen</t>
  </si>
  <si>
    <t>7. Leningen aan derden</t>
  </si>
  <si>
    <t>8. Langlopende uitzettingen</t>
  </si>
  <si>
    <t>9. Onderhanden werk</t>
  </si>
  <si>
    <t>10. Overige voorraden</t>
  </si>
  <si>
    <t>11. Vorderingen &amp; debiteuren</t>
  </si>
  <si>
    <t>12. Kortlopende uitzettingen &amp; liquide middelen</t>
  </si>
  <si>
    <t>13. Overlopende activa</t>
  </si>
  <si>
    <t>14. Reserves</t>
  </si>
  <si>
    <t>15. Voorzieningen</t>
  </si>
  <si>
    <t>16. Langlopende leningen</t>
  </si>
  <si>
    <t>17. Overige langlopende schulden</t>
  </si>
  <si>
    <t>18. Kortlopende leningen &amp; rek.courant krediet</t>
  </si>
  <si>
    <t>19. Crediteuren</t>
  </si>
  <si>
    <t>20. Overlopende passiva</t>
  </si>
  <si>
    <t>23. Baten totaal</t>
  </si>
  <si>
    <t>24. Lasten totaal</t>
  </si>
  <si>
    <t>3. Netto schuldquote</t>
  </si>
  <si>
    <t>4. Uitleenquote</t>
  </si>
  <si>
    <t>7. Solvabiliteitsratio</t>
  </si>
  <si>
    <t>11. Aantal negatief</t>
  </si>
  <si>
    <t>12. Netto investeringsquote</t>
  </si>
  <si>
    <t>13. Onbenutte belastingcapaciteit</t>
  </si>
  <si>
    <t>14. Afhankelijkheidsratio</t>
  </si>
  <si>
    <t>15. Netto lasten</t>
  </si>
  <si>
    <t>17. Houdbaarheidsquote</t>
  </si>
  <si>
    <t>18. FCI</t>
  </si>
  <si>
    <t>Kasgeldratio</t>
  </si>
  <si>
    <t>Gronden en terreinen</t>
  </si>
  <si>
    <t>Uitkomsten scenario</t>
  </si>
  <si>
    <t>Rentestijging 2022 t.o.v. begin 2021</t>
  </si>
  <si>
    <t>Rentestijging 2023 t.o.v. begin 2021</t>
  </si>
  <si>
    <t>Rentestijging 2024 t.o.v. begin 2021</t>
  </si>
  <si>
    <t>Val baten uit overdrachten ex bijstand 2022 in %</t>
  </si>
  <si>
    <t>Val baten uit overige inkomsten 2022 in %</t>
  </si>
  <si>
    <t>Val opbrengst grondexpl. 2022</t>
  </si>
  <si>
    <t>Val opbrengst grondexpl. vanaf 2023</t>
  </si>
  <si>
    <t>Doelzoeken</t>
  </si>
  <si>
    <t>Negatieve resultaten in laatste 3 jaar</t>
  </si>
  <si>
    <t xml:space="preserve">Macrogegevens </t>
  </si>
  <si>
    <t>19. Onbenutte belastingcapaciteit OZB</t>
  </si>
  <si>
    <t>.</t>
  </si>
  <si>
    <t>Eemsdelta</t>
  </si>
  <si>
    <t>'s-Gravenhage (gemeente)</t>
  </si>
  <si>
    <t>Groningen (gemeente)</t>
  </si>
  <si>
    <t>Hengelo (O.)</t>
  </si>
  <si>
    <t>'s-Hertogenbosch</t>
  </si>
  <si>
    <t>Laren (NH.)</t>
  </si>
  <si>
    <t>Middelburg (Z.)</t>
  </si>
  <si>
    <t>Rijswijk (ZH.)</t>
  </si>
  <si>
    <t>Stein (L.)</t>
  </si>
  <si>
    <t>Utrecht (gemeente)</t>
  </si>
  <si>
    <t>Pachten</t>
  </si>
  <si>
    <t>Huren</t>
  </si>
  <si>
    <t>Dividenden en winsten</t>
  </si>
  <si>
    <t>CBS</t>
  </si>
  <si>
    <t>2. Gemeentefonds</t>
  </si>
  <si>
    <t>3. Algemene uitkering</t>
  </si>
  <si>
    <t>5. Beschermd wonen</t>
  </si>
  <si>
    <t>4. Voogdij 18+</t>
  </si>
  <si>
    <t>7. DU + inburgering + raadsledenverg</t>
  </si>
  <si>
    <t>8. Gebundelde uitkering Participatiewet</t>
  </si>
  <si>
    <t>11. Overige overdrachten Rijk</t>
  </si>
  <si>
    <t>Klasse</t>
  </si>
  <si>
    <t>exploitatieresult.op rij</t>
  </si>
  <si>
    <t>4. Rente</t>
  </si>
  <si>
    <t>Verkeer en vervoer excl. afschrijvingslasten, lonen gemeente en rentelasten</t>
  </si>
  <si>
    <t>Inwoners 31 december 2018</t>
  </si>
  <si>
    <t>Materiele activa 2017 incl NIEG</t>
  </si>
  <si>
    <t>Materiele activa 2018 incl NIEG</t>
  </si>
  <si>
    <t>Materiele activa 2019 incl NIEG</t>
  </si>
  <si>
    <t>laag onder</t>
  </si>
  <si>
    <t>laag boven</t>
  </si>
  <si>
    <t>hoog onder</t>
  </si>
  <si>
    <t>hoog boven</t>
  </si>
  <si>
    <t xml:space="preserve">Sign.wrd </t>
  </si>
  <si>
    <t>mid onder</t>
  </si>
  <si>
    <t>mid boven</t>
  </si>
  <si>
    <t>onder</t>
  </si>
  <si>
    <t>boven</t>
  </si>
  <si>
    <t>Materiële activa 2016 incl. NIEG</t>
  </si>
  <si>
    <t>Materiële activa 2014 incl. NIEG</t>
  </si>
  <si>
    <t>Materiële activa 2015 incl. NIEG</t>
  </si>
  <si>
    <t>Inwoners 31 december 2019</t>
  </si>
  <si>
    <t>5. Afschrijvingen</t>
  </si>
  <si>
    <t>25. Exploitatieresultaat</t>
  </si>
  <si>
    <t>27. Onbenutte belastingcapaciteit</t>
  </si>
  <si>
    <t>28. Overdrachten rijk</t>
  </si>
  <si>
    <t>Stijging lopende uitgaven 2022 in %</t>
  </si>
  <si>
    <t>Stijging lopende uitgaven 2023 in %</t>
  </si>
  <si>
    <t>16. Houdbaarheidsquote</t>
  </si>
  <si>
    <t>Mutaties</t>
  </si>
  <si>
    <t>Inkomensmutatie</t>
  </si>
  <si>
    <t>accrescorrectie</t>
  </si>
  <si>
    <t>Lastenmutatie</t>
  </si>
  <si>
    <t>Dijk en Waard</t>
  </si>
  <si>
    <t>Land van Cuijk</t>
  </si>
  <si>
    <t>Maashorst</t>
  </si>
  <si>
    <t>6. Participatie</t>
  </si>
  <si>
    <t>12. Overdrachten Rijk</t>
  </si>
  <si>
    <t>13. Pachten</t>
  </si>
  <si>
    <t>14. Huren</t>
  </si>
  <si>
    <t>15. Dividenden &amp; winsten</t>
  </si>
  <si>
    <t>Parkeerheffingen</t>
  </si>
  <si>
    <t>Ombuigingspercentage per jaar</t>
  </si>
  <si>
    <t>16. Bouwgrondexploitatie</t>
  </si>
  <si>
    <t>6. Participatie incl TOZO</t>
  </si>
  <si>
    <t>13. Baten v mutatie reserves 2021</t>
  </si>
  <si>
    <t>14. Lasten v mutatie reserves 2021</t>
  </si>
  <si>
    <t>15.Resultaat 2021</t>
  </si>
  <si>
    <t>12. Overdrachten Rijk 2021</t>
  </si>
  <si>
    <t>16. Afhankelijkheidsratio 2021</t>
  </si>
  <si>
    <t>17. Huren en pachten</t>
  </si>
  <si>
    <t>22. Baten v.mut.reserves</t>
  </si>
  <si>
    <t>23. Onbenutte belastingcapaciteit</t>
  </si>
  <si>
    <t>1. Rijksoverdrachten</t>
  </si>
  <si>
    <t>2. OZB</t>
  </si>
  <si>
    <t>3. Riool rechten</t>
  </si>
  <si>
    <t>4. Afvalstoffenheffing</t>
  </si>
  <si>
    <t xml:space="preserve">5. Bouwgrond </t>
  </si>
  <si>
    <t>6. Overige belastingen</t>
  </si>
  <si>
    <t>7. Overige rechten &amp; leges</t>
  </si>
  <si>
    <t>8. Rente en dividend</t>
  </si>
  <si>
    <t>9. Overige eigen inkomsten</t>
  </si>
  <si>
    <t>Inwoners 31 december 2020</t>
  </si>
  <si>
    <t>3. Lasten bouwgrond</t>
  </si>
  <si>
    <t>7. Bestuur &amp; ondersteuning ex</t>
  </si>
  <si>
    <t>8. Veiligheid ex</t>
  </si>
  <si>
    <t>9. Verkeer &amp; vervoer ex</t>
  </si>
  <si>
    <t>10. Economie ex</t>
  </si>
  <si>
    <t>11. Onderwijs ex</t>
  </si>
  <si>
    <t>12. Sport, Cultuur &amp; Recreatie ex</t>
  </si>
  <si>
    <t>13. Participatie ex</t>
  </si>
  <si>
    <t>2. Lasten ex. afschr, rente &amp; grondexploit.</t>
  </si>
  <si>
    <t>3. Overdrachten</t>
  </si>
  <si>
    <t>Investering 2030</t>
  </si>
  <si>
    <t>Opbrengst verkoop 2030</t>
  </si>
  <si>
    <t>Investering 2031</t>
  </si>
  <si>
    <t>Opbrengst verkoop 2031</t>
  </si>
  <si>
    <t xml:space="preserve">Gemiddeld rentepercentage restant 2028 </t>
  </si>
  <si>
    <t>Aflossing 2031</t>
  </si>
  <si>
    <t>Gemiddeld rentepercentage restant 2031</t>
  </si>
  <si>
    <t>15.Klasse</t>
  </si>
  <si>
    <t>Precario</t>
  </si>
  <si>
    <t>18. Pachten 2021</t>
  </si>
  <si>
    <t>19. Houdbaarheidsquote 2021</t>
  </si>
  <si>
    <t>CAO-loon marktsector</t>
  </si>
  <si>
    <t xml:space="preserve">Prijspeil CAO loon marktsector </t>
  </si>
  <si>
    <t xml:space="preserve">Door een extra vast bedrag in de algemene uitkering is de signalering op het kengetal netto lasten per inwoner </t>
  </si>
  <si>
    <t>Beek (L.)</t>
  </si>
  <si>
    <t>Voorne aan Zee</t>
  </si>
  <si>
    <t>West Betuwe</t>
  </si>
  <si>
    <t>2. Lasten v. mut. Reserves</t>
  </si>
  <si>
    <t>19. Baten v mutatie reserves 2022</t>
  </si>
  <si>
    <t>20. Lasten v mutatie reserves 2022</t>
  </si>
  <si>
    <t>7. Decentralisatie uitkeringen</t>
  </si>
  <si>
    <t>Decentralisatie-uitkeringen</t>
  </si>
  <si>
    <t>Slechtweer</t>
  </si>
  <si>
    <t>Inwoners 31 december 2021</t>
  </si>
  <si>
    <t>18. Belastingcapaciteit OZB tarief 0,1729%</t>
  </si>
  <si>
    <t>21. Baten v mut reserves 2023</t>
  </si>
  <si>
    <t>22. Onbenutte belastingcapaciteit 2023</t>
  </si>
  <si>
    <t>15. WOZ waarde woningen</t>
  </si>
  <si>
    <t>16. WOZ waarde niet-woningen eigenaren</t>
  </si>
  <si>
    <t>17. WOZ waarde niet-woningen gebruikers</t>
  </si>
  <si>
    <t>4. Algemene uitkering</t>
  </si>
  <si>
    <t>5. Rioolheffing</t>
  </si>
  <si>
    <t>6. Afvalstoffenheffing</t>
  </si>
  <si>
    <t>7. Begraafplaatsrechten</t>
  </si>
  <si>
    <t>8. Secretarieleges</t>
  </si>
  <si>
    <t>9. Bouwleges</t>
  </si>
  <si>
    <t>10. Overige leges</t>
  </si>
  <si>
    <t>11. Toeristenbelasting</t>
  </si>
  <si>
    <t>12. Parkeerbelasting</t>
  </si>
  <si>
    <t>14. Netto lasten</t>
  </si>
  <si>
    <t>16. Netto lasten per inwoner</t>
  </si>
  <si>
    <t>17. Klasse</t>
  </si>
  <si>
    <t>7.Klasse</t>
  </si>
  <si>
    <t>16. Netto lasten per inwoner 2023</t>
  </si>
  <si>
    <t>24. Houdbaarheidsquote 2023</t>
  </si>
  <si>
    <t>Investering 2025</t>
  </si>
  <si>
    <t xml:space="preserve">Investering 2027 </t>
  </si>
  <si>
    <t>Investering 2032</t>
  </si>
  <si>
    <t>Opbrengst verkoop 2032</t>
  </si>
  <si>
    <t>Investering 2033</t>
  </si>
  <si>
    <t>Opbrengst verkoop 2033</t>
  </si>
  <si>
    <t>Gemiddeld rentepercentage 2024</t>
  </si>
  <si>
    <t xml:space="preserve">Gemiddeld rentepercentage restant 2025 </t>
  </si>
  <si>
    <t xml:space="preserve">Aflossing 2026 </t>
  </si>
  <si>
    <t>Gemiddeld rentepercentage restant 2026</t>
  </si>
  <si>
    <t>Gemiddeld rentepercentage restant 2027</t>
  </si>
  <si>
    <t>Aflossing 2028</t>
  </si>
  <si>
    <t xml:space="preserve">Gemiddeld rentepercentage restant 2029 </t>
  </si>
  <si>
    <t xml:space="preserve">Aflossing 2030 </t>
  </si>
  <si>
    <t xml:space="preserve">Gemiddeld rentepercentage restant 2030 </t>
  </si>
  <si>
    <t>Aflossing 2032</t>
  </si>
  <si>
    <t>Gemiddeld rentepercentage restant 2032</t>
  </si>
  <si>
    <t>Aflossing 2033</t>
  </si>
  <si>
    <t>Gemiddeld rentepercentage restant 2033</t>
  </si>
  <si>
    <t>21. Baten v mut reserves 2024</t>
  </si>
  <si>
    <t>22. Onbenutte belastingcapaciteit 2024</t>
  </si>
  <si>
    <t>18. Belastingcapaciteit OZB tarief 0,1614%</t>
  </si>
  <si>
    <t>30. Inwoners 31 december 2022</t>
  </si>
  <si>
    <t>14. Jeugd ex</t>
  </si>
  <si>
    <t>15. WMO zorg ex</t>
  </si>
  <si>
    <t>16. Volksgezondheid &amp; milieu ex</t>
  </si>
  <si>
    <t>17. Volkshuisvesting ex</t>
  </si>
  <si>
    <t>WMO zorg excl. afschrijvingslasten, lonen gemeente en rentelasten</t>
  </si>
  <si>
    <t>21. Baten v mutatie reserves 2023</t>
  </si>
  <si>
    <t>22. Lasten v mutatie reserves 2023</t>
  </si>
  <si>
    <t>25. FCI 2023</t>
  </si>
  <si>
    <t>15. Inwoners eind 2023</t>
  </si>
  <si>
    <t>Aantal</t>
  </si>
  <si>
    <t>FCI</t>
  </si>
  <si>
    <t>Exploitatieresultaat 2021</t>
  </si>
  <si>
    <t>netto lasten per inwoner en houdbaarheidsquote weergegeven op basis van de begrotingscijfers opendata IV-3.</t>
  </si>
  <si>
    <r>
      <rPr>
        <sz val="10"/>
        <color theme="1"/>
        <rFont val="Calibri"/>
        <family val="2"/>
      </rPr>
      <t>©</t>
    </r>
    <r>
      <rPr>
        <sz val="10"/>
        <color theme="1"/>
        <rFont val="Arial"/>
        <family val="2"/>
      </rPr>
      <t xml:space="preserve"> Jan v.d. Lei, maart 2025</t>
    </r>
  </si>
  <si>
    <t xml:space="preserve">Voor het jaar 2024 worden de kengetallen onbenutte belastingcapaciteit, afhankelijkheidsratio, </t>
  </si>
  <si>
    <t>30. Inwoners eind 2023</t>
  </si>
  <si>
    <t>2. Fin.result in % baten 2023</t>
  </si>
  <si>
    <t>8. Exploitatieresultaat 2023</t>
  </si>
  <si>
    <t>Exploitatieresultaat 2022</t>
  </si>
  <si>
    <t>26. Netto investeringen 2020-2023</t>
  </si>
  <si>
    <t xml:space="preserve">29. Netto lasten </t>
  </si>
  <si>
    <t>21. Netto schuld</t>
  </si>
  <si>
    <t>22. Materiele activa 2019</t>
  </si>
  <si>
    <t>Exploitatie 2025</t>
  </si>
  <si>
    <t>Jaarrek. 2024</t>
  </si>
  <si>
    <t>Begroting 2025</t>
  </si>
  <si>
    <t>Financieel vermogen</t>
  </si>
  <si>
    <t>Houdbaarheid</t>
  </si>
  <si>
    <t>Financieringsresultaat</t>
  </si>
  <si>
    <t>Netto investeringen</t>
  </si>
  <si>
    <t>Voorraadmutatie</t>
  </si>
  <si>
    <t>2. Exploitatieresultaat 2022</t>
  </si>
  <si>
    <t>Afschrijvingslasten (im-)materiële activa 2025</t>
  </si>
  <si>
    <t>4. Houdbaarheidsquote 2024</t>
  </si>
  <si>
    <t>5. FCI 2024</t>
  </si>
  <si>
    <t>3. Afhankelijkheid 2024</t>
  </si>
  <si>
    <t>6. Netto lasten per inwoner 2024</t>
  </si>
  <si>
    <t>voor de gemeenten Amsterdam, Rotterdam en s Gravenhage waarschijnlijk onjuist. Daarmee wijkt de uitkomst</t>
  </si>
  <si>
    <t>op de financiele conditie index voor deze drie gemeenten mogelijk 1 punt af.</t>
  </si>
  <si>
    <t>15. Inwoners eind 2024</t>
  </si>
  <si>
    <t>5. Inwoners 31 december 2024</t>
  </si>
  <si>
    <t>26. Inwoners eind 2024</t>
  </si>
  <si>
    <t>7. Lasten bouwgrond 2025</t>
  </si>
  <si>
    <t>8. Baten bouwgrond 2015</t>
  </si>
  <si>
    <t>9. Lasten bouwgrond 2015</t>
  </si>
  <si>
    <t>10. Baten bouwgrond 2016</t>
  </si>
  <si>
    <t>11. Lasten bouwgrond 2016</t>
  </si>
  <si>
    <t>12. Baten bouwgrond 2017</t>
  </si>
  <si>
    <t>13. Lasten bouwgrond 2017</t>
  </si>
  <si>
    <t>14. Baten bouwgrond 2018</t>
  </si>
  <si>
    <t>15. Lasten bouwgrond 2018</t>
  </si>
  <si>
    <t>16. Baten bouwgrond 2019</t>
  </si>
  <si>
    <t>17. Lasten bouwgrond 2019</t>
  </si>
  <si>
    <t>18. Baten bouwgrond 2020</t>
  </si>
  <si>
    <t>19. Lasten bouwgrond 2020</t>
  </si>
  <si>
    <t>20. Baten bouwgrond 2021</t>
  </si>
  <si>
    <t>21. Lasten bouwgrond 2021</t>
  </si>
  <si>
    <t>22. baten bouwgrond 2022</t>
  </si>
  <si>
    <t>23. Lasten bouwgrond 2022</t>
  </si>
  <si>
    <t>24. Baten bouwgrond 2023</t>
  </si>
  <si>
    <t>25. Lasten bouwgrond 2023</t>
  </si>
  <si>
    <t>Baten v mutatie reserves begr 2024</t>
  </si>
  <si>
    <t>Lasten v mutatie reserves begr 2024</t>
  </si>
  <si>
    <t>17. Baten v mutatie reserves 2025</t>
  </si>
  <si>
    <t>18. Lasten v mutatie reserves 2025</t>
  </si>
  <si>
    <t>Baten v mutatie reserves 2025</t>
  </si>
  <si>
    <t>Lasten v mutatie reserves 2025</t>
  </si>
  <si>
    <t>Exploit result 2025</t>
  </si>
  <si>
    <t>23. Afhankelijkheid 2025</t>
  </si>
  <si>
    <t>18. Belastingcapaciteit OZB tarief 0,1595%</t>
  </si>
  <si>
    <t>21. Baten v mutatie reserves 2025</t>
  </si>
  <si>
    <t>22. Onbenutte belastingcapaciteit 2025</t>
  </si>
  <si>
    <t>Resultaat</t>
  </si>
  <si>
    <t>6. Baten bouwgrond 2025</t>
  </si>
  <si>
    <t>27. Materiele activa 2020 incl. NIEG</t>
  </si>
  <si>
    <t>Materiele activa 2020 incl NIEG</t>
  </si>
  <si>
    <t>28. Materiele activa 2021 incl NIEG</t>
  </si>
  <si>
    <t>Materiele activa 2021 incl NIEG</t>
  </si>
  <si>
    <t>8. Houdbaarheidsquote 2025</t>
  </si>
  <si>
    <t>FCI 2025</t>
  </si>
  <si>
    <t>Trend 2026-2029</t>
  </si>
  <si>
    <t>Jeugdzorg excl. afschrijvingslasten, lonen gemeente en rentelasten</t>
  </si>
  <si>
    <t xml:space="preserve">Groei inkomsten is gelijk aan prijspeil bbp + volumegroei bbp -/- bevolkingsgroei + groei inwoners gemeente  </t>
  </si>
  <si>
    <t xml:space="preserve">Groei inkomsten is gelijk aan 0,5 * pp netto materieel + 0,5 loonstijging + groei inwoners gemeente  </t>
  </si>
  <si>
    <t>Groei inkomsten is gelijk aan CPI + economische groei -/- bevolkingsgroei + groei inwoners gemeente</t>
  </si>
  <si>
    <t>Groei inkomsten is gelijk aan loonstijging + groei inwoners gemeente</t>
  </si>
  <si>
    <t xml:space="preserve">Groei inkomsten is gelijk aan 0,3 * pp netto materieel + 0,7 * loonstijging + groei inwoners gemeente </t>
  </si>
  <si>
    <t>Groei inkomsten is gelijk aan CPI + economische groei -/- bevolkingsgroei Ned + groei inwoners gemeente</t>
  </si>
  <si>
    <t xml:space="preserve">Groei uitgaven is gelijk aan loonstijging + groei inwoners </t>
  </si>
  <si>
    <t xml:space="preserve">Groei uitgaven is gelijk aan CPI + volumegroei zorg -/- bevolkingsgroei + groei inwoners gemeente </t>
  </si>
  <si>
    <t>Groei uitgaven is gelijk aan 0,4 * pp netto materieel + 0,6 * CAO loon markt + groei inwoners gemeente</t>
  </si>
  <si>
    <t>Groei uitgaven is gelijk aan 0,5 * pp netto materieel + 0,5 * CAO loon markt + economische groei -/- bevolkingsgroei + groei inwoners gemeente</t>
  </si>
  <si>
    <t>Groei uitgaven is gelijk aan 0,5 * CPI + 0,5 * CAO loon markt + groei inwoners gemeente</t>
  </si>
  <si>
    <t>Beginbalans 1 januari 2025</t>
  </si>
  <si>
    <t>Investeringen per inwoner 2025</t>
  </si>
  <si>
    <t>Landvan Cuijk</t>
  </si>
  <si>
    <t>Volumegroei zorgkosten</t>
  </si>
  <si>
    <t>Groei inwoners Nederland per jaar 2025-2033</t>
  </si>
  <si>
    <t xml:space="preserve">Groei inwoners gemeente per jaar 2025-2033 </t>
  </si>
  <si>
    <t>Inwoners eind 2024</t>
  </si>
  <si>
    <t>Val baten 2026 uit overdrachten ex bijstand in %</t>
  </si>
  <si>
    <t>Val baten 2026 uit overige inkomsten in %</t>
  </si>
  <si>
    <t>Stijging lopende uitgaven ex bijstand 2026 in %</t>
  </si>
  <si>
    <t xml:space="preserve">Stijging lopende uitgaven ex bijstand 2027 in % </t>
  </si>
  <si>
    <t>Val opbrengst bouwgrondexpl. 2026 in %</t>
  </si>
  <si>
    <t>Val opbrengst bouwgrondexpl. vanaf 2027 in %</t>
  </si>
  <si>
    <t xml:space="preserve">Afschrijving leningen verbonden partijen 2026 </t>
  </si>
  <si>
    <t>Afschrijving leningen derden 2026</t>
  </si>
  <si>
    <t>Rentestijging 2026 t.o.v. begin 2025</t>
  </si>
  <si>
    <t>Rentestijging 2027 t.o.v. begin 2025</t>
  </si>
  <si>
    <t>Rentestijging 2028 t.o.v. begin 2025</t>
  </si>
  <si>
    <t>Ombuigingspercentage per jaar vanaf 2026 t/m 2030</t>
  </si>
  <si>
    <t>Ombuiging investeringen vanaf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</si>
</sst>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 #,##0;&quot;€&quot;\ \-#,##0"/>
    <numFmt numFmtId="6" formatCode="&quot;€&quot;\ #,##0;[Red]&quot;€&quot;\ \-#,##0"/>
    <numFmt numFmtId="42" formatCode="_ &quot;€&quot;\ * #,##0_ ;_ &quot;€&quot;\ * \-#,##0_ ;_ &quot;€&quot;\ * &quot;-&quot;_ ;_ @_ "/>
    <numFmt numFmtId="44" formatCode="_ &quot;€&quot;\ * #,##0.00_ ;_ &quot;€&quot;\ * \-#,##0.00_ ;_ &quot;€&quot;\ * &quot;-&quot;??_ ;_ @_ "/>
    <numFmt numFmtId="43" formatCode="_ * #,##0.00_ ;_ * \-#,##0.00_ ;_ * &quot;-&quot;??_ ;_ @_ "/>
    <numFmt numFmtId="164" formatCode="_-&quot;€&quot;\ * #,##0_-;_-&quot;€&quot;\ * #,##0\-;_-&quot;€&quot;\ * &quot;-&quot;_-;_-@_-"/>
    <numFmt numFmtId="165" formatCode="0.0%"/>
    <numFmt numFmtId="166" formatCode="_-&quot;€&quot;\ * #,##0.0_-;_-&quot;€&quot;\ * #,##0.0\-;_-&quot;€&quot;\ * &quot;-&quot;?_-;_-@_-"/>
    <numFmt numFmtId="167" formatCode="&quot;€&quot;\ #,##0"/>
    <numFmt numFmtId="168" formatCode="#,##0_ ;[Red]\-#,##0\ "/>
    <numFmt numFmtId="169" formatCode="0.0"/>
    <numFmt numFmtId="170" formatCode="0.0000%"/>
    <numFmt numFmtId="171" formatCode="0.000000%"/>
    <numFmt numFmtId="172" formatCode="0.0000"/>
    <numFmt numFmtId="173" formatCode="0.000"/>
    <numFmt numFmtId="174" formatCode="#,##0_ ;\-#,##0\ "/>
    <numFmt numFmtId="175" formatCode="#,##0.0"/>
    <numFmt numFmtId="176" formatCode="0.000%"/>
  </numFmts>
  <fonts count="26" x14ac:knownFonts="1">
    <font>
      <sz val="10"/>
      <color theme="1"/>
      <name val="Arial"/>
      <family val="2"/>
    </font>
    <font>
      <sz val="10"/>
      <name val="Arial"/>
      <family val="2"/>
    </font>
    <font>
      <b/>
      <sz val="8"/>
      <name val="Arial"/>
      <family val="2"/>
    </font>
    <font>
      <b/>
      <sz val="9"/>
      <color indexed="81"/>
      <name val="Tahoma"/>
      <family val="2"/>
    </font>
    <font>
      <b/>
      <sz val="10"/>
      <color theme="1"/>
      <name val="Arial"/>
      <family val="2"/>
    </font>
    <font>
      <sz val="10"/>
      <color rgb="FFFF0000"/>
      <name val="Arial"/>
      <family val="2"/>
    </font>
    <font>
      <sz val="10"/>
      <color theme="1"/>
      <name val="Calibri"/>
      <family val="2"/>
    </font>
    <font>
      <u val="singleAccounting"/>
      <sz val="10"/>
      <color theme="1"/>
      <name val="Arial"/>
      <family val="2"/>
    </font>
    <font>
      <sz val="8"/>
      <name val="Arial"/>
      <family val="2"/>
    </font>
    <font>
      <b/>
      <sz val="10"/>
      <name val="Arial"/>
      <family val="2"/>
    </font>
    <font>
      <sz val="11"/>
      <color indexed="8"/>
      <name val="Calibri"/>
      <family val="2"/>
      <scheme val="minor"/>
    </font>
    <font>
      <sz val="9"/>
      <color indexed="81"/>
      <name val="Tahoma"/>
      <family val="2"/>
    </font>
    <font>
      <sz val="9"/>
      <color theme="1"/>
      <name val="Arial"/>
      <family val="2"/>
    </font>
    <font>
      <u/>
      <sz val="10"/>
      <color theme="1"/>
      <name val="Arial"/>
      <family val="2"/>
    </font>
    <font>
      <sz val="10"/>
      <color theme="1"/>
      <name val="Arial"/>
      <family val="2"/>
    </font>
    <font>
      <b/>
      <u/>
      <sz val="10"/>
      <color theme="1"/>
      <name val="Arial"/>
      <family val="2"/>
    </font>
    <font>
      <sz val="10"/>
      <color theme="4" tint="0.79998168889431442"/>
      <name val="Arial"/>
      <family val="2"/>
    </font>
    <font>
      <b/>
      <sz val="8"/>
      <color theme="1"/>
      <name val="Arial"/>
      <family val="2"/>
    </font>
    <font>
      <b/>
      <sz val="12"/>
      <color theme="1"/>
      <name val="Arial"/>
      <family val="2"/>
    </font>
    <font>
      <b/>
      <sz val="11"/>
      <color theme="1"/>
      <name val="Calibri"/>
      <family val="2"/>
      <scheme val="minor"/>
    </font>
    <font>
      <b/>
      <sz val="18"/>
      <color theme="1"/>
      <name val="Calibri"/>
      <family val="2"/>
      <scheme val="minor"/>
    </font>
    <font>
      <b/>
      <sz val="14"/>
      <color theme="1"/>
      <name val="Calibri"/>
      <family val="2"/>
      <scheme val="minor"/>
    </font>
    <font>
      <b/>
      <sz val="14"/>
      <color theme="1"/>
      <name val="Calibri"/>
      <family val="2"/>
    </font>
    <font>
      <b/>
      <sz val="10"/>
      <color theme="4" tint="0.79998168889431442"/>
      <name val="Arial"/>
      <family val="2"/>
    </font>
    <font>
      <sz val="10"/>
      <color rgb="FF000000"/>
      <name val="Arial"/>
      <family val="2"/>
    </font>
    <font>
      <b/>
      <sz val="12"/>
      <color theme="1"/>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16">
    <border>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s>
  <cellStyleXfs count="4">
    <xf numFmtId="0" fontId="0" fillId="0" borderId="0"/>
    <xf numFmtId="0" fontId="2" fillId="0" borderId="0" applyNumberFormat="0" applyFill="0" applyBorder="0" applyProtection="0"/>
    <xf numFmtId="0" fontId="10" fillId="0" borderId="0"/>
    <xf numFmtId="43" fontId="14" fillId="0" borderId="0" applyFont="0" applyFill="0" applyBorder="0" applyAlignment="0" applyProtection="0"/>
  </cellStyleXfs>
  <cellXfs count="299">
    <xf numFmtId="0" fontId="0" fillId="0" borderId="0" xfId="0"/>
    <xf numFmtId="0" fontId="4" fillId="2" borderId="0" xfId="0" applyFont="1" applyFill="1"/>
    <xf numFmtId="0" fontId="4" fillId="2" borderId="0" xfId="0" applyFont="1" applyFill="1" applyProtection="1">
      <protection hidden="1"/>
    </xf>
    <xf numFmtId="0" fontId="0" fillId="2" borderId="0" xfId="0" applyFill="1" applyProtection="1">
      <protection hidden="1"/>
    </xf>
    <xf numFmtId="165" fontId="0" fillId="2" borderId="0" xfId="0" applyNumberFormat="1" applyFill="1"/>
    <xf numFmtId="0" fontId="0" fillId="2" borderId="0" xfId="0" applyFill="1"/>
    <xf numFmtId="9" fontId="0" fillId="2" borderId="0" xfId="0" applyNumberFormat="1" applyFill="1" applyProtection="1">
      <protection hidden="1"/>
    </xf>
    <xf numFmtId="10" fontId="0" fillId="2" borderId="0" xfId="0" applyNumberFormat="1" applyFill="1" applyProtection="1">
      <protection hidden="1"/>
    </xf>
    <xf numFmtId="164" fontId="0" fillId="2" borderId="0" xfId="0" applyNumberFormat="1" applyFill="1"/>
    <xf numFmtId="9" fontId="0" fillId="2" borderId="0" xfId="0" applyNumberFormat="1" applyFill="1"/>
    <xf numFmtId="164" fontId="0" fillId="0" borderId="0" xfId="0" applyNumberFormat="1" applyProtection="1">
      <protection locked="0"/>
    </xf>
    <xf numFmtId="164" fontId="0" fillId="2" borderId="0" xfId="0" applyNumberFormat="1" applyFill="1" applyProtection="1">
      <protection hidden="1"/>
    </xf>
    <xf numFmtId="0" fontId="0" fillId="2" borderId="0" xfId="0" applyFill="1" applyAlignment="1" applyProtection="1">
      <alignment horizontal="right"/>
      <protection hidden="1"/>
    </xf>
    <xf numFmtId="14" fontId="0" fillId="2" borderId="0" xfId="0" applyNumberFormat="1" applyFill="1"/>
    <xf numFmtId="165" fontId="0" fillId="2" borderId="0" xfId="0" applyNumberFormat="1" applyFill="1" applyProtection="1">
      <protection hidden="1"/>
    </xf>
    <xf numFmtId="6" fontId="0" fillId="2" borderId="0" xfId="0" applyNumberFormat="1" applyFill="1" applyProtection="1">
      <protection hidden="1"/>
    </xf>
    <xf numFmtId="6" fontId="1" fillId="2" borderId="0" xfId="0" applyNumberFormat="1" applyFont="1" applyFill="1" applyProtection="1">
      <protection hidden="1"/>
    </xf>
    <xf numFmtId="164" fontId="7" fillId="2" borderId="0" xfId="0" applyNumberFormat="1" applyFont="1" applyFill="1"/>
    <xf numFmtId="3" fontId="0" fillId="2" borderId="0" xfId="0" applyNumberFormat="1" applyFill="1" applyProtection="1">
      <protection hidden="1"/>
    </xf>
    <xf numFmtId="5" fontId="0" fillId="2" borderId="0" xfId="0" applyNumberFormat="1" applyFill="1" applyProtection="1">
      <protection hidden="1"/>
    </xf>
    <xf numFmtId="3" fontId="0" fillId="2" borderId="0" xfId="0" applyNumberFormat="1" applyFill="1"/>
    <xf numFmtId="0" fontId="0" fillId="2" borderId="0" xfId="0" applyFill="1" applyAlignment="1" applyProtection="1">
      <alignment vertical="top"/>
      <protection hidden="1"/>
    </xf>
    <xf numFmtId="6" fontId="0" fillId="2" borderId="0" xfId="0" applyNumberFormat="1" applyFill="1" applyAlignment="1" applyProtection="1">
      <alignment vertical="top"/>
      <protection hidden="1"/>
    </xf>
    <xf numFmtId="0" fontId="0" fillId="2" borderId="0" xfId="0" applyFill="1" applyAlignment="1">
      <alignment vertical="top"/>
    </xf>
    <xf numFmtId="164" fontId="0" fillId="0" borderId="0" xfId="0" applyNumberFormat="1" applyAlignment="1" applyProtection="1">
      <alignment vertical="top"/>
      <protection locked="0"/>
    </xf>
    <xf numFmtId="9" fontId="0" fillId="2" borderId="0" xfId="0" applyNumberFormat="1" applyFill="1" applyAlignment="1" applyProtection="1">
      <alignment vertical="top"/>
      <protection hidden="1"/>
    </xf>
    <xf numFmtId="165" fontId="0" fillId="2" borderId="0" xfId="0" applyNumberFormat="1" applyFill="1" applyAlignment="1" applyProtection="1">
      <alignment vertical="top"/>
      <protection hidden="1"/>
    </xf>
    <xf numFmtId="10" fontId="0" fillId="2" borderId="0" xfId="0" applyNumberFormat="1" applyFill="1"/>
    <xf numFmtId="42" fontId="0" fillId="2" borderId="0" xfId="0" applyNumberFormat="1" applyFill="1"/>
    <xf numFmtId="42" fontId="5" fillId="2" borderId="0" xfId="0" applyNumberFormat="1" applyFont="1" applyFill="1"/>
    <xf numFmtId="42" fontId="0" fillId="2" borderId="0" xfId="0" applyNumberFormat="1" applyFill="1" applyProtection="1">
      <protection hidden="1"/>
    </xf>
    <xf numFmtId="6" fontId="0" fillId="2" borderId="1" xfId="0" applyNumberFormat="1" applyFill="1" applyBorder="1" applyProtection="1">
      <protection hidden="1"/>
    </xf>
    <xf numFmtId="0" fontId="0" fillId="2" borderId="1" xfId="0" applyFill="1" applyBorder="1" applyProtection="1">
      <protection hidden="1"/>
    </xf>
    <xf numFmtId="165" fontId="0" fillId="0" borderId="3" xfId="0" applyNumberFormat="1" applyBorder="1" applyProtection="1">
      <protection locked="0"/>
    </xf>
    <xf numFmtId="165" fontId="0" fillId="2" borderId="3" xfId="0" applyNumberFormat="1" applyFill="1" applyBorder="1"/>
    <xf numFmtId="164" fontId="0" fillId="2" borderId="3" xfId="0" applyNumberFormat="1" applyFill="1" applyBorder="1" applyAlignment="1">
      <alignment horizontal="right"/>
    </xf>
    <xf numFmtId="164" fontId="0" fillId="3" borderId="0" xfId="0" applyNumberFormat="1" applyFill="1" applyProtection="1">
      <protection hidden="1"/>
    </xf>
    <xf numFmtId="164" fontId="5" fillId="3" borderId="0" xfId="0" applyNumberFormat="1" applyFont="1" applyFill="1" applyProtection="1">
      <protection hidden="1"/>
    </xf>
    <xf numFmtId="0" fontId="4" fillId="2" borderId="0" xfId="0" applyFont="1" applyFill="1" applyAlignment="1">
      <alignment horizontal="left"/>
    </xf>
    <xf numFmtId="1" fontId="4" fillId="2" borderId="0" xfId="0" applyNumberFormat="1" applyFont="1" applyFill="1"/>
    <xf numFmtId="1" fontId="4" fillId="2" borderId="0" xfId="0" applyNumberFormat="1" applyFont="1" applyFill="1" applyAlignment="1">
      <alignment horizontal="center"/>
    </xf>
    <xf numFmtId="0" fontId="0" fillId="2" borderId="0" xfId="0" applyFill="1" applyAlignment="1">
      <alignment horizontal="center"/>
    </xf>
    <xf numFmtId="0" fontId="4" fillId="2" borderId="0" xfId="0" applyFont="1" applyFill="1" applyAlignment="1">
      <alignment horizontal="center"/>
    </xf>
    <xf numFmtId="0" fontId="4" fillId="2" borderId="0" xfId="0" applyFont="1" applyFill="1" applyAlignment="1">
      <alignment horizontal="right"/>
    </xf>
    <xf numFmtId="1" fontId="4" fillId="2" borderId="5" xfId="0" applyNumberFormat="1" applyFont="1" applyFill="1" applyBorder="1" applyAlignment="1">
      <alignment horizontal="right"/>
    </xf>
    <xf numFmtId="0" fontId="4" fillId="2" borderId="5" xfId="0" applyFont="1" applyFill="1" applyBorder="1"/>
    <xf numFmtId="0" fontId="0" fillId="2" borderId="5" xfId="0" applyFill="1" applyBorder="1"/>
    <xf numFmtId="0" fontId="4" fillId="2" borderId="1" xfId="0" applyFont="1" applyFill="1" applyBorder="1" applyAlignment="1">
      <alignment horizontal="right"/>
    </xf>
    <xf numFmtId="1" fontId="4" fillId="2" borderId="2" xfId="0" applyNumberFormat="1" applyFont="1" applyFill="1" applyBorder="1" applyAlignment="1">
      <alignment horizontal="right"/>
    </xf>
    <xf numFmtId="1" fontId="4" fillId="2" borderId="1" xfId="0" applyNumberFormat="1" applyFont="1" applyFill="1" applyBorder="1"/>
    <xf numFmtId="0" fontId="0" fillId="2" borderId="1" xfId="0" applyFill="1" applyBorder="1"/>
    <xf numFmtId="3" fontId="4" fillId="2" borderId="0" xfId="0" applyNumberFormat="1" applyFont="1" applyFill="1"/>
    <xf numFmtId="3" fontId="4" fillId="2" borderId="5" xfId="0" applyNumberFormat="1" applyFont="1" applyFill="1" applyBorder="1"/>
    <xf numFmtId="3" fontId="4" fillId="2" borderId="1" xfId="0" applyNumberFormat="1" applyFont="1" applyFill="1" applyBorder="1"/>
    <xf numFmtId="0" fontId="4" fillId="2" borderId="7" xfId="0" applyFont="1" applyFill="1" applyBorder="1" applyAlignment="1" applyProtection="1">
      <alignment horizontal="center"/>
      <protection hidden="1"/>
    </xf>
    <xf numFmtId="0" fontId="8" fillId="0" borderId="0" xfId="0" applyFont="1"/>
    <xf numFmtId="0" fontId="2" fillId="0" borderId="0" xfId="0" applyFont="1"/>
    <xf numFmtId="164" fontId="7" fillId="0" borderId="0" xfId="0" applyNumberFormat="1" applyFont="1" applyProtection="1">
      <protection locked="0"/>
    </xf>
    <xf numFmtId="10" fontId="0" fillId="2" borderId="0" xfId="0" applyNumberFormat="1" applyFill="1" applyAlignment="1">
      <alignment horizontal="right"/>
    </xf>
    <xf numFmtId="10" fontId="8" fillId="0" borderId="0" xfId="0" applyNumberFormat="1" applyFont="1"/>
    <xf numFmtId="0" fontId="2" fillId="0" borderId="0" xfId="2" applyFont="1"/>
    <xf numFmtId="1" fontId="8" fillId="0" borderId="0" xfId="0" applyNumberFormat="1" applyFont="1"/>
    <xf numFmtId="0" fontId="1" fillId="2" borderId="0" xfId="0" applyFont="1" applyFill="1"/>
    <xf numFmtId="0" fontId="1" fillId="2" borderId="0" xfId="0" applyFont="1" applyFill="1" applyProtection="1">
      <protection hidden="1"/>
    </xf>
    <xf numFmtId="0" fontId="9" fillId="2" borderId="0" xfId="0" applyFont="1" applyFill="1" applyProtection="1">
      <protection hidden="1"/>
    </xf>
    <xf numFmtId="1" fontId="1" fillId="2" borderId="0" xfId="0" applyNumberFormat="1" applyFont="1" applyFill="1" applyProtection="1">
      <protection hidden="1"/>
    </xf>
    <xf numFmtId="9" fontId="1" fillId="2" borderId="0" xfId="0" applyNumberFormat="1" applyFont="1" applyFill="1" applyProtection="1">
      <protection hidden="1"/>
    </xf>
    <xf numFmtId="3" fontId="1" fillId="2" borderId="0" xfId="0" applyNumberFormat="1" applyFont="1" applyFill="1" applyProtection="1">
      <protection hidden="1"/>
    </xf>
    <xf numFmtId="1" fontId="0" fillId="2" borderId="3" xfId="0" applyNumberFormat="1" applyFill="1" applyBorder="1"/>
    <xf numFmtId="165" fontId="8" fillId="0" borderId="0" xfId="0" applyNumberFormat="1" applyFont="1"/>
    <xf numFmtId="2" fontId="8" fillId="0" borderId="0" xfId="0" applyNumberFormat="1" applyFont="1"/>
    <xf numFmtId="2" fontId="0" fillId="0" borderId="0" xfId="0" applyNumberFormat="1"/>
    <xf numFmtId="168" fontId="1" fillId="2" borderId="0" xfId="0" applyNumberFormat="1" applyFont="1" applyFill="1" applyProtection="1">
      <protection hidden="1"/>
    </xf>
    <xf numFmtId="6" fontId="1" fillId="2" borderId="0" xfId="0" applyNumberFormat="1" applyFont="1" applyFill="1"/>
    <xf numFmtId="165" fontId="0" fillId="3" borderId="3" xfId="0" applyNumberFormat="1" applyFill="1" applyBorder="1" applyProtection="1">
      <protection hidden="1"/>
    </xf>
    <xf numFmtId="1" fontId="2" fillId="0" borderId="0" xfId="0" applyNumberFormat="1" applyFont="1"/>
    <xf numFmtId="3" fontId="4" fillId="2" borderId="8" xfId="0" applyNumberFormat="1" applyFont="1" applyFill="1" applyBorder="1"/>
    <xf numFmtId="0" fontId="12" fillId="2" borderId="0" xfId="0" applyFont="1" applyFill="1"/>
    <xf numFmtId="1" fontId="0" fillId="2" borderId="1" xfId="0" applyNumberFormat="1" applyFill="1" applyBorder="1"/>
    <xf numFmtId="1" fontId="4" fillId="2" borderId="2" xfId="0" applyNumberFormat="1" applyFont="1" applyFill="1" applyBorder="1"/>
    <xf numFmtId="3" fontId="12" fillId="2" borderId="1" xfId="0" applyNumberFormat="1" applyFont="1" applyFill="1" applyBorder="1"/>
    <xf numFmtId="0" fontId="0" fillId="2" borderId="11" xfId="0" applyFill="1" applyBorder="1" applyProtection="1">
      <protection hidden="1"/>
    </xf>
    <xf numFmtId="165" fontId="0" fillId="2" borderId="4" xfId="0" applyNumberFormat="1" applyFill="1" applyBorder="1" applyAlignment="1" applyProtection="1">
      <alignment vertical="top"/>
      <protection hidden="1"/>
    </xf>
    <xf numFmtId="9" fontId="0" fillId="2" borderId="3" xfId="0" applyNumberFormat="1" applyFill="1" applyBorder="1"/>
    <xf numFmtId="3" fontId="0" fillId="2" borderId="0" xfId="0" applyNumberFormat="1" applyFill="1" applyAlignment="1" applyProtection="1">
      <alignment vertical="top"/>
      <protection hidden="1"/>
    </xf>
    <xf numFmtId="0" fontId="0" fillId="2" borderId="0" xfId="0" applyFill="1" applyAlignment="1">
      <alignment vertical="center"/>
    </xf>
    <xf numFmtId="0" fontId="0" fillId="2" borderId="0" xfId="0" applyFill="1" applyAlignment="1" applyProtection="1">
      <alignment vertical="center"/>
      <protection hidden="1"/>
    </xf>
    <xf numFmtId="6" fontId="0" fillId="2" borderId="0" xfId="0" applyNumberFormat="1" applyFill="1" applyAlignment="1" applyProtection="1">
      <alignment vertical="center"/>
      <protection hidden="1"/>
    </xf>
    <xf numFmtId="0" fontId="0" fillId="2" borderId="3" xfId="0" applyFill="1" applyBorder="1" applyProtection="1">
      <protection hidden="1"/>
    </xf>
    <xf numFmtId="0" fontId="4" fillId="2" borderId="6" xfId="0" applyFont="1" applyFill="1" applyBorder="1" applyProtection="1">
      <protection hidden="1"/>
    </xf>
    <xf numFmtId="6" fontId="0" fillId="2" borderId="0" xfId="0" applyNumberFormat="1" applyFill="1"/>
    <xf numFmtId="9" fontId="5" fillId="2" borderId="0" xfId="0" applyNumberFormat="1" applyFont="1" applyFill="1" applyProtection="1">
      <protection hidden="1"/>
    </xf>
    <xf numFmtId="9" fontId="0" fillId="0" borderId="3" xfId="0" applyNumberFormat="1" applyBorder="1" applyProtection="1">
      <protection locked="0"/>
    </xf>
    <xf numFmtId="5" fontId="0" fillId="2" borderId="4" xfId="0" applyNumberFormat="1" applyFill="1" applyBorder="1" applyProtection="1">
      <protection hidden="1"/>
    </xf>
    <xf numFmtId="164" fontId="0" fillId="2" borderId="0" xfId="0" applyNumberFormat="1" applyFill="1" applyAlignment="1">
      <alignment horizontal="right"/>
    </xf>
    <xf numFmtId="3" fontId="4" fillId="2" borderId="0" xfId="0" applyNumberFormat="1" applyFont="1" applyFill="1" applyProtection="1">
      <protection hidden="1"/>
    </xf>
    <xf numFmtId="1" fontId="4" fillId="2" borderId="5" xfId="0" applyNumberFormat="1" applyFont="1" applyFill="1" applyBorder="1"/>
    <xf numFmtId="6" fontId="13" fillId="2" borderId="0" xfId="0" applyNumberFormat="1" applyFont="1" applyFill="1" applyProtection="1">
      <protection hidden="1"/>
    </xf>
    <xf numFmtId="167" fontId="0" fillId="2" borderId="0" xfId="0" applyNumberFormat="1" applyFill="1" applyAlignment="1" applyProtection="1">
      <alignment vertical="top"/>
      <protection hidden="1"/>
    </xf>
    <xf numFmtId="169" fontId="0" fillId="2" borderId="1" xfId="0" applyNumberFormat="1" applyFill="1" applyBorder="1"/>
    <xf numFmtId="169" fontId="0" fillId="2" borderId="0" xfId="0" applyNumberFormat="1" applyFill="1"/>
    <xf numFmtId="3" fontId="0" fillId="0" borderId="0" xfId="0" applyNumberFormat="1"/>
    <xf numFmtId="1" fontId="0" fillId="0" borderId="0" xfId="0" applyNumberFormat="1"/>
    <xf numFmtId="0" fontId="0" fillId="2" borderId="13" xfId="0" applyFill="1" applyBorder="1"/>
    <xf numFmtId="0" fontId="0" fillId="2" borderId="14" xfId="0" applyFill="1" applyBorder="1"/>
    <xf numFmtId="3" fontId="0" fillId="0" borderId="12" xfId="0" applyNumberFormat="1" applyBorder="1" applyProtection="1">
      <protection locked="0"/>
    </xf>
    <xf numFmtId="0" fontId="0" fillId="2" borderId="8" xfId="0" applyFill="1" applyBorder="1"/>
    <xf numFmtId="3" fontId="0" fillId="0" borderId="1" xfId="0" applyNumberFormat="1" applyBorder="1" applyProtection="1">
      <protection locked="0"/>
    </xf>
    <xf numFmtId="0" fontId="0" fillId="2" borderId="9" xfId="0" applyFill="1" applyBorder="1"/>
    <xf numFmtId="3" fontId="0" fillId="0" borderId="0" xfId="0" applyNumberFormat="1" applyProtection="1">
      <protection locked="0"/>
    </xf>
    <xf numFmtId="5" fontId="1" fillId="2" borderId="0" xfId="0" applyNumberFormat="1" applyFont="1" applyFill="1" applyProtection="1">
      <protection hidden="1"/>
    </xf>
    <xf numFmtId="167" fontId="0" fillId="2" borderId="0" xfId="0" applyNumberFormat="1" applyFill="1" applyProtection="1">
      <protection hidden="1"/>
    </xf>
    <xf numFmtId="9" fontId="0" fillId="2" borderId="0" xfId="0" applyNumberFormat="1" applyFill="1" applyAlignment="1">
      <alignment horizontal="right"/>
    </xf>
    <xf numFmtId="5" fontId="0" fillId="2" borderId="0" xfId="0" applyNumberFormat="1" applyFill="1"/>
    <xf numFmtId="170" fontId="0" fillId="2" borderId="0" xfId="0" applyNumberFormat="1" applyFill="1" applyProtection="1">
      <protection hidden="1"/>
    </xf>
    <xf numFmtId="165" fontId="0" fillId="2" borderId="1" xfId="0" applyNumberFormat="1" applyFill="1" applyBorder="1"/>
    <xf numFmtId="165" fontId="0" fillId="2" borderId="0" xfId="0" applyNumberFormat="1" applyFill="1" applyAlignment="1">
      <alignment horizontal="right"/>
    </xf>
    <xf numFmtId="42" fontId="0" fillId="2" borderId="12" xfId="0" applyNumberFormat="1" applyFill="1" applyBorder="1" applyProtection="1">
      <protection hidden="1"/>
    </xf>
    <xf numFmtId="42" fontId="0" fillId="2" borderId="1" xfId="0" applyNumberFormat="1" applyFill="1" applyBorder="1" applyProtection="1">
      <protection hidden="1"/>
    </xf>
    <xf numFmtId="164" fontId="0" fillId="2" borderId="12" xfId="0" applyNumberFormat="1" applyFill="1" applyBorder="1" applyProtection="1">
      <protection hidden="1"/>
    </xf>
    <xf numFmtId="164" fontId="0" fillId="2" borderId="1" xfId="0" applyNumberFormat="1" applyFill="1" applyBorder="1" applyProtection="1">
      <protection hidden="1"/>
    </xf>
    <xf numFmtId="42" fontId="0" fillId="2" borderId="2" xfId="0" applyNumberFormat="1" applyFill="1" applyBorder="1" applyProtection="1">
      <protection hidden="1"/>
    </xf>
    <xf numFmtId="171" fontId="0" fillId="2" borderId="0" xfId="0" applyNumberFormat="1" applyFill="1" applyProtection="1">
      <protection hidden="1"/>
    </xf>
    <xf numFmtId="172" fontId="0" fillId="0" borderId="0" xfId="0" applyNumberFormat="1"/>
    <xf numFmtId="43" fontId="0" fillId="2" borderId="0" xfId="3" applyFont="1" applyFill="1"/>
    <xf numFmtId="3" fontId="0" fillId="2" borderId="1" xfId="0" applyNumberFormat="1" applyFill="1" applyBorder="1"/>
    <xf numFmtId="0" fontId="15" fillId="2" borderId="0" xfId="0" applyFont="1" applyFill="1"/>
    <xf numFmtId="167" fontId="0" fillId="2" borderId="0" xfId="0" applyNumberFormat="1" applyFill="1"/>
    <xf numFmtId="42" fontId="0" fillId="2" borderId="3" xfId="0" applyNumberFormat="1" applyFill="1" applyBorder="1"/>
    <xf numFmtId="3" fontId="8" fillId="0" borderId="0" xfId="0" applyNumberFormat="1" applyFont="1"/>
    <xf numFmtId="169" fontId="8" fillId="0" borderId="0" xfId="0" applyNumberFormat="1" applyFont="1"/>
    <xf numFmtId="165" fontId="0" fillId="3" borderId="11" xfId="0" applyNumberFormat="1" applyFill="1" applyBorder="1" applyProtection="1">
      <protection hidden="1"/>
    </xf>
    <xf numFmtId="165" fontId="0" fillId="3" borderId="3" xfId="0" applyNumberFormat="1" applyFill="1" applyBorder="1" applyAlignment="1" applyProtection="1">
      <alignment vertical="center"/>
      <protection hidden="1"/>
    </xf>
    <xf numFmtId="0" fontId="4" fillId="3" borderId="10" xfId="0" applyFont="1" applyFill="1" applyBorder="1" applyProtection="1">
      <protection hidden="1"/>
    </xf>
    <xf numFmtId="0" fontId="9" fillId="2" borderId="0" xfId="0" applyFont="1" applyFill="1" applyAlignment="1">
      <alignment horizontal="center"/>
    </xf>
    <xf numFmtId="0" fontId="9" fillId="2" borderId="0" xfId="0" applyFont="1" applyFill="1" applyAlignment="1" applyProtection="1">
      <alignment horizontal="center"/>
      <protection hidden="1"/>
    </xf>
    <xf numFmtId="170" fontId="2" fillId="0" borderId="0" xfId="0" applyNumberFormat="1" applyFont="1"/>
    <xf numFmtId="173" fontId="2" fillId="0" borderId="0" xfId="0" applyNumberFormat="1" applyFont="1"/>
    <xf numFmtId="1" fontId="4" fillId="2" borderId="8" xfId="0" applyNumberFormat="1" applyFont="1" applyFill="1" applyBorder="1"/>
    <xf numFmtId="174" fontId="0" fillId="2" borderId="0" xfId="0" applyNumberFormat="1" applyFill="1"/>
    <xf numFmtId="0" fontId="0" fillId="4" borderId="0" xfId="0" applyFill="1"/>
    <xf numFmtId="0" fontId="4" fillId="4" borderId="0" xfId="0" applyFont="1" applyFill="1"/>
    <xf numFmtId="2" fontId="0" fillId="4" borderId="0" xfId="0" applyNumberFormat="1" applyFill="1"/>
    <xf numFmtId="172" fontId="2" fillId="0" borderId="0" xfId="0" applyNumberFormat="1" applyFont="1"/>
    <xf numFmtId="2" fontId="2" fillId="0" borderId="0" xfId="0" applyNumberFormat="1" applyFont="1"/>
    <xf numFmtId="3" fontId="2" fillId="0" borderId="0" xfId="0" applyNumberFormat="1" applyFont="1"/>
    <xf numFmtId="3" fontId="2" fillId="0" borderId="0" xfId="0" applyNumberFormat="1" applyFont="1" applyAlignment="1">
      <alignment horizontal="right"/>
    </xf>
    <xf numFmtId="44" fontId="0" fillId="2" borderId="0" xfId="0" applyNumberFormat="1" applyFill="1"/>
    <xf numFmtId="3" fontId="0" fillId="4" borderId="14" xfId="0" applyNumberFormat="1" applyFill="1" applyBorder="1" applyProtection="1">
      <protection locked="0"/>
    </xf>
    <xf numFmtId="165" fontId="0" fillId="0" borderId="0" xfId="0" applyNumberFormat="1"/>
    <xf numFmtId="42" fontId="5" fillId="0" borderId="0" xfId="0" applyNumberFormat="1" applyFont="1" applyProtection="1">
      <protection locked="0"/>
    </xf>
    <xf numFmtId="0" fontId="16" fillId="2" borderId="0" xfId="0" applyFont="1" applyFill="1" applyProtection="1">
      <protection hidden="1"/>
    </xf>
    <xf numFmtId="42" fontId="0" fillId="0" borderId="0" xfId="0" applyNumberFormat="1" applyProtection="1">
      <protection locked="0"/>
    </xf>
    <xf numFmtId="42" fontId="0" fillId="3" borderId="0" xfId="0" applyNumberFormat="1" applyFill="1" applyProtection="1">
      <protection hidden="1"/>
    </xf>
    <xf numFmtId="3" fontId="0" fillId="0" borderId="2" xfId="0" applyNumberFormat="1" applyBorder="1" applyProtection="1">
      <protection locked="0"/>
    </xf>
    <xf numFmtId="164" fontId="1" fillId="2" borderId="0" xfId="0" applyNumberFormat="1" applyFont="1" applyFill="1" applyAlignment="1" applyProtection="1">
      <alignment horizontal="center"/>
      <protection hidden="1"/>
    </xf>
    <xf numFmtId="1" fontId="16" fillId="2" borderId="0" xfId="0" applyNumberFormat="1" applyFont="1" applyFill="1" applyProtection="1">
      <protection hidden="1"/>
    </xf>
    <xf numFmtId="3" fontId="16" fillId="2" borderId="0" xfId="0" applyNumberFormat="1" applyFont="1" applyFill="1"/>
    <xf numFmtId="0" fontId="0" fillId="4" borderId="0" xfId="0" quotePrefix="1" applyFill="1"/>
    <xf numFmtId="42" fontId="1" fillId="3" borderId="0" xfId="0" applyNumberFormat="1" applyFont="1" applyFill="1"/>
    <xf numFmtId="165" fontId="0" fillId="2" borderId="0" xfId="0" applyNumberFormat="1" applyFill="1" applyProtection="1">
      <protection locked="0"/>
    </xf>
    <xf numFmtId="0" fontId="9" fillId="2" borderId="0" xfId="0" applyFont="1" applyFill="1"/>
    <xf numFmtId="3" fontId="1" fillId="2" borderId="0" xfId="0" applyNumberFormat="1" applyFont="1" applyFill="1"/>
    <xf numFmtId="0" fontId="6" fillId="2" borderId="0" xfId="0" applyFont="1" applyFill="1" applyAlignment="1">
      <alignment horizontal="right"/>
    </xf>
    <xf numFmtId="0" fontId="0" fillId="5" borderId="0" xfId="0" applyFill="1"/>
    <xf numFmtId="0" fontId="0" fillId="2" borderId="0" xfId="0" applyFill="1" applyAlignment="1">
      <alignment horizontal="right"/>
    </xf>
    <xf numFmtId="0" fontId="0" fillId="2" borderId="0" xfId="0" applyFill="1" applyAlignment="1" applyProtection="1">
      <alignment horizontal="right" vertical="top"/>
      <protection hidden="1"/>
    </xf>
    <xf numFmtId="0" fontId="0" fillId="2" borderId="0" xfId="0" applyFill="1" applyAlignment="1">
      <alignment horizontal="right" vertical="top"/>
    </xf>
    <xf numFmtId="0" fontId="0" fillId="2" borderId="0" xfId="0" applyFill="1" applyAlignment="1">
      <alignment horizontal="right" vertical="center"/>
    </xf>
    <xf numFmtId="0" fontId="4" fillId="2" borderId="0" xfId="0" applyFont="1" applyFill="1" applyAlignment="1" applyProtection="1">
      <alignment horizontal="right"/>
      <protection hidden="1"/>
    </xf>
    <xf numFmtId="0" fontId="0" fillId="2" borderId="0" xfId="0" applyFill="1" applyAlignment="1">
      <alignment horizontal="left"/>
    </xf>
    <xf numFmtId="0" fontId="0" fillId="0" borderId="0" xfId="0" applyAlignment="1" applyProtection="1">
      <alignment horizontal="left"/>
      <protection locked="0"/>
    </xf>
    <xf numFmtId="0" fontId="0" fillId="2" borderId="0" xfId="0" applyFill="1" applyAlignment="1">
      <alignment horizontal="left" vertical="top"/>
    </xf>
    <xf numFmtId="0" fontId="0" fillId="2" borderId="0" xfId="0" applyFill="1" applyAlignment="1">
      <alignment horizontal="left" vertical="center"/>
    </xf>
    <xf numFmtId="0" fontId="0" fillId="2" borderId="0" xfId="0" applyFill="1" applyAlignment="1" applyProtection="1">
      <alignment horizontal="left"/>
      <protection hidden="1"/>
    </xf>
    <xf numFmtId="0" fontId="4" fillId="2" borderId="0" xfId="0" applyFont="1" applyFill="1" applyAlignment="1">
      <alignment horizontal="right" vertical="top"/>
    </xf>
    <xf numFmtId="0" fontId="4" fillId="2" borderId="0" xfId="0" applyFont="1" applyFill="1" applyAlignment="1">
      <alignment horizontal="left" vertical="top"/>
    </xf>
    <xf numFmtId="0" fontId="0" fillId="2" borderId="14" xfId="0" applyFill="1" applyBorder="1" applyAlignment="1" applyProtection="1">
      <alignment horizontal="left"/>
      <protection hidden="1"/>
    </xf>
    <xf numFmtId="0" fontId="4" fillId="2" borderId="13" xfId="0" applyFont="1" applyFill="1" applyBorder="1" applyAlignment="1" applyProtection="1">
      <alignment horizontal="left"/>
      <protection hidden="1"/>
    </xf>
    <xf numFmtId="0" fontId="4" fillId="2" borderId="8" xfId="0" applyFont="1" applyFill="1" applyBorder="1" applyAlignment="1" applyProtection="1">
      <alignment horizontal="left"/>
      <protection hidden="1"/>
    </xf>
    <xf numFmtId="0" fontId="4" fillId="2" borderId="9" xfId="0" applyFont="1" applyFill="1" applyBorder="1" applyAlignment="1" applyProtection="1">
      <alignment horizontal="left"/>
      <protection hidden="1"/>
    </xf>
    <xf numFmtId="0" fontId="4" fillId="2" borderId="0" xfId="0" applyFont="1" applyFill="1" applyAlignment="1" applyProtection="1">
      <alignment horizontal="left"/>
      <protection hidden="1"/>
    </xf>
    <xf numFmtId="0" fontId="0" fillId="2" borderId="5" xfId="0" applyFill="1" applyBorder="1" applyAlignment="1">
      <alignment horizontal="left"/>
    </xf>
    <xf numFmtId="0" fontId="0" fillId="2" borderId="14" xfId="0" applyFill="1" applyBorder="1" applyAlignment="1">
      <alignment horizontal="left"/>
    </xf>
    <xf numFmtId="10" fontId="0" fillId="0" borderId="0" xfId="0" applyNumberFormat="1"/>
    <xf numFmtId="0" fontId="4" fillId="0" borderId="6" xfId="0" applyFont="1" applyBorder="1" applyAlignment="1" applyProtection="1">
      <alignment horizontal="center"/>
      <protection locked="0"/>
    </xf>
    <xf numFmtId="2" fontId="1" fillId="2" borderId="0" xfId="0" applyNumberFormat="1" applyFont="1" applyFill="1" applyProtection="1">
      <protection locked="0"/>
    </xf>
    <xf numFmtId="3" fontId="0" fillId="5" borderId="0" xfId="0" applyNumberFormat="1" applyFill="1"/>
    <xf numFmtId="9" fontId="16" fillId="2" borderId="0" xfId="0" applyNumberFormat="1" applyFont="1" applyFill="1" applyProtection="1">
      <protection hidden="1"/>
    </xf>
    <xf numFmtId="0" fontId="16" fillId="2" borderId="0" xfId="0" applyFont="1" applyFill="1"/>
    <xf numFmtId="169" fontId="16" fillId="2" borderId="0" xfId="0" applyNumberFormat="1" applyFont="1" applyFill="1" applyProtection="1">
      <protection hidden="1"/>
    </xf>
    <xf numFmtId="169" fontId="16" fillId="2" borderId="0" xfId="0" applyNumberFormat="1" applyFont="1" applyFill="1"/>
    <xf numFmtId="9" fontId="16" fillId="2" borderId="0" xfId="0" applyNumberFormat="1" applyFont="1" applyFill="1"/>
    <xf numFmtId="165" fontId="16" fillId="2" borderId="0" xfId="0" applyNumberFormat="1" applyFont="1" applyFill="1"/>
    <xf numFmtId="0" fontId="19" fillId="2" borderId="0" xfId="0" applyFont="1" applyFill="1"/>
    <xf numFmtId="165" fontId="19" fillId="2" borderId="0" xfId="0" applyNumberFormat="1" applyFont="1" applyFill="1"/>
    <xf numFmtId="1" fontId="19" fillId="2" borderId="0" xfId="0" applyNumberFormat="1" applyFont="1" applyFill="1"/>
    <xf numFmtId="0" fontId="18" fillId="2" borderId="0" xfId="0" applyFont="1" applyFill="1" applyAlignment="1">
      <alignment vertical="center"/>
    </xf>
    <xf numFmtId="2" fontId="1" fillId="0" borderId="0" xfId="0" applyNumberFormat="1" applyFont="1" applyProtection="1">
      <protection locked="0"/>
    </xf>
    <xf numFmtId="42" fontId="1" fillId="2" borderId="0" xfId="0" applyNumberFormat="1" applyFont="1" applyFill="1"/>
    <xf numFmtId="42" fontId="1" fillId="2" borderId="0" xfId="0" applyNumberFormat="1" applyFont="1" applyFill="1" applyProtection="1">
      <protection hidden="1"/>
    </xf>
    <xf numFmtId="167" fontId="1" fillId="2" borderId="0" xfId="0" applyNumberFormat="1" applyFont="1" applyFill="1"/>
    <xf numFmtId="0" fontId="4" fillId="2" borderId="6" xfId="0" applyFont="1" applyFill="1" applyBorder="1" applyAlignment="1">
      <alignment horizontal="right"/>
    </xf>
    <xf numFmtId="0" fontId="4" fillId="0" borderId="6" xfId="0" applyFont="1" applyBorder="1" applyAlignment="1" applyProtection="1">
      <alignment horizontal="right"/>
      <protection locked="0"/>
    </xf>
    <xf numFmtId="3" fontId="19" fillId="2" borderId="0" xfId="0" applyNumberFormat="1" applyFont="1" applyFill="1"/>
    <xf numFmtId="0" fontId="4" fillId="3" borderId="6" xfId="0" applyFont="1" applyFill="1" applyBorder="1" applyProtection="1">
      <protection hidden="1"/>
    </xf>
    <xf numFmtId="9" fontId="0" fillId="0" borderId="4" xfId="0" applyNumberFormat="1" applyBorder="1" applyProtection="1">
      <protection locked="0"/>
    </xf>
    <xf numFmtId="9" fontId="0" fillId="2" borderId="4" xfId="0" applyNumberFormat="1" applyFill="1" applyBorder="1"/>
    <xf numFmtId="167" fontId="0" fillId="0" borderId="0" xfId="0" applyNumberFormat="1"/>
    <xf numFmtId="0" fontId="0" fillId="3" borderId="11" xfId="0" applyFill="1" applyBorder="1" applyProtection="1">
      <protection hidden="1"/>
    </xf>
    <xf numFmtId="0" fontId="0" fillId="3" borderId="3" xfId="0" applyFill="1" applyBorder="1" applyProtection="1">
      <protection hidden="1"/>
    </xf>
    <xf numFmtId="0" fontId="0" fillId="3" borderId="4" xfId="0" applyFill="1" applyBorder="1" applyProtection="1">
      <protection hidden="1"/>
    </xf>
    <xf numFmtId="1" fontId="2" fillId="0" borderId="0" xfId="0" applyNumberFormat="1" applyFont="1" applyAlignment="1">
      <alignment horizontal="right"/>
    </xf>
    <xf numFmtId="5" fontId="0" fillId="3" borderId="4" xfId="0" applyNumberFormat="1" applyFill="1" applyBorder="1" applyProtection="1">
      <protection hidden="1"/>
    </xf>
    <xf numFmtId="1" fontId="2" fillId="5" borderId="0" xfId="0" applyNumberFormat="1" applyFont="1" applyFill="1"/>
    <xf numFmtId="10" fontId="0" fillId="0" borderId="3" xfId="0" applyNumberFormat="1" applyBorder="1" applyProtection="1">
      <protection locked="0"/>
    </xf>
    <xf numFmtId="3" fontId="2" fillId="5" borderId="0" xfId="0" applyNumberFormat="1" applyFont="1" applyFill="1"/>
    <xf numFmtId="3" fontId="0" fillId="0" borderId="0" xfId="0" applyNumberFormat="1" applyAlignment="1">
      <alignment horizontal="right"/>
    </xf>
    <xf numFmtId="0" fontId="23" fillId="2" borderId="0" xfId="0" applyFont="1" applyFill="1" applyAlignment="1">
      <alignment horizontal="center" vertical="center"/>
    </xf>
    <xf numFmtId="10" fontId="0" fillId="5" borderId="0" xfId="0" applyNumberFormat="1" applyFill="1"/>
    <xf numFmtId="0" fontId="0" fillId="2" borderId="7" xfId="0" applyFill="1" applyBorder="1" applyProtection="1">
      <protection hidden="1"/>
    </xf>
    <xf numFmtId="0" fontId="0" fillId="2" borderId="8" xfId="0" applyFill="1" applyBorder="1" applyProtection="1">
      <protection hidden="1"/>
    </xf>
    <xf numFmtId="166" fontId="0" fillId="2" borderId="8" xfId="0" applyNumberFormat="1" applyFill="1" applyBorder="1" applyAlignment="1" applyProtection="1">
      <alignment horizontal="left"/>
      <protection hidden="1"/>
    </xf>
    <xf numFmtId="42" fontId="5" fillId="2" borderId="1" xfId="0" applyNumberFormat="1" applyFont="1" applyFill="1" applyBorder="1"/>
    <xf numFmtId="164" fontId="0" fillId="2" borderId="1" xfId="0" applyNumberFormat="1" applyFill="1" applyBorder="1"/>
    <xf numFmtId="166" fontId="0" fillId="2" borderId="8" xfId="0" applyNumberFormat="1" applyFill="1" applyBorder="1" applyProtection="1">
      <protection hidden="1"/>
    </xf>
    <xf numFmtId="166" fontId="0" fillId="2" borderId="9" xfId="0" applyNumberFormat="1" applyFill="1" applyBorder="1" applyProtection="1">
      <protection hidden="1"/>
    </xf>
    <xf numFmtId="0" fontId="4" fillId="2" borderId="10" xfId="0" applyFont="1" applyFill="1" applyBorder="1" applyProtection="1">
      <protection hidden="1"/>
    </xf>
    <xf numFmtId="0" fontId="0" fillId="2" borderId="9" xfId="0" applyFill="1" applyBorder="1" applyProtection="1">
      <protection hidden="1"/>
    </xf>
    <xf numFmtId="0" fontId="0" fillId="2" borderId="5" xfId="0" applyFill="1" applyBorder="1" applyProtection="1">
      <protection hidden="1"/>
    </xf>
    <xf numFmtId="10" fontId="0" fillId="2" borderId="5" xfId="0" applyNumberFormat="1" applyFill="1" applyBorder="1" applyProtection="1">
      <protection hidden="1"/>
    </xf>
    <xf numFmtId="0" fontId="4" fillId="2" borderId="15" xfId="0" applyFont="1" applyFill="1" applyBorder="1" applyProtection="1">
      <protection hidden="1"/>
    </xf>
    <xf numFmtId="9" fontId="0" fillId="2" borderId="5" xfId="0" applyNumberFormat="1" applyFill="1" applyBorder="1" applyProtection="1">
      <protection hidden="1"/>
    </xf>
    <xf numFmtId="0" fontId="0" fillId="2" borderId="15" xfId="0" applyFill="1" applyBorder="1" applyProtection="1">
      <protection hidden="1"/>
    </xf>
    <xf numFmtId="10" fontId="0" fillId="2" borderId="1" xfId="0" applyNumberFormat="1" applyFill="1" applyBorder="1"/>
    <xf numFmtId="0" fontId="0" fillId="2" borderId="2" xfId="0" applyFill="1" applyBorder="1"/>
    <xf numFmtId="0" fontId="0" fillId="2" borderId="10" xfId="0" applyFill="1" applyBorder="1" applyAlignment="1">
      <alignment horizontal="right"/>
    </xf>
    <xf numFmtId="0" fontId="0" fillId="2" borderId="15" xfId="0" applyFill="1" applyBorder="1"/>
    <xf numFmtId="0" fontId="0" fillId="2" borderId="7" xfId="0" applyFill="1" applyBorder="1"/>
    <xf numFmtId="0" fontId="0" fillId="2" borderId="8" xfId="0" applyFill="1" applyBorder="1" applyAlignment="1">
      <alignment horizontal="right"/>
    </xf>
    <xf numFmtId="10" fontId="0" fillId="2" borderId="5" xfId="0" applyNumberFormat="1" applyFill="1" applyBorder="1"/>
    <xf numFmtId="10" fontId="0" fillId="2" borderId="2" xfId="0" applyNumberFormat="1" applyFill="1" applyBorder="1"/>
    <xf numFmtId="0" fontId="0" fillId="2" borderId="15" xfId="0" applyFill="1" applyBorder="1" applyAlignment="1">
      <alignment horizontal="right"/>
    </xf>
    <xf numFmtId="165" fontId="0" fillId="5" borderId="0" xfId="0" applyNumberFormat="1" applyFill="1"/>
    <xf numFmtId="175" fontId="8" fillId="0" borderId="0" xfId="0" applyNumberFormat="1" applyFont="1"/>
    <xf numFmtId="10" fontId="0" fillId="2" borderId="3" xfId="0" applyNumberFormat="1" applyFill="1" applyBorder="1"/>
    <xf numFmtId="10" fontId="0" fillId="2" borderId="11" xfId="0" applyNumberFormat="1" applyFill="1" applyBorder="1"/>
    <xf numFmtId="3" fontId="0" fillId="2" borderId="3" xfId="0" applyNumberFormat="1" applyFill="1" applyBorder="1"/>
    <xf numFmtId="10" fontId="0" fillId="2" borderId="4" xfId="0" applyNumberFormat="1" applyFill="1" applyBorder="1" applyAlignment="1">
      <alignment horizontal="right"/>
    </xf>
    <xf numFmtId="10" fontId="0" fillId="0" borderId="11" xfId="0" applyNumberFormat="1" applyBorder="1" applyProtection="1">
      <protection locked="0"/>
    </xf>
    <xf numFmtId="0" fontId="0" fillId="2" borderId="4" xfId="0" applyFill="1" applyBorder="1"/>
    <xf numFmtId="164" fontId="1" fillId="2" borderId="0" xfId="0" applyNumberFormat="1" applyFont="1" applyFill="1"/>
    <xf numFmtId="10" fontId="0" fillId="2" borderId="0" xfId="0" applyNumberFormat="1" applyFill="1" applyAlignment="1">
      <alignment vertical="top"/>
    </xf>
    <xf numFmtId="175" fontId="0" fillId="0" borderId="0" xfId="0" applyNumberFormat="1"/>
    <xf numFmtId="3" fontId="24" fillId="0" borderId="0" xfId="0" applyNumberFormat="1" applyFont="1"/>
    <xf numFmtId="0" fontId="24" fillId="0" borderId="0" xfId="0" applyFont="1"/>
    <xf numFmtId="3" fontId="24" fillId="5" borderId="0" xfId="0" applyNumberFormat="1" applyFont="1" applyFill="1"/>
    <xf numFmtId="1" fontId="2" fillId="0" borderId="0" xfId="0" quotePrefix="1" applyNumberFormat="1" applyFont="1"/>
    <xf numFmtId="175" fontId="0" fillId="5" borderId="0" xfId="0" applyNumberFormat="1" applyFill="1"/>
    <xf numFmtId="4" fontId="0" fillId="0" borderId="0" xfId="0" applyNumberFormat="1"/>
    <xf numFmtId="4" fontId="0" fillId="5" borderId="0" xfId="0" applyNumberFormat="1" applyFill="1"/>
    <xf numFmtId="10" fontId="2" fillId="0" borderId="0" xfId="0" applyNumberFormat="1" applyFont="1"/>
    <xf numFmtId="176" fontId="2" fillId="0" borderId="0" xfId="0" applyNumberFormat="1" applyFont="1"/>
    <xf numFmtId="1" fontId="2" fillId="4" borderId="0" xfId="0" applyNumberFormat="1" applyFont="1" applyFill="1"/>
    <xf numFmtId="3" fontId="2" fillId="4" borderId="0" xfId="0" applyNumberFormat="1" applyFont="1" applyFill="1"/>
    <xf numFmtId="3" fontId="17" fillId="0" borderId="0" xfId="0" applyNumberFormat="1" applyFont="1"/>
    <xf numFmtId="175" fontId="0" fillId="0" borderId="0" xfId="0" applyNumberFormat="1" applyAlignment="1">
      <alignment horizontal="right"/>
    </xf>
    <xf numFmtId="169" fontId="0" fillId="0" borderId="0" xfId="0" applyNumberFormat="1"/>
    <xf numFmtId="169" fontId="0" fillId="0" borderId="6" xfId="0" applyNumberFormat="1" applyBorder="1"/>
    <xf numFmtId="0" fontId="0" fillId="0" borderId="6" xfId="0" applyBorder="1"/>
    <xf numFmtId="0" fontId="16" fillId="2" borderId="0" xfId="0" applyFont="1" applyFill="1" applyAlignment="1" applyProtection="1">
      <alignment vertical="top"/>
      <protection hidden="1"/>
    </xf>
    <xf numFmtId="3" fontId="16" fillId="2" borderId="0" xfId="0" applyNumberFormat="1" applyFont="1" applyFill="1" applyAlignment="1">
      <alignment vertical="top"/>
    </xf>
    <xf numFmtId="10" fontId="16" fillId="2" borderId="0" xfId="0" applyNumberFormat="1" applyFont="1" applyFill="1"/>
    <xf numFmtId="0" fontId="21" fillId="0" borderId="0" xfId="0" applyFont="1" applyAlignment="1">
      <alignment horizontal="center" vertical="center"/>
    </xf>
    <xf numFmtId="0" fontId="21" fillId="2" borderId="0" xfId="0" applyFont="1" applyFill="1" applyAlignment="1">
      <alignment horizontal="left" vertical="center"/>
    </xf>
    <xf numFmtId="0" fontId="21" fillId="2" borderId="0" xfId="0" applyFont="1" applyFill="1" applyAlignment="1">
      <alignment horizontal="center" vertical="center"/>
    </xf>
    <xf numFmtId="165" fontId="0" fillId="2" borderId="8" xfId="0" applyNumberFormat="1" applyFill="1" applyBorder="1" applyAlignment="1">
      <alignment horizontal="right"/>
    </xf>
    <xf numFmtId="0" fontId="16" fillId="2" borderId="13" xfId="0" applyFont="1" applyFill="1" applyBorder="1"/>
    <xf numFmtId="0" fontId="16" fillId="2" borderId="12" xfId="0" applyFont="1" applyFill="1" applyBorder="1"/>
    <xf numFmtId="0" fontId="16" fillId="2" borderId="8" xfId="0" applyFont="1" applyFill="1" applyBorder="1"/>
    <xf numFmtId="0" fontId="16" fillId="2" borderId="1" xfId="0" applyFont="1" applyFill="1" applyBorder="1"/>
    <xf numFmtId="0" fontId="16" fillId="2" borderId="9" xfId="0" applyFont="1" applyFill="1" applyBorder="1"/>
    <xf numFmtId="165" fontId="16" fillId="2" borderId="2" xfId="0" applyNumberFormat="1" applyFont="1" applyFill="1" applyBorder="1"/>
    <xf numFmtId="165" fontId="25" fillId="0" borderId="0" xfId="0" applyNumberFormat="1" applyFont="1" applyAlignment="1">
      <alignment horizontal="center" vertical="center"/>
    </xf>
    <xf numFmtId="3" fontId="1" fillId="0" borderId="0" xfId="0" applyNumberFormat="1" applyFont="1"/>
    <xf numFmtId="4" fontId="5" fillId="0" borderId="0" xfId="0" applyNumberFormat="1" applyFont="1"/>
    <xf numFmtId="4" fontId="1" fillId="0" borderId="0" xfId="0" applyNumberFormat="1" applyFont="1"/>
    <xf numFmtId="3" fontId="1" fillId="5" borderId="0" xfId="0" applyNumberFormat="1" applyFont="1" applyFill="1"/>
    <xf numFmtId="165" fontId="0" fillId="0" borderId="11" xfId="0" applyNumberFormat="1" applyBorder="1" applyAlignment="1" applyProtection="1">
      <alignment horizontal="right"/>
      <protection locked="0"/>
    </xf>
    <xf numFmtId="0" fontId="23" fillId="2" borderId="0" xfId="0" applyFont="1" applyFill="1"/>
    <xf numFmtId="0" fontId="23" fillId="2" borderId="0" xfId="0" applyFont="1" applyFill="1" applyAlignment="1">
      <alignment horizontal="center"/>
    </xf>
    <xf numFmtId="0" fontId="16" fillId="2" borderId="0" xfId="0" applyFont="1" applyFill="1" applyAlignment="1">
      <alignment horizontal="center"/>
    </xf>
    <xf numFmtId="0" fontId="9" fillId="2" borderId="0" xfId="0" applyFont="1" applyFill="1" applyAlignment="1">
      <alignment horizontal="center" vertical="center"/>
    </xf>
    <xf numFmtId="0" fontId="18" fillId="2" borderId="0" xfId="0" applyFont="1" applyFill="1" applyAlignment="1">
      <alignment vertical="center"/>
    </xf>
    <xf numFmtId="0" fontId="20" fillId="4" borderId="0" xfId="0" applyFont="1" applyFill="1" applyAlignment="1" applyProtection="1">
      <alignment horizontal="center" vertical="center"/>
      <protection locked="0"/>
    </xf>
    <xf numFmtId="0" fontId="4" fillId="2" borderId="0" xfId="0" applyFont="1" applyFill="1"/>
    <xf numFmtId="0" fontId="4" fillId="2" borderId="0" xfId="0" applyFont="1" applyFill="1" applyAlignment="1">
      <alignment horizontal="left"/>
    </xf>
    <xf numFmtId="3" fontId="0" fillId="2" borderId="8" xfId="0" applyNumberFormat="1" applyFill="1" applyBorder="1" applyAlignment="1">
      <alignment horizontal="right" vertical="center"/>
    </xf>
    <xf numFmtId="3" fontId="4" fillId="2" borderId="0" xfId="0" applyNumberFormat="1" applyFont="1" applyFill="1"/>
  </cellXfs>
  <cellStyles count="4">
    <cellStyle name="Header" xfId="1" xr:uid="{00000000-0005-0000-0000-000000000000}"/>
    <cellStyle name="Komma" xfId="3" builtinId="3"/>
    <cellStyle name="Standaard" xfId="0" builtinId="0"/>
    <cellStyle name="Standaard 2" xfId="2" xr:uid="{00000000-0005-0000-0000-000003000000}"/>
  </cellStyles>
  <dxfs count="279">
    <dxf>
      <font>
        <strike/>
      </font>
    </dxf>
    <dxf>
      <font>
        <strike/>
        <color theme="9" tint="-0.24994659260841701"/>
      </font>
    </dxf>
    <dxf>
      <font>
        <strike/>
        <color rgb="FFFFFF00"/>
      </font>
    </dxf>
    <dxf>
      <font>
        <strike/>
        <color theme="7" tint="-0.24994659260841701"/>
      </font>
    </dxf>
    <dxf>
      <font>
        <strike/>
        <color theme="7" tint="-0.24994659260841701"/>
      </font>
    </dxf>
    <dxf>
      <font>
        <strike/>
      </font>
    </dxf>
    <dxf>
      <font>
        <strike/>
        <color theme="7" tint="-0.24994659260841701"/>
      </font>
    </dxf>
    <dxf>
      <font>
        <strike/>
        <color theme="7" tint="-0.24994659260841701"/>
      </font>
    </dxf>
    <dxf>
      <font>
        <strike/>
        <color rgb="FFFFFF00"/>
      </font>
    </dxf>
    <dxf>
      <font>
        <strike/>
        <color theme="9" tint="-0.24994659260841701"/>
      </font>
    </dxf>
    <dxf>
      <font>
        <strike/>
      </font>
    </dxf>
    <dxf>
      <font>
        <strike/>
        <color theme="7" tint="-0.24994659260841701"/>
      </font>
    </dxf>
    <dxf>
      <font>
        <strike/>
        <color theme="7" tint="-0.24994659260841701"/>
      </font>
    </dxf>
    <dxf>
      <font>
        <strike/>
      </font>
    </dxf>
    <dxf>
      <font>
        <strike/>
        <color theme="7" tint="-0.24994659260841701"/>
      </font>
    </dxf>
    <dxf>
      <font>
        <strike/>
        <color rgb="FFFFFF00"/>
      </font>
    </dxf>
    <dxf>
      <font>
        <strike/>
        <color theme="9" tint="-0.24994659260841701"/>
      </font>
    </dxf>
    <dxf>
      <font>
        <strike/>
        <color theme="7" tint="-0.24994659260841701"/>
      </font>
    </dxf>
    <dxf>
      <font>
        <strike/>
        <color rgb="FFFFFF00"/>
      </font>
    </dxf>
    <dxf>
      <font>
        <strike/>
        <color theme="9" tint="-0.24994659260841701"/>
      </font>
    </dxf>
    <dxf>
      <font>
        <strike/>
        <color theme="7" tint="-0.24994659260841701"/>
      </font>
    </dxf>
    <dxf>
      <font>
        <strike/>
        <color rgb="FFFFFF00"/>
      </font>
    </dxf>
    <dxf>
      <font>
        <strike/>
        <color theme="9" tint="-0.24994659260841701"/>
      </font>
    </dxf>
    <dxf>
      <font>
        <strike/>
        <color theme="9" tint="-0.24994659260841701"/>
      </font>
    </dxf>
    <dxf>
      <font>
        <strike/>
        <color theme="7" tint="-0.24994659260841701"/>
      </font>
    </dxf>
    <dxf>
      <font>
        <strike/>
        <color rgb="FFFFFF00"/>
      </font>
    </dxf>
    <dxf>
      <font>
        <strike/>
        <color theme="7" tint="-0.24994659260841701"/>
      </font>
    </dxf>
    <dxf>
      <font>
        <strike/>
        <color rgb="FFFFFF00"/>
      </font>
    </dxf>
    <dxf>
      <font>
        <strike/>
        <color theme="9" tint="-0.24994659260841701"/>
      </font>
    </dxf>
    <dxf>
      <font>
        <strike/>
        <color theme="7" tint="-0.24994659260841701"/>
      </font>
    </dxf>
    <dxf>
      <font>
        <strike/>
        <color rgb="FFFFFF00"/>
      </font>
    </dxf>
    <dxf>
      <font>
        <strike/>
        <color theme="9" tint="-0.24994659260841701"/>
      </font>
    </dxf>
    <dxf>
      <font>
        <strike/>
        <color theme="7" tint="-0.24994659260841701"/>
      </font>
    </dxf>
    <dxf>
      <font>
        <strike/>
        <color theme="9" tint="-0.24994659260841701"/>
      </font>
    </dxf>
    <dxf>
      <font>
        <strike/>
        <color rgb="FFFFFF00"/>
      </font>
    </dxf>
    <dxf>
      <font>
        <strike/>
        <color theme="7" tint="-0.24994659260841701"/>
      </font>
    </dxf>
    <dxf>
      <font>
        <strike/>
        <color rgb="FFFFFF00"/>
      </font>
    </dxf>
    <dxf>
      <font>
        <strike/>
        <color theme="9" tint="-0.24994659260841701"/>
      </font>
    </dxf>
    <dxf>
      <font>
        <strike/>
        <color theme="7" tint="-0.24994659260841701"/>
      </font>
    </dxf>
    <dxf>
      <font>
        <strike/>
        <color rgb="FFFFFF00"/>
      </font>
    </dxf>
    <dxf>
      <font>
        <strike/>
        <color theme="9" tint="-0.24994659260841701"/>
      </font>
    </dxf>
    <dxf>
      <font>
        <strike/>
        <color theme="7" tint="-0.24994659260841701"/>
      </font>
    </dxf>
    <dxf>
      <font>
        <strike/>
        <color rgb="FFFFFF00"/>
      </font>
    </dxf>
    <dxf>
      <font>
        <strike/>
        <color theme="9"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strike/>
        <color theme="9" tint="-0.24994659260841701"/>
      </font>
    </dxf>
    <dxf>
      <font>
        <strike/>
        <color theme="7" tint="-0.24994659260841701"/>
      </font>
    </dxf>
    <dxf>
      <font>
        <strike/>
        <color rgb="FFFFFF00"/>
      </font>
    </dxf>
    <dxf>
      <font>
        <strike/>
        <color theme="7" tint="-0.24994659260841701"/>
      </font>
    </dxf>
    <dxf>
      <font>
        <strike/>
        <color theme="9" tint="-0.24994659260841701"/>
      </font>
    </dxf>
    <dxf>
      <font>
        <strike/>
        <color rgb="FFFFFF00"/>
      </font>
    </dxf>
    <dxf>
      <font>
        <strike/>
        <color theme="7" tint="-0.24994659260841701"/>
      </font>
    </dxf>
    <dxf>
      <font>
        <strike/>
        <color theme="9" tint="-0.24994659260841701"/>
      </font>
    </dxf>
    <dxf>
      <font>
        <strike/>
        <color rgb="FFFFFF00"/>
      </font>
    </dxf>
    <dxf>
      <font>
        <strike/>
        <color theme="9" tint="-0.24994659260841701"/>
      </font>
    </dxf>
    <dxf>
      <font>
        <strike/>
        <color theme="7" tint="-0.24994659260841701"/>
      </font>
    </dxf>
    <dxf>
      <font>
        <strike/>
        <color rgb="FFFFFF00"/>
      </font>
    </dxf>
    <dxf>
      <font>
        <strike/>
        <color theme="7" tint="-0.24994659260841701"/>
      </font>
    </dxf>
    <dxf>
      <font>
        <strike/>
        <color theme="9" tint="-0.24994659260841701"/>
      </font>
    </dxf>
    <dxf>
      <font>
        <strike/>
        <color rgb="FFFFFF00"/>
      </font>
    </dxf>
    <dxf>
      <font>
        <strike/>
        <color theme="7" tint="-0.24994659260841701"/>
      </font>
    </dxf>
    <dxf>
      <font>
        <strike/>
        <color rgb="FFFFFF00"/>
      </font>
    </dxf>
    <dxf>
      <font>
        <strike/>
        <color theme="9" tint="-0.24994659260841701"/>
      </font>
    </dxf>
    <dxf>
      <font>
        <strike/>
        <color rgb="FFFFFF00"/>
      </font>
    </dxf>
    <dxf>
      <font>
        <strike/>
        <color theme="9" tint="-0.24994659260841701"/>
      </font>
    </dxf>
    <dxf>
      <font>
        <strike/>
        <color theme="9" tint="-0.24994659260841701"/>
      </font>
    </dxf>
    <dxf>
      <font>
        <strike/>
        <color rgb="FFFFFF00"/>
      </font>
    </dxf>
    <dxf>
      <font>
        <strike/>
        <color rgb="FFFFFF00"/>
      </font>
    </dxf>
    <dxf>
      <font>
        <strike/>
        <color theme="7" tint="-0.24994659260841701"/>
      </font>
    </dxf>
    <dxf>
      <font>
        <strike/>
        <color theme="9" tint="-0.24994659260841701"/>
      </font>
    </dxf>
    <dxf>
      <font>
        <strike/>
      </font>
    </dxf>
    <dxf>
      <font>
        <strike/>
      </font>
    </dxf>
    <dxf>
      <font>
        <strike/>
      </font>
    </dxf>
    <dxf>
      <font>
        <strike/>
      </font>
    </dxf>
    <dxf>
      <font>
        <strike/>
      </font>
    </dxf>
    <dxf>
      <font>
        <strike/>
      </font>
    </dxf>
    <dxf>
      <font>
        <strike/>
      </font>
    </dxf>
    <dxf>
      <font>
        <strike/>
      </font>
    </dxf>
    <dxf>
      <font>
        <strike/>
        <color theme="7" tint="-0.24994659260841701"/>
      </font>
    </dxf>
    <dxf>
      <font>
        <strike/>
        <color theme="7" tint="-0.24994659260841701"/>
      </font>
    </dxf>
    <dxf>
      <font>
        <strike/>
        <color theme="7" tint="-0.24994659260841701"/>
      </font>
    </dxf>
    <dxf>
      <font>
        <strike/>
        <color theme="9" tint="-0.24994659260841701"/>
      </font>
    </dxf>
    <dxf>
      <font>
        <strike/>
        <color rgb="FFFFFF00"/>
      </font>
    </dxf>
    <dxf>
      <font>
        <strike/>
        <color rgb="FFFFFF00"/>
      </font>
    </dxf>
    <dxf>
      <font>
        <strike/>
        <color theme="9" tint="-0.24994659260841701"/>
      </font>
    </dxf>
    <dxf>
      <font>
        <strike/>
        <color theme="7" tint="-0.24994659260841701"/>
      </font>
    </dxf>
    <dxf>
      <font>
        <strike/>
        <color theme="7" tint="-0.24994659260841701"/>
      </font>
    </dxf>
    <dxf>
      <font>
        <strike/>
        <color rgb="FFFFFF00"/>
      </font>
    </dxf>
    <dxf>
      <font>
        <strike/>
        <color theme="9"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strike/>
        <color rgb="FFFFFF00"/>
      </font>
    </dxf>
    <dxf>
      <font>
        <strike/>
        <color theme="9" tint="-0.24994659260841701"/>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color rgb="FFFFFF00"/>
      </font>
    </dxf>
    <dxf>
      <font>
        <strike/>
        <color theme="9" tint="-0.24994659260841701"/>
      </font>
    </dxf>
    <dxf>
      <font>
        <strike/>
        <color theme="7" tint="-0.24994659260841701"/>
      </font>
    </dxf>
    <dxf>
      <font>
        <strike/>
        <color theme="9" tint="-0.24994659260841701"/>
      </font>
    </dxf>
    <dxf>
      <font>
        <strike/>
        <color theme="7" tint="-0.24994659260841701"/>
      </font>
    </dxf>
    <dxf>
      <font>
        <strike/>
        <color theme="7" tint="-0.24994659260841701"/>
      </font>
    </dxf>
    <dxf>
      <font>
        <strike/>
        <color rgb="FFFFFF00"/>
      </font>
    </dxf>
    <dxf>
      <font>
        <strike/>
        <color rgb="FFFFFF00"/>
      </font>
    </dxf>
    <dxf>
      <font>
        <strike/>
        <color theme="9" tint="-0.24994659260841701"/>
      </font>
    </dxf>
    <dxf>
      <font>
        <strike/>
        <color theme="7" tint="-0.24994659260841701"/>
      </font>
    </dxf>
    <dxf>
      <font>
        <strike/>
        <color theme="7" tint="-0.24994659260841701"/>
      </font>
    </dxf>
    <dxf>
      <font>
        <strike/>
        <color rgb="FFFFFF00"/>
      </font>
    </dxf>
    <dxf>
      <font>
        <strike/>
        <color theme="7" tint="-0.24994659260841701"/>
      </font>
    </dxf>
    <dxf>
      <font>
        <strike/>
        <color theme="9" tint="-0.24994659260841701"/>
      </font>
    </dxf>
    <dxf>
      <font>
        <strike/>
        <color theme="7" tint="-0.24994659260841701"/>
      </font>
    </dxf>
    <dxf>
      <font>
        <strike/>
        <color theme="7" tint="-0.24994659260841701"/>
      </font>
    </dxf>
    <dxf>
      <font>
        <strike/>
        <color theme="7" tint="-0.24994659260841701"/>
      </font>
    </dxf>
    <dxf>
      <font>
        <strike/>
        <color theme="9" tint="-0.24994659260841701"/>
      </font>
    </dxf>
    <dxf>
      <font>
        <strike/>
        <color rgb="FFFFFF00"/>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color theme="7" tint="-0.24994659260841701"/>
      </font>
    </dxf>
    <dxf>
      <font>
        <strike/>
        <color theme="7" tint="-0.24994659260841701"/>
      </font>
    </dxf>
    <dxf>
      <font>
        <strike/>
        <color theme="9" tint="-0.24994659260841701"/>
      </font>
    </dxf>
    <dxf>
      <font>
        <strike/>
        <color rgb="FFFFFF00"/>
      </font>
    </dxf>
    <dxf>
      <font>
        <strike/>
        <color theme="7" tint="-0.24994659260841701"/>
      </font>
    </dxf>
    <dxf>
      <font>
        <strike/>
        <color theme="7" tint="-0.24994659260841701"/>
      </font>
    </dxf>
    <dxf>
      <font>
        <strike/>
        <color rgb="FFFFFF00"/>
      </font>
    </dxf>
    <dxf>
      <font>
        <strike/>
        <color theme="9" tint="-0.24994659260841701"/>
      </font>
    </dxf>
    <dxf>
      <font>
        <strike/>
        <color theme="7" tint="-0.24994659260841701"/>
      </font>
    </dxf>
    <dxf>
      <font>
        <strike/>
        <color rgb="FFFFFF00"/>
      </font>
    </dxf>
    <dxf>
      <font>
        <strike/>
        <color theme="7" tint="-0.24994659260841701"/>
      </font>
    </dxf>
    <dxf>
      <font>
        <strike/>
        <color theme="9" tint="-0.24994659260841701"/>
      </font>
    </dxf>
    <dxf>
      <font>
        <strike/>
        <color theme="7" tint="-0.24994659260841701"/>
      </font>
    </dxf>
    <dxf>
      <font>
        <strike/>
        <color rgb="FFFFFF00"/>
      </font>
    </dxf>
    <dxf>
      <font>
        <strike/>
        <color theme="9" tint="-0.24994659260841701"/>
      </font>
    </dxf>
    <dxf>
      <font>
        <strike/>
        <color theme="7" tint="-0.24994659260841701"/>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color rgb="FFFFFF00"/>
      </font>
    </dxf>
    <dxf>
      <font>
        <strike/>
        <color theme="9"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Financieringsruimte (groen) ultimo 2024</a:t>
            </a:r>
          </a:p>
        </c:rich>
      </c:tx>
      <c:layout>
        <c:manualLayout>
          <c:xMode val="edge"/>
          <c:yMode val="edge"/>
          <c:x val="5.4448780926817569E-2"/>
          <c:y val="4.16696902258753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6.5306492921867562E-2"/>
          <c:y val="0.16689141214801881"/>
          <c:w val="0.61865848062538598"/>
          <c:h val="0.72872488176946848"/>
        </c:manualLayout>
      </c:layout>
      <c:barChart>
        <c:barDir val="bar"/>
        <c:grouping val="stacked"/>
        <c:varyColors val="0"/>
        <c:ser>
          <c:idx val="0"/>
          <c:order val="0"/>
          <c:tx>
            <c:strRef>
              <c:f>'Financiele conditie'!$B$7</c:f>
              <c:strCache>
                <c:ptCount val="1"/>
                <c:pt idx="0">
                  <c:v>Effectieve netto schuldquote</c:v>
                </c:pt>
              </c:strCache>
            </c:strRef>
          </c:tx>
          <c:spPr>
            <a:solidFill>
              <a:srgbClr val="FF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'Financiele conditie'!$B$7</c:f>
              <c:strCache>
                <c:ptCount val="1"/>
                <c:pt idx="0">
                  <c:v>Effectieve netto schuldquote</c:v>
                </c:pt>
              </c:strCache>
            </c:strRef>
          </c:cat>
          <c:val>
            <c:numRef>
              <c:f>'Financiele conditie'!$F$7</c:f>
              <c:numCache>
                <c:formatCode>0.0%</c:formatCode>
                <c:ptCount val="1"/>
                <c:pt idx="0">
                  <c:v>0.90004781050909555</c:v>
                </c:pt>
              </c:numCache>
            </c:numRef>
          </c:val>
          <c:extLst>
            <c:ext xmlns:c16="http://schemas.microsoft.com/office/drawing/2014/chart" uri="{C3380CC4-5D6E-409C-BE32-E72D297353CC}">
              <c16:uniqueId val="{00000000-95FF-437F-86C2-B1103932DE6E}"/>
            </c:ext>
          </c:extLst>
        </c:ser>
        <c:ser>
          <c:idx val="1"/>
          <c:order val="1"/>
          <c:tx>
            <c:v>Ruimte onder 120% plafond</c:v>
          </c:tx>
          <c:spPr>
            <a:solidFill>
              <a:srgbClr val="00B05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'Financiele conditie'!$B$7</c:f>
              <c:strCache>
                <c:ptCount val="1"/>
                <c:pt idx="0">
                  <c:v>Effectieve netto schuldquote</c:v>
                </c:pt>
              </c:strCache>
            </c:strRef>
          </c:cat>
          <c:val>
            <c:numRef>
              <c:f>'Financiele conditie'!$L$7</c:f>
              <c:numCache>
                <c:formatCode>0.0%</c:formatCode>
                <c:ptCount val="1"/>
                <c:pt idx="0">
                  <c:v>0.29995218949090441</c:v>
                </c:pt>
              </c:numCache>
            </c:numRef>
          </c:val>
          <c:extLst>
            <c:ext xmlns:c16="http://schemas.microsoft.com/office/drawing/2014/chart" uri="{C3380CC4-5D6E-409C-BE32-E72D297353CC}">
              <c16:uniqueId val="{00000001-95FF-437F-86C2-B1103932DE6E}"/>
            </c:ext>
          </c:extLst>
        </c:ser>
        <c:dLbls>
          <c:showLegendKey val="0"/>
          <c:showVal val="0"/>
          <c:showCatName val="0"/>
          <c:showSerName val="0"/>
          <c:showPercent val="0"/>
          <c:showBubbleSize val="0"/>
        </c:dLbls>
        <c:gapWidth val="55"/>
        <c:overlap val="100"/>
        <c:axId val="582647632"/>
        <c:axId val="582649928"/>
      </c:barChart>
      <c:catAx>
        <c:axId val="582647632"/>
        <c:scaling>
          <c:orientation val="minMax"/>
        </c:scaling>
        <c:delete val="1"/>
        <c:axPos val="r"/>
        <c:numFmt formatCode="General" sourceLinked="1"/>
        <c:majorTickMark val="none"/>
        <c:minorTickMark val="none"/>
        <c:tickLblPos val="nextTo"/>
        <c:crossAx val="582649928"/>
        <c:crosses val="max"/>
        <c:auto val="1"/>
        <c:lblAlgn val="ctr"/>
        <c:lblOffset val="100"/>
        <c:noMultiLvlLbl val="0"/>
      </c:catAx>
      <c:valAx>
        <c:axId val="582649928"/>
        <c:scaling>
          <c:orientation val="minMax"/>
        </c:scaling>
        <c:delete val="0"/>
        <c:axPos val="b"/>
        <c:majorGridlines>
          <c:spPr>
            <a:ln w="9525" cap="flat" cmpd="sng" algn="ctr">
              <a:solidFill>
                <a:schemeClr val="bg2">
                  <a:lumMod val="7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nl-NL"/>
          </a:p>
        </c:txPr>
        <c:crossAx val="582647632"/>
        <c:crosses val="autoZero"/>
        <c:crossBetween val="between"/>
      </c:valAx>
      <c:spPr>
        <a:noFill/>
        <a:ln>
          <a:solidFill>
            <a:schemeClr val="tx1"/>
          </a:solidFill>
        </a:ln>
        <a:effectLst/>
      </c:spPr>
    </c:plotArea>
    <c:legend>
      <c:legendPos val="r"/>
      <c:layout>
        <c:manualLayout>
          <c:xMode val="edge"/>
          <c:yMode val="edge"/>
          <c:x val="0.72873499080331483"/>
          <c:y val="0.3804159375911344"/>
          <c:w val="0.23451960237253808"/>
          <c:h val="0.23495479731700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nl-NL"/>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Schuldbelasting bezit (rood) ultimo 2024</a:t>
            </a:r>
          </a:p>
        </c:rich>
      </c:tx>
      <c:layout>
        <c:manualLayout>
          <c:xMode val="edge"/>
          <c:yMode val="edge"/>
          <c:x val="7.4715223097112871E-2"/>
          <c:y val="3.703703703703703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nl-NL"/>
        </a:p>
      </c:txPr>
    </c:title>
    <c:autoTitleDeleted val="0"/>
    <c:plotArea>
      <c:layout/>
      <c:pieChart>
        <c:varyColors val="1"/>
        <c:ser>
          <c:idx val="0"/>
          <c:order val="0"/>
          <c:tx>
            <c:v>solvabiliteitsratio</c:v>
          </c:tx>
          <c:dPt>
            <c:idx val="0"/>
            <c:bubble3D val="0"/>
            <c:spPr>
              <a:solidFill>
                <a:srgbClr val="00B050"/>
              </a:solidFill>
              <a:ln w="19050">
                <a:solidFill>
                  <a:schemeClr val="lt1"/>
                </a:solidFill>
              </a:ln>
              <a:effectLst/>
            </c:spPr>
            <c:extLst>
              <c:ext xmlns:c16="http://schemas.microsoft.com/office/drawing/2014/chart" uri="{C3380CC4-5D6E-409C-BE32-E72D297353CC}">
                <c16:uniqueId val="{00000001-2BE4-4530-923D-7CBBD7ADE52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2BE4-4530-923D-7CBBD7ADE521}"/>
              </c:ext>
            </c:extLst>
          </c:dPt>
          <c:dLbls>
            <c:dLbl>
              <c:idx val="0"/>
              <c:layout>
                <c:manualLayout>
                  <c:x val="-0.12654911013471479"/>
                  <c:y val="-5.83973989123940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E4-4530-923D-7CBBD7ADE521}"/>
                </c:ext>
              </c:extLst>
            </c:dLbl>
            <c:dLbl>
              <c:idx val="1"/>
              <c:layout>
                <c:manualLayout>
                  <c:x val="0.11840083029534654"/>
                  <c:y val="2.2775676026062334E-2"/>
                </c:manualLayout>
              </c:layout>
              <c:tx>
                <c:rich>
                  <a:bodyPr/>
                  <a:lstStyle/>
                  <a:p>
                    <a:r>
                      <a:rPr lang="en-US" baseline="0"/>
                      <a:t> </a:t>
                    </a:r>
                    <a:fld id="{507F830E-BECB-4F0C-A0A7-ACCCF0AFF390}" type="PERCENTAGE">
                      <a:rPr lang="en-US" baseline="0"/>
                      <a:pPr/>
                      <a:t>[PERCENTAGE]</a:t>
                    </a:fld>
                    <a:endParaRPr lang="en-US" baseline="0"/>
                  </a:p>
                </c:rich>
              </c:tx>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2BE4-4530-923D-7CBBD7ADE52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nl-NL"/>
              </a:p>
            </c:txPr>
            <c:showLegendKey val="0"/>
            <c:showVal val="0"/>
            <c:showCatName val="0"/>
            <c:showSerName val="0"/>
            <c:showPercent val="1"/>
            <c:showBubbleSize val="0"/>
            <c:showLeaderLines val="0"/>
            <c:extLst>
              <c:ext xmlns:c15="http://schemas.microsoft.com/office/drawing/2012/chart" uri="{CE6537A1-D6FC-4f65-9D91-7224C49458BB}"/>
            </c:extLst>
          </c:dLbls>
          <c:cat>
            <c:strRef>
              <c:f>'Financiele conditie'!$B$17</c:f>
              <c:strCache>
                <c:ptCount val="1"/>
                <c:pt idx="0">
                  <c:v>Solvabiliteitsratio</c:v>
                </c:pt>
              </c:strCache>
            </c:strRef>
          </c:cat>
          <c:val>
            <c:numRef>
              <c:f>('Financiele conditie'!$F$17,'Financiele conditie'!$L$17)</c:f>
              <c:numCache>
                <c:formatCode>General</c:formatCode>
                <c:ptCount val="2"/>
                <c:pt idx="0" formatCode="0.0%">
                  <c:v>0.22285697013662192</c:v>
                </c:pt>
                <c:pt idx="1">
                  <c:v>0.77714302986337813</c:v>
                </c:pt>
              </c:numCache>
            </c:numRef>
          </c:val>
          <c:extLst>
            <c:ext xmlns:c16="http://schemas.microsoft.com/office/drawing/2014/chart" uri="{C3380CC4-5D6E-409C-BE32-E72D297353CC}">
              <c16:uniqueId val="{00000004-2BE4-4530-923D-7CBBD7ADE521}"/>
            </c:ext>
          </c:extLst>
        </c:ser>
        <c:dLbls>
          <c:showLegendKey val="0"/>
          <c:showVal val="0"/>
          <c:showCatName val="0"/>
          <c:showSerName val="0"/>
          <c:showPercent val="0"/>
          <c:showBubbleSize val="0"/>
          <c:showLeaderLines val="0"/>
        </c:dLbls>
        <c:firstSliceAng val="0"/>
      </c:pieChart>
      <c:spPr>
        <a:noFill/>
        <a:ln>
          <a:noFill/>
        </a:ln>
        <a:effectLst/>
      </c:spPr>
    </c:plotArea>
    <c:legend>
      <c:legendPos val="b"/>
      <c:layout>
        <c:manualLayout>
          <c:xMode val="edge"/>
          <c:yMode val="edge"/>
          <c:x val="0.70039497737880041"/>
          <c:y val="0.40335593467483222"/>
          <c:w val="0.24952328347920064"/>
          <c:h val="0.23487466216422273"/>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Houdbaarheidsoverschot (+) of tekort (-) 2025</a:t>
            </a:r>
          </a:p>
        </c:rich>
      </c:tx>
      <c:layout>
        <c:manualLayout>
          <c:xMode val="edge"/>
          <c:yMode val="edge"/>
          <c:x val="6.3286252642544213E-2"/>
          <c:y val="3.24074074074074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7.6535023765304189E-2"/>
          <c:y val="0.17171296296296296"/>
          <c:w val="0.60363825845298746"/>
          <c:h val="0.72088764946048411"/>
        </c:manualLayout>
      </c:layout>
      <c:barChart>
        <c:barDir val="bar"/>
        <c:grouping val="stacked"/>
        <c:varyColors val="0"/>
        <c:ser>
          <c:idx val="0"/>
          <c:order val="0"/>
          <c:tx>
            <c:v>Houdbaarheidsquote</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'Financiele conditie'!$B$16</c:f>
              <c:strCache>
                <c:ptCount val="1"/>
                <c:pt idx="0">
                  <c:v>Houdbaarheid</c:v>
                </c:pt>
              </c:strCache>
            </c:strRef>
          </c:cat>
          <c:val>
            <c:numRef>
              <c:f>'Financiele conditie'!$I$23</c:f>
              <c:numCache>
                <c:formatCode>0.0%</c:formatCode>
                <c:ptCount val="1"/>
                <c:pt idx="0">
                  <c:v>0.251</c:v>
                </c:pt>
              </c:numCache>
            </c:numRef>
          </c:val>
          <c:extLst>
            <c:ext xmlns:c16="http://schemas.microsoft.com/office/drawing/2014/chart" uri="{C3380CC4-5D6E-409C-BE32-E72D297353CC}">
              <c16:uniqueId val="{00000000-A835-40F2-8685-95F6926C54C9}"/>
            </c:ext>
          </c:extLst>
        </c:ser>
        <c:ser>
          <c:idx val="1"/>
          <c:order val="1"/>
          <c:tx>
            <c:v>Houdbaarheid</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'Financiele conditie'!$B$16</c:f>
              <c:strCache>
                <c:ptCount val="1"/>
                <c:pt idx="0">
                  <c:v>Houdbaarheid</c:v>
                </c:pt>
              </c:strCache>
            </c:strRef>
          </c:cat>
          <c:val>
            <c:numRef>
              <c:f>'Financiele conditie'!$L$23</c:f>
              <c:numCache>
                <c:formatCode>0.0%</c:formatCode>
                <c:ptCount val="1"/>
                <c:pt idx="0">
                  <c:v>-1.0000000000000009E-3</c:v>
                </c:pt>
              </c:numCache>
            </c:numRef>
          </c:val>
          <c:extLst>
            <c:ext xmlns:c16="http://schemas.microsoft.com/office/drawing/2014/chart" uri="{C3380CC4-5D6E-409C-BE32-E72D297353CC}">
              <c16:uniqueId val="{00000001-A835-40F2-8685-95F6926C54C9}"/>
            </c:ext>
          </c:extLst>
        </c:ser>
        <c:dLbls>
          <c:showLegendKey val="0"/>
          <c:showVal val="0"/>
          <c:showCatName val="0"/>
          <c:showSerName val="0"/>
          <c:showPercent val="0"/>
          <c:showBubbleSize val="0"/>
        </c:dLbls>
        <c:gapWidth val="55"/>
        <c:overlap val="100"/>
        <c:axId val="582647632"/>
        <c:axId val="582649928"/>
      </c:barChart>
      <c:catAx>
        <c:axId val="582647632"/>
        <c:scaling>
          <c:orientation val="minMax"/>
        </c:scaling>
        <c:delete val="1"/>
        <c:axPos val="r"/>
        <c:numFmt formatCode="General" sourceLinked="1"/>
        <c:majorTickMark val="none"/>
        <c:minorTickMark val="none"/>
        <c:tickLblPos val="nextTo"/>
        <c:crossAx val="582649928"/>
        <c:crosses val="max"/>
        <c:auto val="1"/>
        <c:lblAlgn val="ctr"/>
        <c:lblOffset val="100"/>
        <c:noMultiLvlLbl val="0"/>
      </c:catAx>
      <c:valAx>
        <c:axId val="582649928"/>
        <c:scaling>
          <c:orientation val="minMax"/>
        </c:scaling>
        <c:delete val="0"/>
        <c:axPos val="b"/>
        <c:majorGridlines>
          <c:spPr>
            <a:ln w="9525" cap="flat" cmpd="sng" algn="ctr">
              <a:solidFill>
                <a:schemeClr val="bg2">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nl-NL"/>
          </a:p>
        </c:txPr>
        <c:crossAx val="582647632"/>
        <c:crosses val="autoZero"/>
        <c:crossBetween val="between"/>
      </c:valAx>
      <c:spPr>
        <a:noFill/>
        <a:ln>
          <a:solidFill>
            <a:schemeClr val="tx1"/>
          </a:solidFill>
        </a:ln>
        <a:effectLst/>
      </c:spPr>
    </c:plotArea>
    <c:legend>
      <c:legendPos val="r"/>
      <c:layout>
        <c:manualLayout>
          <c:xMode val="edge"/>
          <c:yMode val="edge"/>
          <c:x val="0.69442122124440331"/>
          <c:y val="0.3804159375911344"/>
          <c:w val="0.27208217538984097"/>
          <c:h val="0.23495479731700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6326932388621533E-2"/>
          <c:y val="0.20657814554194967"/>
          <c:w val="0.57262081355659622"/>
          <c:h val="0.68837913089155112"/>
        </c:manualLayout>
      </c:layout>
      <c:barChart>
        <c:barDir val="col"/>
        <c:grouping val="clustered"/>
        <c:varyColors val="0"/>
        <c:ser>
          <c:idx val="0"/>
          <c:order val="0"/>
          <c:tx>
            <c:strRef>
              <c:f>'Financiele conditie'!$B$35</c:f>
              <c:strCache>
                <c:ptCount val="1"/>
                <c:pt idx="0">
                  <c:v>Exploitatieresultaat</c:v>
                </c:pt>
              </c:strCache>
            </c:strRef>
          </c:tx>
          <c:spPr>
            <a:solidFill>
              <a:schemeClr val="accent2"/>
            </a:solidFill>
            <a:ln>
              <a:noFill/>
            </a:ln>
            <a:effectLst/>
          </c:spPr>
          <c:invertIfNegative val="0"/>
          <c:dLbls>
            <c:dLbl>
              <c:idx val="0"/>
              <c:layout>
                <c:manualLayout>
                  <c:x val="-5.0172746435546768E-17"/>
                  <c:y val="0.191817650244572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2D-4267-A356-9E6FBF890F92}"/>
                </c:ext>
              </c:extLst>
            </c:dLbl>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'Financiele conditie'!$I$5</c:f>
              <c:numCache>
                <c:formatCode>General</c:formatCode>
                <c:ptCount val="1"/>
                <c:pt idx="0">
                  <c:v>2025</c:v>
                </c:pt>
              </c:numCache>
            </c:numRef>
          </c:cat>
          <c:val>
            <c:numRef>
              <c:f>'Financiele conditie'!$C$35</c:f>
              <c:numCache>
                <c:formatCode>0.0%</c:formatCode>
                <c:ptCount val="1"/>
                <c:pt idx="0">
                  <c:v>-1.7400492398019999E-2</c:v>
                </c:pt>
              </c:numCache>
            </c:numRef>
          </c:val>
          <c:extLst>
            <c:ext xmlns:c16="http://schemas.microsoft.com/office/drawing/2014/chart" uri="{C3380CC4-5D6E-409C-BE32-E72D297353CC}">
              <c16:uniqueId val="{00000000-47B1-434E-8294-F425D0602D68}"/>
            </c:ext>
          </c:extLst>
        </c:ser>
        <c:ser>
          <c:idx val="1"/>
          <c:order val="1"/>
          <c:tx>
            <c:strRef>
              <c:f>'Financiele conditie'!$B$36</c:f>
              <c:strCache>
                <c:ptCount val="1"/>
                <c:pt idx="0">
                  <c:v>Netto investeringen</c:v>
                </c:pt>
              </c:strCache>
            </c:strRef>
          </c:tx>
          <c:spPr>
            <a:solidFill>
              <a:srgbClr val="00B050"/>
            </a:solidFill>
            <a:ln>
              <a:noFill/>
            </a:ln>
            <a:effectLst/>
          </c:spPr>
          <c:invertIfNegative val="0"/>
          <c:dLbls>
            <c:dLbl>
              <c:idx val="0"/>
              <c:layout>
                <c:manualLayout>
                  <c:x val="0"/>
                  <c:y val="0.20551891097632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2D-4267-A356-9E6FBF890F92}"/>
                </c:ext>
              </c:extLst>
            </c:dLbl>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'Financiele conditie'!$I$5</c:f>
              <c:numCache>
                <c:formatCode>General</c:formatCode>
                <c:ptCount val="1"/>
                <c:pt idx="0">
                  <c:v>2025</c:v>
                </c:pt>
              </c:numCache>
            </c:numRef>
          </c:cat>
          <c:val>
            <c:numRef>
              <c:f>'Financiele conditie'!$C$36</c:f>
              <c:numCache>
                <c:formatCode>0.0%</c:formatCode>
                <c:ptCount val="1"/>
                <c:pt idx="0">
                  <c:v>-4.0748833634358848E-2</c:v>
                </c:pt>
              </c:numCache>
            </c:numRef>
          </c:val>
          <c:extLst>
            <c:ext xmlns:c16="http://schemas.microsoft.com/office/drawing/2014/chart" uri="{C3380CC4-5D6E-409C-BE32-E72D297353CC}">
              <c16:uniqueId val="{00000001-47B1-434E-8294-F425D0602D68}"/>
            </c:ext>
          </c:extLst>
        </c:ser>
        <c:ser>
          <c:idx val="2"/>
          <c:order val="2"/>
          <c:tx>
            <c:strRef>
              <c:f>'Financiele conditie'!$B$37</c:f>
              <c:strCache>
                <c:ptCount val="1"/>
                <c:pt idx="0">
                  <c:v>Voorraadmutatie</c:v>
                </c:pt>
              </c:strCache>
            </c:strRef>
          </c:tx>
          <c:spPr>
            <a:solidFill>
              <a:schemeClr val="accent4"/>
            </a:solidFill>
            <a:ln>
              <a:noFill/>
            </a:ln>
            <a:effectLst/>
          </c:spPr>
          <c:invertIfNegative val="0"/>
          <c:dLbls>
            <c:dLbl>
              <c:idx val="0"/>
              <c:layout>
                <c:manualLayout>
                  <c:x val="2.7367268746579091E-3"/>
                  <c:y val="0.191817650244573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73-4189-94D9-E11F5ED94147}"/>
                </c:ext>
              </c:extLst>
            </c:dLbl>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'Financiele conditie'!$I$5</c:f>
              <c:numCache>
                <c:formatCode>General</c:formatCode>
                <c:ptCount val="1"/>
                <c:pt idx="0">
                  <c:v>2025</c:v>
                </c:pt>
              </c:numCache>
            </c:numRef>
          </c:cat>
          <c:val>
            <c:numRef>
              <c:f>'Financiele conditie'!$C$37</c:f>
              <c:numCache>
                <c:formatCode>0.0%</c:formatCode>
                <c:ptCount val="1"/>
                <c:pt idx="0">
                  <c:v>0</c:v>
                </c:pt>
              </c:numCache>
            </c:numRef>
          </c:val>
          <c:extLst>
            <c:ext xmlns:c16="http://schemas.microsoft.com/office/drawing/2014/chart" uri="{C3380CC4-5D6E-409C-BE32-E72D297353CC}">
              <c16:uniqueId val="{00000002-47B1-434E-8294-F425D0602D68}"/>
            </c:ext>
          </c:extLst>
        </c:ser>
        <c:ser>
          <c:idx val="3"/>
          <c:order val="3"/>
          <c:tx>
            <c:strRef>
              <c:f>'Financiele conditie'!$B$38</c:f>
              <c:strCache>
                <c:ptCount val="1"/>
                <c:pt idx="0">
                  <c:v>Kapitaalverstrekkingen</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'Financiele conditie'!$I$5</c:f>
              <c:numCache>
                <c:formatCode>General</c:formatCode>
                <c:ptCount val="1"/>
                <c:pt idx="0">
                  <c:v>2025</c:v>
                </c:pt>
              </c:numCache>
            </c:numRef>
          </c:cat>
          <c:val>
            <c:numRef>
              <c:f>'Financiele conditie'!$C$38</c:f>
              <c:numCache>
                <c:formatCode>0.0%</c:formatCode>
                <c:ptCount val="1"/>
                <c:pt idx="0">
                  <c:v>-3.5096700111141569E-4</c:v>
                </c:pt>
              </c:numCache>
            </c:numRef>
          </c:val>
          <c:extLst>
            <c:ext xmlns:c16="http://schemas.microsoft.com/office/drawing/2014/chart" uri="{C3380CC4-5D6E-409C-BE32-E72D297353CC}">
              <c16:uniqueId val="{00000000-2A20-4E38-98EE-13225F45861E}"/>
            </c:ext>
          </c:extLst>
        </c:ser>
        <c:ser>
          <c:idx val="4"/>
          <c:order val="4"/>
          <c:tx>
            <c:strRef>
              <c:f>'Financiele conditie'!$B$39</c:f>
              <c:strCache>
                <c:ptCount val="1"/>
                <c:pt idx="0">
                  <c:v>Voorzieningen</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'Financiele conditie'!$I$5</c:f>
              <c:numCache>
                <c:formatCode>General</c:formatCode>
                <c:ptCount val="1"/>
                <c:pt idx="0">
                  <c:v>2025</c:v>
                </c:pt>
              </c:numCache>
            </c:numRef>
          </c:cat>
          <c:val>
            <c:numRef>
              <c:f>'Financiele conditie'!$C$39</c:f>
              <c:numCache>
                <c:formatCode>0.0%</c:formatCode>
                <c:ptCount val="1"/>
                <c:pt idx="0">
                  <c:v>0</c:v>
                </c:pt>
              </c:numCache>
            </c:numRef>
          </c:val>
          <c:extLst>
            <c:ext xmlns:c16="http://schemas.microsoft.com/office/drawing/2014/chart" uri="{C3380CC4-5D6E-409C-BE32-E72D297353CC}">
              <c16:uniqueId val="{00000001-2A20-4E38-98EE-13225F45861E}"/>
            </c:ext>
          </c:extLst>
        </c:ser>
        <c:dLbls>
          <c:showLegendKey val="0"/>
          <c:showVal val="0"/>
          <c:showCatName val="0"/>
          <c:showSerName val="0"/>
          <c:showPercent val="0"/>
          <c:showBubbleSize val="0"/>
        </c:dLbls>
        <c:gapWidth val="150"/>
        <c:axId val="607923880"/>
        <c:axId val="607928800"/>
      </c:barChart>
      <c:catAx>
        <c:axId val="607923880"/>
        <c:scaling>
          <c:orientation val="minMax"/>
        </c:scaling>
        <c:delete val="0"/>
        <c:axPos val="b"/>
        <c:numFmt formatCode="General"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cap="all" spc="120" normalizeH="0" baseline="0">
                <a:solidFill>
                  <a:sysClr val="windowText" lastClr="000000"/>
                </a:solidFill>
                <a:latin typeface="+mn-lt"/>
                <a:ea typeface="+mn-ea"/>
                <a:cs typeface="+mn-cs"/>
              </a:defRPr>
            </a:pPr>
            <a:endParaRPr lang="nl-NL"/>
          </a:p>
        </c:txPr>
        <c:crossAx val="607928800"/>
        <c:crosses val="autoZero"/>
        <c:auto val="0"/>
        <c:lblAlgn val="ctr"/>
        <c:lblOffset val="100"/>
        <c:noMultiLvlLbl val="0"/>
      </c:catAx>
      <c:valAx>
        <c:axId val="6079288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nl-NL"/>
          </a:p>
        </c:txPr>
        <c:crossAx val="607923880"/>
        <c:crosses val="autoZero"/>
        <c:crossBetween val="between"/>
      </c:valAx>
      <c:spPr>
        <a:noFill/>
        <a:ln>
          <a:solidFill>
            <a:schemeClr val="tx1"/>
          </a:solidFill>
        </a:ln>
        <a:effectLst/>
      </c:spPr>
    </c:plotArea>
    <c:legend>
      <c:legendPos val="r"/>
      <c:layout>
        <c:manualLayout>
          <c:xMode val="edge"/>
          <c:yMode val="edge"/>
          <c:x val="0.65723717483446786"/>
          <c:y val="0.38141609699452145"/>
          <c:w val="0.26654828605833442"/>
          <c:h val="0.3801420925499500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solidFill>
      <a:round/>
    </a:ln>
    <a:effectLst/>
  </c:spPr>
  <c:txPr>
    <a:bodyPr/>
    <a:lstStyle/>
    <a:p>
      <a:pPr>
        <a:defRPr/>
      </a:pPr>
      <a:endParaRPr lang="nl-NL"/>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Macrogegevens!$A$2</c:f>
          <c:strCache>
            <c:ptCount val="1"/>
            <c:pt idx="0">
              <c:v>Zwijndrecht</c:v>
            </c:pt>
          </c:strCache>
        </c:strRef>
      </c:tx>
      <c:layout>
        <c:manualLayout>
          <c:xMode val="edge"/>
          <c:yMode val="edge"/>
          <c:x val="5.6577088110519307E-2"/>
          <c:y val="3.7037234752435616E-2"/>
        </c:manualLayout>
      </c:layout>
      <c:overlay val="0"/>
      <c:txPr>
        <a:bodyPr/>
        <a:lstStyle/>
        <a:p>
          <a:pPr>
            <a:defRPr sz="1200" b="1" i="0" u="none" strike="noStrike" baseline="0">
              <a:solidFill>
                <a:srgbClr val="000000"/>
              </a:solidFill>
              <a:latin typeface="Calibri"/>
              <a:ea typeface="Calibri"/>
              <a:cs typeface="Calibri"/>
            </a:defRPr>
          </a:pPr>
          <a:endParaRPr lang="nl-NL"/>
        </a:p>
      </c:txPr>
    </c:title>
    <c:autoTitleDeleted val="0"/>
    <c:plotArea>
      <c:layout>
        <c:manualLayout>
          <c:layoutTarget val="inner"/>
          <c:xMode val="edge"/>
          <c:yMode val="edge"/>
          <c:x val="0.15252223680373544"/>
          <c:y val="0.16759262235077757"/>
          <c:w val="0.56221102362204722"/>
          <c:h val="0.63937736949547974"/>
        </c:manualLayout>
      </c:layout>
      <c:lineChart>
        <c:grouping val="standard"/>
        <c:varyColors val="0"/>
        <c:ser>
          <c:idx val="1"/>
          <c:order val="0"/>
          <c:tx>
            <c:strRef>
              <c:f>Macrogegevens!$F$3</c:f>
              <c:strCache>
                <c:ptCount val="1"/>
                <c:pt idx="0">
                  <c:v>Netto schuldquote</c:v>
                </c:pt>
              </c:strCache>
            </c:strRef>
          </c:tx>
          <c:spPr>
            <a:ln w="38100">
              <a:solidFill>
                <a:srgbClr val="FF0000"/>
              </a:solidFill>
            </a:ln>
          </c:spPr>
          <c:marker>
            <c:symbol val="none"/>
          </c:marker>
          <c:cat>
            <c:numRef>
              <c:f>Macrogegevens!$E$4:$E$14</c:f>
              <c:numCache>
                <c:formatCode>0</c:formatCode>
                <c:ptCount val="11"/>
                <c:pt idx="0">
                  <c:v>2024</c:v>
                </c:pt>
                <c:pt idx="1">
                  <c:v>2025</c:v>
                </c:pt>
                <c:pt idx="2">
                  <c:v>2026</c:v>
                </c:pt>
                <c:pt idx="3">
                  <c:v>2027</c:v>
                </c:pt>
                <c:pt idx="4">
                  <c:v>2028</c:v>
                </c:pt>
                <c:pt idx="5">
                  <c:v>2029</c:v>
                </c:pt>
                <c:pt idx="6">
                  <c:v>2030</c:v>
                </c:pt>
                <c:pt idx="7">
                  <c:v>2031</c:v>
                </c:pt>
                <c:pt idx="8">
                  <c:v>2032</c:v>
                </c:pt>
                <c:pt idx="9">
                  <c:v>2033</c:v>
                </c:pt>
                <c:pt idx="10">
                  <c:v>2034</c:v>
                </c:pt>
              </c:numCache>
            </c:numRef>
          </c:cat>
          <c:val>
            <c:numRef>
              <c:f>Macrogegevens!$F$4:$F$14</c:f>
              <c:numCache>
                <c:formatCode>0%</c:formatCode>
                <c:ptCount val="11"/>
                <c:pt idx="0">
                  <c:v>0.97367541848596217</c:v>
                </c:pt>
                <c:pt idx="1">
                  <c:v>0.938320575124441</c:v>
                </c:pt>
                <c:pt idx="2">
                  <c:v>1.2909476639084583</c:v>
                </c:pt>
                <c:pt idx="3">
                  <c:v>1.3967839535735336</c:v>
                </c:pt>
                <c:pt idx="4">
                  <c:v>1.4608576626274057</c:v>
                </c:pt>
                <c:pt idx="5">
                  <c:v>1.4867175471929388</c:v>
                </c:pt>
                <c:pt idx="6">
                  <c:v>1.4744364016437548</c:v>
                </c:pt>
                <c:pt idx="7">
                  <c:v>1.4668706793876347</c:v>
                </c:pt>
                <c:pt idx="8">
                  <c:v>1.4659836495043952</c:v>
                </c:pt>
                <c:pt idx="9">
                  <c:v>1.4686609661176597</c:v>
                </c:pt>
                <c:pt idx="10">
                  <c:v>1.4748643799872136</c:v>
                </c:pt>
              </c:numCache>
            </c:numRef>
          </c:val>
          <c:smooth val="0"/>
          <c:extLst>
            <c:ext xmlns:c16="http://schemas.microsoft.com/office/drawing/2014/chart" uri="{C3380CC4-5D6E-409C-BE32-E72D297353CC}">
              <c16:uniqueId val="{00000000-FDC6-4504-999C-457E6CC8F028}"/>
            </c:ext>
          </c:extLst>
        </c:ser>
        <c:dLbls>
          <c:showLegendKey val="0"/>
          <c:showVal val="0"/>
          <c:showCatName val="0"/>
          <c:showSerName val="0"/>
          <c:showPercent val="0"/>
          <c:showBubbleSize val="0"/>
        </c:dLbls>
        <c:smooth val="0"/>
        <c:axId val="424163152"/>
        <c:axId val="424166288"/>
      </c:lineChart>
      <c:catAx>
        <c:axId val="424163152"/>
        <c:scaling>
          <c:orientation val="minMax"/>
        </c:scaling>
        <c:delete val="0"/>
        <c:axPos val="b"/>
        <c:numFmt formatCode="0" sourceLinked="1"/>
        <c:majorTickMark val="out"/>
        <c:minorTickMark val="none"/>
        <c:tickLblPos val="nextTo"/>
        <c:txPr>
          <a:bodyPr rot="-2700000" vert="horz"/>
          <a:lstStyle/>
          <a:p>
            <a:pPr>
              <a:defRPr sz="1000" b="1" i="0" u="none" strike="noStrike" baseline="0">
                <a:solidFill>
                  <a:srgbClr val="000000"/>
                </a:solidFill>
                <a:latin typeface="Calibri"/>
                <a:ea typeface="Calibri"/>
                <a:cs typeface="Calibri"/>
              </a:defRPr>
            </a:pPr>
            <a:endParaRPr lang="nl-NL"/>
          </a:p>
        </c:txPr>
        <c:crossAx val="424166288"/>
        <c:crossesAt val="0"/>
        <c:auto val="1"/>
        <c:lblAlgn val="ctr"/>
        <c:lblOffset val="100"/>
        <c:tickLblSkip val="1"/>
        <c:noMultiLvlLbl val="0"/>
      </c:catAx>
      <c:valAx>
        <c:axId val="424166288"/>
        <c:scaling>
          <c:orientation val="minMax"/>
        </c:scaling>
        <c:delete val="0"/>
        <c:axPos val="l"/>
        <c:majorGridlines/>
        <c:numFmt formatCode="0%" sourceLinked="1"/>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nl-NL"/>
          </a:p>
        </c:txPr>
        <c:crossAx val="424163152"/>
        <c:crosses val="autoZero"/>
        <c:crossBetween val="midCat"/>
      </c:valAx>
    </c:plotArea>
    <c:legend>
      <c:legendPos val="r"/>
      <c:overlay val="0"/>
      <c:txPr>
        <a:bodyPr/>
        <a:lstStyle/>
        <a:p>
          <a:pPr>
            <a:defRPr sz="845" b="1" i="0" u="none" strike="noStrike" baseline="0">
              <a:solidFill>
                <a:srgbClr val="000000"/>
              </a:solidFill>
              <a:latin typeface="Calibri"/>
              <a:ea typeface="Calibri"/>
              <a:cs typeface="Calibri"/>
            </a:defRPr>
          </a:pPr>
          <a:endParaRPr lang="nl-NL"/>
        </a:p>
      </c:txPr>
    </c:legend>
    <c:plotVisOnly val="0"/>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nl-NL"/>
    </a:p>
  </c:txPr>
  <c:printSettings>
    <c:headerFooter/>
    <c:pageMargins b="0.75000000000001465" l="0.70000000000000062" r="0.70000000000000062" t="0.75000000000001465"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nl-NL"/>
              <a:t>Ontwikkeling schuldbelasting bezit eind 2024 - 2025</a:t>
            </a:r>
          </a:p>
          <a:p>
            <a:pPr>
              <a:defRPr sz="1000" b="1" i="0" u="none" strike="noStrike" baseline="0">
                <a:solidFill>
                  <a:srgbClr val="000000"/>
                </a:solidFill>
                <a:latin typeface="Arial"/>
                <a:ea typeface="Arial"/>
                <a:cs typeface="Arial"/>
              </a:defRPr>
            </a:pPr>
            <a:endParaRPr lang="nl-NL"/>
          </a:p>
        </c:rich>
      </c:tx>
      <c:layout>
        <c:manualLayout>
          <c:xMode val="edge"/>
          <c:yMode val="edge"/>
          <c:x val="0.38015802712161922"/>
          <c:y val="3.2407407407408786E-2"/>
        </c:manualLayout>
      </c:layout>
      <c:overlay val="0"/>
    </c:title>
    <c:autoTitleDeleted val="0"/>
    <c:plotArea>
      <c:layout>
        <c:manualLayout>
          <c:layoutTarget val="inner"/>
          <c:xMode val="edge"/>
          <c:yMode val="edge"/>
          <c:x val="0.13043318828092118"/>
          <c:y val="0.1463079615048119"/>
          <c:w val="0.48012167783913451"/>
          <c:h val="0.73771216097987768"/>
        </c:manualLayout>
      </c:layout>
      <c:barChart>
        <c:barDir val="col"/>
        <c:grouping val="clustered"/>
        <c:varyColors val="0"/>
        <c:ser>
          <c:idx val="0"/>
          <c:order val="0"/>
          <c:tx>
            <c:strRef>
              <c:f>Balansprognose!$E$39</c:f>
              <c:strCache>
                <c:ptCount val="1"/>
                <c:pt idx="0">
                  <c:v>Schuldratio</c:v>
                </c:pt>
              </c:strCache>
            </c:strRef>
          </c:tx>
          <c:spPr>
            <a:solidFill>
              <a:srgbClr val="C00000"/>
            </a:solidFill>
          </c:spPr>
          <c:invertIfNegative val="0"/>
          <c:cat>
            <c:numRef>
              <c:f>Balansprognose!$F$4:$G$4</c:f>
              <c:numCache>
                <c:formatCode>0</c:formatCode>
                <c:ptCount val="2"/>
                <c:pt idx="0">
                  <c:v>2024</c:v>
                </c:pt>
                <c:pt idx="1">
                  <c:v>2025</c:v>
                </c:pt>
              </c:numCache>
            </c:numRef>
          </c:cat>
          <c:val>
            <c:numRef>
              <c:f>Balansprognose!$F$39:$G$39</c:f>
              <c:numCache>
                <c:formatCode>0.0%</c:formatCode>
                <c:ptCount val="2"/>
                <c:pt idx="0">
                  <c:v>0.66895041577667624</c:v>
                </c:pt>
                <c:pt idx="1">
                  <c:v>0.6884397759977211</c:v>
                </c:pt>
              </c:numCache>
            </c:numRef>
          </c:val>
          <c:extLst>
            <c:ext xmlns:c16="http://schemas.microsoft.com/office/drawing/2014/chart" uri="{C3380CC4-5D6E-409C-BE32-E72D297353CC}">
              <c16:uniqueId val="{00000000-752A-47B0-A5EB-20A0966B6D4C}"/>
            </c:ext>
          </c:extLst>
        </c:ser>
        <c:ser>
          <c:idx val="1"/>
          <c:order val="1"/>
          <c:tx>
            <c:strRef>
              <c:f>Balansprognose!$E$38</c:f>
              <c:strCache>
                <c:ptCount val="1"/>
                <c:pt idx="0">
                  <c:v>Solvabiliteitsratio</c:v>
                </c:pt>
              </c:strCache>
            </c:strRef>
          </c:tx>
          <c:spPr>
            <a:solidFill>
              <a:schemeClr val="accent3">
                <a:lumMod val="75000"/>
              </a:schemeClr>
            </a:solidFill>
          </c:spPr>
          <c:invertIfNegative val="0"/>
          <c:cat>
            <c:numRef>
              <c:f>Balansprognose!$F$4:$G$4</c:f>
              <c:numCache>
                <c:formatCode>0</c:formatCode>
                <c:ptCount val="2"/>
                <c:pt idx="0">
                  <c:v>2024</c:v>
                </c:pt>
                <c:pt idx="1">
                  <c:v>2025</c:v>
                </c:pt>
              </c:numCache>
            </c:numRef>
          </c:cat>
          <c:val>
            <c:numRef>
              <c:f>Balansprognose!$F$38:$G$38</c:f>
              <c:numCache>
                <c:formatCode>0.0%</c:formatCode>
                <c:ptCount val="2"/>
                <c:pt idx="0">
                  <c:v>0.22285697013662192</c:v>
                </c:pt>
                <c:pt idx="1">
                  <c:v>0.20616262872193769</c:v>
                </c:pt>
              </c:numCache>
            </c:numRef>
          </c:val>
          <c:extLst>
            <c:ext xmlns:c16="http://schemas.microsoft.com/office/drawing/2014/chart" uri="{C3380CC4-5D6E-409C-BE32-E72D297353CC}">
              <c16:uniqueId val="{00000001-752A-47B0-A5EB-20A0966B6D4C}"/>
            </c:ext>
          </c:extLst>
        </c:ser>
        <c:ser>
          <c:idx val="2"/>
          <c:order val="2"/>
          <c:tx>
            <c:strRef>
              <c:f>Balansprognose!$E$46</c:f>
              <c:strCache>
                <c:ptCount val="1"/>
                <c:pt idx="0">
                  <c:v>Exploitatieresultaat</c:v>
                </c:pt>
              </c:strCache>
            </c:strRef>
          </c:tx>
          <c:spPr>
            <a:solidFill>
              <a:schemeClr val="accent1">
                <a:lumMod val="50000"/>
              </a:schemeClr>
            </a:solidFill>
          </c:spPr>
          <c:invertIfNegative val="0"/>
          <c:cat>
            <c:numRef>
              <c:f>Balansprognose!$F$4:$G$4</c:f>
              <c:numCache>
                <c:formatCode>0</c:formatCode>
                <c:ptCount val="2"/>
                <c:pt idx="0">
                  <c:v>2024</c:v>
                </c:pt>
                <c:pt idx="1">
                  <c:v>2025</c:v>
                </c:pt>
              </c:numCache>
            </c:numRef>
          </c:cat>
          <c:val>
            <c:numRef>
              <c:f>Balansprognose!$F$46:$G$46</c:f>
              <c:numCache>
                <c:formatCode>0.0%</c:formatCode>
                <c:ptCount val="2"/>
                <c:pt idx="0">
                  <c:v>-8.4060091473600537E-2</c:v>
                </c:pt>
                <c:pt idx="1">
                  <c:v>-1.7400492398019999E-2</c:v>
                </c:pt>
              </c:numCache>
            </c:numRef>
          </c:val>
          <c:extLst>
            <c:ext xmlns:c16="http://schemas.microsoft.com/office/drawing/2014/chart" uri="{C3380CC4-5D6E-409C-BE32-E72D297353CC}">
              <c16:uniqueId val="{00000000-1C66-41EF-AB16-595EB1B717B2}"/>
            </c:ext>
          </c:extLst>
        </c:ser>
        <c:dLbls>
          <c:showLegendKey val="0"/>
          <c:showVal val="0"/>
          <c:showCatName val="0"/>
          <c:showSerName val="0"/>
          <c:showPercent val="0"/>
          <c:showBubbleSize val="0"/>
        </c:dLbls>
        <c:gapWidth val="55"/>
        <c:axId val="424475424"/>
        <c:axId val="424468760"/>
      </c:barChart>
      <c:catAx>
        <c:axId val="424475424"/>
        <c:scaling>
          <c:orientation val="minMax"/>
        </c:scaling>
        <c:delete val="0"/>
        <c:axPos val="b"/>
        <c:numFmt formatCode="0" sourceLinked="1"/>
        <c:majorTickMark val="none"/>
        <c:minorTickMark val="none"/>
        <c:tickLblPos val="nextTo"/>
        <c:txPr>
          <a:bodyPr rot="0" vert="horz"/>
          <a:lstStyle/>
          <a:p>
            <a:pPr>
              <a:defRPr sz="1000" b="1" i="0" u="none" strike="noStrike" baseline="0">
                <a:solidFill>
                  <a:srgbClr val="000000"/>
                </a:solidFill>
                <a:latin typeface="Calibri"/>
                <a:ea typeface="Calibri"/>
                <a:cs typeface="Calibri"/>
              </a:defRPr>
            </a:pPr>
            <a:endParaRPr lang="nl-NL"/>
          </a:p>
        </c:txPr>
        <c:crossAx val="424468760"/>
        <c:crosses val="autoZero"/>
        <c:auto val="1"/>
        <c:lblAlgn val="ctr"/>
        <c:lblOffset val="100"/>
        <c:noMultiLvlLbl val="0"/>
      </c:catAx>
      <c:valAx>
        <c:axId val="424468760"/>
        <c:scaling>
          <c:orientation val="minMax"/>
          <c:min val="-0.2"/>
        </c:scaling>
        <c:delete val="0"/>
        <c:axPos val="l"/>
        <c:majorGridlines/>
        <c:numFmt formatCode="0.0%" sourceLinked="1"/>
        <c:majorTickMark val="none"/>
        <c:minorTickMark val="none"/>
        <c:tickLblPos val="nextTo"/>
        <c:txPr>
          <a:bodyPr rot="0" vert="horz"/>
          <a:lstStyle/>
          <a:p>
            <a:pPr>
              <a:defRPr sz="1000" b="1" i="0" u="none" strike="noStrike" baseline="0">
                <a:solidFill>
                  <a:srgbClr val="000000"/>
                </a:solidFill>
                <a:latin typeface="Calibri"/>
                <a:ea typeface="Calibri"/>
                <a:cs typeface="Calibri"/>
              </a:defRPr>
            </a:pPr>
            <a:endParaRPr lang="nl-NL"/>
          </a:p>
        </c:txPr>
        <c:crossAx val="424475424"/>
        <c:crosses val="autoZero"/>
        <c:crossBetween val="between"/>
      </c:valAx>
    </c:plotArea>
    <c:legend>
      <c:legendPos val="r"/>
      <c:layout>
        <c:manualLayout>
          <c:xMode val="edge"/>
          <c:yMode val="edge"/>
          <c:x val="0.6283112787985039"/>
          <c:y val="0.33796879556724174"/>
          <c:w val="0.20597317771087081"/>
          <c:h val="0.229611791483811"/>
        </c:manualLayout>
      </c:layout>
      <c:overlay val="0"/>
      <c:txPr>
        <a:bodyPr/>
        <a:lstStyle/>
        <a:p>
          <a:pPr>
            <a:defRPr sz="920" b="0" i="0" u="none" strike="noStrike" baseline="0">
              <a:solidFill>
                <a:srgbClr val="000000"/>
              </a:solidFill>
              <a:latin typeface="Calibri"/>
              <a:ea typeface="Calibri"/>
              <a:cs typeface="Calibri"/>
            </a:defRPr>
          </a:pPr>
          <a:endParaRPr lang="nl-NL"/>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nl-NL"/>
    </a:p>
  </c:txPr>
  <c:printSettings>
    <c:headerFooter/>
    <c:pageMargins b="0.75000000000001465" l="0.70000000000000062" r="0.70000000000000062" t="0.75000000000001465"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60963010905666"/>
          <c:y val="0.19190614985281731"/>
          <c:w val="0.52400373422709912"/>
          <c:h val="0.71582256637810493"/>
        </c:manualLayout>
      </c:layout>
      <c:barChart>
        <c:barDir val="col"/>
        <c:grouping val="clustered"/>
        <c:varyColors val="0"/>
        <c:ser>
          <c:idx val="0"/>
          <c:order val="0"/>
          <c:tx>
            <c:strRef>
              <c:f>Balansprognose!$E$42</c:f>
              <c:strCache>
                <c:ptCount val="1"/>
                <c:pt idx="0">
                  <c:v>Netto schuldquote (incl. uitgeleend geld)</c:v>
                </c:pt>
              </c:strCache>
            </c:strRef>
          </c:tx>
          <c:spPr>
            <a:solidFill>
              <a:srgbClr val="FF0000"/>
            </a:solidFill>
          </c:spPr>
          <c:invertIfNegative val="0"/>
          <c:cat>
            <c:strRef>
              <c:f>Balansprognose!$F$34:$G$34</c:f>
              <c:strCache>
                <c:ptCount val="2"/>
                <c:pt idx="0">
                  <c:v>Jaarrek. 2024</c:v>
                </c:pt>
                <c:pt idx="1">
                  <c:v>Begroting 2025</c:v>
                </c:pt>
              </c:strCache>
            </c:strRef>
          </c:cat>
          <c:val>
            <c:numRef>
              <c:f>Balansprognose!$F$42:$G$42</c:f>
              <c:numCache>
                <c:formatCode>0.0%</c:formatCode>
                <c:ptCount val="2"/>
                <c:pt idx="0">
                  <c:v>0.97367541848596217</c:v>
                </c:pt>
                <c:pt idx="1">
                  <c:v>0.938320575124441</c:v>
                </c:pt>
              </c:numCache>
            </c:numRef>
          </c:val>
          <c:extLst>
            <c:ext xmlns:c16="http://schemas.microsoft.com/office/drawing/2014/chart" uri="{C3380CC4-5D6E-409C-BE32-E72D297353CC}">
              <c16:uniqueId val="{00000000-0896-46D8-8EBA-B72659604A68}"/>
            </c:ext>
          </c:extLst>
        </c:ser>
        <c:ser>
          <c:idx val="1"/>
          <c:order val="1"/>
          <c:tx>
            <c:strRef>
              <c:f>Balansprognose!$E$43</c:f>
              <c:strCache>
                <c:ptCount val="1"/>
                <c:pt idx="0">
                  <c:v>Uitleenquote</c:v>
                </c:pt>
              </c:strCache>
            </c:strRef>
          </c:tx>
          <c:spPr>
            <a:solidFill>
              <a:srgbClr val="92D050"/>
            </a:solidFill>
          </c:spPr>
          <c:invertIfNegative val="0"/>
          <c:cat>
            <c:strRef>
              <c:f>Balansprognose!$F$34:$G$34</c:f>
              <c:strCache>
                <c:ptCount val="2"/>
                <c:pt idx="0">
                  <c:v>Jaarrek. 2024</c:v>
                </c:pt>
                <c:pt idx="1">
                  <c:v>Begroting 2025</c:v>
                </c:pt>
              </c:strCache>
            </c:strRef>
          </c:cat>
          <c:val>
            <c:numRef>
              <c:f>Balansprognose!$F$43:$G$43</c:f>
              <c:numCache>
                <c:formatCode>0.0%</c:formatCode>
                <c:ptCount val="2"/>
                <c:pt idx="0">
                  <c:v>4.0091704012626579E-2</c:v>
                </c:pt>
                <c:pt idx="1">
                  <c:v>3.6227169335991377E-2</c:v>
                </c:pt>
              </c:numCache>
            </c:numRef>
          </c:val>
          <c:extLst>
            <c:ext xmlns:c16="http://schemas.microsoft.com/office/drawing/2014/chart" uri="{C3380CC4-5D6E-409C-BE32-E72D297353CC}">
              <c16:uniqueId val="{00000001-0896-46D8-8EBA-B72659604A68}"/>
            </c:ext>
          </c:extLst>
        </c:ser>
        <c:ser>
          <c:idx val="2"/>
          <c:order val="2"/>
          <c:tx>
            <c:strRef>
              <c:f>Balansprognose!$E$44</c:f>
              <c:strCache>
                <c:ptCount val="1"/>
                <c:pt idx="0">
                  <c:v>Voorraadquote (inclusief NIEG)</c:v>
                </c:pt>
              </c:strCache>
            </c:strRef>
          </c:tx>
          <c:spPr>
            <a:solidFill>
              <a:schemeClr val="tx2"/>
            </a:solidFill>
          </c:spPr>
          <c:invertIfNegative val="0"/>
          <c:cat>
            <c:strRef>
              <c:f>Balansprognose!$F$34:$G$34</c:f>
              <c:strCache>
                <c:ptCount val="2"/>
                <c:pt idx="0">
                  <c:v>Jaarrek. 2024</c:v>
                </c:pt>
                <c:pt idx="1">
                  <c:v>Begroting 2025</c:v>
                </c:pt>
              </c:strCache>
            </c:strRef>
          </c:cat>
          <c:val>
            <c:numRef>
              <c:f>Balansprognose!$F$44:$G$44</c:f>
              <c:numCache>
                <c:formatCode>0.0%</c:formatCode>
                <c:ptCount val="2"/>
                <c:pt idx="0">
                  <c:v>0.11205516065483116</c:v>
                </c:pt>
                <c:pt idx="1">
                  <c:v>0.1012538972834828</c:v>
                </c:pt>
              </c:numCache>
            </c:numRef>
          </c:val>
          <c:extLst>
            <c:ext xmlns:c16="http://schemas.microsoft.com/office/drawing/2014/chart" uri="{C3380CC4-5D6E-409C-BE32-E72D297353CC}">
              <c16:uniqueId val="{00000002-0896-46D8-8EBA-B72659604A68}"/>
            </c:ext>
          </c:extLst>
        </c:ser>
        <c:ser>
          <c:idx val="3"/>
          <c:order val="3"/>
          <c:tx>
            <c:strRef>
              <c:f>Balansprognose!$E$45</c:f>
              <c:strCache>
                <c:ptCount val="1"/>
                <c:pt idx="0">
                  <c:v>Effectieve netto schuldquote</c:v>
                </c:pt>
              </c:strCache>
            </c:strRef>
          </c:tx>
          <c:invertIfNegative val="0"/>
          <c:cat>
            <c:strRef>
              <c:f>Balansprognose!$F$34:$G$34</c:f>
              <c:strCache>
                <c:ptCount val="2"/>
                <c:pt idx="0">
                  <c:v>Jaarrek. 2024</c:v>
                </c:pt>
                <c:pt idx="1">
                  <c:v>Begroting 2025</c:v>
                </c:pt>
              </c:strCache>
            </c:strRef>
          </c:cat>
          <c:val>
            <c:numRef>
              <c:f>Balansprognose!$F$45:$G$45</c:f>
              <c:numCache>
                <c:formatCode>0.0%</c:formatCode>
                <c:ptCount val="2"/>
                <c:pt idx="0">
                  <c:v>0.90004781050909555</c:v>
                </c:pt>
                <c:pt idx="1">
                  <c:v>0.87179010734632201</c:v>
                </c:pt>
              </c:numCache>
            </c:numRef>
          </c:val>
          <c:extLst>
            <c:ext xmlns:c16="http://schemas.microsoft.com/office/drawing/2014/chart" uri="{C3380CC4-5D6E-409C-BE32-E72D297353CC}">
              <c16:uniqueId val="{00000000-271D-4241-B284-CDB302FE6DCE}"/>
            </c:ext>
          </c:extLst>
        </c:ser>
        <c:ser>
          <c:idx val="4"/>
          <c:order val="4"/>
          <c:tx>
            <c:strRef>
              <c:f>Balansprognose!$E$41</c:f>
              <c:strCache>
                <c:ptCount val="1"/>
                <c:pt idx="0">
                  <c:v>Kasgeldratio</c:v>
                </c:pt>
              </c:strCache>
            </c:strRef>
          </c:tx>
          <c:invertIfNegative val="0"/>
          <c:cat>
            <c:strRef>
              <c:f>Balansprognose!$F$34:$G$34</c:f>
              <c:strCache>
                <c:ptCount val="2"/>
                <c:pt idx="0">
                  <c:v>Jaarrek. 2024</c:v>
                </c:pt>
                <c:pt idx="1">
                  <c:v>Begroting 2025</c:v>
                </c:pt>
              </c:strCache>
            </c:strRef>
          </c:cat>
          <c:val>
            <c:numRef>
              <c:f>Balansprognose!$F$41:$G$41</c:f>
              <c:numCache>
                <c:formatCode>0.0%</c:formatCode>
                <c:ptCount val="2"/>
                <c:pt idx="0">
                  <c:v>6.421585004781051E-2</c:v>
                </c:pt>
                <c:pt idx="1">
                  <c:v>5.80259315743724E-2</c:v>
                </c:pt>
              </c:numCache>
            </c:numRef>
          </c:val>
          <c:extLst>
            <c:ext xmlns:c16="http://schemas.microsoft.com/office/drawing/2014/chart" uri="{C3380CC4-5D6E-409C-BE32-E72D297353CC}">
              <c16:uniqueId val="{00000000-BE00-4BB7-BBAD-7C883B68A8D3}"/>
            </c:ext>
          </c:extLst>
        </c:ser>
        <c:dLbls>
          <c:showLegendKey val="0"/>
          <c:showVal val="0"/>
          <c:showCatName val="0"/>
          <c:showSerName val="0"/>
          <c:showPercent val="0"/>
          <c:showBubbleSize val="0"/>
        </c:dLbls>
        <c:gapWidth val="150"/>
        <c:axId val="424471504"/>
        <c:axId val="424471896"/>
      </c:barChart>
      <c:catAx>
        <c:axId val="424471504"/>
        <c:scaling>
          <c:orientation val="minMax"/>
        </c:scaling>
        <c:delete val="0"/>
        <c:axPos val="b"/>
        <c:numFmt formatCode="General" sourceLinked="0"/>
        <c:majorTickMark val="out"/>
        <c:minorTickMark val="none"/>
        <c:tickLblPos val="nextTo"/>
        <c:txPr>
          <a:bodyPr/>
          <a:lstStyle/>
          <a:p>
            <a:pPr>
              <a:defRPr b="1"/>
            </a:pPr>
            <a:endParaRPr lang="nl-NL"/>
          </a:p>
        </c:txPr>
        <c:crossAx val="424471896"/>
        <c:crosses val="autoZero"/>
        <c:auto val="1"/>
        <c:lblAlgn val="ctr"/>
        <c:lblOffset val="100"/>
        <c:noMultiLvlLbl val="0"/>
      </c:catAx>
      <c:valAx>
        <c:axId val="424471896"/>
        <c:scaling>
          <c:orientation val="minMax"/>
        </c:scaling>
        <c:delete val="0"/>
        <c:axPos val="l"/>
        <c:majorGridlines/>
        <c:numFmt formatCode="0.0%" sourceLinked="1"/>
        <c:majorTickMark val="out"/>
        <c:minorTickMark val="none"/>
        <c:tickLblPos val="nextTo"/>
        <c:txPr>
          <a:bodyPr/>
          <a:lstStyle/>
          <a:p>
            <a:pPr>
              <a:defRPr b="1"/>
            </a:pPr>
            <a:endParaRPr lang="nl-NL"/>
          </a:p>
        </c:txPr>
        <c:crossAx val="424471504"/>
        <c:crosses val="autoZero"/>
        <c:crossBetween val="between"/>
      </c:valAx>
    </c:plotArea>
    <c:legend>
      <c:legendPos val="r"/>
      <c:overlay val="0"/>
    </c:legend>
    <c:plotVisOnly val="1"/>
    <c:dispBlanksAs val="gap"/>
    <c:showDLblsOverMax val="0"/>
  </c:chart>
  <c:spPr>
    <a:ln>
      <a:solidFill>
        <a:schemeClr val="tx1"/>
      </a:solidFill>
    </a:ln>
  </c:spPr>
  <c:printSettings>
    <c:headerFooter/>
    <c:pageMargins b="0.75000000000000577" l="0.70000000000000062" r="0.70000000000000062" t="0.75000000000000577"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nl-NL">
                <a:solidFill>
                  <a:sysClr val="windowText" lastClr="000000"/>
                </a:solidFill>
              </a:rPr>
              <a:t>Inkomensmix 2025</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nl-NL"/>
        </a:p>
      </c:txPr>
    </c:title>
    <c:autoTitleDeleted val="0"/>
    <c:plotArea>
      <c:layout/>
      <c:ofPieChart>
        <c:ofPieType val="pie"/>
        <c:varyColors val="1"/>
        <c:ser>
          <c:idx val="0"/>
          <c:order val="0"/>
          <c:tx>
            <c:strRef>
              <c:f>'Inkomsten &amp; uitgaven'!$P$1</c:f>
              <c:strCache>
                <c:ptCount val="1"/>
                <c:pt idx="0">
                  <c:v>Inkomensmix</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0E0-49DF-91C2-E01F4DB707D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0E0-49DF-91C2-E01F4DB707D2}"/>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2-17CE-4C2C-850B-612822A56A5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0E0-49DF-91C2-E01F4DB707D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0E0-49DF-91C2-E01F4DB707D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0E0-49DF-91C2-E01F4DB707D2}"/>
              </c:ext>
            </c:extLst>
          </c:dPt>
          <c:dPt>
            <c:idx val="6"/>
            <c:bubble3D val="0"/>
            <c:spPr>
              <a:solidFill>
                <a:srgbClr val="92D050"/>
              </a:solidFill>
              <a:ln w="19050">
                <a:solidFill>
                  <a:schemeClr val="lt1"/>
                </a:solidFill>
              </a:ln>
              <a:effectLst/>
            </c:spPr>
            <c:extLst>
              <c:ext xmlns:c16="http://schemas.microsoft.com/office/drawing/2014/chart" uri="{C3380CC4-5D6E-409C-BE32-E72D297353CC}">
                <c16:uniqueId val="{00000007-17CE-4C2C-850B-612822A56A57}"/>
              </c:ext>
            </c:extLst>
          </c:dPt>
          <c:dPt>
            <c:idx val="7"/>
            <c:bubble3D val="0"/>
            <c:spPr>
              <a:solidFill>
                <a:srgbClr val="FFC000"/>
              </a:solidFill>
              <a:ln w="19050">
                <a:solidFill>
                  <a:schemeClr val="lt1"/>
                </a:solidFill>
              </a:ln>
              <a:effectLst/>
            </c:spPr>
            <c:extLst>
              <c:ext xmlns:c16="http://schemas.microsoft.com/office/drawing/2014/chart" uri="{C3380CC4-5D6E-409C-BE32-E72D297353CC}">
                <c16:uniqueId val="{0000000A-17CE-4C2C-850B-612822A56A5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0E0-49DF-91C2-E01F4DB707D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6D2-416A-882E-2CCDFF32509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'Inkomsten &amp; uitgaven'!$Q$2:$Q$10</c:f>
              <c:numCache>
                <c:formatCode>0.0%</c:formatCode>
                <c:ptCount val="9"/>
                <c:pt idx="0">
                  <c:v>0.68885754290264989</c:v>
                </c:pt>
                <c:pt idx="1">
                  <c:v>6.5901176862498106E-2</c:v>
                </c:pt>
                <c:pt idx="2">
                  <c:v>3.8293575403001233E-2</c:v>
                </c:pt>
                <c:pt idx="3">
                  <c:v>3.8959822195387281E-2</c:v>
                </c:pt>
                <c:pt idx="4">
                  <c:v>9.7516669182442312E-2</c:v>
                </c:pt>
                <c:pt idx="5">
                  <c:v>2.1236616507305291E-3</c:v>
                </c:pt>
                <c:pt idx="6">
                  <c:v>2.0174785681940026E-2</c:v>
                </c:pt>
                <c:pt idx="7">
                  <c:v>1.9646560240681654E-3</c:v>
                </c:pt>
                <c:pt idx="8">
                  <c:v>4.6208110097282443E-2</c:v>
                </c:pt>
              </c:numCache>
            </c:numRef>
          </c:val>
          <c:extLst>
            <c:ext xmlns:c15="http://schemas.microsoft.com/office/drawing/2012/chart" uri="{02D57815-91ED-43cb-92C2-25804820EDAC}">
              <c15:filteredCategoryTitle>
                <c15:cat>
                  <c:strRef>
                    <c:extLst>
                      <c:ext uri="{02D57815-91ED-43cb-92C2-25804820EDAC}">
                        <c15:formulaRef>
                          <c15:sqref>'Inkomsten &amp; uitgaven'!$P$2:$P$10</c15:sqref>
                        </c15:formulaRef>
                      </c:ext>
                    </c:extLst>
                    <c:strCache>
                      <c:ptCount val="9"/>
                      <c:pt idx="0">
                        <c:v>1. Rijksoverdrachten</c:v>
                      </c:pt>
                      <c:pt idx="1">
                        <c:v>2. OZB</c:v>
                      </c:pt>
                      <c:pt idx="2">
                        <c:v>3. Riool rechten</c:v>
                      </c:pt>
                      <c:pt idx="3">
                        <c:v>4. Afvalstoffenheffing</c:v>
                      </c:pt>
                      <c:pt idx="4">
                        <c:v>5. Bouwgrond </c:v>
                      </c:pt>
                      <c:pt idx="5">
                        <c:v>6. Overige belastingen</c:v>
                      </c:pt>
                      <c:pt idx="6">
                        <c:v>7. Overige rechten &amp; leges</c:v>
                      </c:pt>
                      <c:pt idx="7">
                        <c:v>8. Rente en dividend</c:v>
                      </c:pt>
                      <c:pt idx="8">
                        <c:v>9. Overige eigen inkomsten</c:v>
                      </c:pt>
                    </c:strCache>
                  </c:strRef>
                </c15:cat>
              </c15:filteredCategoryTitle>
            </c:ext>
            <c:ext xmlns:c16="http://schemas.microsoft.com/office/drawing/2014/chart" uri="{C3380CC4-5D6E-409C-BE32-E72D297353CC}">
              <c16:uniqueId val="{00000000-17CE-4C2C-850B-612822A56A57}"/>
            </c:ext>
          </c:extLst>
        </c:ser>
        <c:dLbls>
          <c:dLblPos val="bestFit"/>
          <c:showLegendKey val="0"/>
          <c:showVal val="0"/>
          <c:showCatName val="0"/>
          <c:showSerName val="0"/>
          <c:showPercent val="1"/>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17</xdr:col>
      <xdr:colOff>410633</xdr:colOff>
      <xdr:row>1</xdr:row>
      <xdr:rowOff>154937</xdr:rowOff>
    </xdr:from>
    <xdr:to>
      <xdr:col>24</xdr:col>
      <xdr:colOff>387773</xdr:colOff>
      <xdr:row>17</xdr:row>
      <xdr:rowOff>56390</xdr:rowOff>
    </xdr:to>
    <xdr:graphicFrame macro="">
      <xdr:nvGraphicFramePr>
        <xdr:cNvPr id="7" name="Grafiek 6">
          <a:extLst>
            <a:ext uri="{FF2B5EF4-FFF2-40B4-BE49-F238E27FC236}">
              <a16:creationId xmlns:a16="http://schemas.microsoft.com/office/drawing/2014/main" id="{C436AF1F-D218-44B1-BE8D-9026F83ADE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435188</xdr:colOff>
      <xdr:row>19</xdr:row>
      <xdr:rowOff>35558</xdr:rowOff>
    </xdr:from>
    <xdr:to>
      <xdr:col>24</xdr:col>
      <xdr:colOff>419948</xdr:colOff>
      <xdr:row>33</xdr:row>
      <xdr:rowOff>15219</xdr:rowOff>
    </xdr:to>
    <xdr:graphicFrame macro="">
      <xdr:nvGraphicFramePr>
        <xdr:cNvPr id="9" name="Grafiek 8">
          <a:extLst>
            <a:ext uri="{FF2B5EF4-FFF2-40B4-BE49-F238E27FC236}">
              <a16:creationId xmlns:a16="http://schemas.microsoft.com/office/drawing/2014/main" id="{2335CCAA-8AF6-45A5-B054-B0DF67270A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400051</xdr:colOff>
      <xdr:row>19</xdr:row>
      <xdr:rowOff>33442</xdr:rowOff>
    </xdr:from>
    <xdr:to>
      <xdr:col>17</xdr:col>
      <xdr:colOff>185420</xdr:colOff>
      <xdr:row>33</xdr:row>
      <xdr:rowOff>20723</xdr:rowOff>
    </xdr:to>
    <xdr:graphicFrame macro="">
      <xdr:nvGraphicFramePr>
        <xdr:cNvPr id="11" name="Grafiek 10">
          <a:extLst>
            <a:ext uri="{FF2B5EF4-FFF2-40B4-BE49-F238E27FC236}">
              <a16:creationId xmlns:a16="http://schemas.microsoft.com/office/drawing/2014/main" id="{6CCC3E99-FEDF-47F2-8329-35FAB0EBA5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347133</xdr:colOff>
      <xdr:row>2</xdr:row>
      <xdr:rowOff>8467</xdr:rowOff>
    </xdr:from>
    <xdr:to>
      <xdr:col>17</xdr:col>
      <xdr:colOff>132502</xdr:colOff>
      <xdr:row>17</xdr:row>
      <xdr:rowOff>75667</xdr:rowOff>
    </xdr:to>
    <xdr:graphicFrame macro="">
      <xdr:nvGraphicFramePr>
        <xdr:cNvPr id="12" name="Grafiek 11">
          <a:extLst>
            <a:ext uri="{FF2B5EF4-FFF2-40B4-BE49-F238E27FC236}">
              <a16:creationId xmlns:a16="http://schemas.microsoft.com/office/drawing/2014/main" id="{DDC27AC8-EC67-459C-8B58-464A95945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0.02033</cdr:x>
      <cdr:y>0.02295</cdr:y>
    </cdr:from>
    <cdr:to>
      <cdr:x>0.36566</cdr:x>
      <cdr:y>0.13448</cdr:y>
    </cdr:to>
    <cdr:sp macro="" textlink="">
      <cdr:nvSpPr>
        <cdr:cNvPr id="2" name="Tekstvak 1">
          <a:extLst xmlns:a="http://schemas.openxmlformats.org/drawingml/2006/main">
            <a:ext uri="{FF2B5EF4-FFF2-40B4-BE49-F238E27FC236}">
              <a16:creationId xmlns:a16="http://schemas.microsoft.com/office/drawing/2014/main" id="{A6AA3ACB-B8A1-4C8F-888B-148592DCD596}"/>
            </a:ext>
          </a:extLst>
        </cdr:cNvPr>
        <cdr:cNvSpPr txBox="1"/>
      </cdr:nvSpPr>
      <cdr:spPr>
        <a:xfrm xmlns:a="http://schemas.openxmlformats.org/drawingml/2006/main">
          <a:off x="96494" y="64691"/>
          <a:ext cx="1639225" cy="3143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nl-NL" sz="1400" b="1"/>
            <a:t>Opbouw</a:t>
          </a:r>
          <a:r>
            <a:rPr lang="nl-NL" sz="1400" b="1" baseline="0"/>
            <a:t> f</a:t>
          </a:r>
          <a:r>
            <a:rPr lang="nl-NL" sz="1400" b="1"/>
            <a:t>inancieringsresultaat</a:t>
          </a:r>
          <a:r>
            <a:rPr lang="nl-NL" sz="1400" b="1" baseline="0"/>
            <a:t> </a:t>
          </a:r>
          <a:r>
            <a:rPr lang="nl-NL" sz="1400" b="1"/>
            <a:t>2025</a:t>
          </a:r>
        </a:p>
      </cdr:txBody>
    </cdr:sp>
  </cdr:relSizeAnchor>
</c:userShapes>
</file>

<file path=xl/drawings/drawing3.xml><?xml version="1.0" encoding="utf-8"?>
<xdr:wsDr xmlns:xdr="http://schemas.openxmlformats.org/drawingml/2006/spreadsheetDrawing" xmlns:a="http://schemas.openxmlformats.org/drawingml/2006/main">
  <xdr:twoCellAnchor>
    <xdr:from>
      <xdr:col>5</xdr:col>
      <xdr:colOff>137160</xdr:colOff>
      <xdr:row>18</xdr:row>
      <xdr:rowOff>173567</xdr:rowOff>
    </xdr:from>
    <xdr:to>
      <xdr:col>10</xdr:col>
      <xdr:colOff>723900</xdr:colOff>
      <xdr:row>36</xdr:row>
      <xdr:rowOff>160020</xdr:rowOff>
    </xdr:to>
    <xdr:graphicFrame macro="">
      <xdr:nvGraphicFramePr>
        <xdr:cNvPr id="4135" name="Grafiek 2">
          <a:extLst>
            <a:ext uri="{FF2B5EF4-FFF2-40B4-BE49-F238E27FC236}">
              <a16:creationId xmlns:a16="http://schemas.microsoft.com/office/drawing/2014/main" id="{00000000-0008-0000-0000-000027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0.45681</cdr:x>
      <cdr:y>0.03831</cdr:y>
    </cdr:from>
    <cdr:to>
      <cdr:x>0.98935</cdr:x>
      <cdr:y>0.11824</cdr:y>
    </cdr:to>
    <cdr:sp macro="" textlink="">
      <cdr:nvSpPr>
        <cdr:cNvPr id="2" name="Tekstvak 1">
          <a:extLst xmlns:a="http://schemas.openxmlformats.org/drawingml/2006/main">
            <a:ext uri="{FF2B5EF4-FFF2-40B4-BE49-F238E27FC236}">
              <a16:creationId xmlns:a16="http://schemas.microsoft.com/office/drawing/2014/main" id="{A1D3C591-34F5-4C9B-ADD4-2BFA2A519C1A}"/>
            </a:ext>
          </a:extLst>
        </cdr:cNvPr>
        <cdr:cNvSpPr txBox="1"/>
      </cdr:nvSpPr>
      <cdr:spPr>
        <a:xfrm xmlns:a="http://schemas.openxmlformats.org/drawingml/2006/main">
          <a:off x="2858676" y="135009"/>
          <a:ext cx="3332574" cy="281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nl-NL" sz="1100" b="1"/>
            <a:t>Ontwikkeling netto schuldquote eind 2023-2033</a:t>
          </a:r>
        </a:p>
        <a:p xmlns:a="http://schemas.openxmlformats.org/drawingml/2006/main">
          <a:endParaRPr lang="nl-NL" sz="1100" b="1"/>
        </a:p>
        <a:p xmlns:a="http://schemas.openxmlformats.org/drawingml/2006/main">
          <a:endParaRPr lang="nl-NL" sz="1100" b="1"/>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359410</xdr:colOff>
      <xdr:row>1</xdr:row>
      <xdr:rowOff>3175</xdr:rowOff>
    </xdr:from>
    <xdr:to>
      <xdr:col>18</xdr:col>
      <xdr:colOff>0</xdr:colOff>
      <xdr:row>17</xdr:row>
      <xdr:rowOff>161290</xdr:rowOff>
    </xdr:to>
    <xdr:graphicFrame macro="">
      <xdr:nvGraphicFramePr>
        <xdr:cNvPr id="2061" name="Grafiek 1">
          <a:extLst>
            <a:ext uri="{FF2B5EF4-FFF2-40B4-BE49-F238E27FC236}">
              <a16:creationId xmlns:a16="http://schemas.microsoft.com/office/drawing/2014/main" id="{00000000-0008-0000-0100-00000D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339090</xdr:colOff>
      <xdr:row>18</xdr:row>
      <xdr:rowOff>132080</xdr:rowOff>
    </xdr:from>
    <xdr:to>
      <xdr:col>18</xdr:col>
      <xdr:colOff>0</xdr:colOff>
      <xdr:row>40</xdr:row>
      <xdr:rowOff>6985</xdr:rowOff>
    </xdr:to>
    <xdr:graphicFrame macro="">
      <xdr:nvGraphicFramePr>
        <xdr:cNvPr id="2" name="Grafiek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0.02431</cdr:x>
      <cdr:y>0.01736</cdr:y>
    </cdr:from>
    <cdr:to>
      <cdr:x>0.38194</cdr:x>
      <cdr:y>0.09028</cdr:y>
    </cdr:to>
    <cdr:sp macro="" textlink="Macrogegevens!$A$2">
      <cdr:nvSpPr>
        <cdr:cNvPr id="4" name="Tekstvak 3">
          <a:extLst xmlns:a="http://schemas.openxmlformats.org/drawingml/2006/main">
            <a:ext uri="{FF2B5EF4-FFF2-40B4-BE49-F238E27FC236}">
              <a16:creationId xmlns:a16="http://schemas.microsoft.com/office/drawing/2014/main" id="{0A1A0206-4226-4F50-B439-E2CD4E31D205}"/>
            </a:ext>
          </a:extLst>
        </cdr:cNvPr>
        <cdr:cNvSpPr txBox="1"/>
      </cdr:nvSpPr>
      <cdr:spPr>
        <a:xfrm xmlns:a="http://schemas.openxmlformats.org/drawingml/2006/main">
          <a:off x="133352" y="47625"/>
          <a:ext cx="1962150" cy="2000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C463A941-0D9B-472A-8F06-3112169CB947}" type="TxLink">
            <a:rPr lang="en-US" sz="1100" b="1" i="0" u="none" strike="noStrike">
              <a:solidFill>
                <a:srgbClr val="000000"/>
              </a:solidFill>
              <a:latin typeface="+mn-lt"/>
            </a:rPr>
            <a:pPr/>
            <a:t>Zwijndrecht</a:t>
          </a:fld>
          <a:endParaRPr lang="nl-NL" sz="1100">
            <a:latin typeface="+mn-lt"/>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0.0097</cdr:x>
      <cdr:y>0.0221</cdr:y>
    </cdr:from>
    <cdr:to>
      <cdr:x>0.37513</cdr:x>
      <cdr:y>0.08564</cdr:y>
    </cdr:to>
    <cdr:sp macro="" textlink="">
      <cdr:nvSpPr>
        <cdr:cNvPr id="2" name="Tekstvak 1">
          <a:extLst xmlns:a="http://schemas.openxmlformats.org/drawingml/2006/main">
            <a:ext uri="{FF2B5EF4-FFF2-40B4-BE49-F238E27FC236}">
              <a16:creationId xmlns:a16="http://schemas.microsoft.com/office/drawing/2014/main" id="{1F2B7C3E-37EF-401A-B059-BDFE70A796CB}"/>
            </a:ext>
          </a:extLst>
        </cdr:cNvPr>
        <cdr:cNvSpPr txBox="1"/>
      </cdr:nvSpPr>
      <cdr:spPr>
        <a:xfrm xmlns:a="http://schemas.openxmlformats.org/drawingml/2006/main">
          <a:off x="50800" y="76200"/>
          <a:ext cx="1914411" cy="2190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b="1" i="0" u="none" strike="noStrike">
            <a:solidFill>
              <a:srgbClr val="000000"/>
            </a:solidFill>
            <a:latin typeface="Arialri"/>
          </a:endParaRPr>
        </a:p>
        <a:p xmlns:a="http://schemas.openxmlformats.org/drawingml/2006/main">
          <a:endParaRPr lang="en-US" sz="1000" b="1" i="0" u="none" strike="noStrike">
            <a:solidFill>
              <a:srgbClr val="000000"/>
            </a:solidFill>
            <a:latin typeface="Arialri"/>
          </a:endParaRPr>
        </a:p>
      </cdr:txBody>
    </cdr:sp>
  </cdr:relSizeAnchor>
  <cdr:relSizeAnchor xmlns:cdr="http://schemas.openxmlformats.org/drawingml/2006/chartDrawing">
    <cdr:from>
      <cdr:x>0.03487</cdr:x>
      <cdr:y>0.04147</cdr:y>
    </cdr:from>
    <cdr:to>
      <cdr:x>0.3925</cdr:x>
      <cdr:y>0.09955</cdr:y>
    </cdr:to>
    <cdr:sp macro="" textlink="">
      <cdr:nvSpPr>
        <cdr:cNvPr id="3" name="Tekstvak 1">
          <a:extLst xmlns:a="http://schemas.openxmlformats.org/drawingml/2006/main">
            <a:ext uri="{FF2B5EF4-FFF2-40B4-BE49-F238E27FC236}">
              <a16:creationId xmlns:a16="http://schemas.microsoft.com/office/drawing/2014/main" id="{A3FF8521-9632-4569-8A9E-19D58ADB06C4}"/>
            </a:ext>
          </a:extLst>
        </cdr:cNvPr>
        <cdr:cNvSpPr txBox="1"/>
      </cdr:nvSpPr>
      <cdr:spPr>
        <a:xfrm xmlns:a="http://schemas.openxmlformats.org/drawingml/2006/main">
          <a:off x="193040" y="152400"/>
          <a:ext cx="1979815" cy="21341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nl-NL" sz="1100">
            <a:latin typeface="Calibri"/>
          </a:endParaRPr>
        </a:p>
      </cdr:txBody>
    </cdr:sp>
  </cdr:relSizeAnchor>
  <cdr:relSizeAnchor xmlns:cdr="http://schemas.openxmlformats.org/drawingml/2006/chartDrawing">
    <cdr:from>
      <cdr:x>0.4306</cdr:x>
      <cdr:y>0.03318</cdr:y>
    </cdr:from>
    <cdr:to>
      <cdr:x>0.62881</cdr:x>
      <cdr:y>0.10783</cdr:y>
    </cdr:to>
    <cdr:sp macro="" textlink="">
      <cdr:nvSpPr>
        <cdr:cNvPr id="4" name="Tekstvak 3">
          <a:extLst xmlns:a="http://schemas.openxmlformats.org/drawingml/2006/main">
            <a:ext uri="{FF2B5EF4-FFF2-40B4-BE49-F238E27FC236}">
              <a16:creationId xmlns:a16="http://schemas.microsoft.com/office/drawing/2014/main" id="{64218DF5-9DC8-4FF6-9DC1-D948BB4021D4}"/>
            </a:ext>
          </a:extLst>
        </cdr:cNvPr>
        <cdr:cNvSpPr txBox="1"/>
      </cdr:nvSpPr>
      <cdr:spPr>
        <a:xfrm xmlns:a="http://schemas.openxmlformats.org/drawingml/2006/main">
          <a:off x="2383790" y="121920"/>
          <a:ext cx="1097280" cy="27432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nl-NL" sz="1100"/>
        </a:p>
      </cdr:txBody>
    </cdr:sp>
  </cdr:relSizeAnchor>
  <cdr:relSizeAnchor xmlns:cdr="http://schemas.openxmlformats.org/drawingml/2006/chartDrawing">
    <cdr:from>
      <cdr:x>0.42094</cdr:x>
      <cdr:y>0.03871</cdr:y>
    </cdr:from>
    <cdr:to>
      <cdr:x>0.94032</cdr:x>
      <cdr:y>0.10783</cdr:y>
    </cdr:to>
    <cdr:sp macro="" textlink="">
      <cdr:nvSpPr>
        <cdr:cNvPr id="5" name="Tekstvak 4">
          <a:extLst xmlns:a="http://schemas.openxmlformats.org/drawingml/2006/main">
            <a:ext uri="{FF2B5EF4-FFF2-40B4-BE49-F238E27FC236}">
              <a16:creationId xmlns:a16="http://schemas.microsoft.com/office/drawing/2014/main" id="{9BDD626D-ABB1-4EDE-BC9C-916A868C568C}"/>
            </a:ext>
          </a:extLst>
        </cdr:cNvPr>
        <cdr:cNvSpPr txBox="1"/>
      </cdr:nvSpPr>
      <cdr:spPr>
        <a:xfrm xmlns:a="http://schemas.openxmlformats.org/drawingml/2006/main">
          <a:off x="2253288" y="135760"/>
          <a:ext cx="2780266" cy="24241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nl-NL" sz="1100" b="1">
              <a:latin typeface="+mn-lt"/>
              <a:ea typeface="+mn-ea"/>
              <a:cs typeface="+mn-cs"/>
            </a:rPr>
            <a:t>Ontwikkeling</a:t>
          </a:r>
          <a:r>
            <a:rPr lang="nl-NL" sz="1100" b="1"/>
            <a:t> schuldendruk eind 2024 - 2025</a:t>
          </a:r>
        </a:p>
      </cdr:txBody>
    </cdr:sp>
  </cdr:relSizeAnchor>
  <cdr:relSizeAnchor xmlns:cdr="http://schemas.openxmlformats.org/drawingml/2006/chartDrawing">
    <cdr:from>
      <cdr:x>0.04588</cdr:x>
      <cdr:y>0.04976</cdr:y>
    </cdr:from>
    <cdr:to>
      <cdr:x>0.40351</cdr:x>
      <cdr:y>0.10784</cdr:y>
    </cdr:to>
    <cdr:sp macro="" textlink="Macrogegevens!$A$2">
      <cdr:nvSpPr>
        <cdr:cNvPr id="9" name="Tekstvak 1">
          <a:extLst xmlns:a="http://schemas.openxmlformats.org/drawingml/2006/main">
            <a:ext uri="{FF2B5EF4-FFF2-40B4-BE49-F238E27FC236}">
              <a16:creationId xmlns:a16="http://schemas.microsoft.com/office/drawing/2014/main" id="{3FC3FCF2-5996-4575-A911-8DB70F490BC9}"/>
            </a:ext>
          </a:extLst>
        </cdr:cNvPr>
        <cdr:cNvSpPr txBox="1"/>
      </cdr:nvSpPr>
      <cdr:spPr>
        <a:xfrm xmlns:a="http://schemas.openxmlformats.org/drawingml/2006/main">
          <a:off x="253988" y="182869"/>
          <a:ext cx="1979815" cy="2134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3DEA5E-274B-45FA-884D-FF4B5D54D5D1}" type="TxLink">
            <a:rPr lang="en-US" sz="1000" b="1" i="0" u="none" strike="noStrike">
              <a:solidFill>
                <a:srgbClr val="000000"/>
              </a:solidFill>
              <a:latin typeface="Arial"/>
              <a:cs typeface="Arial"/>
            </a:rPr>
            <a:pPr/>
            <a:t>Zwijndrecht</a:t>
          </a:fld>
          <a:endParaRPr lang="nl-NL" sz="1100">
            <a:latin typeface="+mn-lt"/>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15</xdr:col>
      <xdr:colOff>7937</xdr:colOff>
      <xdr:row>11</xdr:row>
      <xdr:rowOff>9525</xdr:rowOff>
    </xdr:from>
    <xdr:to>
      <xdr:col>18</xdr:col>
      <xdr:colOff>95250</xdr:colOff>
      <xdr:row>26</xdr:row>
      <xdr:rowOff>23813</xdr:rowOff>
    </xdr:to>
    <xdr:graphicFrame macro="">
      <xdr:nvGraphicFramePr>
        <xdr:cNvPr id="2" name="Grafiek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Houdbare%20GF\Algemene%20uitkering%20septembercirculaire%202018.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lei_j\Documents\Gemeentefonds\Circulaires%20gemeentefonds\2022\rekenmodel+septembercirculaire+2022+uitkeringsjaar+2023+en+verder+22+september.xlsx" TargetMode="External"/><Relationship Id="rId1" Type="http://schemas.openxmlformats.org/officeDocument/2006/relationships/externalLinkPath" Target="/Users/lei_j/Documents/Gemeentefonds/Circulaires%20gemeentefonds/2022/rekenmodel+septembercirculaire+2022+uitkeringsjaar+2023+en+verder+22+septemb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uitk_jr_18"/>
      <sheetName val="uitk_jr_19"/>
      <sheetName val="uitk_jr_20"/>
      <sheetName val="uitk_jr_21"/>
      <sheetName val="uitk_jr_22"/>
      <sheetName val="uitk_jr_23"/>
      <sheetName val="Blad1"/>
      <sheetName val="overig"/>
      <sheetName val="bpe_18"/>
      <sheetName val="bpe_19"/>
      <sheetName val="bpe_20"/>
      <sheetName val="bpe_21"/>
      <sheetName val="bpe_22"/>
      <sheetName val="bpe_23"/>
    </sheetNames>
    <sheetDataSet>
      <sheetData sheetId="0"/>
      <sheetData sheetId="1">
        <row r="17">
          <cell r="A17" t="str">
            <v>CBS</v>
          </cell>
        </row>
        <row r="18">
          <cell r="A18">
            <v>874</v>
          </cell>
        </row>
      </sheetData>
      <sheetData sheetId="2"/>
      <sheetData sheetId="3"/>
      <sheetData sheetId="4"/>
      <sheetData sheetId="5"/>
      <sheetData sheetId="6"/>
      <sheetData sheetId="7"/>
      <sheetData sheetId="8">
        <row r="3">
          <cell r="A3" t="str">
            <v>CBS</v>
          </cell>
          <cell r="B3" t="str">
            <v xml:space="preserve">Naam </v>
          </cell>
          <cell r="C3" t="str">
            <v>Prov</v>
          </cell>
          <cell r="D3" t="str">
            <v>SUPPLETIE</v>
          </cell>
          <cell r="E3" t="str">
            <v>SUPPLETIE</v>
          </cell>
          <cell r="F3" t="str">
            <v>ART.12</v>
          </cell>
          <cell r="G3" t="str">
            <v>Suppletie</v>
          </cell>
          <cell r="H3" t="str">
            <v>Cumulatie18</v>
          </cell>
          <cell r="I3" t="str">
            <v>Cumulatie19</v>
          </cell>
          <cell r="J3" t="str">
            <v>Actieplan</v>
          </cell>
          <cell r="K3" t="str">
            <v xml:space="preserve">arbeidsparticipatie mensen met een </v>
          </cell>
          <cell r="L3" t="str">
            <v>Armoedebestrijding</v>
          </cell>
          <cell r="M3" t="str">
            <v>Armoedebestrijding</v>
          </cell>
          <cell r="N3" t="str">
            <v>Basisregistratie</v>
          </cell>
          <cell r="O3" t="str">
            <v>Basisregistratie</v>
          </cell>
          <cell r="P3" t="str">
            <v>beeldende kunst18 ev</v>
          </cell>
          <cell r="Q3" t="str">
            <v>beter benutten18</v>
          </cell>
          <cell r="R3" t="str">
            <v>bevolkingsdaling</v>
          </cell>
          <cell r="S3" t="str">
            <v>bodemsanering18</v>
          </cell>
          <cell r="T3" t="str">
            <v>bodemsanering19</v>
          </cell>
          <cell r="U3" t="str">
            <v>bodemsanering20</v>
          </cell>
          <cell r="V3" t="str">
            <v>bonus beschut werken18</v>
          </cell>
          <cell r="W3" t="str">
            <v>Brede impuls combinatiefunctie/</v>
          </cell>
          <cell r="X3" t="str">
            <v>BRP:</v>
          </cell>
          <cell r="Y3" t="str">
            <v>City Deal18</v>
          </cell>
          <cell r="Z3" t="str">
            <v>dialoog sinterklaasintocht18</v>
          </cell>
          <cell r="AA3" t="str">
            <v>economische zelfstandigheid18</v>
          </cell>
          <cell r="AB3" t="str">
            <v>Erfgoed en ruimte18</v>
          </cell>
          <cell r="AC3" t="str">
            <v>Faciliteitenbesluit</v>
          </cell>
          <cell r="AD3" t="str">
            <v>gez in de stad18-21</v>
          </cell>
          <cell r="AE3" t="str">
            <v>Groeiopgave Almere</v>
          </cell>
          <cell r="AF3" t="str">
            <v>Groeiopgave Almere</v>
          </cell>
          <cell r="AG3" t="str">
            <v>Herstructurering Wsw</v>
          </cell>
          <cell r="AH3" t="str">
            <v>Innovatiepartnerschap</v>
          </cell>
          <cell r="AI3" t="str">
            <v>Innovatieve aanpak</v>
          </cell>
          <cell r="AJ3" t="str">
            <v>Interreg V</v>
          </cell>
          <cell r="AK3" t="str">
            <v>jeugd18 ev</v>
          </cell>
          <cell r="AL3" t="str">
            <v>Jeugdwerkloosheid</v>
          </cell>
          <cell r="AM3" t="str">
            <v>knelpunten18</v>
          </cell>
          <cell r="AN3" t="str">
            <v>knelpunten19</v>
          </cell>
          <cell r="AO3" t="str">
            <v>knelpunten20</v>
          </cell>
          <cell r="AP3" t="str">
            <v>knelpunten21</v>
          </cell>
          <cell r="AQ3" t="str">
            <v>knelpunten22</v>
          </cell>
          <cell r="AR3" t="str">
            <v>knelpunten23</v>
          </cell>
          <cell r="AS3" t="str">
            <v>Leeuwarden Europese</v>
          </cell>
          <cell r="AT3" t="str">
            <v>LHBT18</v>
          </cell>
          <cell r="AU3" t="str">
            <v>Maatschappelijke begeleiding18</v>
          </cell>
          <cell r="AV3" t="str">
            <v>maat. Opvang18-23</v>
          </cell>
          <cell r="AW3" t="str">
            <v>Matchen op werk18</v>
          </cell>
          <cell r="AX3" t="str">
            <v>Milieuzones</v>
          </cell>
          <cell r="AY3" t="str">
            <v>nationale</v>
          </cell>
          <cell r="AZ3" t="str">
            <v>ondersteuning raadsman</v>
          </cell>
          <cell r="BA3" t="str">
            <v>Opvang</v>
          </cell>
          <cell r="BB3" t="str">
            <v>Pilot Nederlandse Kernwaarden18</v>
          </cell>
          <cell r="BC3" t="str">
            <v>Pilot weerbaaropvoeden18</v>
          </cell>
          <cell r="BD3" t="str">
            <v>Referendum18</v>
          </cell>
          <cell r="BE3" t="str">
            <v>RSP Zuiderzeelijn18</v>
          </cell>
          <cell r="BF3" t="str">
            <v>scholenprogramma</v>
          </cell>
          <cell r="BG3" t="str">
            <v>scholenprogramma</v>
          </cell>
          <cell r="BH3" t="str">
            <v>scholenprogramma</v>
          </cell>
          <cell r="BI3" t="str">
            <v>Schulden en</v>
          </cell>
          <cell r="BJ3" t="str">
            <v>Schulden en</v>
          </cell>
          <cell r="BK3" t="str">
            <v>Schulden en</v>
          </cell>
          <cell r="BL3" t="str">
            <v>Spoorstaafconditioneringssystemen18</v>
          </cell>
          <cell r="BM3" t="str">
            <v>Tijdelijke oplossing</v>
          </cell>
          <cell r="BN3" t="str">
            <v>veiligheidshuizen18 ev</v>
          </cell>
          <cell r="BO3" t="str">
            <v>vth-taken18 ev</v>
          </cell>
          <cell r="BP3" t="str">
            <v xml:space="preserve">Verhoogde asielinstroom - </v>
          </cell>
          <cell r="BQ3" t="str">
            <v xml:space="preserve">Verhoogde asielinstroom - </v>
          </cell>
          <cell r="BR3" t="str">
            <v>versterking gemeentelijke</v>
          </cell>
          <cell r="BS3" t="str">
            <v>Versterking lokale werkgelegenheid</v>
          </cell>
          <cell r="BT3" t="str">
            <v>Voorschoolse voorziening</v>
          </cell>
          <cell r="BU3" t="str">
            <v>Voorschoolse voorziening</v>
          </cell>
          <cell r="BV3" t="str">
            <v>Voorschoolse voorziening</v>
          </cell>
          <cell r="BW3" t="str">
            <v>Voorschoolse voorziening</v>
          </cell>
          <cell r="BX3" t="str">
            <v>Voorziening knelpunten</v>
          </cell>
          <cell r="BY3" t="str">
            <v>vrouwenopvang18</v>
          </cell>
          <cell r="BZ3" t="str">
            <v>vrouwenopvang19</v>
          </cell>
          <cell r="CA3" t="str">
            <v>vrouwenopvang20</v>
          </cell>
          <cell r="CB3" t="str">
            <v>vrouwenopvang21-23</v>
          </cell>
          <cell r="CC3" t="str">
            <v>WMO18</v>
          </cell>
          <cell r="CD3" t="str">
            <v>Iu sociaal domeien</v>
          </cell>
          <cell r="CE3" t="str">
            <v>Voogdij/18+</v>
          </cell>
          <cell r="CF3" t="str">
            <v>Suppletie Jeugdzorg</v>
          </cell>
          <cell r="CG3" t="str">
            <v>Voogdij/18+</v>
          </cell>
          <cell r="CH3" t="str">
            <v>Voogdij/18+</v>
          </cell>
          <cell r="CI3" t="str">
            <v>Voogdij/18+</v>
          </cell>
          <cell r="CJ3" t="str">
            <v>Voogdij/18+</v>
          </cell>
          <cell r="CK3" t="str">
            <v>Beschermd wonen</v>
          </cell>
          <cell r="CL3" t="str">
            <v>Beschermd wonen</v>
          </cell>
          <cell r="CM3" t="str">
            <v>Beschermd wonen</v>
          </cell>
          <cell r="CN3" t="str">
            <v>Beschermd wonen</v>
          </cell>
          <cell r="CO3" t="str">
            <v>Beschermd wonen</v>
          </cell>
          <cell r="CP3" t="str">
            <v>Suppletie wmo19</v>
          </cell>
          <cell r="CQ3" t="str">
            <v>Participatie</v>
          </cell>
          <cell r="CR3" t="str">
            <v>Participatie</v>
          </cell>
          <cell r="CS3" t="str">
            <v>Participatie</v>
          </cell>
          <cell r="CT3" t="str">
            <v>Participatie</v>
          </cell>
          <cell r="CU3" t="str">
            <v>Participatie</v>
          </cell>
          <cell r="CV3" t="str">
            <v>Suppletie overheveling iusd</v>
          </cell>
          <cell r="CW3" t="str">
            <v>Digitale content</v>
          </cell>
          <cell r="CX3" t="str">
            <v>EMA Amsterdam</v>
          </cell>
          <cell r="CY3" t="str">
            <v>Erfgoedregistraties18</v>
          </cell>
          <cell r="CZ3" t="str">
            <v>Experimenten sociale</v>
          </cell>
          <cell r="DA3" t="str">
            <v>Impulsgelden</v>
          </cell>
          <cell r="DB3" t="str">
            <v>Jeugdhulp aan kinderen</v>
          </cell>
          <cell r="DC3" t="str">
            <v>Koplopergemeenten</v>
          </cell>
          <cell r="DD3" t="str">
            <v>Meer Maas</v>
          </cell>
          <cell r="DE3" t="str">
            <v>Meer Maas</v>
          </cell>
          <cell r="DF3" t="str">
            <v>Omgevingsspoor</v>
          </cell>
          <cell r="DG3" t="str">
            <v>Pilot opvang en begeleiding</v>
          </cell>
          <cell r="DH3" t="str">
            <v>Regiodeal</v>
          </cell>
          <cell r="DI3" t="str">
            <v>Roode Vaart</v>
          </cell>
          <cell r="DJ3" t="str">
            <v>Terugdringen</v>
          </cell>
          <cell r="DK3" t="str">
            <v>Terugdringen</v>
          </cell>
          <cell r="DL3" t="str">
            <v>Terugdringen</v>
          </cell>
          <cell r="DM3" t="str">
            <v>Transformatiefonds</v>
          </cell>
          <cell r="DN3" t="str">
            <v>Transformatiefonds</v>
          </cell>
          <cell r="DO3" t="str">
            <v>Transformatiefonds</v>
          </cell>
          <cell r="DP3" t="str">
            <v>Versnelling lokale aanpak</v>
          </cell>
        </row>
        <row r="4">
          <cell r="A4"/>
          <cell r="B4"/>
          <cell r="C4"/>
          <cell r="D4" t="str">
            <v>OZB18</v>
          </cell>
          <cell r="E4" t="str">
            <v>OZB19</v>
          </cell>
          <cell r="F4" t="str">
            <v>(aanv uitk)</v>
          </cell>
          <cell r="G4" t="str">
            <v>bommenregeling18</v>
          </cell>
          <cell r="H4"/>
          <cell r="I4"/>
          <cell r="J4" t="str">
            <v>luchtkwaliteit18</v>
          </cell>
          <cell r="K4" t="str">
            <v>psychische beperking18</v>
          </cell>
          <cell r="L4" t="str">
            <v>kinderen 2018</v>
          </cell>
          <cell r="M4" t="str">
            <v>kinderen 2019 ev</v>
          </cell>
          <cell r="N4" t="str">
            <v>Grootschalige Topografie18</v>
          </cell>
          <cell r="O4" t="str">
            <v>Grootschalige Topografie19</v>
          </cell>
          <cell r="P4"/>
          <cell r="Q4"/>
          <cell r="R4" t="str">
            <v>2018-2020</v>
          </cell>
          <cell r="S4"/>
          <cell r="T4"/>
          <cell r="U4"/>
          <cell r="V4"/>
          <cell r="W4" t="str">
            <v>sportcoaches18</v>
          </cell>
          <cell r="X4" t="str">
            <v>centralisering inschrijving vergunninghouders18 ev</v>
          </cell>
          <cell r="Y4"/>
          <cell r="Z4"/>
          <cell r="AA4"/>
          <cell r="AB4"/>
          <cell r="AC4" t="str">
            <v>opvangcentra18</v>
          </cell>
          <cell r="AD4"/>
          <cell r="AE4">
            <v>2018</v>
          </cell>
          <cell r="AF4" t="str">
            <v>2019-2023</v>
          </cell>
          <cell r="AG4" t="str">
            <v>Oost-Groningen18</v>
          </cell>
          <cell r="AH4" t="str">
            <v>Amsterdam</v>
          </cell>
          <cell r="AI4" t="str">
            <v>energiebesparing18</v>
          </cell>
          <cell r="AJ4"/>
          <cell r="AK4"/>
          <cell r="AL4"/>
          <cell r="AM4"/>
          <cell r="AN4"/>
          <cell r="AO4"/>
          <cell r="AP4"/>
          <cell r="AQ4"/>
          <cell r="AR4"/>
          <cell r="AS4" t="str">
            <v>Culturele Hoofdstad 2018</v>
          </cell>
          <cell r="AT4"/>
          <cell r="AU4"/>
          <cell r="AV4"/>
          <cell r="AW4"/>
          <cell r="AX4" t="str">
            <v>grote steden18</v>
          </cell>
          <cell r="AY4" t="str">
            <v>gebiedsontwikkeling18</v>
          </cell>
          <cell r="AZ4" t="str">
            <v>Loppersum18</v>
          </cell>
          <cell r="BA4" t="str">
            <v>Sint Maarten18</v>
          </cell>
          <cell r="BB4"/>
          <cell r="BC4"/>
          <cell r="BD4"/>
          <cell r="BE4"/>
          <cell r="BF4" t="str">
            <v>Groningen18</v>
          </cell>
          <cell r="BG4" t="str">
            <v>Groningen19</v>
          </cell>
          <cell r="BH4" t="str">
            <v>Groningen20-34</v>
          </cell>
          <cell r="BI4" t="str">
            <v>armoede18</v>
          </cell>
          <cell r="BJ4" t="str">
            <v>armoede19</v>
          </cell>
          <cell r="BK4" t="str">
            <v>armoede20</v>
          </cell>
          <cell r="BL4"/>
          <cell r="BM4" t="str">
            <v>anonieme hulplijn</v>
          </cell>
          <cell r="BN4"/>
          <cell r="BO4"/>
          <cell r="BP4" t="str">
            <v>participatie en integratie18</v>
          </cell>
          <cell r="BQ4" t="str">
            <v>partieel effect</v>
          </cell>
          <cell r="BR4" t="str">
            <v>aanpak jihadisme18</v>
          </cell>
          <cell r="BS4" t="str">
            <v>Groningen18-19</v>
          </cell>
          <cell r="BT4" t="str">
            <v>peuters1823</v>
          </cell>
          <cell r="BU4" t="str">
            <v>peuters19</v>
          </cell>
          <cell r="BV4" t="str">
            <v>peuters20</v>
          </cell>
          <cell r="BW4" t="str">
            <v>peuters21-23</v>
          </cell>
          <cell r="BX4" t="str">
            <v>sociaal domein18</v>
          </cell>
          <cell r="CC4"/>
          <cell r="CD4">
            <v>2018</v>
          </cell>
          <cell r="CE4">
            <v>2019</v>
          </cell>
          <cell r="CF4">
            <v>2019</v>
          </cell>
          <cell r="CG4">
            <v>2020</v>
          </cell>
          <cell r="CH4">
            <v>2021</v>
          </cell>
          <cell r="CI4">
            <v>2022</v>
          </cell>
          <cell r="CJ4">
            <v>2023</v>
          </cell>
          <cell r="CK4">
            <v>2019</v>
          </cell>
          <cell r="CL4">
            <v>2020</v>
          </cell>
          <cell r="CM4">
            <v>2021</v>
          </cell>
          <cell r="CN4">
            <v>2022</v>
          </cell>
          <cell r="CO4">
            <v>2023</v>
          </cell>
          <cell r="CP4"/>
          <cell r="CQ4">
            <v>2019</v>
          </cell>
          <cell r="CR4">
            <v>2020</v>
          </cell>
          <cell r="CS4">
            <v>2021</v>
          </cell>
          <cell r="CT4">
            <v>2022</v>
          </cell>
          <cell r="CU4">
            <v>2023</v>
          </cell>
          <cell r="CV4">
            <v>2019</v>
          </cell>
          <cell r="CW4" t="str">
            <v>ontwikkeling raadsleden18</v>
          </cell>
          <cell r="CX4">
            <v>2018</v>
          </cell>
          <cell r="CY4"/>
          <cell r="CZ4" t="str">
            <v>benadering dementie18</v>
          </cell>
          <cell r="DA4" t="str">
            <v>Weerbaar bestuur18</v>
          </cell>
          <cell r="DB4" t="str">
            <v>in een AZC1923</v>
          </cell>
          <cell r="DC4" t="str">
            <v>Clientondersteuning18</v>
          </cell>
          <cell r="DD4" t="str">
            <v>Meer Venlo18</v>
          </cell>
          <cell r="DE4" t="str">
            <v>Meer Venlo19</v>
          </cell>
          <cell r="DF4" t="str">
            <v>Ternaard18</v>
          </cell>
          <cell r="DG4" t="str">
            <v>asielzoekers18</v>
          </cell>
          <cell r="DH4" t="str">
            <v>Eindhoven18</v>
          </cell>
          <cell r="DI4" t="str">
            <v>Zevenbergen18</v>
          </cell>
          <cell r="DJ4" t="str">
            <v>gezondheidsachterstanden18</v>
          </cell>
          <cell r="DK4" t="str">
            <v>gezondheidsachterstanden19</v>
          </cell>
          <cell r="DL4" t="str">
            <v>gezondheidsachterstanden20</v>
          </cell>
          <cell r="DM4" t="str">
            <v>Sociaal Domein Jeugd18</v>
          </cell>
          <cell r="DN4" t="str">
            <v>Sociaal Domein Jeugd19</v>
          </cell>
          <cell r="DO4" t="str">
            <v>Sociaal Domein Jeugd20</v>
          </cell>
          <cell r="DP4" t="str">
            <v>tegen eenzaamheid18</v>
          </cell>
        </row>
        <row r="5">
          <cell r="A5">
            <v>3</v>
          </cell>
          <cell r="B5" t="str">
            <v>Appingedam</v>
          </cell>
          <cell r="C5">
            <v>1</v>
          </cell>
          <cell r="D5">
            <v>45412</v>
          </cell>
          <cell r="E5">
            <v>22706</v>
          </cell>
          <cell r="F5">
            <v>0</v>
          </cell>
          <cell r="G5">
            <v>0</v>
          </cell>
          <cell r="H5">
            <v>0</v>
          </cell>
          <cell r="I5">
            <v>0</v>
          </cell>
          <cell r="J5"/>
          <cell r="K5">
            <v>0</v>
          </cell>
          <cell r="L5">
            <v>80540</v>
          </cell>
          <cell r="M5">
            <v>92706</v>
          </cell>
          <cell r="N5">
            <v>0</v>
          </cell>
          <cell r="O5">
            <v>0</v>
          </cell>
          <cell r="P5">
            <v>0</v>
          </cell>
          <cell r="Q5">
            <v>0</v>
          </cell>
          <cell r="R5">
            <v>0</v>
          </cell>
          <cell r="S5">
            <v>0</v>
          </cell>
          <cell r="T5">
            <v>0</v>
          </cell>
          <cell r="U5">
            <v>0</v>
          </cell>
          <cell r="V5">
            <v>6000</v>
          </cell>
          <cell r="W5">
            <v>43346</v>
          </cell>
          <cell r="X5">
            <v>0</v>
          </cell>
          <cell r="Y5"/>
          <cell r="Z5">
            <v>0</v>
          </cell>
          <cell r="AA5">
            <v>0</v>
          </cell>
          <cell r="AB5">
            <v>0</v>
          </cell>
          <cell r="AC5"/>
          <cell r="AD5">
            <v>46934</v>
          </cell>
          <cell r="AE5">
            <v>0</v>
          </cell>
          <cell r="AF5">
            <v>0</v>
          </cell>
          <cell r="AG5">
            <v>0</v>
          </cell>
          <cell r="AH5">
            <v>0</v>
          </cell>
          <cell r="AI5">
            <v>0</v>
          </cell>
          <cell r="AJ5">
            <v>0</v>
          </cell>
          <cell r="AK5">
            <v>0</v>
          </cell>
          <cell r="AL5"/>
          <cell r="AM5">
            <v>0</v>
          </cell>
          <cell r="AN5">
            <v>0</v>
          </cell>
          <cell r="AO5">
            <v>0</v>
          </cell>
          <cell r="AP5">
            <v>0</v>
          </cell>
          <cell r="AQ5">
            <v>0</v>
          </cell>
          <cell r="AR5">
            <v>0</v>
          </cell>
          <cell r="AS5">
            <v>0</v>
          </cell>
          <cell r="AT5">
            <v>0</v>
          </cell>
          <cell r="AU5">
            <v>2370</v>
          </cell>
          <cell r="AV5">
            <v>0</v>
          </cell>
          <cell r="AW5">
            <v>0</v>
          </cell>
          <cell r="AX5">
            <v>0</v>
          </cell>
          <cell r="AY5"/>
          <cell r="AZ5"/>
          <cell r="BA5">
            <v>0</v>
          </cell>
          <cell r="BB5"/>
          <cell r="BC5">
            <v>0</v>
          </cell>
          <cell r="BD5">
            <v>4202</v>
          </cell>
          <cell r="BE5"/>
          <cell r="BF5">
            <v>905555</v>
          </cell>
          <cell r="BG5">
            <v>2678933</v>
          </cell>
          <cell r="BH5">
            <v>905555</v>
          </cell>
          <cell r="BI5">
            <v>27506</v>
          </cell>
          <cell r="BJ5">
            <v>22641</v>
          </cell>
          <cell r="BK5">
            <v>22641</v>
          </cell>
          <cell r="BL5">
            <v>0</v>
          </cell>
          <cell r="BM5">
            <v>0</v>
          </cell>
          <cell r="BN5">
            <v>0</v>
          </cell>
          <cell r="BO5">
            <v>38428</v>
          </cell>
          <cell r="BP5">
            <v>14232.6</v>
          </cell>
          <cell r="BQ5">
            <v>25639.534883720899</v>
          </cell>
          <cell r="BR5">
            <v>0</v>
          </cell>
          <cell r="BS5">
            <v>0</v>
          </cell>
          <cell r="BT5">
            <v>21308</v>
          </cell>
          <cell r="BU5"/>
          <cell r="BV5"/>
          <cell r="BW5"/>
          <cell r="BX5"/>
          <cell r="BY5">
            <v>0</v>
          </cell>
          <cell r="BZ5">
            <v>0</v>
          </cell>
          <cell r="CA5">
            <v>0</v>
          </cell>
          <cell r="CB5">
            <v>0</v>
          </cell>
          <cell r="CC5">
            <v>1457143</v>
          </cell>
          <cell r="CD5">
            <v>11369393</v>
          </cell>
          <cell r="CE5">
            <v>668390</v>
          </cell>
          <cell r="CF5">
            <v>0</v>
          </cell>
          <cell r="CG5">
            <v>668390</v>
          </cell>
          <cell r="CH5">
            <v>668390</v>
          </cell>
          <cell r="CI5">
            <v>668390</v>
          </cell>
          <cell r="CJ5">
            <v>668390</v>
          </cell>
          <cell r="CK5">
            <v>0</v>
          </cell>
          <cell r="CL5">
            <v>0</v>
          </cell>
          <cell r="CM5">
            <v>0</v>
          </cell>
          <cell r="CN5">
            <v>0</v>
          </cell>
          <cell r="CO5">
            <v>0</v>
          </cell>
          <cell r="CP5">
            <v>-2761</v>
          </cell>
          <cell r="CQ5">
            <v>4317229</v>
          </cell>
          <cell r="CR5">
            <v>4056821</v>
          </cell>
          <cell r="CS5">
            <v>3862505</v>
          </cell>
          <cell r="CT5">
            <v>3699277</v>
          </cell>
          <cell r="CU5">
            <v>3581905</v>
          </cell>
          <cell r="CV5">
            <v>2584</v>
          </cell>
          <cell r="CW5">
            <v>0</v>
          </cell>
          <cell r="CX5">
            <v>0</v>
          </cell>
          <cell r="CY5">
            <v>0</v>
          </cell>
          <cell r="CZ5">
            <v>0</v>
          </cell>
          <cell r="DA5">
            <v>0</v>
          </cell>
          <cell r="DB5"/>
          <cell r="DC5">
            <v>0</v>
          </cell>
          <cell r="DD5">
            <v>0</v>
          </cell>
          <cell r="DE5">
            <v>0</v>
          </cell>
          <cell r="DF5">
            <v>0</v>
          </cell>
          <cell r="DG5">
            <v>0</v>
          </cell>
          <cell r="DH5">
            <v>0</v>
          </cell>
          <cell r="DI5">
            <v>0</v>
          </cell>
          <cell r="DJ5">
            <v>0</v>
          </cell>
          <cell r="DK5">
            <v>0</v>
          </cell>
          <cell r="DL5">
            <v>0</v>
          </cell>
          <cell r="DM5"/>
          <cell r="DN5"/>
          <cell r="DO5"/>
          <cell r="DP5"/>
        </row>
        <row r="6">
          <cell r="A6">
            <v>5</v>
          </cell>
          <cell r="B6" t="str">
            <v>Bedum</v>
          </cell>
          <cell r="C6">
            <v>1</v>
          </cell>
          <cell r="D6">
            <v>8419</v>
          </cell>
          <cell r="E6">
            <v>4210</v>
          </cell>
          <cell r="F6">
            <v>0</v>
          </cell>
          <cell r="G6">
            <v>0</v>
          </cell>
          <cell r="H6">
            <v>-19362</v>
          </cell>
          <cell r="I6">
            <v>-14602</v>
          </cell>
          <cell r="J6"/>
          <cell r="K6">
            <v>0</v>
          </cell>
          <cell r="L6">
            <v>45960</v>
          </cell>
          <cell r="M6">
            <v>42496</v>
          </cell>
          <cell r="N6">
            <v>0</v>
          </cell>
          <cell r="O6">
            <v>0</v>
          </cell>
          <cell r="P6">
            <v>0</v>
          </cell>
          <cell r="Q6">
            <v>0</v>
          </cell>
          <cell r="R6">
            <v>0</v>
          </cell>
          <cell r="S6">
            <v>0</v>
          </cell>
          <cell r="T6">
            <v>0</v>
          </cell>
          <cell r="U6">
            <v>0</v>
          </cell>
          <cell r="V6">
            <v>0</v>
          </cell>
          <cell r="W6">
            <v>46456</v>
          </cell>
          <cell r="X6">
            <v>0</v>
          </cell>
          <cell r="Y6"/>
          <cell r="Z6">
            <v>0</v>
          </cell>
          <cell r="AA6">
            <v>0</v>
          </cell>
          <cell r="AB6">
            <v>0</v>
          </cell>
          <cell r="AC6"/>
          <cell r="AD6">
            <v>0</v>
          </cell>
          <cell r="AE6">
            <v>0</v>
          </cell>
          <cell r="AF6">
            <v>0</v>
          </cell>
          <cell r="AG6">
            <v>0</v>
          </cell>
          <cell r="AH6">
            <v>0</v>
          </cell>
          <cell r="AI6">
            <v>0</v>
          </cell>
          <cell r="AJ6">
            <v>0</v>
          </cell>
          <cell r="AK6">
            <v>0</v>
          </cell>
          <cell r="AL6"/>
          <cell r="AM6">
            <v>0</v>
          </cell>
          <cell r="AN6">
            <v>0</v>
          </cell>
          <cell r="AO6">
            <v>0</v>
          </cell>
          <cell r="AP6">
            <v>0</v>
          </cell>
          <cell r="AQ6">
            <v>0</v>
          </cell>
          <cell r="AR6">
            <v>0</v>
          </cell>
          <cell r="AS6">
            <v>0</v>
          </cell>
          <cell r="AT6">
            <v>0</v>
          </cell>
          <cell r="AU6">
            <v>4740</v>
          </cell>
          <cell r="AV6">
            <v>0</v>
          </cell>
          <cell r="AW6">
            <v>0</v>
          </cell>
          <cell r="AX6">
            <v>0</v>
          </cell>
          <cell r="AY6"/>
          <cell r="AZ6"/>
          <cell r="BA6">
            <v>0</v>
          </cell>
          <cell r="BB6"/>
          <cell r="BC6">
            <v>0</v>
          </cell>
          <cell r="BD6">
            <v>18385</v>
          </cell>
          <cell r="BE6"/>
          <cell r="BF6">
            <v>129376</v>
          </cell>
          <cell r="BG6">
            <v>382738</v>
          </cell>
          <cell r="BH6">
            <v>129376</v>
          </cell>
          <cell r="BI6">
            <v>14534</v>
          </cell>
          <cell r="BJ6">
            <v>11964</v>
          </cell>
          <cell r="BK6">
            <v>11964</v>
          </cell>
          <cell r="BL6">
            <v>0</v>
          </cell>
          <cell r="BM6">
            <v>0</v>
          </cell>
          <cell r="BN6">
            <v>0</v>
          </cell>
          <cell r="BO6">
            <v>10215</v>
          </cell>
          <cell r="BP6">
            <v>7907</v>
          </cell>
          <cell r="BQ6">
            <v>14244.186046511601</v>
          </cell>
          <cell r="BR6">
            <v>0</v>
          </cell>
          <cell r="BS6">
            <v>0</v>
          </cell>
          <cell r="BT6">
            <v>17825</v>
          </cell>
          <cell r="BU6"/>
          <cell r="BV6"/>
          <cell r="BW6"/>
          <cell r="BX6"/>
          <cell r="BY6">
            <v>0</v>
          </cell>
          <cell r="BZ6">
            <v>0</v>
          </cell>
          <cell r="CA6">
            <v>0</v>
          </cell>
          <cell r="CB6">
            <v>0</v>
          </cell>
          <cell r="CC6">
            <v>892783</v>
          </cell>
          <cell r="CD6">
            <v>5683264</v>
          </cell>
          <cell r="CE6">
            <v>577105</v>
          </cell>
          <cell r="CF6">
            <v>-19410</v>
          </cell>
          <cell r="CG6">
            <v>577105</v>
          </cell>
          <cell r="CH6">
            <v>577105</v>
          </cell>
          <cell r="CI6">
            <v>577105</v>
          </cell>
          <cell r="CJ6">
            <v>577105</v>
          </cell>
          <cell r="CK6">
            <v>0</v>
          </cell>
          <cell r="CL6">
            <v>0</v>
          </cell>
          <cell r="CM6">
            <v>0</v>
          </cell>
          <cell r="CN6">
            <v>0</v>
          </cell>
          <cell r="CO6">
            <v>0</v>
          </cell>
          <cell r="CP6">
            <v>-2402</v>
          </cell>
          <cell r="CQ6">
            <v>1120824</v>
          </cell>
          <cell r="CR6">
            <v>1082421</v>
          </cell>
          <cell r="CS6">
            <v>1062335</v>
          </cell>
          <cell r="CT6">
            <v>1022748</v>
          </cell>
          <cell r="CU6">
            <v>1023764</v>
          </cell>
          <cell r="CV6">
            <v>21272</v>
          </cell>
          <cell r="CW6">
            <v>0</v>
          </cell>
          <cell r="CX6">
            <v>0</v>
          </cell>
          <cell r="CY6">
            <v>0</v>
          </cell>
          <cell r="CZ6">
            <v>0</v>
          </cell>
          <cell r="DA6">
            <v>0</v>
          </cell>
          <cell r="DB6"/>
          <cell r="DC6">
            <v>0</v>
          </cell>
          <cell r="DD6">
            <v>0</v>
          </cell>
          <cell r="DE6">
            <v>0</v>
          </cell>
          <cell r="DF6">
            <v>0</v>
          </cell>
          <cell r="DG6">
            <v>0</v>
          </cell>
          <cell r="DH6">
            <v>0</v>
          </cell>
          <cell r="DI6">
            <v>0</v>
          </cell>
          <cell r="DJ6">
            <v>0</v>
          </cell>
          <cell r="DK6">
            <v>0</v>
          </cell>
          <cell r="DL6">
            <v>0</v>
          </cell>
          <cell r="DM6"/>
          <cell r="DN6"/>
          <cell r="DO6"/>
          <cell r="DP6"/>
        </row>
        <row r="7">
          <cell r="A7">
            <v>1663</v>
          </cell>
          <cell r="B7" t="str">
            <v>De Marne</v>
          </cell>
          <cell r="C7">
            <v>1</v>
          </cell>
          <cell r="D7">
            <v>-367</v>
          </cell>
          <cell r="E7">
            <v>-184</v>
          </cell>
          <cell r="F7">
            <v>0</v>
          </cell>
          <cell r="G7">
            <v>0</v>
          </cell>
          <cell r="H7">
            <v>0</v>
          </cell>
          <cell r="I7">
            <v>-2283</v>
          </cell>
          <cell r="J7"/>
          <cell r="K7">
            <v>0</v>
          </cell>
          <cell r="L7">
            <v>50278</v>
          </cell>
          <cell r="M7">
            <v>47948</v>
          </cell>
          <cell r="N7">
            <v>0</v>
          </cell>
          <cell r="O7">
            <v>0</v>
          </cell>
          <cell r="P7">
            <v>0</v>
          </cell>
          <cell r="Q7">
            <v>0</v>
          </cell>
          <cell r="R7">
            <v>236639</v>
          </cell>
          <cell r="S7">
            <v>0</v>
          </cell>
          <cell r="T7">
            <v>0</v>
          </cell>
          <cell r="U7">
            <v>0</v>
          </cell>
          <cell r="V7">
            <v>0</v>
          </cell>
          <cell r="W7">
            <v>41597</v>
          </cell>
          <cell r="X7">
            <v>0</v>
          </cell>
          <cell r="Y7"/>
          <cell r="Z7">
            <v>0</v>
          </cell>
          <cell r="AA7">
            <v>0</v>
          </cell>
          <cell r="AB7">
            <v>0</v>
          </cell>
          <cell r="AC7"/>
          <cell r="AD7">
            <v>20533</v>
          </cell>
          <cell r="AE7">
            <v>0</v>
          </cell>
          <cell r="AF7">
            <v>0</v>
          </cell>
          <cell r="AG7">
            <v>0</v>
          </cell>
          <cell r="AH7">
            <v>0</v>
          </cell>
          <cell r="AI7">
            <v>0</v>
          </cell>
          <cell r="AJ7">
            <v>0</v>
          </cell>
          <cell r="AK7">
            <v>0</v>
          </cell>
          <cell r="AL7"/>
          <cell r="AM7">
            <v>0</v>
          </cell>
          <cell r="AN7">
            <v>0</v>
          </cell>
          <cell r="AO7">
            <v>0</v>
          </cell>
          <cell r="AP7">
            <v>0</v>
          </cell>
          <cell r="AQ7">
            <v>0</v>
          </cell>
          <cell r="AR7">
            <v>0</v>
          </cell>
          <cell r="AS7">
            <v>0</v>
          </cell>
          <cell r="AT7">
            <v>0</v>
          </cell>
          <cell r="AU7">
            <v>0</v>
          </cell>
          <cell r="AV7">
            <v>0</v>
          </cell>
          <cell r="AW7">
            <v>0</v>
          </cell>
          <cell r="AX7">
            <v>0</v>
          </cell>
          <cell r="AY7"/>
          <cell r="AZ7"/>
          <cell r="BA7">
            <v>0</v>
          </cell>
          <cell r="BB7"/>
          <cell r="BC7">
            <v>0</v>
          </cell>
          <cell r="BD7">
            <v>17699</v>
          </cell>
          <cell r="BE7"/>
          <cell r="BF7">
            <v>0</v>
          </cell>
          <cell r="BG7">
            <v>0</v>
          </cell>
          <cell r="BH7">
            <v>0</v>
          </cell>
          <cell r="BI7">
            <v>20227</v>
          </cell>
          <cell r="BJ7">
            <v>16650</v>
          </cell>
          <cell r="BK7">
            <v>16650</v>
          </cell>
          <cell r="BL7">
            <v>0</v>
          </cell>
          <cell r="BM7">
            <v>0</v>
          </cell>
          <cell r="BN7">
            <v>0</v>
          </cell>
          <cell r="BO7">
            <v>92908</v>
          </cell>
          <cell r="BP7">
            <v>0</v>
          </cell>
          <cell r="BQ7">
            <v>0</v>
          </cell>
          <cell r="BR7">
            <v>0</v>
          </cell>
          <cell r="BS7">
            <v>0</v>
          </cell>
          <cell r="BT7">
            <v>30937</v>
          </cell>
          <cell r="BU7"/>
          <cell r="BV7"/>
          <cell r="BW7"/>
          <cell r="BX7"/>
          <cell r="BY7">
            <v>0</v>
          </cell>
          <cell r="BZ7">
            <v>0</v>
          </cell>
          <cell r="CA7">
            <v>0</v>
          </cell>
          <cell r="CB7">
            <v>0</v>
          </cell>
          <cell r="CC7">
            <v>1038226</v>
          </cell>
          <cell r="CD7">
            <v>6038274</v>
          </cell>
          <cell r="CE7">
            <v>507157</v>
          </cell>
          <cell r="CF7">
            <v>0</v>
          </cell>
          <cell r="CG7">
            <v>507157</v>
          </cell>
          <cell r="CH7">
            <v>507157</v>
          </cell>
          <cell r="CI7">
            <v>507157</v>
          </cell>
          <cell r="CJ7">
            <v>507157</v>
          </cell>
          <cell r="CK7">
            <v>0</v>
          </cell>
          <cell r="CL7">
            <v>0</v>
          </cell>
          <cell r="CM7">
            <v>0</v>
          </cell>
          <cell r="CN7">
            <v>0</v>
          </cell>
          <cell r="CO7">
            <v>0</v>
          </cell>
          <cell r="CP7">
            <v>-829</v>
          </cell>
          <cell r="CQ7">
            <v>1372754</v>
          </cell>
          <cell r="CR7">
            <v>1309655</v>
          </cell>
          <cell r="CS7">
            <v>1291215</v>
          </cell>
          <cell r="CT7">
            <v>1253458</v>
          </cell>
          <cell r="CU7">
            <v>1211130</v>
          </cell>
          <cell r="CV7">
            <v>-3691</v>
          </cell>
          <cell r="CW7">
            <v>0</v>
          </cell>
          <cell r="CX7">
            <v>0</v>
          </cell>
          <cell r="CY7">
            <v>0</v>
          </cell>
          <cell r="CZ7">
            <v>0</v>
          </cell>
          <cell r="DA7">
            <v>0</v>
          </cell>
          <cell r="DB7"/>
          <cell r="DC7">
            <v>0</v>
          </cell>
          <cell r="DD7">
            <v>0</v>
          </cell>
          <cell r="DE7">
            <v>0</v>
          </cell>
          <cell r="DF7">
            <v>0</v>
          </cell>
          <cell r="DG7">
            <v>0</v>
          </cell>
          <cell r="DH7">
            <v>0</v>
          </cell>
          <cell r="DI7">
            <v>0</v>
          </cell>
          <cell r="DJ7">
            <v>0</v>
          </cell>
          <cell r="DK7">
            <v>0</v>
          </cell>
          <cell r="DL7">
            <v>0</v>
          </cell>
          <cell r="DM7"/>
          <cell r="DN7"/>
          <cell r="DO7"/>
          <cell r="DP7"/>
        </row>
        <row r="8">
          <cell r="A8">
            <v>10</v>
          </cell>
          <cell r="B8" t="str">
            <v>Delfzijl</v>
          </cell>
          <cell r="C8">
            <v>1</v>
          </cell>
          <cell r="D8">
            <v>76698</v>
          </cell>
          <cell r="E8">
            <v>38349</v>
          </cell>
          <cell r="F8">
            <v>0</v>
          </cell>
          <cell r="G8">
            <v>183633</v>
          </cell>
          <cell r="H8">
            <v>0</v>
          </cell>
          <cell r="I8">
            <v>0</v>
          </cell>
          <cell r="J8"/>
          <cell r="K8">
            <v>0</v>
          </cell>
          <cell r="L8">
            <v>164263</v>
          </cell>
          <cell r="M8">
            <v>175984</v>
          </cell>
          <cell r="N8">
            <v>0</v>
          </cell>
          <cell r="O8">
            <v>0</v>
          </cell>
          <cell r="P8">
            <v>0</v>
          </cell>
          <cell r="Q8">
            <v>0</v>
          </cell>
          <cell r="R8">
            <v>1509824</v>
          </cell>
          <cell r="S8">
            <v>0</v>
          </cell>
          <cell r="T8">
            <v>0</v>
          </cell>
          <cell r="U8">
            <v>0</v>
          </cell>
          <cell r="V8">
            <v>3000</v>
          </cell>
          <cell r="W8">
            <v>75764</v>
          </cell>
          <cell r="X8">
            <v>0</v>
          </cell>
          <cell r="Y8"/>
          <cell r="Z8">
            <v>0</v>
          </cell>
          <cell r="AA8">
            <v>0</v>
          </cell>
          <cell r="AB8">
            <v>0</v>
          </cell>
          <cell r="AC8"/>
          <cell r="AD8">
            <v>78224</v>
          </cell>
          <cell r="AE8">
            <v>0</v>
          </cell>
          <cell r="AF8">
            <v>0</v>
          </cell>
          <cell r="AG8">
            <v>0</v>
          </cell>
          <cell r="AH8">
            <v>0</v>
          </cell>
          <cell r="AI8">
            <v>0</v>
          </cell>
          <cell r="AJ8">
            <v>0</v>
          </cell>
          <cell r="AK8">
            <v>0</v>
          </cell>
          <cell r="AL8"/>
          <cell r="AM8">
            <v>0</v>
          </cell>
          <cell r="AN8">
            <v>0</v>
          </cell>
          <cell r="AO8">
            <v>0</v>
          </cell>
          <cell r="AP8">
            <v>0</v>
          </cell>
          <cell r="AQ8">
            <v>0</v>
          </cell>
          <cell r="AR8">
            <v>0</v>
          </cell>
          <cell r="AS8">
            <v>0</v>
          </cell>
          <cell r="AT8">
            <v>0</v>
          </cell>
          <cell r="AU8">
            <v>2370</v>
          </cell>
          <cell r="AV8">
            <v>0</v>
          </cell>
          <cell r="AW8">
            <v>0</v>
          </cell>
          <cell r="AX8">
            <v>0</v>
          </cell>
          <cell r="AY8"/>
          <cell r="AZ8"/>
          <cell r="BA8">
            <v>0</v>
          </cell>
          <cell r="BB8"/>
          <cell r="BC8">
            <v>0</v>
          </cell>
          <cell r="BD8">
            <v>8764</v>
          </cell>
          <cell r="BE8"/>
          <cell r="BF8">
            <v>463473</v>
          </cell>
          <cell r="BG8">
            <v>1371107</v>
          </cell>
          <cell r="BH8">
            <v>463473</v>
          </cell>
          <cell r="BI8">
            <v>52290</v>
          </cell>
          <cell r="BJ8">
            <v>43042</v>
          </cell>
          <cell r="BK8">
            <v>43042</v>
          </cell>
          <cell r="BL8">
            <v>0</v>
          </cell>
          <cell r="BM8">
            <v>0</v>
          </cell>
          <cell r="BN8">
            <v>0</v>
          </cell>
          <cell r="BO8">
            <v>365794</v>
          </cell>
          <cell r="BP8">
            <v>18976.8</v>
          </cell>
          <cell r="BQ8">
            <v>34186.046511627901</v>
          </cell>
          <cell r="BR8">
            <v>0</v>
          </cell>
          <cell r="BS8">
            <v>0</v>
          </cell>
          <cell r="BT8">
            <v>53659</v>
          </cell>
          <cell r="BU8"/>
          <cell r="BV8"/>
          <cell r="BW8"/>
          <cell r="BX8"/>
          <cell r="BY8">
            <v>0</v>
          </cell>
          <cell r="BZ8">
            <v>0</v>
          </cell>
          <cell r="CA8">
            <v>0</v>
          </cell>
          <cell r="CB8">
            <v>0</v>
          </cell>
          <cell r="CC8">
            <v>2934726</v>
          </cell>
          <cell r="CD8">
            <v>18344493</v>
          </cell>
          <cell r="CE8">
            <v>1815629</v>
          </cell>
          <cell r="CF8">
            <v>893162</v>
          </cell>
          <cell r="CG8">
            <v>1815629</v>
          </cell>
          <cell r="CH8">
            <v>1815629</v>
          </cell>
          <cell r="CI8">
            <v>1815629</v>
          </cell>
          <cell r="CJ8">
            <v>1815629</v>
          </cell>
          <cell r="CK8">
            <v>0</v>
          </cell>
          <cell r="CL8">
            <v>0</v>
          </cell>
          <cell r="CM8">
            <v>0</v>
          </cell>
          <cell r="CN8">
            <v>0</v>
          </cell>
          <cell r="CO8">
            <v>0</v>
          </cell>
          <cell r="CP8">
            <v>-6451</v>
          </cell>
          <cell r="CQ8">
            <v>4450688</v>
          </cell>
          <cell r="CR8">
            <v>4295584</v>
          </cell>
          <cell r="CS8">
            <v>4221252</v>
          </cell>
          <cell r="CT8">
            <v>4096053</v>
          </cell>
          <cell r="CU8">
            <v>3928046</v>
          </cell>
          <cell r="CV8">
            <v>17840</v>
          </cell>
          <cell r="CW8">
            <v>0</v>
          </cell>
          <cell r="CX8">
            <v>0</v>
          </cell>
          <cell r="CY8">
            <v>0</v>
          </cell>
          <cell r="CZ8">
            <v>0</v>
          </cell>
          <cell r="DA8">
            <v>0</v>
          </cell>
          <cell r="DB8"/>
          <cell r="DC8">
            <v>0</v>
          </cell>
          <cell r="DD8">
            <v>0</v>
          </cell>
          <cell r="DE8">
            <v>0</v>
          </cell>
          <cell r="DF8">
            <v>0</v>
          </cell>
          <cell r="DG8">
            <v>0</v>
          </cell>
          <cell r="DH8">
            <v>0</v>
          </cell>
          <cell r="DI8">
            <v>0</v>
          </cell>
          <cell r="DJ8">
            <v>0</v>
          </cell>
          <cell r="DK8">
            <v>0</v>
          </cell>
          <cell r="DL8">
            <v>0</v>
          </cell>
          <cell r="DM8"/>
          <cell r="DN8"/>
          <cell r="DO8"/>
          <cell r="DP8"/>
        </row>
        <row r="9">
          <cell r="A9">
            <v>1651</v>
          </cell>
          <cell r="B9" t="str">
            <v>Eemsmond</v>
          </cell>
          <cell r="C9">
            <v>1</v>
          </cell>
          <cell r="D9">
            <v>80285</v>
          </cell>
          <cell r="E9">
            <v>40143</v>
          </cell>
          <cell r="F9">
            <v>0</v>
          </cell>
          <cell r="G9">
            <v>0</v>
          </cell>
          <cell r="H9">
            <v>0</v>
          </cell>
          <cell r="I9">
            <v>0</v>
          </cell>
          <cell r="J9"/>
          <cell r="K9">
            <v>0</v>
          </cell>
          <cell r="L9">
            <v>85732</v>
          </cell>
          <cell r="M9">
            <v>87825</v>
          </cell>
          <cell r="N9">
            <v>0</v>
          </cell>
          <cell r="O9">
            <v>0</v>
          </cell>
          <cell r="P9">
            <v>0</v>
          </cell>
          <cell r="Q9">
            <v>0</v>
          </cell>
          <cell r="R9">
            <v>0</v>
          </cell>
          <cell r="S9">
            <v>0</v>
          </cell>
          <cell r="T9">
            <v>0</v>
          </cell>
          <cell r="U9">
            <v>0</v>
          </cell>
          <cell r="V9">
            <v>9000</v>
          </cell>
          <cell r="W9">
            <v>41215</v>
          </cell>
          <cell r="X9">
            <v>0</v>
          </cell>
          <cell r="Y9"/>
          <cell r="Z9">
            <v>0</v>
          </cell>
          <cell r="AA9">
            <v>0</v>
          </cell>
          <cell r="AB9">
            <v>0</v>
          </cell>
          <cell r="AC9"/>
          <cell r="AD9">
            <v>59645</v>
          </cell>
          <cell r="AE9">
            <v>0</v>
          </cell>
          <cell r="AF9">
            <v>0</v>
          </cell>
          <cell r="AG9">
            <v>0</v>
          </cell>
          <cell r="AH9">
            <v>0</v>
          </cell>
          <cell r="AI9">
            <v>0</v>
          </cell>
          <cell r="AJ9">
            <v>0</v>
          </cell>
          <cell r="AK9">
            <v>0</v>
          </cell>
          <cell r="AL9"/>
          <cell r="AM9">
            <v>0</v>
          </cell>
          <cell r="AN9">
            <v>0</v>
          </cell>
          <cell r="AO9">
            <v>0</v>
          </cell>
          <cell r="AP9">
            <v>0</v>
          </cell>
          <cell r="AQ9">
            <v>0</v>
          </cell>
          <cell r="AR9">
            <v>0</v>
          </cell>
          <cell r="AS9">
            <v>0</v>
          </cell>
          <cell r="AT9">
            <v>0</v>
          </cell>
          <cell r="AU9">
            <v>0</v>
          </cell>
          <cell r="AV9">
            <v>0</v>
          </cell>
          <cell r="AW9">
            <v>0</v>
          </cell>
          <cell r="AX9">
            <v>0</v>
          </cell>
          <cell r="AY9"/>
          <cell r="AZ9"/>
          <cell r="BA9">
            <v>0</v>
          </cell>
          <cell r="BB9"/>
          <cell r="BC9">
            <v>0</v>
          </cell>
          <cell r="BD9">
            <v>27467</v>
          </cell>
          <cell r="BE9"/>
          <cell r="BF9">
            <v>288144</v>
          </cell>
          <cell r="BG9">
            <v>852426</v>
          </cell>
          <cell r="BH9">
            <v>288144</v>
          </cell>
          <cell r="BI9">
            <v>32393</v>
          </cell>
          <cell r="BJ9">
            <v>26664</v>
          </cell>
          <cell r="BK9">
            <v>26664</v>
          </cell>
          <cell r="BL9">
            <v>0</v>
          </cell>
          <cell r="BM9">
            <v>0</v>
          </cell>
          <cell r="BN9">
            <v>0</v>
          </cell>
          <cell r="BO9">
            <v>207705</v>
          </cell>
          <cell r="BP9">
            <v>1581.4</v>
          </cell>
          <cell r="BQ9">
            <v>2848.8372093023299</v>
          </cell>
          <cell r="BR9">
            <v>0</v>
          </cell>
          <cell r="BS9">
            <v>0</v>
          </cell>
          <cell r="BT9">
            <v>37939</v>
          </cell>
          <cell r="BU9"/>
          <cell r="BV9"/>
          <cell r="BW9"/>
          <cell r="BX9"/>
          <cell r="BY9">
            <v>0</v>
          </cell>
          <cell r="BZ9">
            <v>0</v>
          </cell>
          <cell r="CA9">
            <v>0</v>
          </cell>
          <cell r="CB9">
            <v>0</v>
          </cell>
          <cell r="CC9">
            <v>1645301</v>
          </cell>
          <cell r="CD9">
            <v>13172568</v>
          </cell>
          <cell r="CE9">
            <v>1229723</v>
          </cell>
          <cell r="CF9">
            <v>-27619</v>
          </cell>
          <cell r="CG9">
            <v>1229723</v>
          </cell>
          <cell r="CH9">
            <v>1229723</v>
          </cell>
          <cell r="CI9">
            <v>1229723</v>
          </cell>
          <cell r="CJ9">
            <v>1229723</v>
          </cell>
          <cell r="CK9">
            <v>0</v>
          </cell>
          <cell r="CL9">
            <v>0</v>
          </cell>
          <cell r="CM9">
            <v>0</v>
          </cell>
          <cell r="CN9">
            <v>0</v>
          </cell>
          <cell r="CO9">
            <v>0</v>
          </cell>
          <cell r="CP9">
            <v>0</v>
          </cell>
          <cell r="CQ9">
            <v>4284927</v>
          </cell>
          <cell r="CR9">
            <v>4009189</v>
          </cell>
          <cell r="CS9">
            <v>3837591</v>
          </cell>
          <cell r="CT9">
            <v>3632262</v>
          </cell>
          <cell r="CU9">
            <v>3504411</v>
          </cell>
          <cell r="CV9">
            <v>-14266</v>
          </cell>
          <cell r="CW9">
            <v>0</v>
          </cell>
          <cell r="CX9">
            <v>0</v>
          </cell>
          <cell r="CY9">
            <v>0</v>
          </cell>
          <cell r="CZ9">
            <v>0</v>
          </cell>
          <cell r="DA9">
            <v>0</v>
          </cell>
          <cell r="DB9"/>
          <cell r="DC9">
            <v>0</v>
          </cell>
          <cell r="DD9">
            <v>0</v>
          </cell>
          <cell r="DE9">
            <v>0</v>
          </cell>
          <cell r="DF9">
            <v>0</v>
          </cell>
          <cell r="DG9">
            <v>0</v>
          </cell>
          <cell r="DH9">
            <v>0</v>
          </cell>
          <cell r="DI9">
            <v>0</v>
          </cell>
          <cell r="DJ9">
            <v>0</v>
          </cell>
          <cell r="DK9">
            <v>0</v>
          </cell>
          <cell r="DL9">
            <v>0</v>
          </cell>
          <cell r="DM9"/>
          <cell r="DN9"/>
          <cell r="DO9"/>
          <cell r="DP9"/>
        </row>
        <row r="10">
          <cell r="A10">
            <v>14</v>
          </cell>
          <cell r="B10" t="str">
            <v>Groningen</v>
          </cell>
          <cell r="C10">
            <v>1</v>
          </cell>
          <cell r="D10">
            <v>509335</v>
          </cell>
          <cell r="E10">
            <v>254668</v>
          </cell>
          <cell r="F10">
            <v>0</v>
          </cell>
          <cell r="G10">
            <v>176531</v>
          </cell>
          <cell r="H10">
            <v>-180061</v>
          </cell>
          <cell r="I10">
            <v>-81413</v>
          </cell>
          <cell r="J10"/>
          <cell r="K10">
            <v>7500</v>
          </cell>
          <cell r="L10">
            <v>1125576</v>
          </cell>
          <cell r="M10">
            <v>1209187</v>
          </cell>
          <cell r="N10">
            <v>0</v>
          </cell>
          <cell r="O10">
            <v>0</v>
          </cell>
          <cell r="P10">
            <v>473748</v>
          </cell>
          <cell r="Q10">
            <v>0</v>
          </cell>
          <cell r="R10">
            <v>0</v>
          </cell>
          <cell r="S10">
            <v>795351</v>
          </cell>
          <cell r="T10">
            <v>795351</v>
          </cell>
          <cell r="U10">
            <v>795351</v>
          </cell>
          <cell r="V10">
            <v>100750</v>
          </cell>
          <cell r="W10">
            <v>505383</v>
          </cell>
          <cell r="X10">
            <v>0</v>
          </cell>
          <cell r="Y10"/>
          <cell r="Z10">
            <v>0</v>
          </cell>
          <cell r="AA10">
            <v>40000</v>
          </cell>
          <cell r="AB10">
            <v>0</v>
          </cell>
          <cell r="AC10"/>
          <cell r="AD10">
            <v>484988</v>
          </cell>
          <cell r="AE10">
            <v>0</v>
          </cell>
          <cell r="AF10">
            <v>0</v>
          </cell>
          <cell r="AG10">
            <v>0</v>
          </cell>
          <cell r="AH10">
            <v>0</v>
          </cell>
          <cell r="AI10">
            <v>297554</v>
          </cell>
          <cell r="AJ10">
            <v>0</v>
          </cell>
          <cell r="AK10">
            <v>553998</v>
          </cell>
          <cell r="AL10"/>
          <cell r="AM10">
            <v>0</v>
          </cell>
          <cell r="AN10">
            <v>0</v>
          </cell>
          <cell r="AO10">
            <v>0</v>
          </cell>
          <cell r="AP10">
            <v>0</v>
          </cell>
          <cell r="AQ10">
            <v>0</v>
          </cell>
          <cell r="AR10">
            <v>0</v>
          </cell>
          <cell r="AS10">
            <v>0</v>
          </cell>
          <cell r="AT10">
            <v>20000</v>
          </cell>
          <cell r="AU10">
            <v>18960</v>
          </cell>
          <cell r="AV10">
            <v>17835604.6787544</v>
          </cell>
          <cell r="AW10">
            <v>80000</v>
          </cell>
          <cell r="AX10">
            <v>0</v>
          </cell>
          <cell r="AY10"/>
          <cell r="AZ10"/>
          <cell r="BA10">
            <v>0</v>
          </cell>
          <cell r="BB10"/>
          <cell r="BC10">
            <v>0</v>
          </cell>
          <cell r="BD10">
            <v>355511</v>
          </cell>
          <cell r="BE10"/>
          <cell r="BF10">
            <v>0</v>
          </cell>
          <cell r="BG10">
            <v>0</v>
          </cell>
          <cell r="BH10">
            <v>0</v>
          </cell>
          <cell r="BI10">
            <v>441468</v>
          </cell>
          <cell r="BJ10">
            <v>363394</v>
          </cell>
          <cell r="BK10">
            <v>363394</v>
          </cell>
          <cell r="BL10">
            <v>0</v>
          </cell>
          <cell r="BM10">
            <v>0</v>
          </cell>
          <cell r="BN10">
            <v>265650</v>
          </cell>
          <cell r="BO10">
            <v>393034</v>
          </cell>
          <cell r="BP10">
            <v>83814.2</v>
          </cell>
          <cell r="BQ10">
            <v>150988.372093023</v>
          </cell>
          <cell r="BR10">
            <v>0</v>
          </cell>
          <cell r="BS10">
            <v>1900000</v>
          </cell>
          <cell r="BT10">
            <v>398639</v>
          </cell>
          <cell r="BU10"/>
          <cell r="BV10"/>
          <cell r="BW10"/>
          <cell r="BX10"/>
          <cell r="BY10">
            <v>4263706.2933300799</v>
          </cell>
          <cell r="BZ10">
            <v>4899369.3957027597</v>
          </cell>
          <cell r="CA10">
            <v>4953672.2737948997</v>
          </cell>
          <cell r="CB10">
            <v>5106998.0472315298</v>
          </cell>
          <cell r="CC10">
            <v>12350025</v>
          </cell>
          <cell r="CD10">
            <v>185000289</v>
          </cell>
          <cell r="CE10">
            <v>12277453</v>
          </cell>
          <cell r="CF10">
            <v>-194866</v>
          </cell>
          <cell r="CG10">
            <v>12277453</v>
          </cell>
          <cell r="CH10">
            <v>12277453</v>
          </cell>
          <cell r="CI10">
            <v>12277453</v>
          </cell>
          <cell r="CJ10">
            <v>12277453</v>
          </cell>
          <cell r="CK10">
            <v>70390479</v>
          </cell>
          <cell r="CL10">
            <v>70355150</v>
          </cell>
          <cell r="CM10">
            <v>70354578</v>
          </cell>
          <cell r="CN10">
            <v>70353322</v>
          </cell>
          <cell r="CO10">
            <v>70355063</v>
          </cell>
          <cell r="CP10">
            <v>0</v>
          </cell>
          <cell r="CQ10">
            <v>28694513</v>
          </cell>
          <cell r="CR10">
            <v>27294604</v>
          </cell>
          <cell r="CS10">
            <v>26494000</v>
          </cell>
          <cell r="CT10">
            <v>25827886</v>
          </cell>
          <cell r="CU10">
            <v>25008929</v>
          </cell>
          <cell r="CV10">
            <v>1809562</v>
          </cell>
          <cell r="CW10">
            <v>0</v>
          </cell>
          <cell r="CX10">
            <v>0</v>
          </cell>
          <cell r="CY10">
            <v>0</v>
          </cell>
          <cell r="CZ10">
            <v>0</v>
          </cell>
          <cell r="DA10">
            <v>0</v>
          </cell>
          <cell r="DB10"/>
          <cell r="DC10">
            <v>0</v>
          </cell>
          <cell r="DD10">
            <v>0</v>
          </cell>
          <cell r="DE10">
            <v>0</v>
          </cell>
          <cell r="DF10">
            <v>0</v>
          </cell>
          <cell r="DG10">
            <v>0</v>
          </cell>
          <cell r="DH10">
            <v>0</v>
          </cell>
          <cell r="DI10">
            <v>0</v>
          </cell>
          <cell r="DJ10">
            <v>0</v>
          </cell>
          <cell r="DK10">
            <v>0</v>
          </cell>
          <cell r="DL10">
            <v>0</v>
          </cell>
          <cell r="DM10"/>
          <cell r="DN10"/>
          <cell r="DO10"/>
          <cell r="DP10"/>
        </row>
        <row r="11">
          <cell r="A11">
            <v>15</v>
          </cell>
          <cell r="B11" t="str">
            <v>Grootegast</v>
          </cell>
          <cell r="C11">
            <v>1</v>
          </cell>
          <cell r="D11">
            <v>15454</v>
          </cell>
          <cell r="E11">
            <v>7727</v>
          </cell>
          <cell r="F11">
            <v>0</v>
          </cell>
          <cell r="G11">
            <v>0</v>
          </cell>
          <cell r="H11">
            <v>-26978</v>
          </cell>
          <cell r="I11">
            <v>-12461</v>
          </cell>
          <cell r="J11"/>
          <cell r="K11">
            <v>0</v>
          </cell>
          <cell r="L11">
            <v>48467</v>
          </cell>
          <cell r="M11">
            <v>51329</v>
          </cell>
          <cell r="N11">
            <v>0</v>
          </cell>
          <cell r="O11">
            <v>0</v>
          </cell>
          <cell r="P11">
            <v>0</v>
          </cell>
          <cell r="Q11">
            <v>0</v>
          </cell>
          <cell r="R11">
            <v>0</v>
          </cell>
          <cell r="S11">
            <v>0</v>
          </cell>
          <cell r="T11">
            <v>0</v>
          </cell>
          <cell r="U11">
            <v>0</v>
          </cell>
          <cell r="V11">
            <v>3000</v>
          </cell>
          <cell r="W11">
            <v>57147</v>
          </cell>
          <cell r="X11">
            <v>0</v>
          </cell>
          <cell r="Y11"/>
          <cell r="Z11">
            <v>0</v>
          </cell>
          <cell r="AA11">
            <v>0</v>
          </cell>
          <cell r="AB11">
            <v>0</v>
          </cell>
          <cell r="AC11"/>
          <cell r="AD11">
            <v>21511</v>
          </cell>
          <cell r="AE11">
            <v>0</v>
          </cell>
          <cell r="AF11">
            <v>0</v>
          </cell>
          <cell r="AG11">
            <v>0</v>
          </cell>
          <cell r="AH11">
            <v>0</v>
          </cell>
          <cell r="AI11">
            <v>0</v>
          </cell>
          <cell r="AJ11">
            <v>0</v>
          </cell>
          <cell r="AK11">
            <v>0</v>
          </cell>
          <cell r="AL11"/>
          <cell r="AM11">
            <v>0</v>
          </cell>
          <cell r="AN11">
            <v>0</v>
          </cell>
          <cell r="AO11">
            <v>0</v>
          </cell>
          <cell r="AP11">
            <v>0</v>
          </cell>
          <cell r="AQ11">
            <v>0</v>
          </cell>
          <cell r="AR11">
            <v>0</v>
          </cell>
          <cell r="AS11">
            <v>0</v>
          </cell>
          <cell r="AT11">
            <v>0</v>
          </cell>
          <cell r="AU11">
            <v>0</v>
          </cell>
          <cell r="AV11">
            <v>0</v>
          </cell>
          <cell r="AW11">
            <v>0</v>
          </cell>
          <cell r="AX11">
            <v>0</v>
          </cell>
          <cell r="AY11"/>
          <cell r="AZ11"/>
          <cell r="BA11">
            <v>0</v>
          </cell>
          <cell r="BB11"/>
          <cell r="BC11">
            <v>0</v>
          </cell>
          <cell r="BD11">
            <v>21344</v>
          </cell>
          <cell r="BE11"/>
          <cell r="BF11">
            <v>0</v>
          </cell>
          <cell r="BG11">
            <v>0</v>
          </cell>
          <cell r="BH11">
            <v>0</v>
          </cell>
          <cell r="BI11">
            <v>15792</v>
          </cell>
          <cell r="BJ11">
            <v>12999</v>
          </cell>
          <cell r="BK11">
            <v>12999</v>
          </cell>
          <cell r="BL11">
            <v>0</v>
          </cell>
          <cell r="BM11">
            <v>0</v>
          </cell>
          <cell r="BN11">
            <v>0</v>
          </cell>
          <cell r="BO11">
            <v>119175</v>
          </cell>
          <cell r="BP11">
            <v>4744.2</v>
          </cell>
          <cell r="BQ11">
            <v>8546.5116279069807</v>
          </cell>
          <cell r="BR11">
            <v>0</v>
          </cell>
          <cell r="BS11">
            <v>0</v>
          </cell>
          <cell r="BT11">
            <v>27285</v>
          </cell>
          <cell r="BU11"/>
          <cell r="BV11"/>
          <cell r="BW11"/>
          <cell r="BX11"/>
          <cell r="BY11">
            <v>0</v>
          </cell>
          <cell r="BZ11">
            <v>0</v>
          </cell>
          <cell r="CA11">
            <v>0</v>
          </cell>
          <cell r="CB11">
            <v>0</v>
          </cell>
          <cell r="CC11">
            <v>949169</v>
          </cell>
          <cell r="CD11">
            <v>7208574</v>
          </cell>
          <cell r="CE11">
            <v>679431</v>
          </cell>
          <cell r="CF11">
            <v>-30235</v>
          </cell>
          <cell r="CG11">
            <v>679431</v>
          </cell>
          <cell r="CH11">
            <v>679431</v>
          </cell>
          <cell r="CI11">
            <v>679431</v>
          </cell>
          <cell r="CJ11">
            <v>679431</v>
          </cell>
          <cell r="CK11">
            <v>0</v>
          </cell>
          <cell r="CL11">
            <v>0</v>
          </cell>
          <cell r="CM11">
            <v>0</v>
          </cell>
          <cell r="CN11">
            <v>0</v>
          </cell>
          <cell r="CO11">
            <v>0</v>
          </cell>
          <cell r="CP11">
            <v>0</v>
          </cell>
          <cell r="CQ11">
            <v>1846544</v>
          </cell>
          <cell r="CR11">
            <v>1778262</v>
          </cell>
          <cell r="CS11">
            <v>1754360</v>
          </cell>
          <cell r="CT11">
            <v>1684516</v>
          </cell>
          <cell r="CU11">
            <v>1650907</v>
          </cell>
          <cell r="CV11">
            <v>1071</v>
          </cell>
          <cell r="CW11">
            <v>0</v>
          </cell>
          <cell r="CX11">
            <v>0</v>
          </cell>
          <cell r="CY11">
            <v>0</v>
          </cell>
          <cell r="CZ11">
            <v>0</v>
          </cell>
          <cell r="DA11">
            <v>0</v>
          </cell>
          <cell r="DB11"/>
          <cell r="DC11">
            <v>0</v>
          </cell>
          <cell r="DD11">
            <v>0</v>
          </cell>
          <cell r="DE11">
            <v>0</v>
          </cell>
          <cell r="DF11">
            <v>0</v>
          </cell>
          <cell r="DG11">
            <v>0</v>
          </cell>
          <cell r="DH11">
            <v>0</v>
          </cell>
          <cell r="DI11">
            <v>0</v>
          </cell>
          <cell r="DJ11">
            <v>0</v>
          </cell>
          <cell r="DK11">
            <v>0</v>
          </cell>
          <cell r="DL11">
            <v>0</v>
          </cell>
          <cell r="DM11"/>
          <cell r="DN11"/>
          <cell r="DO11"/>
          <cell r="DP11"/>
        </row>
        <row r="12">
          <cell r="A12">
            <v>17</v>
          </cell>
          <cell r="B12" t="str">
            <v>Haren</v>
          </cell>
          <cell r="C12">
            <v>1</v>
          </cell>
          <cell r="D12">
            <v>29111</v>
          </cell>
          <cell r="E12">
            <v>14555</v>
          </cell>
          <cell r="F12">
            <v>0</v>
          </cell>
          <cell r="G12">
            <v>0</v>
          </cell>
          <cell r="H12">
            <v>230467</v>
          </cell>
          <cell r="I12">
            <v>192619</v>
          </cell>
          <cell r="J12"/>
          <cell r="K12">
            <v>0</v>
          </cell>
          <cell r="L12">
            <v>47850</v>
          </cell>
          <cell r="M12">
            <v>48853</v>
          </cell>
          <cell r="N12">
            <v>0</v>
          </cell>
          <cell r="O12">
            <v>0</v>
          </cell>
          <cell r="P12">
            <v>0</v>
          </cell>
          <cell r="Q12">
            <v>0</v>
          </cell>
          <cell r="R12">
            <v>0</v>
          </cell>
          <cell r="S12">
            <v>0</v>
          </cell>
          <cell r="T12">
            <v>0</v>
          </cell>
          <cell r="U12">
            <v>0</v>
          </cell>
          <cell r="V12">
            <v>3000</v>
          </cell>
          <cell r="W12">
            <v>44852</v>
          </cell>
          <cell r="X12">
            <v>0</v>
          </cell>
          <cell r="Y12"/>
          <cell r="Z12">
            <v>0</v>
          </cell>
          <cell r="AA12">
            <v>0</v>
          </cell>
          <cell r="AB12">
            <v>0</v>
          </cell>
          <cell r="AC12"/>
          <cell r="AD12">
            <v>0</v>
          </cell>
          <cell r="AE12">
            <v>0</v>
          </cell>
          <cell r="AF12">
            <v>0</v>
          </cell>
          <cell r="AG12">
            <v>0</v>
          </cell>
          <cell r="AH12">
            <v>0</v>
          </cell>
          <cell r="AI12">
            <v>0</v>
          </cell>
          <cell r="AJ12">
            <v>0</v>
          </cell>
          <cell r="AK12">
            <v>0</v>
          </cell>
          <cell r="AL12"/>
          <cell r="AM12">
            <v>0</v>
          </cell>
          <cell r="AN12">
            <v>0</v>
          </cell>
          <cell r="AO12">
            <v>0</v>
          </cell>
          <cell r="AP12">
            <v>0</v>
          </cell>
          <cell r="AQ12">
            <v>0</v>
          </cell>
          <cell r="AR12">
            <v>0</v>
          </cell>
          <cell r="AS12">
            <v>0</v>
          </cell>
          <cell r="AT12">
            <v>0</v>
          </cell>
          <cell r="AU12">
            <v>0</v>
          </cell>
          <cell r="AV12">
            <v>0</v>
          </cell>
          <cell r="AW12">
            <v>0</v>
          </cell>
          <cell r="AX12">
            <v>0</v>
          </cell>
          <cell r="AY12"/>
          <cell r="AZ12"/>
          <cell r="BA12">
            <v>0</v>
          </cell>
          <cell r="BB12"/>
          <cell r="BC12">
            <v>0</v>
          </cell>
          <cell r="BD12">
            <v>34334</v>
          </cell>
          <cell r="BE12"/>
          <cell r="BF12">
            <v>0</v>
          </cell>
          <cell r="BG12">
            <v>0</v>
          </cell>
          <cell r="BH12">
            <v>0</v>
          </cell>
          <cell r="BI12">
            <v>22974</v>
          </cell>
          <cell r="BJ12">
            <v>18911</v>
          </cell>
          <cell r="BK12">
            <v>18911</v>
          </cell>
          <cell r="BL12">
            <v>0</v>
          </cell>
          <cell r="BM12">
            <v>0</v>
          </cell>
          <cell r="BN12">
            <v>0</v>
          </cell>
          <cell r="BO12">
            <v>15566</v>
          </cell>
          <cell r="BP12">
            <v>6325.6</v>
          </cell>
          <cell r="BQ12">
            <v>11395.3488372093</v>
          </cell>
          <cell r="BR12">
            <v>0</v>
          </cell>
          <cell r="BS12">
            <v>0</v>
          </cell>
          <cell r="BT12">
            <v>31867</v>
          </cell>
          <cell r="BU12"/>
          <cell r="BV12"/>
          <cell r="BW12"/>
          <cell r="BX12"/>
          <cell r="BY12">
            <v>0</v>
          </cell>
          <cell r="BZ12">
            <v>0</v>
          </cell>
          <cell r="CA12">
            <v>0</v>
          </cell>
          <cell r="CB12">
            <v>0</v>
          </cell>
          <cell r="CC12">
            <v>1550412</v>
          </cell>
          <cell r="CD12">
            <v>5692689</v>
          </cell>
          <cell r="CE12">
            <v>576575</v>
          </cell>
          <cell r="CF12">
            <v>0</v>
          </cell>
          <cell r="CG12">
            <v>576575</v>
          </cell>
          <cell r="CH12">
            <v>576575</v>
          </cell>
          <cell r="CI12">
            <v>576575</v>
          </cell>
          <cell r="CJ12">
            <v>576575</v>
          </cell>
          <cell r="CK12">
            <v>0</v>
          </cell>
          <cell r="CL12">
            <v>0</v>
          </cell>
          <cell r="CM12">
            <v>0</v>
          </cell>
          <cell r="CN12">
            <v>0</v>
          </cell>
          <cell r="CO12">
            <v>0</v>
          </cell>
          <cell r="CP12">
            <v>0</v>
          </cell>
          <cell r="CQ12">
            <v>610507</v>
          </cell>
          <cell r="CR12">
            <v>598599</v>
          </cell>
          <cell r="CS12">
            <v>598581</v>
          </cell>
          <cell r="CT12">
            <v>599701</v>
          </cell>
          <cell r="CU12">
            <v>579763</v>
          </cell>
          <cell r="CV12">
            <v>-251042</v>
          </cell>
          <cell r="CW12">
            <v>0</v>
          </cell>
          <cell r="CX12">
            <v>0</v>
          </cell>
          <cell r="CY12">
            <v>0</v>
          </cell>
          <cell r="CZ12">
            <v>0</v>
          </cell>
          <cell r="DA12">
            <v>0</v>
          </cell>
          <cell r="DB12"/>
          <cell r="DC12">
            <v>0</v>
          </cell>
          <cell r="DD12">
            <v>0</v>
          </cell>
          <cell r="DE12">
            <v>0</v>
          </cell>
          <cell r="DF12">
            <v>0</v>
          </cell>
          <cell r="DG12">
            <v>0</v>
          </cell>
          <cell r="DH12">
            <v>0</v>
          </cell>
          <cell r="DI12">
            <v>0</v>
          </cell>
          <cell r="DJ12">
            <v>0</v>
          </cell>
          <cell r="DK12">
            <v>0</v>
          </cell>
          <cell r="DL12">
            <v>0</v>
          </cell>
          <cell r="DM12"/>
          <cell r="DN12"/>
          <cell r="DO12"/>
          <cell r="DP12"/>
        </row>
        <row r="13">
          <cell r="A13">
            <v>22</v>
          </cell>
          <cell r="B13" t="str">
            <v>Leek</v>
          </cell>
          <cell r="C13">
            <v>1</v>
          </cell>
          <cell r="D13">
            <v>27540</v>
          </cell>
          <cell r="E13">
            <v>13770</v>
          </cell>
          <cell r="F13">
            <v>0</v>
          </cell>
          <cell r="G13">
            <v>0</v>
          </cell>
          <cell r="H13">
            <v>-25639</v>
          </cell>
          <cell r="I13">
            <v>-8562</v>
          </cell>
          <cell r="J13"/>
          <cell r="K13">
            <v>0</v>
          </cell>
          <cell r="L13">
            <v>87284</v>
          </cell>
          <cell r="M13">
            <v>81992</v>
          </cell>
          <cell r="N13">
            <v>0</v>
          </cell>
          <cell r="O13">
            <v>0</v>
          </cell>
          <cell r="P13">
            <v>0</v>
          </cell>
          <cell r="Q13">
            <v>0</v>
          </cell>
          <cell r="R13">
            <v>0</v>
          </cell>
          <cell r="S13">
            <v>0</v>
          </cell>
          <cell r="T13">
            <v>0</v>
          </cell>
          <cell r="U13">
            <v>0</v>
          </cell>
          <cell r="V13">
            <v>15000</v>
          </cell>
          <cell r="W13">
            <v>59399</v>
          </cell>
          <cell r="X13">
            <v>0</v>
          </cell>
          <cell r="Y13"/>
          <cell r="Z13">
            <v>0</v>
          </cell>
          <cell r="AA13">
            <v>0</v>
          </cell>
          <cell r="AB13">
            <v>0</v>
          </cell>
          <cell r="AC13"/>
          <cell r="AD13">
            <v>49867</v>
          </cell>
          <cell r="AE13">
            <v>0</v>
          </cell>
          <cell r="AF13">
            <v>0</v>
          </cell>
          <cell r="AG13">
            <v>0</v>
          </cell>
          <cell r="AH13">
            <v>0</v>
          </cell>
          <cell r="AI13">
            <v>0</v>
          </cell>
          <cell r="AJ13">
            <v>0</v>
          </cell>
          <cell r="AK13">
            <v>0</v>
          </cell>
          <cell r="AL13"/>
          <cell r="AM13">
            <v>0</v>
          </cell>
          <cell r="AN13">
            <v>0</v>
          </cell>
          <cell r="AO13">
            <v>0</v>
          </cell>
          <cell r="AP13">
            <v>0</v>
          </cell>
          <cell r="AQ13">
            <v>0</v>
          </cell>
          <cell r="AR13">
            <v>0</v>
          </cell>
          <cell r="AS13">
            <v>0</v>
          </cell>
          <cell r="AT13">
            <v>0</v>
          </cell>
          <cell r="AU13">
            <v>0</v>
          </cell>
          <cell r="AV13">
            <v>0</v>
          </cell>
          <cell r="AW13">
            <v>0</v>
          </cell>
          <cell r="AX13">
            <v>0</v>
          </cell>
          <cell r="AY13"/>
          <cell r="AZ13"/>
          <cell r="BA13">
            <v>0</v>
          </cell>
          <cell r="BB13"/>
          <cell r="BC13">
            <v>0</v>
          </cell>
          <cell r="BD13">
            <v>34462</v>
          </cell>
          <cell r="BE13"/>
          <cell r="BF13">
            <v>0</v>
          </cell>
          <cell r="BG13">
            <v>0</v>
          </cell>
          <cell r="BH13">
            <v>0</v>
          </cell>
          <cell r="BI13">
            <v>30389</v>
          </cell>
          <cell r="BJ13">
            <v>25015</v>
          </cell>
          <cell r="BK13">
            <v>25015</v>
          </cell>
          <cell r="BL13">
            <v>0</v>
          </cell>
          <cell r="BM13">
            <v>0</v>
          </cell>
          <cell r="BN13">
            <v>0</v>
          </cell>
          <cell r="BO13">
            <v>62263</v>
          </cell>
          <cell r="BP13">
            <v>11069.8</v>
          </cell>
          <cell r="BQ13">
            <v>19941.8604651163</v>
          </cell>
          <cell r="BR13">
            <v>0</v>
          </cell>
          <cell r="BS13">
            <v>0</v>
          </cell>
          <cell r="BT13">
            <v>36023</v>
          </cell>
          <cell r="BU13"/>
          <cell r="BV13"/>
          <cell r="BW13"/>
          <cell r="BX13"/>
          <cell r="BY13">
            <v>0</v>
          </cell>
          <cell r="BZ13">
            <v>0</v>
          </cell>
          <cell r="CA13">
            <v>0</v>
          </cell>
          <cell r="CB13">
            <v>0</v>
          </cell>
          <cell r="CC13">
            <v>1820501</v>
          </cell>
          <cell r="CD13">
            <v>12830992</v>
          </cell>
          <cell r="CE13">
            <v>1598539</v>
          </cell>
          <cell r="CF13">
            <v>-3398</v>
          </cell>
          <cell r="CG13">
            <v>1598539</v>
          </cell>
          <cell r="CH13">
            <v>1598539</v>
          </cell>
          <cell r="CI13">
            <v>1598539</v>
          </cell>
          <cell r="CJ13">
            <v>1598539</v>
          </cell>
          <cell r="CK13">
            <v>0</v>
          </cell>
          <cell r="CL13">
            <v>0</v>
          </cell>
          <cell r="CM13">
            <v>0</v>
          </cell>
          <cell r="CN13">
            <v>0</v>
          </cell>
          <cell r="CO13">
            <v>0</v>
          </cell>
          <cell r="CP13">
            <v>-2604</v>
          </cell>
          <cell r="CQ13">
            <v>3481658</v>
          </cell>
          <cell r="CR13">
            <v>3304390</v>
          </cell>
          <cell r="CS13">
            <v>3172943</v>
          </cell>
          <cell r="CT13">
            <v>2975264</v>
          </cell>
          <cell r="CU13">
            <v>2865007</v>
          </cell>
          <cell r="CV13">
            <v>16325</v>
          </cell>
          <cell r="CW13">
            <v>0</v>
          </cell>
          <cell r="CX13">
            <v>0</v>
          </cell>
          <cell r="CY13">
            <v>0</v>
          </cell>
          <cell r="CZ13">
            <v>0</v>
          </cell>
          <cell r="DA13">
            <v>0</v>
          </cell>
          <cell r="DB13"/>
          <cell r="DC13">
            <v>0</v>
          </cell>
          <cell r="DD13">
            <v>0</v>
          </cell>
          <cell r="DE13">
            <v>0</v>
          </cell>
          <cell r="DF13">
            <v>0</v>
          </cell>
          <cell r="DG13">
            <v>0</v>
          </cell>
          <cell r="DH13">
            <v>0</v>
          </cell>
          <cell r="DI13">
            <v>0</v>
          </cell>
          <cell r="DJ13">
            <v>0</v>
          </cell>
          <cell r="DK13">
            <v>0</v>
          </cell>
          <cell r="DL13">
            <v>0</v>
          </cell>
          <cell r="DM13"/>
          <cell r="DN13"/>
          <cell r="DO13"/>
          <cell r="DP13"/>
        </row>
        <row r="14">
          <cell r="A14">
            <v>24</v>
          </cell>
          <cell r="B14" t="str">
            <v>Loppersum</v>
          </cell>
          <cell r="C14">
            <v>1</v>
          </cell>
          <cell r="D14">
            <v>21182</v>
          </cell>
          <cell r="E14">
            <v>10591</v>
          </cell>
          <cell r="F14">
            <v>0</v>
          </cell>
          <cell r="G14">
            <v>42579</v>
          </cell>
          <cell r="H14">
            <v>-16867</v>
          </cell>
          <cell r="I14">
            <v>-5575</v>
          </cell>
          <cell r="J14"/>
          <cell r="K14">
            <v>0</v>
          </cell>
          <cell r="L14">
            <v>47751</v>
          </cell>
          <cell r="M14">
            <v>45234</v>
          </cell>
          <cell r="N14">
            <v>0</v>
          </cell>
          <cell r="O14">
            <v>0</v>
          </cell>
          <cell r="P14">
            <v>0</v>
          </cell>
          <cell r="Q14">
            <v>0</v>
          </cell>
          <cell r="R14">
            <v>0</v>
          </cell>
          <cell r="S14">
            <v>0</v>
          </cell>
          <cell r="T14">
            <v>0</v>
          </cell>
          <cell r="U14">
            <v>0</v>
          </cell>
          <cell r="V14">
            <v>3000</v>
          </cell>
          <cell r="W14">
            <v>26265</v>
          </cell>
          <cell r="X14">
            <v>0</v>
          </cell>
          <cell r="Y14"/>
          <cell r="Z14">
            <v>0</v>
          </cell>
          <cell r="AA14">
            <v>0</v>
          </cell>
          <cell r="AB14">
            <v>0</v>
          </cell>
          <cell r="AC14"/>
          <cell r="AD14">
            <v>23467</v>
          </cell>
          <cell r="AE14">
            <v>0</v>
          </cell>
          <cell r="AF14">
            <v>0</v>
          </cell>
          <cell r="AG14">
            <v>0</v>
          </cell>
          <cell r="AH14">
            <v>0</v>
          </cell>
          <cell r="AI14">
            <v>0</v>
          </cell>
          <cell r="AJ14">
            <v>0</v>
          </cell>
          <cell r="AK14">
            <v>0</v>
          </cell>
          <cell r="AL14"/>
          <cell r="AM14">
            <v>0</v>
          </cell>
          <cell r="AN14">
            <v>0</v>
          </cell>
          <cell r="AO14">
            <v>0</v>
          </cell>
          <cell r="AP14">
            <v>0</v>
          </cell>
          <cell r="AQ14">
            <v>0</v>
          </cell>
          <cell r="AR14">
            <v>0</v>
          </cell>
          <cell r="AS14">
            <v>0</v>
          </cell>
          <cell r="AT14">
            <v>0</v>
          </cell>
          <cell r="AU14">
            <v>0</v>
          </cell>
          <cell r="AV14">
            <v>0</v>
          </cell>
          <cell r="AW14">
            <v>0</v>
          </cell>
          <cell r="AX14">
            <v>0</v>
          </cell>
          <cell r="AY14"/>
          <cell r="AZ14"/>
          <cell r="BA14">
            <v>0</v>
          </cell>
          <cell r="BB14"/>
          <cell r="BC14">
            <v>0</v>
          </cell>
          <cell r="BD14">
            <v>3480</v>
          </cell>
          <cell r="BE14"/>
          <cell r="BF14">
            <v>181694</v>
          </cell>
          <cell r="BG14">
            <v>537511</v>
          </cell>
          <cell r="BH14">
            <v>181694</v>
          </cell>
          <cell r="BI14">
            <v>15541</v>
          </cell>
          <cell r="BJ14">
            <v>12792</v>
          </cell>
          <cell r="BK14">
            <v>12792</v>
          </cell>
          <cell r="BL14">
            <v>0</v>
          </cell>
          <cell r="BM14">
            <v>0</v>
          </cell>
          <cell r="BN14">
            <v>0</v>
          </cell>
          <cell r="BO14">
            <v>25294</v>
          </cell>
          <cell r="BP14">
            <v>0</v>
          </cell>
          <cell r="BQ14">
            <v>0</v>
          </cell>
          <cell r="BR14">
            <v>0</v>
          </cell>
          <cell r="BS14">
            <v>0</v>
          </cell>
          <cell r="BT14">
            <v>29489</v>
          </cell>
          <cell r="BU14"/>
          <cell r="BV14"/>
          <cell r="BW14"/>
          <cell r="BX14"/>
          <cell r="BY14">
            <v>0</v>
          </cell>
          <cell r="BZ14">
            <v>0</v>
          </cell>
          <cell r="CA14">
            <v>0</v>
          </cell>
          <cell r="CB14">
            <v>0</v>
          </cell>
          <cell r="CC14">
            <v>867713</v>
          </cell>
          <cell r="CD14">
            <v>5634849</v>
          </cell>
          <cell r="CE14">
            <v>799554</v>
          </cell>
          <cell r="CF14">
            <v>-13555</v>
          </cell>
          <cell r="CG14">
            <v>799554</v>
          </cell>
          <cell r="CH14">
            <v>799554</v>
          </cell>
          <cell r="CI14">
            <v>799554</v>
          </cell>
          <cell r="CJ14">
            <v>799554</v>
          </cell>
          <cell r="CK14">
            <v>0</v>
          </cell>
          <cell r="CL14">
            <v>0</v>
          </cell>
          <cell r="CM14">
            <v>0</v>
          </cell>
          <cell r="CN14">
            <v>0</v>
          </cell>
          <cell r="CO14">
            <v>0</v>
          </cell>
          <cell r="CP14">
            <v>0</v>
          </cell>
          <cell r="CQ14">
            <v>939163</v>
          </cell>
          <cell r="CR14">
            <v>910204</v>
          </cell>
          <cell r="CS14">
            <v>863564</v>
          </cell>
          <cell r="CT14">
            <v>847408</v>
          </cell>
          <cell r="CU14">
            <v>810817</v>
          </cell>
          <cell r="CV14">
            <v>28976</v>
          </cell>
          <cell r="CW14">
            <v>0</v>
          </cell>
          <cell r="CX14">
            <v>0</v>
          </cell>
          <cell r="CY14">
            <v>0</v>
          </cell>
          <cell r="CZ14">
            <v>0</v>
          </cell>
          <cell r="DA14">
            <v>0</v>
          </cell>
          <cell r="DB14"/>
          <cell r="DC14">
            <v>0</v>
          </cell>
          <cell r="DD14">
            <v>0</v>
          </cell>
          <cell r="DE14">
            <v>0</v>
          </cell>
          <cell r="DF14">
            <v>0</v>
          </cell>
          <cell r="DG14">
            <v>0</v>
          </cell>
          <cell r="DH14">
            <v>0</v>
          </cell>
          <cell r="DI14">
            <v>0</v>
          </cell>
          <cell r="DJ14">
            <v>0</v>
          </cell>
          <cell r="DK14">
            <v>0</v>
          </cell>
          <cell r="DL14">
            <v>0</v>
          </cell>
          <cell r="DM14"/>
          <cell r="DN14"/>
          <cell r="DO14"/>
          <cell r="DP14"/>
        </row>
        <row r="15">
          <cell r="A15">
            <v>25</v>
          </cell>
          <cell r="B15" t="str">
            <v>Marum</v>
          </cell>
          <cell r="C15">
            <v>1</v>
          </cell>
          <cell r="D15">
            <v>2562</v>
          </cell>
          <cell r="E15">
            <v>1281</v>
          </cell>
          <cell r="F15">
            <v>0</v>
          </cell>
          <cell r="G15">
            <v>0</v>
          </cell>
          <cell r="H15">
            <v>-14752</v>
          </cell>
          <cell r="I15">
            <v>-5729</v>
          </cell>
          <cell r="J15"/>
          <cell r="K15">
            <v>0</v>
          </cell>
          <cell r="L15">
            <v>40270</v>
          </cell>
          <cell r="M15">
            <v>37187</v>
          </cell>
          <cell r="N15">
            <v>0</v>
          </cell>
          <cell r="O15">
            <v>0</v>
          </cell>
          <cell r="P15">
            <v>0</v>
          </cell>
          <cell r="Q15">
            <v>0</v>
          </cell>
          <cell r="R15">
            <v>0</v>
          </cell>
          <cell r="S15">
            <v>0</v>
          </cell>
          <cell r="T15">
            <v>0</v>
          </cell>
          <cell r="U15">
            <v>0</v>
          </cell>
          <cell r="V15">
            <v>0</v>
          </cell>
          <cell r="W15">
            <v>33134</v>
          </cell>
          <cell r="X15">
            <v>0</v>
          </cell>
          <cell r="Y15"/>
          <cell r="Z15">
            <v>0</v>
          </cell>
          <cell r="AA15">
            <v>0</v>
          </cell>
          <cell r="AB15">
            <v>0</v>
          </cell>
          <cell r="AC15"/>
          <cell r="AD15">
            <v>0</v>
          </cell>
          <cell r="AE15">
            <v>0</v>
          </cell>
          <cell r="AF15">
            <v>0</v>
          </cell>
          <cell r="AG15">
            <v>0</v>
          </cell>
          <cell r="AH15">
            <v>0</v>
          </cell>
          <cell r="AI15">
            <v>0</v>
          </cell>
          <cell r="AJ15">
            <v>0</v>
          </cell>
          <cell r="AK15">
            <v>0</v>
          </cell>
          <cell r="AL15"/>
          <cell r="AM15">
            <v>0</v>
          </cell>
          <cell r="AN15">
            <v>0</v>
          </cell>
          <cell r="AO15">
            <v>0</v>
          </cell>
          <cell r="AP15">
            <v>0</v>
          </cell>
          <cell r="AQ15">
            <v>0</v>
          </cell>
          <cell r="AR15">
            <v>0</v>
          </cell>
          <cell r="AS15">
            <v>0</v>
          </cell>
          <cell r="AT15">
            <v>0</v>
          </cell>
          <cell r="AU15">
            <v>2370</v>
          </cell>
          <cell r="AV15">
            <v>0</v>
          </cell>
          <cell r="AW15">
            <v>0</v>
          </cell>
          <cell r="AX15">
            <v>0</v>
          </cell>
          <cell r="AY15"/>
          <cell r="AZ15"/>
          <cell r="BA15">
            <v>0</v>
          </cell>
          <cell r="BB15"/>
          <cell r="BC15">
            <v>0</v>
          </cell>
          <cell r="BD15">
            <v>18225</v>
          </cell>
          <cell r="BE15"/>
          <cell r="BF15">
            <v>0</v>
          </cell>
          <cell r="BG15">
            <v>0</v>
          </cell>
          <cell r="BH15">
            <v>0</v>
          </cell>
          <cell r="BI15">
            <v>15257</v>
          </cell>
          <cell r="BJ15">
            <v>12559</v>
          </cell>
          <cell r="BK15">
            <v>12559</v>
          </cell>
          <cell r="BL15">
            <v>0</v>
          </cell>
          <cell r="BM15">
            <v>0</v>
          </cell>
          <cell r="BN15">
            <v>0</v>
          </cell>
          <cell r="BO15">
            <v>27726</v>
          </cell>
          <cell r="BP15">
            <v>11069.8</v>
          </cell>
          <cell r="BQ15">
            <v>19941.8604651163</v>
          </cell>
          <cell r="BR15">
            <v>0</v>
          </cell>
          <cell r="BS15">
            <v>0</v>
          </cell>
          <cell r="BT15">
            <v>21351</v>
          </cell>
          <cell r="BU15"/>
          <cell r="BV15"/>
          <cell r="BW15"/>
          <cell r="BX15"/>
          <cell r="BY15">
            <v>0</v>
          </cell>
          <cell r="BZ15">
            <v>0</v>
          </cell>
          <cell r="CA15">
            <v>0</v>
          </cell>
          <cell r="CB15">
            <v>0</v>
          </cell>
          <cell r="CC15">
            <v>737088</v>
          </cell>
          <cell r="CD15">
            <v>5436079</v>
          </cell>
          <cell r="CE15">
            <v>448969</v>
          </cell>
          <cell r="CF15">
            <v>-4199</v>
          </cell>
          <cell r="CG15">
            <v>448969</v>
          </cell>
          <cell r="CH15">
            <v>448969</v>
          </cell>
          <cell r="CI15">
            <v>448969</v>
          </cell>
          <cell r="CJ15">
            <v>448969</v>
          </cell>
          <cell r="CK15">
            <v>0</v>
          </cell>
          <cell r="CL15">
            <v>0</v>
          </cell>
          <cell r="CM15">
            <v>0</v>
          </cell>
          <cell r="CN15">
            <v>0</v>
          </cell>
          <cell r="CO15">
            <v>0</v>
          </cell>
          <cell r="CP15">
            <v>-1456</v>
          </cell>
          <cell r="CQ15">
            <v>1354582</v>
          </cell>
          <cell r="CR15">
            <v>1301902</v>
          </cell>
          <cell r="CS15">
            <v>1275298</v>
          </cell>
          <cell r="CT15">
            <v>1253159</v>
          </cell>
          <cell r="CU15">
            <v>1228808</v>
          </cell>
          <cell r="CV15">
            <v>14801</v>
          </cell>
          <cell r="CW15">
            <v>0</v>
          </cell>
          <cell r="CX15">
            <v>0</v>
          </cell>
          <cell r="CY15">
            <v>0</v>
          </cell>
          <cell r="CZ15">
            <v>0</v>
          </cell>
          <cell r="DA15">
            <v>0</v>
          </cell>
          <cell r="DB15"/>
          <cell r="DC15">
            <v>0</v>
          </cell>
          <cell r="DD15">
            <v>0</v>
          </cell>
          <cell r="DE15">
            <v>0</v>
          </cell>
          <cell r="DF15">
            <v>0</v>
          </cell>
          <cell r="DG15">
            <v>0</v>
          </cell>
          <cell r="DH15">
            <v>0</v>
          </cell>
          <cell r="DI15">
            <v>0</v>
          </cell>
          <cell r="DJ15">
            <v>0</v>
          </cell>
          <cell r="DK15">
            <v>0</v>
          </cell>
          <cell r="DL15">
            <v>0</v>
          </cell>
          <cell r="DM15"/>
          <cell r="DN15"/>
          <cell r="DO15"/>
          <cell r="DP15"/>
        </row>
        <row r="16">
          <cell r="A16">
            <v>1952</v>
          </cell>
          <cell r="B16" t="str">
            <v>Midden-Groningen</v>
          </cell>
          <cell r="C16">
            <v>1</v>
          </cell>
          <cell r="D16">
            <v>113988</v>
          </cell>
          <cell r="E16">
            <v>56994</v>
          </cell>
          <cell r="F16">
            <v>0</v>
          </cell>
          <cell r="G16">
            <v>0</v>
          </cell>
          <cell r="H16">
            <v>1250909</v>
          </cell>
          <cell r="I16">
            <v>1790743</v>
          </cell>
          <cell r="J16"/>
          <cell r="K16">
            <v>0</v>
          </cell>
          <cell r="L16">
            <v>361381</v>
          </cell>
          <cell r="M16">
            <v>355359</v>
          </cell>
          <cell r="N16">
            <v>0</v>
          </cell>
          <cell r="O16">
            <v>0</v>
          </cell>
          <cell r="P16">
            <v>0</v>
          </cell>
          <cell r="Q16">
            <v>0</v>
          </cell>
          <cell r="R16">
            <v>0</v>
          </cell>
          <cell r="S16">
            <v>0</v>
          </cell>
          <cell r="T16">
            <v>0</v>
          </cell>
          <cell r="U16">
            <v>0</v>
          </cell>
          <cell r="V16">
            <v>38500</v>
          </cell>
          <cell r="W16">
            <v>218199</v>
          </cell>
          <cell r="X16">
            <v>0</v>
          </cell>
          <cell r="Y16"/>
          <cell r="Z16">
            <v>0</v>
          </cell>
          <cell r="AA16">
            <v>0</v>
          </cell>
          <cell r="AB16">
            <v>0</v>
          </cell>
          <cell r="AC16"/>
          <cell r="AD16">
            <v>188181</v>
          </cell>
          <cell r="AE16">
            <v>0</v>
          </cell>
          <cell r="AF16">
            <v>0</v>
          </cell>
          <cell r="AG16">
            <v>0</v>
          </cell>
          <cell r="AH16">
            <v>0</v>
          </cell>
          <cell r="AI16">
            <v>0</v>
          </cell>
          <cell r="AJ16">
            <v>0</v>
          </cell>
          <cell r="AK16">
            <v>0</v>
          </cell>
          <cell r="AL16"/>
          <cell r="AM16">
            <v>0</v>
          </cell>
          <cell r="AN16">
            <v>0</v>
          </cell>
          <cell r="AO16">
            <v>0</v>
          </cell>
          <cell r="AP16">
            <v>0</v>
          </cell>
          <cell r="AQ16">
            <v>0</v>
          </cell>
          <cell r="AR16">
            <v>0</v>
          </cell>
          <cell r="AS16">
            <v>0</v>
          </cell>
          <cell r="AT16">
            <v>0</v>
          </cell>
          <cell r="AU16">
            <v>11850</v>
          </cell>
          <cell r="AV16">
            <v>0</v>
          </cell>
          <cell r="AW16">
            <v>0</v>
          </cell>
          <cell r="AX16">
            <v>0</v>
          </cell>
          <cell r="AY16"/>
          <cell r="AZ16"/>
          <cell r="BA16">
            <v>0</v>
          </cell>
          <cell r="BB16"/>
          <cell r="BC16">
            <v>0</v>
          </cell>
          <cell r="BD16">
            <v>107250</v>
          </cell>
          <cell r="BE16"/>
          <cell r="BF16">
            <v>896924</v>
          </cell>
          <cell r="BG16">
            <v>2653399</v>
          </cell>
          <cell r="BH16">
            <v>896924</v>
          </cell>
          <cell r="BI16">
            <v>120527</v>
          </cell>
          <cell r="BJ16">
            <v>99212</v>
          </cell>
          <cell r="BK16">
            <v>99212</v>
          </cell>
          <cell r="BL16">
            <v>0</v>
          </cell>
          <cell r="BM16">
            <v>0</v>
          </cell>
          <cell r="BN16">
            <v>0</v>
          </cell>
          <cell r="BO16">
            <v>614845</v>
          </cell>
          <cell r="BP16">
            <v>15814</v>
          </cell>
          <cell r="BQ16">
            <v>28488.372093023299</v>
          </cell>
          <cell r="BR16">
            <v>0</v>
          </cell>
          <cell r="BS16">
            <v>0</v>
          </cell>
          <cell r="BT16">
            <v>127782</v>
          </cell>
          <cell r="BU16"/>
          <cell r="BV16"/>
          <cell r="BW16"/>
          <cell r="BX16"/>
          <cell r="BY16">
            <v>0</v>
          </cell>
          <cell r="BZ16">
            <v>0</v>
          </cell>
          <cell r="CA16">
            <v>0</v>
          </cell>
          <cell r="CB16">
            <v>0</v>
          </cell>
          <cell r="CC16">
            <v>5979437</v>
          </cell>
          <cell r="CD16">
            <v>43852711</v>
          </cell>
          <cell r="CE16">
            <v>4747938</v>
          </cell>
          <cell r="CF16">
            <v>38176</v>
          </cell>
          <cell r="CG16">
            <v>4747938</v>
          </cell>
          <cell r="CH16">
            <v>4747938</v>
          </cell>
          <cell r="CI16">
            <v>4747938</v>
          </cell>
          <cell r="CJ16">
            <v>4747938</v>
          </cell>
          <cell r="CK16">
            <v>0</v>
          </cell>
          <cell r="CL16">
            <v>0</v>
          </cell>
          <cell r="CM16">
            <v>0</v>
          </cell>
          <cell r="CN16">
            <v>0</v>
          </cell>
          <cell r="CO16">
            <v>0</v>
          </cell>
          <cell r="CP16">
            <v>-6183</v>
          </cell>
          <cell r="CQ16">
            <v>10509245</v>
          </cell>
          <cell r="CR16">
            <v>10016470</v>
          </cell>
          <cell r="CS16">
            <v>9792277</v>
          </cell>
          <cell r="CT16">
            <v>9629841</v>
          </cell>
          <cell r="CU16">
            <v>9396549</v>
          </cell>
          <cell r="CV16">
            <v>68597</v>
          </cell>
          <cell r="CW16">
            <v>0</v>
          </cell>
          <cell r="CX16">
            <v>0</v>
          </cell>
          <cell r="CY16">
            <v>0</v>
          </cell>
          <cell r="CZ16">
            <v>0</v>
          </cell>
          <cell r="DA16">
            <v>0</v>
          </cell>
          <cell r="DB16"/>
          <cell r="DC16">
            <v>50000</v>
          </cell>
          <cell r="DD16">
            <v>0</v>
          </cell>
          <cell r="DE16">
            <v>0</v>
          </cell>
          <cell r="DF16">
            <v>0</v>
          </cell>
          <cell r="DG16">
            <v>0</v>
          </cell>
          <cell r="DH16">
            <v>0</v>
          </cell>
          <cell r="DI16">
            <v>0</v>
          </cell>
          <cell r="DJ16">
            <v>0</v>
          </cell>
          <cell r="DK16">
            <v>0</v>
          </cell>
          <cell r="DL16">
            <v>0</v>
          </cell>
          <cell r="DM16"/>
          <cell r="DN16"/>
          <cell r="DO16"/>
          <cell r="DP16"/>
        </row>
        <row r="17">
          <cell r="A17">
            <v>1895</v>
          </cell>
          <cell r="B17" t="str">
            <v>Oldambt</v>
          </cell>
          <cell r="C17">
            <v>1</v>
          </cell>
          <cell r="D17">
            <v>172680</v>
          </cell>
          <cell r="E17">
            <v>86340</v>
          </cell>
          <cell r="F17">
            <v>0</v>
          </cell>
          <cell r="G17">
            <v>0</v>
          </cell>
          <cell r="H17">
            <v>-51463</v>
          </cell>
          <cell r="I17">
            <v>-21985</v>
          </cell>
          <cell r="J17"/>
          <cell r="K17">
            <v>0</v>
          </cell>
          <cell r="L17">
            <v>215953</v>
          </cell>
          <cell r="M17">
            <v>216932</v>
          </cell>
          <cell r="N17">
            <v>0</v>
          </cell>
          <cell r="O17">
            <v>0</v>
          </cell>
          <cell r="P17">
            <v>0</v>
          </cell>
          <cell r="Q17">
            <v>0</v>
          </cell>
          <cell r="R17">
            <v>2242805</v>
          </cell>
          <cell r="S17">
            <v>0</v>
          </cell>
          <cell r="T17">
            <v>0</v>
          </cell>
          <cell r="U17">
            <v>0</v>
          </cell>
          <cell r="V17">
            <v>0</v>
          </cell>
          <cell r="W17">
            <v>104857</v>
          </cell>
          <cell r="X17">
            <v>0</v>
          </cell>
          <cell r="Y17"/>
          <cell r="Z17">
            <v>0</v>
          </cell>
          <cell r="AA17">
            <v>0</v>
          </cell>
          <cell r="AB17">
            <v>0</v>
          </cell>
          <cell r="AC17"/>
          <cell r="AD17">
            <v>147647</v>
          </cell>
          <cell r="AE17">
            <v>0</v>
          </cell>
          <cell r="AF17">
            <v>0</v>
          </cell>
          <cell r="AG17">
            <v>2200000</v>
          </cell>
          <cell r="AH17">
            <v>0</v>
          </cell>
          <cell r="AI17">
            <v>0</v>
          </cell>
          <cell r="AJ17">
            <v>0</v>
          </cell>
          <cell r="AK17">
            <v>0</v>
          </cell>
          <cell r="AL17"/>
          <cell r="AM17">
            <v>0</v>
          </cell>
          <cell r="AN17">
            <v>0</v>
          </cell>
          <cell r="AO17">
            <v>0</v>
          </cell>
          <cell r="AP17">
            <v>0</v>
          </cell>
          <cell r="AQ17">
            <v>0</v>
          </cell>
          <cell r="AR17">
            <v>0</v>
          </cell>
          <cell r="AS17">
            <v>0</v>
          </cell>
          <cell r="AT17">
            <v>0</v>
          </cell>
          <cell r="AU17">
            <v>9480</v>
          </cell>
          <cell r="AV17">
            <v>0</v>
          </cell>
          <cell r="AW17">
            <v>0</v>
          </cell>
          <cell r="AX17">
            <v>0</v>
          </cell>
          <cell r="AY17"/>
          <cell r="AZ17"/>
          <cell r="BA17">
            <v>0</v>
          </cell>
          <cell r="BB17"/>
          <cell r="BC17">
            <v>0</v>
          </cell>
          <cell r="BD17">
            <v>13377</v>
          </cell>
          <cell r="BE17"/>
          <cell r="BF17">
            <v>0</v>
          </cell>
          <cell r="BG17">
            <v>0</v>
          </cell>
          <cell r="BH17">
            <v>0</v>
          </cell>
          <cell r="BI17">
            <v>91805</v>
          </cell>
          <cell r="BJ17">
            <v>75569</v>
          </cell>
          <cell r="BK17">
            <v>75569</v>
          </cell>
          <cell r="BL17">
            <v>0</v>
          </cell>
          <cell r="BM17">
            <v>0</v>
          </cell>
          <cell r="BN17">
            <v>0</v>
          </cell>
          <cell r="BO17">
            <v>183383</v>
          </cell>
          <cell r="BP17">
            <v>33209.4</v>
          </cell>
          <cell r="BQ17">
            <v>59825.581395348803</v>
          </cell>
          <cell r="BR17">
            <v>0</v>
          </cell>
          <cell r="BS17">
            <v>0</v>
          </cell>
          <cell r="BT17">
            <v>85215</v>
          </cell>
          <cell r="BU17"/>
          <cell r="BV17"/>
          <cell r="BW17"/>
          <cell r="BX17"/>
          <cell r="BY17">
            <v>0</v>
          </cell>
          <cell r="BZ17">
            <v>0</v>
          </cell>
          <cell r="CA17">
            <v>0</v>
          </cell>
          <cell r="CB17">
            <v>0</v>
          </cell>
          <cell r="CC17">
            <v>4646355</v>
          </cell>
          <cell r="CD17">
            <v>38542429</v>
          </cell>
          <cell r="CE17">
            <v>4012990</v>
          </cell>
          <cell r="CF17">
            <v>0</v>
          </cell>
          <cell r="CG17">
            <v>4012990</v>
          </cell>
          <cell r="CH17">
            <v>4012990</v>
          </cell>
          <cell r="CI17">
            <v>4012990</v>
          </cell>
          <cell r="CJ17">
            <v>4012990</v>
          </cell>
          <cell r="CK17">
            <v>0</v>
          </cell>
          <cell r="CL17">
            <v>0</v>
          </cell>
          <cell r="CM17">
            <v>0</v>
          </cell>
          <cell r="CN17">
            <v>0</v>
          </cell>
          <cell r="CO17">
            <v>0</v>
          </cell>
          <cell r="CP17">
            <v>-7971</v>
          </cell>
          <cell r="CQ17">
            <v>14179484</v>
          </cell>
          <cell r="CR17">
            <v>13384793</v>
          </cell>
          <cell r="CS17">
            <v>12788744</v>
          </cell>
          <cell r="CT17">
            <v>12273788</v>
          </cell>
          <cell r="CU17">
            <v>11703254</v>
          </cell>
          <cell r="CV17">
            <v>83228</v>
          </cell>
          <cell r="CW17">
            <v>0</v>
          </cell>
          <cell r="CX17">
            <v>0</v>
          </cell>
          <cell r="CY17">
            <v>0</v>
          </cell>
          <cell r="CZ17">
            <v>0</v>
          </cell>
          <cell r="DA17">
            <v>0</v>
          </cell>
          <cell r="DB17"/>
          <cell r="DC17">
            <v>0</v>
          </cell>
          <cell r="DD17">
            <v>0</v>
          </cell>
          <cell r="DE17">
            <v>0</v>
          </cell>
          <cell r="DF17">
            <v>0</v>
          </cell>
          <cell r="DG17">
            <v>0</v>
          </cell>
          <cell r="DH17">
            <v>0</v>
          </cell>
          <cell r="DI17">
            <v>0</v>
          </cell>
          <cell r="DJ17">
            <v>0</v>
          </cell>
          <cell r="DK17">
            <v>0</v>
          </cell>
          <cell r="DL17">
            <v>0</v>
          </cell>
          <cell r="DM17"/>
          <cell r="DN17"/>
          <cell r="DO17"/>
          <cell r="DP17"/>
        </row>
        <row r="18">
          <cell r="A18">
            <v>765</v>
          </cell>
          <cell r="B18" t="str">
            <v>Pekela</v>
          </cell>
          <cell r="C18">
            <v>1</v>
          </cell>
          <cell r="D18">
            <v>35748</v>
          </cell>
          <cell r="E18">
            <v>17874</v>
          </cell>
          <cell r="F18">
            <v>0</v>
          </cell>
          <cell r="G18">
            <v>0</v>
          </cell>
          <cell r="H18">
            <v>0</v>
          </cell>
          <cell r="I18">
            <v>0</v>
          </cell>
          <cell r="J18"/>
          <cell r="K18">
            <v>0</v>
          </cell>
          <cell r="L18">
            <v>98844</v>
          </cell>
          <cell r="M18">
            <v>85373</v>
          </cell>
          <cell r="N18">
            <v>0</v>
          </cell>
          <cell r="O18">
            <v>0</v>
          </cell>
          <cell r="P18">
            <v>0</v>
          </cell>
          <cell r="Q18">
            <v>0</v>
          </cell>
          <cell r="R18">
            <v>0</v>
          </cell>
          <cell r="S18">
            <v>0</v>
          </cell>
          <cell r="T18">
            <v>0</v>
          </cell>
          <cell r="U18">
            <v>0</v>
          </cell>
          <cell r="V18">
            <v>3000</v>
          </cell>
          <cell r="W18">
            <v>30305</v>
          </cell>
          <cell r="X18">
            <v>0</v>
          </cell>
          <cell r="Y18"/>
          <cell r="Z18">
            <v>0</v>
          </cell>
          <cell r="AA18">
            <v>0</v>
          </cell>
          <cell r="AB18">
            <v>0</v>
          </cell>
          <cell r="AC18"/>
          <cell r="AD18">
            <v>62579</v>
          </cell>
          <cell r="AE18">
            <v>0</v>
          </cell>
          <cell r="AF18">
            <v>0</v>
          </cell>
          <cell r="AG18">
            <v>0</v>
          </cell>
          <cell r="AH18">
            <v>0</v>
          </cell>
          <cell r="AI18">
            <v>0</v>
          </cell>
          <cell r="AJ18">
            <v>0</v>
          </cell>
          <cell r="AK18">
            <v>0</v>
          </cell>
          <cell r="AL18"/>
          <cell r="AM18">
            <v>0</v>
          </cell>
          <cell r="AN18">
            <v>0</v>
          </cell>
          <cell r="AO18">
            <v>0</v>
          </cell>
          <cell r="AP18">
            <v>0</v>
          </cell>
          <cell r="AQ18">
            <v>0</v>
          </cell>
          <cell r="AR18">
            <v>0</v>
          </cell>
          <cell r="AS18">
            <v>0</v>
          </cell>
          <cell r="AT18">
            <v>0</v>
          </cell>
          <cell r="AU18">
            <v>2370</v>
          </cell>
          <cell r="AV18">
            <v>0</v>
          </cell>
          <cell r="AW18">
            <v>0</v>
          </cell>
          <cell r="AX18">
            <v>0</v>
          </cell>
          <cell r="AY18"/>
          <cell r="AZ18"/>
          <cell r="BA18">
            <v>0</v>
          </cell>
          <cell r="BB18"/>
          <cell r="BC18">
            <v>0</v>
          </cell>
          <cell r="BD18">
            <v>4394</v>
          </cell>
          <cell r="BE18"/>
          <cell r="BF18">
            <v>0</v>
          </cell>
          <cell r="BG18">
            <v>0</v>
          </cell>
          <cell r="BH18">
            <v>0</v>
          </cell>
          <cell r="BI18">
            <v>28877</v>
          </cell>
          <cell r="BJ18">
            <v>23770</v>
          </cell>
          <cell r="BK18">
            <v>23770</v>
          </cell>
          <cell r="BL18">
            <v>0</v>
          </cell>
          <cell r="BM18">
            <v>0</v>
          </cell>
          <cell r="BN18">
            <v>0</v>
          </cell>
          <cell r="BO18">
            <v>52534</v>
          </cell>
          <cell r="BP18">
            <v>1581.4</v>
          </cell>
          <cell r="BQ18">
            <v>2848.8372093023299</v>
          </cell>
          <cell r="BR18">
            <v>0</v>
          </cell>
          <cell r="BS18">
            <v>0</v>
          </cell>
          <cell r="BT18">
            <v>26079</v>
          </cell>
          <cell r="BU18"/>
          <cell r="BV18"/>
          <cell r="BW18"/>
          <cell r="BX18"/>
          <cell r="BY18">
            <v>0</v>
          </cell>
          <cell r="BZ18">
            <v>0</v>
          </cell>
          <cell r="CA18">
            <v>0</v>
          </cell>
          <cell r="CB18">
            <v>0</v>
          </cell>
          <cell r="CC18">
            <v>1412371</v>
          </cell>
          <cell r="CD18">
            <v>13193578</v>
          </cell>
          <cell r="CE18">
            <v>554804</v>
          </cell>
          <cell r="CF18">
            <v>152472</v>
          </cell>
          <cell r="CG18">
            <v>554804</v>
          </cell>
          <cell r="CH18">
            <v>554804</v>
          </cell>
          <cell r="CI18">
            <v>554804</v>
          </cell>
          <cell r="CJ18">
            <v>554804</v>
          </cell>
          <cell r="CK18">
            <v>0</v>
          </cell>
          <cell r="CL18">
            <v>0</v>
          </cell>
          <cell r="CM18">
            <v>0</v>
          </cell>
          <cell r="CN18">
            <v>0</v>
          </cell>
          <cell r="CO18">
            <v>0</v>
          </cell>
          <cell r="CP18">
            <v>-2064</v>
          </cell>
          <cell r="CQ18">
            <v>5062054</v>
          </cell>
          <cell r="CR18">
            <v>4763089</v>
          </cell>
          <cell r="CS18">
            <v>4626619</v>
          </cell>
          <cell r="CT18">
            <v>4477530</v>
          </cell>
          <cell r="CU18">
            <v>4324084</v>
          </cell>
          <cell r="CV18">
            <v>-112044</v>
          </cell>
          <cell r="CW18">
            <v>0</v>
          </cell>
          <cell r="CX18">
            <v>0</v>
          </cell>
          <cell r="CY18">
            <v>0</v>
          </cell>
          <cell r="CZ18">
            <v>0</v>
          </cell>
          <cell r="DA18">
            <v>0</v>
          </cell>
          <cell r="DB18"/>
          <cell r="DC18">
            <v>0</v>
          </cell>
          <cell r="DD18">
            <v>0</v>
          </cell>
          <cell r="DE18">
            <v>0</v>
          </cell>
          <cell r="DF18">
            <v>0</v>
          </cell>
          <cell r="DG18">
            <v>0</v>
          </cell>
          <cell r="DH18">
            <v>0</v>
          </cell>
          <cell r="DI18">
            <v>0</v>
          </cell>
          <cell r="DJ18">
            <v>0</v>
          </cell>
          <cell r="DK18">
            <v>0</v>
          </cell>
          <cell r="DL18">
            <v>0</v>
          </cell>
          <cell r="DM18"/>
          <cell r="DN18"/>
          <cell r="DO18"/>
          <cell r="DP18"/>
        </row>
        <row r="19">
          <cell r="A19">
            <v>37</v>
          </cell>
          <cell r="B19" t="str">
            <v>Stadskanaal</v>
          </cell>
          <cell r="C19">
            <v>1</v>
          </cell>
          <cell r="D19">
            <v>44045</v>
          </cell>
          <cell r="E19">
            <v>22022</v>
          </cell>
          <cell r="F19">
            <v>0</v>
          </cell>
          <cell r="G19">
            <v>0</v>
          </cell>
          <cell r="H19">
            <v>-25264</v>
          </cell>
          <cell r="I19">
            <v>-666</v>
          </cell>
          <cell r="J19"/>
          <cell r="K19">
            <v>0</v>
          </cell>
          <cell r="L19">
            <v>194863</v>
          </cell>
          <cell r="M19">
            <v>178388</v>
          </cell>
          <cell r="N19">
            <v>0</v>
          </cell>
          <cell r="O19">
            <v>0</v>
          </cell>
          <cell r="P19">
            <v>0</v>
          </cell>
          <cell r="Q19">
            <v>0</v>
          </cell>
          <cell r="R19">
            <v>0</v>
          </cell>
          <cell r="S19">
            <v>0</v>
          </cell>
          <cell r="T19">
            <v>0</v>
          </cell>
          <cell r="U19">
            <v>0</v>
          </cell>
          <cell r="V19">
            <v>6000</v>
          </cell>
          <cell r="W19">
            <v>128095</v>
          </cell>
          <cell r="X19">
            <v>0</v>
          </cell>
          <cell r="Y19"/>
          <cell r="Z19">
            <v>0</v>
          </cell>
          <cell r="AA19">
            <v>0</v>
          </cell>
          <cell r="AB19">
            <v>0</v>
          </cell>
          <cell r="AC19"/>
          <cell r="AD19">
            <v>119291</v>
          </cell>
          <cell r="AE19">
            <v>0</v>
          </cell>
          <cell r="AF19">
            <v>0</v>
          </cell>
          <cell r="AG19">
            <v>0</v>
          </cell>
          <cell r="AH19">
            <v>0</v>
          </cell>
          <cell r="AI19">
            <v>0</v>
          </cell>
          <cell r="AJ19">
            <v>0</v>
          </cell>
          <cell r="AK19">
            <v>0</v>
          </cell>
          <cell r="AL19"/>
          <cell r="AM19">
            <v>0</v>
          </cell>
          <cell r="AN19">
            <v>0</v>
          </cell>
          <cell r="AO19">
            <v>0</v>
          </cell>
          <cell r="AP19">
            <v>0</v>
          </cell>
          <cell r="AQ19">
            <v>0</v>
          </cell>
          <cell r="AR19">
            <v>0</v>
          </cell>
          <cell r="AS19">
            <v>0</v>
          </cell>
          <cell r="AT19">
            <v>0</v>
          </cell>
          <cell r="AU19">
            <v>16590</v>
          </cell>
          <cell r="AV19">
            <v>0</v>
          </cell>
          <cell r="AW19">
            <v>0</v>
          </cell>
          <cell r="AX19">
            <v>0</v>
          </cell>
          <cell r="AY19"/>
          <cell r="AZ19"/>
          <cell r="BA19">
            <v>0</v>
          </cell>
          <cell r="BB19"/>
          <cell r="BC19">
            <v>0</v>
          </cell>
          <cell r="BD19">
            <v>11322</v>
          </cell>
          <cell r="BE19"/>
          <cell r="BF19">
            <v>0</v>
          </cell>
          <cell r="BG19">
            <v>0</v>
          </cell>
          <cell r="BH19">
            <v>0</v>
          </cell>
          <cell r="BI19">
            <v>74317</v>
          </cell>
          <cell r="BJ19">
            <v>61174</v>
          </cell>
          <cell r="BK19">
            <v>61174</v>
          </cell>
          <cell r="BL19">
            <v>0</v>
          </cell>
          <cell r="BM19">
            <v>0</v>
          </cell>
          <cell r="BN19">
            <v>0</v>
          </cell>
          <cell r="BO19">
            <v>184356</v>
          </cell>
          <cell r="BP19">
            <v>41116.400000000001</v>
          </cell>
          <cell r="BQ19">
            <v>74069.767441860502</v>
          </cell>
          <cell r="BR19">
            <v>0</v>
          </cell>
          <cell r="BS19">
            <v>0</v>
          </cell>
          <cell r="BT19">
            <v>65067</v>
          </cell>
          <cell r="BU19"/>
          <cell r="BV19"/>
          <cell r="BW19"/>
          <cell r="BX19"/>
          <cell r="BY19">
            <v>0</v>
          </cell>
          <cell r="BZ19">
            <v>0</v>
          </cell>
          <cell r="CA19">
            <v>0</v>
          </cell>
          <cell r="CB19">
            <v>0</v>
          </cell>
          <cell r="CC19">
            <v>4095506</v>
          </cell>
          <cell r="CD19">
            <v>37747342</v>
          </cell>
          <cell r="CE19">
            <v>3219972</v>
          </cell>
          <cell r="CF19">
            <v>0</v>
          </cell>
          <cell r="CG19">
            <v>3219972</v>
          </cell>
          <cell r="CH19">
            <v>3219972</v>
          </cell>
          <cell r="CI19">
            <v>3219972</v>
          </cell>
          <cell r="CJ19">
            <v>3219972</v>
          </cell>
          <cell r="CK19">
            <v>0</v>
          </cell>
          <cell r="CL19">
            <v>0</v>
          </cell>
          <cell r="CM19">
            <v>0</v>
          </cell>
          <cell r="CN19">
            <v>0</v>
          </cell>
          <cell r="CO19">
            <v>0</v>
          </cell>
          <cell r="CP19">
            <v>-242</v>
          </cell>
          <cell r="CQ19">
            <v>17034252</v>
          </cell>
          <cell r="CR19">
            <v>16158989</v>
          </cell>
          <cell r="CS19">
            <v>15741941</v>
          </cell>
          <cell r="CT19">
            <v>15328174</v>
          </cell>
          <cell r="CU19">
            <v>14881763</v>
          </cell>
          <cell r="CV19">
            <v>56619</v>
          </cell>
          <cell r="CW19">
            <v>0</v>
          </cell>
          <cell r="CX19">
            <v>0</v>
          </cell>
          <cell r="CY19">
            <v>0</v>
          </cell>
          <cell r="CZ19">
            <v>0</v>
          </cell>
          <cell r="DA19">
            <v>0</v>
          </cell>
          <cell r="DB19"/>
          <cell r="DC19">
            <v>0</v>
          </cell>
          <cell r="DD19">
            <v>0</v>
          </cell>
          <cell r="DE19">
            <v>0</v>
          </cell>
          <cell r="DF19">
            <v>0</v>
          </cell>
          <cell r="DG19">
            <v>0</v>
          </cell>
          <cell r="DH19">
            <v>0</v>
          </cell>
          <cell r="DI19">
            <v>0</v>
          </cell>
          <cell r="DJ19">
            <v>0</v>
          </cell>
          <cell r="DK19">
            <v>0</v>
          </cell>
          <cell r="DL19">
            <v>0</v>
          </cell>
          <cell r="DM19"/>
          <cell r="DN19"/>
          <cell r="DO19"/>
          <cell r="DP19"/>
        </row>
        <row r="20">
          <cell r="A20">
            <v>9</v>
          </cell>
          <cell r="B20" t="str">
            <v>Ten Boer</v>
          </cell>
          <cell r="C20">
            <v>1</v>
          </cell>
          <cell r="D20">
            <v>19283</v>
          </cell>
          <cell r="E20">
            <v>9641</v>
          </cell>
          <cell r="F20">
            <v>0</v>
          </cell>
          <cell r="G20">
            <v>0</v>
          </cell>
          <cell r="H20">
            <v>-9224</v>
          </cell>
          <cell r="I20">
            <v>-5330</v>
          </cell>
          <cell r="J20"/>
          <cell r="K20">
            <v>0</v>
          </cell>
          <cell r="L20">
            <v>33147</v>
          </cell>
          <cell r="M20">
            <v>34806</v>
          </cell>
          <cell r="N20">
            <v>0</v>
          </cell>
          <cell r="O20">
            <v>0</v>
          </cell>
          <cell r="P20">
            <v>0</v>
          </cell>
          <cell r="Q20">
            <v>0</v>
          </cell>
          <cell r="R20">
            <v>0</v>
          </cell>
          <cell r="S20">
            <v>0</v>
          </cell>
          <cell r="T20">
            <v>0</v>
          </cell>
          <cell r="U20">
            <v>0</v>
          </cell>
          <cell r="V20">
            <v>12000</v>
          </cell>
          <cell r="W20">
            <v>33822</v>
          </cell>
          <cell r="X20">
            <v>0</v>
          </cell>
          <cell r="Y20"/>
          <cell r="Z20">
            <v>0</v>
          </cell>
          <cell r="AA20">
            <v>0</v>
          </cell>
          <cell r="AB20">
            <v>0</v>
          </cell>
          <cell r="AC20"/>
          <cell r="AD20">
            <v>0</v>
          </cell>
          <cell r="AE20">
            <v>0</v>
          </cell>
          <cell r="AF20">
            <v>0</v>
          </cell>
          <cell r="AG20">
            <v>0</v>
          </cell>
          <cell r="AH20">
            <v>0</v>
          </cell>
          <cell r="AI20">
            <v>0</v>
          </cell>
          <cell r="AJ20">
            <v>0</v>
          </cell>
          <cell r="AK20">
            <v>0</v>
          </cell>
          <cell r="AL20"/>
          <cell r="AM20">
            <v>0</v>
          </cell>
          <cell r="AN20">
            <v>0</v>
          </cell>
          <cell r="AO20">
            <v>0</v>
          </cell>
          <cell r="AP20">
            <v>0</v>
          </cell>
          <cell r="AQ20">
            <v>0</v>
          </cell>
          <cell r="AR20">
            <v>0</v>
          </cell>
          <cell r="AS20">
            <v>0</v>
          </cell>
          <cell r="AT20">
            <v>0</v>
          </cell>
          <cell r="AU20">
            <v>0</v>
          </cell>
          <cell r="AV20">
            <v>0</v>
          </cell>
          <cell r="AW20">
            <v>0</v>
          </cell>
          <cell r="AX20">
            <v>0</v>
          </cell>
          <cell r="AY20"/>
          <cell r="AZ20"/>
          <cell r="BA20">
            <v>0</v>
          </cell>
          <cell r="BB20"/>
          <cell r="BC20">
            <v>0</v>
          </cell>
          <cell r="BD20">
            <v>12786</v>
          </cell>
          <cell r="BE20"/>
          <cell r="BF20">
            <v>134834</v>
          </cell>
          <cell r="BG20">
            <v>398885</v>
          </cell>
          <cell r="BH20">
            <v>134834</v>
          </cell>
          <cell r="BI20">
            <v>9991</v>
          </cell>
          <cell r="BJ20">
            <v>8224</v>
          </cell>
          <cell r="BK20">
            <v>8224</v>
          </cell>
          <cell r="BL20">
            <v>0</v>
          </cell>
          <cell r="BM20">
            <v>0</v>
          </cell>
          <cell r="BN20">
            <v>0</v>
          </cell>
          <cell r="BO20">
            <v>10215</v>
          </cell>
          <cell r="BP20">
            <v>0</v>
          </cell>
          <cell r="BQ20">
            <v>0</v>
          </cell>
          <cell r="BR20">
            <v>0</v>
          </cell>
          <cell r="BS20">
            <v>0</v>
          </cell>
          <cell r="BT20">
            <v>19833</v>
          </cell>
          <cell r="BU20"/>
          <cell r="BV20"/>
          <cell r="BW20"/>
          <cell r="BX20"/>
          <cell r="BY20">
            <v>0</v>
          </cell>
          <cell r="BZ20">
            <v>0</v>
          </cell>
          <cell r="CA20">
            <v>0</v>
          </cell>
          <cell r="CB20">
            <v>0</v>
          </cell>
          <cell r="CC20">
            <v>506139</v>
          </cell>
          <cell r="CD20">
            <v>2898642</v>
          </cell>
          <cell r="CE20">
            <v>510448</v>
          </cell>
          <cell r="CF20">
            <v>0</v>
          </cell>
          <cell r="CG20">
            <v>510448</v>
          </cell>
          <cell r="CH20">
            <v>510448</v>
          </cell>
          <cell r="CI20">
            <v>510448</v>
          </cell>
          <cell r="CJ20">
            <v>510448</v>
          </cell>
          <cell r="CK20">
            <v>0</v>
          </cell>
          <cell r="CL20">
            <v>0</v>
          </cell>
          <cell r="CM20">
            <v>0</v>
          </cell>
          <cell r="CN20">
            <v>0</v>
          </cell>
          <cell r="CO20">
            <v>0</v>
          </cell>
          <cell r="CP20">
            <v>-1933</v>
          </cell>
          <cell r="CQ20">
            <v>40702</v>
          </cell>
          <cell r="CR20">
            <v>45278</v>
          </cell>
          <cell r="CS20">
            <v>46781</v>
          </cell>
          <cell r="CT20">
            <v>50945</v>
          </cell>
          <cell r="CU20">
            <v>55091</v>
          </cell>
          <cell r="CV20">
            <v>5624</v>
          </cell>
          <cell r="CW20">
            <v>0</v>
          </cell>
          <cell r="CX20">
            <v>0</v>
          </cell>
          <cell r="CY20">
            <v>0</v>
          </cell>
          <cell r="CZ20">
            <v>0</v>
          </cell>
          <cell r="DA20">
            <v>0</v>
          </cell>
          <cell r="DB20"/>
          <cell r="DC20">
            <v>0</v>
          </cell>
          <cell r="DD20">
            <v>0</v>
          </cell>
          <cell r="DE20">
            <v>0</v>
          </cell>
          <cell r="DF20">
            <v>0</v>
          </cell>
          <cell r="DG20">
            <v>0</v>
          </cell>
          <cell r="DH20">
            <v>0</v>
          </cell>
          <cell r="DI20">
            <v>0</v>
          </cell>
          <cell r="DJ20">
            <v>0</v>
          </cell>
          <cell r="DK20">
            <v>0</v>
          </cell>
          <cell r="DL20">
            <v>0</v>
          </cell>
          <cell r="DM20"/>
          <cell r="DN20"/>
          <cell r="DO20"/>
          <cell r="DP20"/>
        </row>
        <row r="21">
          <cell r="A21">
            <v>47</v>
          </cell>
          <cell r="B21" t="str">
            <v>Veendam</v>
          </cell>
          <cell r="C21">
            <v>1</v>
          </cell>
          <cell r="D21">
            <v>24814</v>
          </cell>
          <cell r="E21">
            <v>12407</v>
          </cell>
          <cell r="F21">
            <v>0</v>
          </cell>
          <cell r="G21">
            <v>0</v>
          </cell>
          <cell r="H21">
            <v>619817</v>
          </cell>
          <cell r="I21">
            <v>204392</v>
          </cell>
          <cell r="J21"/>
          <cell r="K21">
            <v>0</v>
          </cell>
          <cell r="L21">
            <v>168640</v>
          </cell>
          <cell r="M21">
            <v>164651</v>
          </cell>
          <cell r="N21">
            <v>0</v>
          </cell>
          <cell r="O21">
            <v>0</v>
          </cell>
          <cell r="P21">
            <v>0</v>
          </cell>
          <cell r="Q21">
            <v>0</v>
          </cell>
          <cell r="R21">
            <v>0</v>
          </cell>
          <cell r="S21">
            <v>0</v>
          </cell>
          <cell r="T21">
            <v>0</v>
          </cell>
          <cell r="U21">
            <v>0</v>
          </cell>
          <cell r="V21">
            <v>12000</v>
          </cell>
          <cell r="W21">
            <v>62429</v>
          </cell>
          <cell r="X21">
            <v>0</v>
          </cell>
          <cell r="Y21"/>
          <cell r="Z21">
            <v>0</v>
          </cell>
          <cell r="AA21">
            <v>0</v>
          </cell>
          <cell r="AB21">
            <v>0</v>
          </cell>
          <cell r="AC21"/>
          <cell r="AD21">
            <v>85068</v>
          </cell>
          <cell r="AE21">
            <v>0</v>
          </cell>
          <cell r="AF21">
            <v>0</v>
          </cell>
          <cell r="AG21">
            <v>0</v>
          </cell>
          <cell r="AH21">
            <v>0</v>
          </cell>
          <cell r="AI21">
            <v>0</v>
          </cell>
          <cell r="AJ21">
            <v>0</v>
          </cell>
          <cell r="AK21">
            <v>0</v>
          </cell>
          <cell r="AL21"/>
          <cell r="AM21">
            <v>0</v>
          </cell>
          <cell r="AN21">
            <v>0</v>
          </cell>
          <cell r="AO21">
            <v>0</v>
          </cell>
          <cell r="AP21">
            <v>0</v>
          </cell>
          <cell r="AQ21">
            <v>0</v>
          </cell>
          <cell r="AR21">
            <v>0</v>
          </cell>
          <cell r="AS21">
            <v>0</v>
          </cell>
          <cell r="AT21">
            <v>0</v>
          </cell>
          <cell r="AU21">
            <v>7110</v>
          </cell>
          <cell r="AV21">
            <v>0</v>
          </cell>
          <cell r="AW21">
            <v>0</v>
          </cell>
          <cell r="AX21">
            <v>0</v>
          </cell>
          <cell r="AY21"/>
          <cell r="AZ21"/>
          <cell r="BA21">
            <v>0</v>
          </cell>
          <cell r="BB21"/>
          <cell r="BC21">
            <v>0</v>
          </cell>
          <cell r="BD21">
            <v>9663</v>
          </cell>
          <cell r="BE21"/>
          <cell r="BF21">
            <v>0</v>
          </cell>
          <cell r="BG21">
            <v>0</v>
          </cell>
          <cell r="BH21">
            <v>0</v>
          </cell>
          <cell r="BI21">
            <v>59038</v>
          </cell>
          <cell r="BJ21">
            <v>48597</v>
          </cell>
          <cell r="BK21">
            <v>48597</v>
          </cell>
          <cell r="BL21">
            <v>0</v>
          </cell>
          <cell r="BM21">
            <v>0</v>
          </cell>
          <cell r="BN21">
            <v>0</v>
          </cell>
          <cell r="BO21">
            <v>228135</v>
          </cell>
          <cell r="BP21">
            <v>34790.800000000003</v>
          </cell>
          <cell r="BQ21">
            <v>62674.418604651197</v>
          </cell>
          <cell r="BR21">
            <v>0</v>
          </cell>
          <cell r="BS21">
            <v>0</v>
          </cell>
          <cell r="BT21">
            <v>52721</v>
          </cell>
          <cell r="BU21"/>
          <cell r="BV21"/>
          <cell r="BW21"/>
          <cell r="BX21"/>
          <cell r="BY21">
            <v>0</v>
          </cell>
          <cell r="BZ21">
            <v>0</v>
          </cell>
          <cell r="CA21">
            <v>0</v>
          </cell>
          <cell r="CB21">
            <v>0</v>
          </cell>
          <cell r="CC21">
            <v>2950753</v>
          </cell>
          <cell r="CD21">
            <v>25650821</v>
          </cell>
          <cell r="CE21">
            <v>2793174</v>
          </cell>
          <cell r="CF21">
            <v>0</v>
          </cell>
          <cell r="CG21">
            <v>2793174</v>
          </cell>
          <cell r="CH21">
            <v>2793174</v>
          </cell>
          <cell r="CI21">
            <v>2793174</v>
          </cell>
          <cell r="CJ21">
            <v>2793174</v>
          </cell>
          <cell r="CK21">
            <v>0</v>
          </cell>
          <cell r="CL21">
            <v>0</v>
          </cell>
          <cell r="CM21">
            <v>0</v>
          </cell>
          <cell r="CN21">
            <v>0</v>
          </cell>
          <cell r="CO21">
            <v>0</v>
          </cell>
          <cell r="CP21">
            <v>0</v>
          </cell>
          <cell r="CQ21">
            <v>8917395</v>
          </cell>
          <cell r="CR21">
            <v>8530173</v>
          </cell>
          <cell r="CS21">
            <v>8320189</v>
          </cell>
          <cell r="CT21">
            <v>8154694</v>
          </cell>
          <cell r="CU21">
            <v>8020310</v>
          </cell>
          <cell r="CV21">
            <v>28271</v>
          </cell>
          <cell r="CW21">
            <v>0</v>
          </cell>
          <cell r="CX21">
            <v>0</v>
          </cell>
          <cell r="CY21">
            <v>0</v>
          </cell>
          <cell r="CZ21">
            <v>0</v>
          </cell>
          <cell r="DA21">
            <v>0</v>
          </cell>
          <cell r="DB21"/>
          <cell r="DC21">
            <v>0</v>
          </cell>
          <cell r="DD21">
            <v>0</v>
          </cell>
          <cell r="DE21">
            <v>0</v>
          </cell>
          <cell r="DF21">
            <v>0</v>
          </cell>
          <cell r="DG21">
            <v>0</v>
          </cell>
          <cell r="DH21">
            <v>0</v>
          </cell>
          <cell r="DI21">
            <v>0</v>
          </cell>
          <cell r="DJ21">
            <v>0</v>
          </cell>
          <cell r="DK21">
            <v>0</v>
          </cell>
          <cell r="DL21">
            <v>0</v>
          </cell>
          <cell r="DM21"/>
          <cell r="DN21"/>
          <cell r="DO21"/>
          <cell r="DP21"/>
        </row>
        <row r="22">
          <cell r="A22">
            <v>1950</v>
          </cell>
          <cell r="B22" t="str">
            <v>Westerwolde</v>
          </cell>
          <cell r="C22">
            <v>1</v>
          </cell>
          <cell r="D22">
            <v>9749</v>
          </cell>
          <cell r="E22">
            <v>4875</v>
          </cell>
          <cell r="F22">
            <v>0</v>
          </cell>
          <cell r="G22">
            <v>0</v>
          </cell>
          <cell r="H22">
            <v>-32083</v>
          </cell>
          <cell r="I22">
            <v>-5645</v>
          </cell>
          <cell r="J22"/>
          <cell r="K22">
            <v>0</v>
          </cell>
          <cell r="L22">
            <v>118859</v>
          </cell>
          <cell r="M22">
            <v>118346</v>
          </cell>
          <cell r="N22">
            <v>0</v>
          </cell>
          <cell r="O22">
            <v>0</v>
          </cell>
          <cell r="P22">
            <v>0</v>
          </cell>
          <cell r="Q22">
            <v>0</v>
          </cell>
          <cell r="R22">
            <v>0</v>
          </cell>
          <cell r="S22">
            <v>0</v>
          </cell>
          <cell r="T22">
            <v>0</v>
          </cell>
          <cell r="U22">
            <v>0</v>
          </cell>
          <cell r="V22">
            <v>9000</v>
          </cell>
          <cell r="W22">
            <v>92524</v>
          </cell>
          <cell r="X22">
            <v>2237369</v>
          </cell>
          <cell r="Y22"/>
          <cell r="Z22">
            <v>0</v>
          </cell>
          <cell r="AA22">
            <v>0</v>
          </cell>
          <cell r="AB22">
            <v>0</v>
          </cell>
          <cell r="AC22"/>
          <cell r="AD22">
            <v>115380</v>
          </cell>
          <cell r="AE22">
            <v>0</v>
          </cell>
          <cell r="AF22">
            <v>0</v>
          </cell>
          <cell r="AG22">
            <v>0</v>
          </cell>
          <cell r="AH22">
            <v>0</v>
          </cell>
          <cell r="AI22">
            <v>0</v>
          </cell>
          <cell r="AJ22">
            <v>0</v>
          </cell>
          <cell r="AK22">
            <v>0</v>
          </cell>
          <cell r="AL22"/>
          <cell r="AM22">
            <v>0</v>
          </cell>
          <cell r="AN22">
            <v>0</v>
          </cell>
          <cell r="AO22">
            <v>0</v>
          </cell>
          <cell r="AP22">
            <v>0</v>
          </cell>
          <cell r="AQ22">
            <v>0</v>
          </cell>
          <cell r="AR22">
            <v>0</v>
          </cell>
          <cell r="AS22">
            <v>0</v>
          </cell>
          <cell r="AT22">
            <v>0</v>
          </cell>
          <cell r="AU22">
            <v>0</v>
          </cell>
          <cell r="AV22">
            <v>0</v>
          </cell>
          <cell r="AW22">
            <v>0</v>
          </cell>
          <cell r="AX22">
            <v>0</v>
          </cell>
          <cell r="AY22"/>
          <cell r="AZ22"/>
          <cell r="BA22">
            <v>0</v>
          </cell>
          <cell r="BB22"/>
          <cell r="BC22">
            <v>0</v>
          </cell>
          <cell r="BD22">
            <v>43557</v>
          </cell>
          <cell r="BE22"/>
          <cell r="BF22">
            <v>0</v>
          </cell>
          <cell r="BG22">
            <v>0</v>
          </cell>
          <cell r="BH22">
            <v>0</v>
          </cell>
          <cell r="BI22">
            <v>48843</v>
          </cell>
          <cell r="BJ22">
            <v>40205</v>
          </cell>
          <cell r="BK22">
            <v>40205</v>
          </cell>
          <cell r="BL22">
            <v>0</v>
          </cell>
          <cell r="BM22">
            <v>0</v>
          </cell>
          <cell r="BN22">
            <v>0</v>
          </cell>
          <cell r="BO22">
            <v>129390</v>
          </cell>
          <cell r="BP22">
            <v>1581.4</v>
          </cell>
          <cell r="BQ22">
            <v>2848.8372093023299</v>
          </cell>
          <cell r="BR22">
            <v>0</v>
          </cell>
          <cell r="BS22">
            <v>0</v>
          </cell>
          <cell r="BT22">
            <v>60900</v>
          </cell>
          <cell r="BU22"/>
          <cell r="BV22"/>
          <cell r="BW22"/>
          <cell r="BX22"/>
          <cell r="BY22">
            <v>0</v>
          </cell>
          <cell r="BZ22">
            <v>0</v>
          </cell>
          <cell r="CA22">
            <v>0</v>
          </cell>
          <cell r="CB22">
            <v>0</v>
          </cell>
          <cell r="CC22">
            <v>2916397</v>
          </cell>
          <cell r="CD22">
            <v>20708234</v>
          </cell>
          <cell r="CE22">
            <v>1256401</v>
          </cell>
          <cell r="CF22">
            <v>-13386</v>
          </cell>
          <cell r="CG22">
            <v>1256401</v>
          </cell>
          <cell r="CH22">
            <v>1256401</v>
          </cell>
          <cell r="CI22">
            <v>1256401</v>
          </cell>
          <cell r="CJ22">
            <v>1256401</v>
          </cell>
          <cell r="CK22">
            <v>0</v>
          </cell>
          <cell r="CL22">
            <v>0</v>
          </cell>
          <cell r="CM22">
            <v>0</v>
          </cell>
          <cell r="CN22">
            <v>0</v>
          </cell>
          <cell r="CO22">
            <v>0</v>
          </cell>
          <cell r="CP22">
            <v>0</v>
          </cell>
          <cell r="CQ22">
            <v>8294042</v>
          </cell>
          <cell r="CR22">
            <v>7790449</v>
          </cell>
          <cell r="CS22">
            <v>7456354</v>
          </cell>
          <cell r="CT22">
            <v>7096205</v>
          </cell>
          <cell r="CU22">
            <v>6880854</v>
          </cell>
          <cell r="CV22">
            <v>38888</v>
          </cell>
          <cell r="CW22">
            <v>0</v>
          </cell>
          <cell r="CX22">
            <v>0</v>
          </cell>
          <cell r="CY22">
            <v>0</v>
          </cell>
          <cell r="CZ22">
            <v>0</v>
          </cell>
          <cell r="DA22">
            <v>0</v>
          </cell>
          <cell r="DB22"/>
          <cell r="DC22">
            <v>0</v>
          </cell>
          <cell r="DD22">
            <v>0</v>
          </cell>
          <cell r="DE22">
            <v>0</v>
          </cell>
          <cell r="DF22">
            <v>0</v>
          </cell>
          <cell r="DG22">
            <v>0</v>
          </cell>
          <cell r="DH22">
            <v>0</v>
          </cell>
          <cell r="DI22">
            <v>0</v>
          </cell>
          <cell r="DJ22">
            <v>0</v>
          </cell>
          <cell r="DK22">
            <v>0</v>
          </cell>
          <cell r="DL22">
            <v>0</v>
          </cell>
          <cell r="DM22"/>
          <cell r="DN22"/>
          <cell r="DO22"/>
          <cell r="DP22"/>
        </row>
        <row r="23">
          <cell r="A23">
            <v>53</v>
          </cell>
          <cell r="B23" t="str">
            <v>Winsum</v>
          </cell>
          <cell r="C23">
            <v>1</v>
          </cell>
          <cell r="D23">
            <v>38554</v>
          </cell>
          <cell r="E23">
            <v>19277</v>
          </cell>
          <cell r="F23">
            <v>0</v>
          </cell>
          <cell r="G23">
            <v>0</v>
          </cell>
          <cell r="H23">
            <v>-9862</v>
          </cell>
          <cell r="I23">
            <v>-2305</v>
          </cell>
          <cell r="J23"/>
          <cell r="K23">
            <v>0</v>
          </cell>
          <cell r="L23">
            <v>57898</v>
          </cell>
          <cell r="M23">
            <v>57852</v>
          </cell>
          <cell r="N23">
            <v>0</v>
          </cell>
          <cell r="O23">
            <v>0</v>
          </cell>
          <cell r="P23">
            <v>0</v>
          </cell>
          <cell r="Q23">
            <v>0</v>
          </cell>
          <cell r="R23">
            <v>0</v>
          </cell>
          <cell r="S23">
            <v>0</v>
          </cell>
          <cell r="T23">
            <v>0</v>
          </cell>
          <cell r="U23">
            <v>0</v>
          </cell>
          <cell r="V23">
            <v>0</v>
          </cell>
          <cell r="W23">
            <v>27881</v>
          </cell>
          <cell r="X23">
            <v>0</v>
          </cell>
          <cell r="Y23"/>
          <cell r="Z23">
            <v>0</v>
          </cell>
          <cell r="AA23">
            <v>0</v>
          </cell>
          <cell r="AB23">
            <v>0</v>
          </cell>
          <cell r="AC23"/>
          <cell r="AD23">
            <v>0</v>
          </cell>
          <cell r="AE23">
            <v>0</v>
          </cell>
          <cell r="AF23">
            <v>0</v>
          </cell>
          <cell r="AG23">
            <v>0</v>
          </cell>
          <cell r="AH23">
            <v>0</v>
          </cell>
          <cell r="AI23">
            <v>0</v>
          </cell>
          <cell r="AJ23">
            <v>0</v>
          </cell>
          <cell r="AK23">
            <v>0</v>
          </cell>
          <cell r="AL23"/>
          <cell r="AM23">
            <v>0</v>
          </cell>
          <cell r="AN23">
            <v>0</v>
          </cell>
          <cell r="AO23">
            <v>0</v>
          </cell>
          <cell r="AP23">
            <v>0</v>
          </cell>
          <cell r="AQ23">
            <v>0</v>
          </cell>
          <cell r="AR23">
            <v>0</v>
          </cell>
          <cell r="AS23">
            <v>0</v>
          </cell>
          <cell r="AT23">
            <v>0</v>
          </cell>
          <cell r="AU23">
            <v>7110</v>
          </cell>
          <cell r="AV23">
            <v>0</v>
          </cell>
          <cell r="AW23">
            <v>0</v>
          </cell>
          <cell r="AX23">
            <v>0</v>
          </cell>
          <cell r="AY23"/>
          <cell r="AZ23"/>
          <cell r="BA23">
            <v>0</v>
          </cell>
          <cell r="BB23"/>
          <cell r="BC23">
            <v>0</v>
          </cell>
          <cell r="BD23">
            <v>23853</v>
          </cell>
          <cell r="BE23"/>
          <cell r="BF23">
            <v>0</v>
          </cell>
          <cell r="BG23">
            <v>0</v>
          </cell>
          <cell r="BH23">
            <v>0</v>
          </cell>
          <cell r="BI23">
            <v>20493</v>
          </cell>
          <cell r="BJ23">
            <v>16869</v>
          </cell>
          <cell r="BK23">
            <v>16869</v>
          </cell>
          <cell r="BL23">
            <v>0</v>
          </cell>
          <cell r="BM23">
            <v>0</v>
          </cell>
          <cell r="BN23">
            <v>0</v>
          </cell>
          <cell r="BO23">
            <v>68586</v>
          </cell>
          <cell r="BP23">
            <v>1581.4</v>
          </cell>
          <cell r="BQ23">
            <v>2848.8372093023299</v>
          </cell>
          <cell r="BR23">
            <v>0</v>
          </cell>
          <cell r="BS23">
            <v>0</v>
          </cell>
          <cell r="BT23">
            <v>30775</v>
          </cell>
          <cell r="BU23"/>
          <cell r="BV23"/>
          <cell r="BW23"/>
          <cell r="BX23"/>
          <cell r="BY23">
            <v>0</v>
          </cell>
          <cell r="BZ23">
            <v>0</v>
          </cell>
          <cell r="CA23">
            <v>0</v>
          </cell>
          <cell r="CB23">
            <v>0</v>
          </cell>
          <cell r="CC23">
            <v>1050258</v>
          </cell>
          <cell r="CD23">
            <v>7226129</v>
          </cell>
          <cell r="CE23">
            <v>493111</v>
          </cell>
          <cell r="CF23">
            <v>-5604</v>
          </cell>
          <cell r="CG23">
            <v>493111</v>
          </cell>
          <cell r="CH23">
            <v>493111</v>
          </cell>
          <cell r="CI23">
            <v>493111</v>
          </cell>
          <cell r="CJ23">
            <v>493111</v>
          </cell>
          <cell r="CK23">
            <v>0</v>
          </cell>
          <cell r="CL23">
            <v>0</v>
          </cell>
          <cell r="CM23">
            <v>0</v>
          </cell>
          <cell r="CN23">
            <v>0</v>
          </cell>
          <cell r="CO23">
            <v>0</v>
          </cell>
          <cell r="CP23">
            <v>0</v>
          </cell>
          <cell r="CQ23">
            <v>1672223</v>
          </cell>
          <cell r="CR23">
            <v>1597384</v>
          </cell>
          <cell r="CS23">
            <v>1548119</v>
          </cell>
          <cell r="CT23">
            <v>1514641</v>
          </cell>
          <cell r="CU23">
            <v>1452444</v>
          </cell>
          <cell r="CV23">
            <v>25361</v>
          </cell>
          <cell r="CW23">
            <v>0</v>
          </cell>
          <cell r="CX23">
            <v>0</v>
          </cell>
          <cell r="CY23">
            <v>0</v>
          </cell>
          <cell r="CZ23">
            <v>0</v>
          </cell>
          <cell r="DA23">
            <v>0</v>
          </cell>
          <cell r="DB23"/>
          <cell r="DC23">
            <v>0</v>
          </cell>
          <cell r="DD23">
            <v>0</v>
          </cell>
          <cell r="DE23">
            <v>0</v>
          </cell>
          <cell r="DF23">
            <v>0</v>
          </cell>
          <cell r="DG23">
            <v>0</v>
          </cell>
          <cell r="DH23">
            <v>0</v>
          </cell>
          <cell r="DI23">
            <v>0</v>
          </cell>
          <cell r="DJ23">
            <v>0</v>
          </cell>
          <cell r="DK23">
            <v>0</v>
          </cell>
          <cell r="DL23">
            <v>0</v>
          </cell>
          <cell r="DM23"/>
          <cell r="DN23"/>
          <cell r="DO23"/>
          <cell r="DP23"/>
        </row>
        <row r="24">
          <cell r="A24">
            <v>56</v>
          </cell>
          <cell r="B24" t="str">
            <v>Zuidhorn</v>
          </cell>
          <cell r="C24">
            <v>1</v>
          </cell>
          <cell r="D24">
            <v>14464</v>
          </cell>
          <cell r="E24">
            <v>7232</v>
          </cell>
          <cell r="F24">
            <v>0</v>
          </cell>
          <cell r="G24">
            <v>11366</v>
          </cell>
          <cell r="H24">
            <v>-6317</v>
          </cell>
          <cell r="I24">
            <v>-1531</v>
          </cell>
          <cell r="J24"/>
          <cell r="K24">
            <v>0</v>
          </cell>
          <cell r="L24">
            <v>52824</v>
          </cell>
          <cell r="M24">
            <v>54638</v>
          </cell>
          <cell r="N24">
            <v>0</v>
          </cell>
          <cell r="O24">
            <v>0</v>
          </cell>
          <cell r="P24">
            <v>0</v>
          </cell>
          <cell r="Q24">
            <v>0</v>
          </cell>
          <cell r="R24">
            <v>0</v>
          </cell>
          <cell r="S24">
            <v>0</v>
          </cell>
          <cell r="T24">
            <v>0</v>
          </cell>
          <cell r="U24">
            <v>0</v>
          </cell>
          <cell r="V24">
            <v>0</v>
          </cell>
          <cell r="W24">
            <v>78390</v>
          </cell>
          <cell r="X24">
            <v>0</v>
          </cell>
          <cell r="Y24"/>
          <cell r="Z24">
            <v>0</v>
          </cell>
          <cell r="AA24">
            <v>0</v>
          </cell>
          <cell r="AB24">
            <v>0</v>
          </cell>
          <cell r="AC24"/>
          <cell r="AD24">
            <v>20000</v>
          </cell>
          <cell r="AE24">
            <v>0</v>
          </cell>
          <cell r="AF24">
            <v>0</v>
          </cell>
          <cell r="AG24">
            <v>0</v>
          </cell>
          <cell r="AH24">
            <v>0</v>
          </cell>
          <cell r="AI24">
            <v>0</v>
          </cell>
          <cell r="AJ24">
            <v>0</v>
          </cell>
          <cell r="AK24">
            <v>0</v>
          </cell>
          <cell r="AL24"/>
          <cell r="AM24">
            <v>0</v>
          </cell>
          <cell r="AN24">
            <v>0</v>
          </cell>
          <cell r="AO24">
            <v>0</v>
          </cell>
          <cell r="AP24">
            <v>0</v>
          </cell>
          <cell r="AQ24">
            <v>0</v>
          </cell>
          <cell r="AR24">
            <v>0</v>
          </cell>
          <cell r="AS24">
            <v>0</v>
          </cell>
          <cell r="AT24">
            <v>0</v>
          </cell>
          <cell r="AU24">
            <v>2370</v>
          </cell>
          <cell r="AV24">
            <v>0</v>
          </cell>
          <cell r="AW24">
            <v>0</v>
          </cell>
          <cell r="AX24">
            <v>0</v>
          </cell>
          <cell r="AY24"/>
          <cell r="AZ24"/>
          <cell r="BA24">
            <v>0</v>
          </cell>
          <cell r="BB24"/>
          <cell r="BC24">
            <v>0</v>
          </cell>
          <cell r="BD24">
            <v>33087</v>
          </cell>
          <cell r="BE24"/>
          <cell r="BF24">
            <v>0</v>
          </cell>
          <cell r="BG24">
            <v>0</v>
          </cell>
          <cell r="BH24">
            <v>0</v>
          </cell>
          <cell r="BI24">
            <v>21278</v>
          </cell>
          <cell r="BJ24">
            <v>17515</v>
          </cell>
          <cell r="BK24">
            <v>17515</v>
          </cell>
          <cell r="BL24">
            <v>0</v>
          </cell>
          <cell r="BM24">
            <v>0</v>
          </cell>
          <cell r="BN24">
            <v>0</v>
          </cell>
          <cell r="BO24">
            <v>72478</v>
          </cell>
          <cell r="BP24">
            <v>20558.2</v>
          </cell>
          <cell r="BQ24">
            <v>37034.8837209302</v>
          </cell>
          <cell r="BR24">
            <v>0</v>
          </cell>
          <cell r="BS24">
            <v>0</v>
          </cell>
          <cell r="BT24">
            <v>40435</v>
          </cell>
          <cell r="BU24"/>
          <cell r="BV24"/>
          <cell r="BW24"/>
          <cell r="BX24"/>
          <cell r="BY24">
            <v>0</v>
          </cell>
          <cell r="BZ24">
            <v>0</v>
          </cell>
          <cell r="CA24">
            <v>0</v>
          </cell>
          <cell r="CB24">
            <v>0</v>
          </cell>
          <cell r="CC24">
            <v>1256998</v>
          </cell>
          <cell r="CD24">
            <v>8590860</v>
          </cell>
          <cell r="CE24">
            <v>1004843</v>
          </cell>
          <cell r="CF24">
            <v>0</v>
          </cell>
          <cell r="CG24">
            <v>1004843</v>
          </cell>
          <cell r="CH24">
            <v>1004843</v>
          </cell>
          <cell r="CI24">
            <v>1004843</v>
          </cell>
          <cell r="CJ24">
            <v>1004843</v>
          </cell>
          <cell r="CK24">
            <v>0</v>
          </cell>
          <cell r="CL24">
            <v>0</v>
          </cell>
          <cell r="CM24">
            <v>0</v>
          </cell>
          <cell r="CN24">
            <v>0</v>
          </cell>
          <cell r="CO24">
            <v>0</v>
          </cell>
          <cell r="CP24">
            <v>-554</v>
          </cell>
          <cell r="CQ24">
            <v>1473321</v>
          </cell>
          <cell r="CR24">
            <v>1388008</v>
          </cell>
          <cell r="CS24">
            <v>1362310</v>
          </cell>
          <cell r="CT24">
            <v>1314411</v>
          </cell>
          <cell r="CU24">
            <v>1312741</v>
          </cell>
          <cell r="CV24">
            <v>-5315</v>
          </cell>
          <cell r="CW24">
            <v>0</v>
          </cell>
          <cell r="CX24">
            <v>0</v>
          </cell>
          <cell r="CY24">
            <v>0</v>
          </cell>
          <cell r="CZ24">
            <v>0</v>
          </cell>
          <cell r="DA24">
            <v>0</v>
          </cell>
          <cell r="DB24"/>
          <cell r="DC24">
            <v>0</v>
          </cell>
          <cell r="DD24">
            <v>0</v>
          </cell>
          <cell r="DE24">
            <v>0</v>
          </cell>
          <cell r="DF24">
            <v>0</v>
          </cell>
          <cell r="DG24">
            <v>0</v>
          </cell>
          <cell r="DH24">
            <v>0</v>
          </cell>
          <cell r="DI24">
            <v>0</v>
          </cell>
          <cell r="DJ24">
            <v>0</v>
          </cell>
          <cell r="DK24">
            <v>0</v>
          </cell>
          <cell r="DL24">
            <v>0</v>
          </cell>
          <cell r="DM24"/>
          <cell r="DN24"/>
          <cell r="DO24"/>
          <cell r="DP24"/>
        </row>
        <row r="25">
          <cell r="A25">
            <v>59</v>
          </cell>
          <cell r="B25" t="str">
            <v>Achtkarspelen</v>
          </cell>
          <cell r="C25">
            <v>2</v>
          </cell>
          <cell r="D25">
            <v>57811</v>
          </cell>
          <cell r="E25">
            <v>28906</v>
          </cell>
          <cell r="F25">
            <v>0</v>
          </cell>
          <cell r="G25">
            <v>0</v>
          </cell>
          <cell r="H25">
            <v>-95131</v>
          </cell>
          <cell r="I25">
            <v>-44818</v>
          </cell>
          <cell r="J25"/>
          <cell r="K25">
            <v>0</v>
          </cell>
          <cell r="L25">
            <v>148027</v>
          </cell>
          <cell r="M25">
            <v>147605</v>
          </cell>
          <cell r="N25">
            <v>0</v>
          </cell>
          <cell r="O25">
            <v>0</v>
          </cell>
          <cell r="P25">
            <v>0</v>
          </cell>
          <cell r="Q25">
            <v>0</v>
          </cell>
          <cell r="R25">
            <v>326571</v>
          </cell>
          <cell r="S25">
            <v>0</v>
          </cell>
          <cell r="T25">
            <v>0</v>
          </cell>
          <cell r="U25">
            <v>0</v>
          </cell>
          <cell r="V25">
            <v>0</v>
          </cell>
          <cell r="W25">
            <v>118959</v>
          </cell>
          <cell r="X25">
            <v>0</v>
          </cell>
          <cell r="Y25"/>
          <cell r="Z25">
            <v>0</v>
          </cell>
          <cell r="AA25">
            <v>0</v>
          </cell>
          <cell r="AB25">
            <v>0</v>
          </cell>
          <cell r="AC25"/>
          <cell r="AD25">
            <v>75290</v>
          </cell>
          <cell r="AE25">
            <v>0</v>
          </cell>
          <cell r="AF25">
            <v>0</v>
          </cell>
          <cell r="AG25">
            <v>0</v>
          </cell>
          <cell r="AH25">
            <v>0</v>
          </cell>
          <cell r="AI25">
            <v>0</v>
          </cell>
          <cell r="AJ25">
            <v>0</v>
          </cell>
          <cell r="AK25">
            <v>0</v>
          </cell>
          <cell r="AL25"/>
          <cell r="AM25">
            <v>0</v>
          </cell>
          <cell r="AN25">
            <v>0</v>
          </cell>
          <cell r="AO25">
            <v>0</v>
          </cell>
          <cell r="AP25">
            <v>0</v>
          </cell>
          <cell r="AQ25">
            <v>0</v>
          </cell>
          <cell r="AR25">
            <v>0</v>
          </cell>
          <cell r="AS25">
            <v>0</v>
          </cell>
          <cell r="AT25">
            <v>0</v>
          </cell>
          <cell r="AU25">
            <v>0</v>
          </cell>
          <cell r="AV25">
            <v>0</v>
          </cell>
          <cell r="AW25">
            <v>0</v>
          </cell>
          <cell r="AX25">
            <v>0</v>
          </cell>
          <cell r="AY25"/>
          <cell r="AZ25"/>
          <cell r="BA25">
            <v>0</v>
          </cell>
          <cell r="BB25"/>
          <cell r="BC25">
            <v>0</v>
          </cell>
          <cell r="BD25">
            <v>9791</v>
          </cell>
          <cell r="BE25"/>
          <cell r="BF25">
            <v>0</v>
          </cell>
          <cell r="BG25">
            <v>0</v>
          </cell>
          <cell r="BH25">
            <v>0</v>
          </cell>
          <cell r="BI25">
            <v>50044</v>
          </cell>
          <cell r="BJ25">
            <v>41193</v>
          </cell>
          <cell r="BK25">
            <v>41193</v>
          </cell>
          <cell r="BL25">
            <v>0</v>
          </cell>
          <cell r="BM25">
            <v>0</v>
          </cell>
          <cell r="BN25">
            <v>0</v>
          </cell>
          <cell r="BO25">
            <v>146901</v>
          </cell>
          <cell r="BP25">
            <v>14232.6</v>
          </cell>
          <cell r="BQ25">
            <v>25639.534883720899</v>
          </cell>
          <cell r="BR25">
            <v>0</v>
          </cell>
          <cell r="BS25">
            <v>0</v>
          </cell>
          <cell r="BT25">
            <v>61532</v>
          </cell>
          <cell r="BU25"/>
          <cell r="BV25"/>
          <cell r="BW25"/>
          <cell r="BX25"/>
          <cell r="BY25">
            <v>0</v>
          </cell>
          <cell r="BZ25">
            <v>0</v>
          </cell>
          <cell r="CA25">
            <v>0</v>
          </cell>
          <cell r="CB25">
            <v>0</v>
          </cell>
          <cell r="CC25">
            <v>2466808</v>
          </cell>
          <cell r="CD25">
            <v>18550205</v>
          </cell>
          <cell r="CE25">
            <v>1228734</v>
          </cell>
          <cell r="CF25">
            <v>-108494</v>
          </cell>
          <cell r="CG25">
            <v>1228734</v>
          </cell>
          <cell r="CH25">
            <v>1228734</v>
          </cell>
          <cell r="CI25">
            <v>1228734</v>
          </cell>
          <cell r="CJ25">
            <v>1228734</v>
          </cell>
          <cell r="CK25">
            <v>0</v>
          </cell>
          <cell r="CL25">
            <v>0</v>
          </cell>
          <cell r="CM25">
            <v>0</v>
          </cell>
          <cell r="CN25">
            <v>0</v>
          </cell>
          <cell r="CO25">
            <v>0</v>
          </cell>
          <cell r="CP25">
            <v>0</v>
          </cell>
          <cell r="CQ25">
            <v>4642807</v>
          </cell>
          <cell r="CR25">
            <v>4383321</v>
          </cell>
          <cell r="CS25">
            <v>4255791</v>
          </cell>
          <cell r="CT25">
            <v>4167039</v>
          </cell>
          <cell r="CU25">
            <v>4006849</v>
          </cell>
          <cell r="CV25">
            <v>-81135</v>
          </cell>
          <cell r="CW25">
            <v>0</v>
          </cell>
          <cell r="CX25">
            <v>0</v>
          </cell>
          <cell r="CY25">
            <v>0</v>
          </cell>
          <cell r="CZ25">
            <v>0</v>
          </cell>
          <cell r="DA25">
            <v>0</v>
          </cell>
          <cell r="DB25"/>
          <cell r="DC25">
            <v>0</v>
          </cell>
          <cell r="DD25">
            <v>0</v>
          </cell>
          <cell r="DE25">
            <v>0</v>
          </cell>
          <cell r="DF25">
            <v>0</v>
          </cell>
          <cell r="DG25">
            <v>0</v>
          </cell>
          <cell r="DH25">
            <v>0</v>
          </cell>
          <cell r="DI25">
            <v>0</v>
          </cell>
          <cell r="DJ25">
            <v>0</v>
          </cell>
          <cell r="DK25">
            <v>0</v>
          </cell>
          <cell r="DL25">
            <v>0</v>
          </cell>
          <cell r="DM25"/>
          <cell r="DN25"/>
          <cell r="DO25"/>
          <cell r="DP25"/>
        </row>
        <row r="26">
          <cell r="A26">
            <v>60</v>
          </cell>
          <cell r="B26" t="str">
            <v>Ameland</v>
          </cell>
          <cell r="C26">
            <v>2</v>
          </cell>
          <cell r="D26">
            <v>-10284</v>
          </cell>
          <cell r="E26">
            <v>-5142</v>
          </cell>
          <cell r="F26">
            <v>0</v>
          </cell>
          <cell r="G26">
            <v>0</v>
          </cell>
          <cell r="H26">
            <v>-12723</v>
          </cell>
          <cell r="I26">
            <v>-11260</v>
          </cell>
          <cell r="J26"/>
          <cell r="K26">
            <v>0</v>
          </cell>
          <cell r="L26">
            <v>12256</v>
          </cell>
          <cell r="M26">
            <v>7618</v>
          </cell>
          <cell r="N26">
            <v>0</v>
          </cell>
          <cell r="O26">
            <v>0</v>
          </cell>
          <cell r="P26">
            <v>0</v>
          </cell>
          <cell r="Q26">
            <v>0</v>
          </cell>
          <cell r="R26">
            <v>0</v>
          </cell>
          <cell r="S26">
            <v>0</v>
          </cell>
          <cell r="T26">
            <v>0</v>
          </cell>
          <cell r="U26">
            <v>0</v>
          </cell>
          <cell r="V26">
            <v>0</v>
          </cell>
          <cell r="W26">
            <v>27213</v>
          </cell>
          <cell r="X26">
            <v>0</v>
          </cell>
          <cell r="Y26"/>
          <cell r="Z26">
            <v>0</v>
          </cell>
          <cell r="AA26">
            <v>0</v>
          </cell>
          <cell r="AB26">
            <v>0</v>
          </cell>
          <cell r="AC26"/>
          <cell r="AD26">
            <v>0</v>
          </cell>
          <cell r="AE26">
            <v>0</v>
          </cell>
          <cell r="AF26">
            <v>0</v>
          </cell>
          <cell r="AG26">
            <v>0</v>
          </cell>
          <cell r="AH26">
            <v>0</v>
          </cell>
          <cell r="AI26">
            <v>0</v>
          </cell>
          <cell r="AJ26">
            <v>0</v>
          </cell>
          <cell r="AK26">
            <v>0</v>
          </cell>
          <cell r="AL26"/>
          <cell r="AM26">
            <v>0</v>
          </cell>
          <cell r="AN26">
            <v>0</v>
          </cell>
          <cell r="AO26">
            <v>0</v>
          </cell>
          <cell r="AP26">
            <v>0</v>
          </cell>
          <cell r="AQ26">
            <v>0</v>
          </cell>
          <cell r="AR26">
            <v>0</v>
          </cell>
          <cell r="AS26">
            <v>0</v>
          </cell>
          <cell r="AT26">
            <v>0</v>
          </cell>
          <cell r="AU26">
            <v>0</v>
          </cell>
          <cell r="AV26">
            <v>0</v>
          </cell>
          <cell r="AW26">
            <v>0</v>
          </cell>
          <cell r="AX26">
            <v>0</v>
          </cell>
          <cell r="AY26"/>
          <cell r="AZ26"/>
          <cell r="BA26">
            <v>0</v>
          </cell>
          <cell r="BB26"/>
          <cell r="BC26">
            <v>0</v>
          </cell>
          <cell r="BD26">
            <v>1275</v>
          </cell>
          <cell r="BE26"/>
          <cell r="BF26">
            <v>0</v>
          </cell>
          <cell r="BG26">
            <v>0</v>
          </cell>
          <cell r="BH26">
            <v>0</v>
          </cell>
          <cell r="BI26">
            <v>2651</v>
          </cell>
          <cell r="BJ26">
            <v>2183</v>
          </cell>
          <cell r="BK26">
            <v>2183</v>
          </cell>
          <cell r="BL26">
            <v>0</v>
          </cell>
          <cell r="BM26">
            <v>0</v>
          </cell>
          <cell r="BN26">
            <v>0</v>
          </cell>
          <cell r="BO26">
            <v>22376</v>
          </cell>
          <cell r="BP26">
            <v>0</v>
          </cell>
          <cell r="BQ26">
            <v>0</v>
          </cell>
          <cell r="BR26">
            <v>0</v>
          </cell>
          <cell r="BS26">
            <v>0</v>
          </cell>
          <cell r="BT26">
            <v>7938</v>
          </cell>
          <cell r="BU26"/>
          <cell r="BV26"/>
          <cell r="BW26"/>
          <cell r="BX26"/>
          <cell r="BY26">
            <v>0</v>
          </cell>
          <cell r="BZ26">
            <v>0</v>
          </cell>
          <cell r="CA26">
            <v>0</v>
          </cell>
          <cell r="CB26">
            <v>0</v>
          </cell>
          <cell r="CC26">
            <v>273698</v>
          </cell>
          <cell r="CD26">
            <v>1303611</v>
          </cell>
          <cell r="CE26">
            <v>78853</v>
          </cell>
          <cell r="CF26">
            <v>-21301</v>
          </cell>
          <cell r="CG26">
            <v>78853</v>
          </cell>
          <cell r="CH26">
            <v>78853</v>
          </cell>
          <cell r="CI26">
            <v>78853</v>
          </cell>
          <cell r="CJ26">
            <v>78853</v>
          </cell>
          <cell r="CK26">
            <v>0</v>
          </cell>
          <cell r="CL26">
            <v>0</v>
          </cell>
          <cell r="CM26">
            <v>0</v>
          </cell>
          <cell r="CN26">
            <v>0</v>
          </cell>
          <cell r="CO26">
            <v>0</v>
          </cell>
          <cell r="CP26">
            <v>-872</v>
          </cell>
          <cell r="CQ26">
            <v>270789</v>
          </cell>
          <cell r="CR26">
            <v>261670</v>
          </cell>
          <cell r="CS26">
            <v>250501</v>
          </cell>
          <cell r="CT26">
            <v>221669</v>
          </cell>
          <cell r="CU26">
            <v>221364</v>
          </cell>
          <cell r="CV26">
            <v>-17301</v>
          </cell>
          <cell r="CW26">
            <v>0</v>
          </cell>
          <cell r="CX26">
            <v>0</v>
          </cell>
          <cell r="CY26">
            <v>0</v>
          </cell>
          <cell r="CZ26">
            <v>0</v>
          </cell>
          <cell r="DA26">
            <v>0</v>
          </cell>
          <cell r="DB26"/>
          <cell r="DC26">
            <v>0</v>
          </cell>
          <cell r="DD26">
            <v>0</v>
          </cell>
          <cell r="DE26">
            <v>0</v>
          </cell>
          <cell r="DF26">
            <v>0</v>
          </cell>
          <cell r="DG26">
            <v>0</v>
          </cell>
          <cell r="DH26">
            <v>0</v>
          </cell>
          <cell r="DI26">
            <v>0</v>
          </cell>
          <cell r="DJ26">
            <v>0</v>
          </cell>
          <cell r="DK26">
            <v>0</v>
          </cell>
          <cell r="DL26">
            <v>0</v>
          </cell>
          <cell r="DM26"/>
          <cell r="DN26"/>
          <cell r="DO26"/>
          <cell r="DP26"/>
        </row>
        <row r="27">
          <cell r="A27">
            <v>1891</v>
          </cell>
          <cell r="B27" t="str">
            <v>Dantumadiel</v>
          </cell>
          <cell r="C27">
            <v>2</v>
          </cell>
          <cell r="D27">
            <v>7117</v>
          </cell>
          <cell r="E27">
            <v>3558</v>
          </cell>
          <cell r="F27">
            <v>0</v>
          </cell>
          <cell r="G27">
            <v>0</v>
          </cell>
          <cell r="H27">
            <v>-77973</v>
          </cell>
          <cell r="I27">
            <v>-39637</v>
          </cell>
          <cell r="J27"/>
          <cell r="K27">
            <v>0</v>
          </cell>
          <cell r="L27">
            <v>90726</v>
          </cell>
          <cell r="M27">
            <v>82849</v>
          </cell>
          <cell r="N27">
            <v>0</v>
          </cell>
          <cell r="O27">
            <v>0</v>
          </cell>
          <cell r="P27">
            <v>0</v>
          </cell>
          <cell r="Q27">
            <v>0</v>
          </cell>
          <cell r="R27">
            <v>0</v>
          </cell>
          <cell r="S27">
            <v>0</v>
          </cell>
          <cell r="T27">
            <v>0</v>
          </cell>
          <cell r="U27">
            <v>0</v>
          </cell>
          <cell r="V27">
            <v>3000</v>
          </cell>
          <cell r="W27">
            <v>83777</v>
          </cell>
          <cell r="X27">
            <v>0</v>
          </cell>
          <cell r="Y27"/>
          <cell r="Z27">
            <v>0</v>
          </cell>
          <cell r="AA27">
            <v>0</v>
          </cell>
          <cell r="AB27">
            <v>0</v>
          </cell>
          <cell r="AC27"/>
          <cell r="AD27">
            <v>57690</v>
          </cell>
          <cell r="AE27">
            <v>0</v>
          </cell>
          <cell r="AF27">
            <v>0</v>
          </cell>
          <cell r="AG27">
            <v>0</v>
          </cell>
          <cell r="AH27">
            <v>0</v>
          </cell>
          <cell r="AI27">
            <v>0</v>
          </cell>
          <cell r="AJ27">
            <v>0</v>
          </cell>
          <cell r="AK27">
            <v>0</v>
          </cell>
          <cell r="AL27"/>
          <cell r="AM27">
            <v>0</v>
          </cell>
          <cell r="AN27">
            <v>0</v>
          </cell>
          <cell r="AO27">
            <v>0</v>
          </cell>
          <cell r="AP27">
            <v>0</v>
          </cell>
          <cell r="AQ27">
            <v>0</v>
          </cell>
          <cell r="AR27">
            <v>0</v>
          </cell>
          <cell r="AS27">
            <v>0</v>
          </cell>
          <cell r="AT27">
            <v>0</v>
          </cell>
          <cell r="AU27">
            <v>0</v>
          </cell>
          <cell r="AV27">
            <v>0</v>
          </cell>
          <cell r="AW27">
            <v>0</v>
          </cell>
          <cell r="AX27">
            <v>0</v>
          </cell>
          <cell r="AY27"/>
          <cell r="AZ27"/>
          <cell r="BA27">
            <v>0</v>
          </cell>
          <cell r="BB27"/>
          <cell r="BC27">
            <v>0</v>
          </cell>
          <cell r="BD27">
            <v>6649</v>
          </cell>
          <cell r="BE27"/>
          <cell r="BF27">
            <v>0</v>
          </cell>
          <cell r="BG27">
            <v>0</v>
          </cell>
          <cell r="BH27">
            <v>0</v>
          </cell>
          <cell r="BI27">
            <v>34018</v>
          </cell>
          <cell r="BJ27">
            <v>28002</v>
          </cell>
          <cell r="BK27">
            <v>28002</v>
          </cell>
          <cell r="BL27">
            <v>0</v>
          </cell>
          <cell r="BM27">
            <v>0</v>
          </cell>
          <cell r="BN27">
            <v>0</v>
          </cell>
          <cell r="BO27">
            <v>67613</v>
          </cell>
          <cell r="BP27">
            <v>1581.4</v>
          </cell>
          <cell r="BQ27">
            <v>2848.8372093023299</v>
          </cell>
          <cell r="BR27">
            <v>0</v>
          </cell>
          <cell r="BS27">
            <v>0</v>
          </cell>
          <cell r="BT27">
            <v>40678</v>
          </cell>
          <cell r="BU27"/>
          <cell r="BV27"/>
          <cell r="BW27"/>
          <cell r="BX27"/>
          <cell r="BY27">
            <v>0</v>
          </cell>
          <cell r="BZ27">
            <v>0</v>
          </cell>
          <cell r="CA27">
            <v>0</v>
          </cell>
          <cell r="CB27">
            <v>0</v>
          </cell>
          <cell r="CC27">
            <v>1805135</v>
          </cell>
          <cell r="CD27">
            <v>14173223</v>
          </cell>
          <cell r="CE27">
            <v>1330010</v>
          </cell>
          <cell r="CF27">
            <v>-95694</v>
          </cell>
          <cell r="CG27">
            <v>1330010</v>
          </cell>
          <cell r="CH27">
            <v>1330010</v>
          </cell>
          <cell r="CI27">
            <v>1330010</v>
          </cell>
          <cell r="CJ27">
            <v>1330010</v>
          </cell>
          <cell r="CK27">
            <v>0</v>
          </cell>
          <cell r="CL27">
            <v>0</v>
          </cell>
          <cell r="CM27">
            <v>0</v>
          </cell>
          <cell r="CN27">
            <v>0</v>
          </cell>
          <cell r="CO27">
            <v>0</v>
          </cell>
          <cell r="CP27">
            <v>0</v>
          </cell>
          <cell r="CQ27">
            <v>4952309</v>
          </cell>
          <cell r="CR27">
            <v>4623966</v>
          </cell>
          <cell r="CS27">
            <v>4449012</v>
          </cell>
          <cell r="CT27">
            <v>4291563</v>
          </cell>
          <cell r="CU27">
            <v>4195801</v>
          </cell>
          <cell r="CV27">
            <v>8765</v>
          </cell>
          <cell r="CW27">
            <v>0</v>
          </cell>
          <cell r="CX27">
            <v>0</v>
          </cell>
          <cell r="CY27">
            <v>0</v>
          </cell>
          <cell r="CZ27">
            <v>0</v>
          </cell>
          <cell r="DA27">
            <v>0</v>
          </cell>
          <cell r="DB27"/>
          <cell r="DC27">
            <v>0</v>
          </cell>
          <cell r="DD27">
            <v>0</v>
          </cell>
          <cell r="DE27">
            <v>0</v>
          </cell>
          <cell r="DF27">
            <v>0</v>
          </cell>
          <cell r="DG27">
            <v>0</v>
          </cell>
          <cell r="DH27">
            <v>0</v>
          </cell>
          <cell r="DI27">
            <v>0</v>
          </cell>
          <cell r="DJ27">
            <v>0</v>
          </cell>
          <cell r="DK27">
            <v>0</v>
          </cell>
          <cell r="DL27">
            <v>0</v>
          </cell>
          <cell r="DM27"/>
          <cell r="DN27"/>
          <cell r="DO27"/>
          <cell r="DP27"/>
        </row>
        <row r="28">
          <cell r="A28">
            <v>1940</v>
          </cell>
          <cell r="B28" t="str">
            <v>De Fryske Marren</v>
          </cell>
          <cell r="C28">
            <v>2</v>
          </cell>
          <cell r="D28">
            <v>-12688</v>
          </cell>
          <cell r="E28">
            <v>-6344</v>
          </cell>
          <cell r="F28">
            <v>0</v>
          </cell>
          <cell r="G28">
            <v>520925</v>
          </cell>
          <cell r="H28">
            <v>-69758</v>
          </cell>
          <cell r="I28">
            <v>-19588</v>
          </cell>
          <cell r="J28"/>
          <cell r="K28">
            <v>0</v>
          </cell>
          <cell r="L28">
            <v>189093</v>
          </cell>
          <cell r="M28">
            <v>203124</v>
          </cell>
          <cell r="N28">
            <v>0</v>
          </cell>
          <cell r="O28">
            <v>0</v>
          </cell>
          <cell r="P28">
            <v>0</v>
          </cell>
          <cell r="Q28">
            <v>0</v>
          </cell>
          <cell r="R28">
            <v>0</v>
          </cell>
          <cell r="S28">
            <v>0</v>
          </cell>
          <cell r="T28">
            <v>0</v>
          </cell>
          <cell r="U28">
            <v>0</v>
          </cell>
          <cell r="V28">
            <v>0</v>
          </cell>
          <cell r="W28">
            <v>219647</v>
          </cell>
          <cell r="X28">
            <v>0</v>
          </cell>
          <cell r="Y28"/>
          <cell r="Z28">
            <v>0</v>
          </cell>
          <cell r="AA28">
            <v>0</v>
          </cell>
          <cell r="AB28">
            <v>0</v>
          </cell>
          <cell r="AC28"/>
          <cell r="AD28">
            <v>58668</v>
          </cell>
          <cell r="AE28">
            <v>0</v>
          </cell>
          <cell r="AF28">
            <v>0</v>
          </cell>
          <cell r="AG28">
            <v>0</v>
          </cell>
          <cell r="AH28">
            <v>0</v>
          </cell>
          <cell r="AI28">
            <v>0</v>
          </cell>
          <cell r="AJ28">
            <v>0</v>
          </cell>
          <cell r="AK28">
            <v>0</v>
          </cell>
          <cell r="AL28"/>
          <cell r="AM28">
            <v>0</v>
          </cell>
          <cell r="AN28">
            <v>0</v>
          </cell>
          <cell r="AO28">
            <v>0</v>
          </cell>
          <cell r="AP28">
            <v>0</v>
          </cell>
          <cell r="AQ28">
            <v>0</v>
          </cell>
          <cell r="AR28">
            <v>0</v>
          </cell>
          <cell r="AS28">
            <v>0</v>
          </cell>
          <cell r="AT28">
            <v>0</v>
          </cell>
          <cell r="AU28">
            <v>4740</v>
          </cell>
          <cell r="AV28">
            <v>0</v>
          </cell>
          <cell r="AW28">
            <v>0</v>
          </cell>
          <cell r="AX28">
            <v>0</v>
          </cell>
          <cell r="AY28"/>
          <cell r="AZ28"/>
          <cell r="BA28">
            <v>0</v>
          </cell>
          <cell r="BB28"/>
          <cell r="BC28">
            <v>0</v>
          </cell>
          <cell r="BD28">
            <v>18108</v>
          </cell>
          <cell r="BE28"/>
          <cell r="BF28">
            <v>0</v>
          </cell>
          <cell r="BG28">
            <v>0</v>
          </cell>
          <cell r="BH28">
            <v>0</v>
          </cell>
          <cell r="BI28">
            <v>71676</v>
          </cell>
          <cell r="BJ28">
            <v>59000</v>
          </cell>
          <cell r="BK28">
            <v>59000</v>
          </cell>
          <cell r="BL28">
            <v>0</v>
          </cell>
          <cell r="BM28">
            <v>0</v>
          </cell>
          <cell r="BN28">
            <v>0</v>
          </cell>
          <cell r="BO28">
            <v>307812</v>
          </cell>
          <cell r="BP28">
            <v>18976.8</v>
          </cell>
          <cell r="BQ28">
            <v>34186.046511627901</v>
          </cell>
          <cell r="BR28">
            <v>0</v>
          </cell>
          <cell r="BS28">
            <v>0</v>
          </cell>
          <cell r="BT28">
            <v>118048</v>
          </cell>
          <cell r="BU28"/>
          <cell r="BV28"/>
          <cell r="BW28"/>
          <cell r="BX28"/>
          <cell r="BY28">
            <v>0</v>
          </cell>
          <cell r="BZ28">
            <v>0</v>
          </cell>
          <cell r="CA28">
            <v>0</v>
          </cell>
          <cell r="CB28">
            <v>0</v>
          </cell>
          <cell r="CC28">
            <v>4014962</v>
          </cell>
          <cell r="CD28">
            <v>20100795</v>
          </cell>
          <cell r="CE28">
            <v>1111029</v>
          </cell>
          <cell r="CF28">
            <v>-47547</v>
          </cell>
          <cell r="CG28">
            <v>1111029</v>
          </cell>
          <cell r="CH28">
            <v>1111029</v>
          </cell>
          <cell r="CI28">
            <v>1111029</v>
          </cell>
          <cell r="CJ28">
            <v>1111029</v>
          </cell>
          <cell r="CK28">
            <v>0</v>
          </cell>
          <cell r="CL28">
            <v>0</v>
          </cell>
          <cell r="CM28">
            <v>0</v>
          </cell>
          <cell r="CN28">
            <v>0</v>
          </cell>
          <cell r="CO28">
            <v>0</v>
          </cell>
          <cell r="CP28">
            <v>0</v>
          </cell>
          <cell r="CQ28">
            <v>3396087</v>
          </cell>
          <cell r="CR28">
            <v>3179823</v>
          </cell>
          <cell r="CS28">
            <v>3063988</v>
          </cell>
          <cell r="CT28">
            <v>2947575</v>
          </cell>
          <cell r="CU28">
            <v>2854280</v>
          </cell>
          <cell r="CV28">
            <v>125430</v>
          </cell>
          <cell r="CW28">
            <v>0</v>
          </cell>
          <cell r="CX28">
            <v>0</v>
          </cell>
          <cell r="CY28">
            <v>0</v>
          </cell>
          <cell r="CZ28">
            <v>0</v>
          </cell>
          <cell r="DA28">
            <v>0</v>
          </cell>
          <cell r="DB28"/>
          <cell r="DC28">
            <v>0</v>
          </cell>
          <cell r="DD28">
            <v>0</v>
          </cell>
          <cell r="DE28">
            <v>0</v>
          </cell>
          <cell r="DF28">
            <v>0</v>
          </cell>
          <cell r="DG28">
            <v>0</v>
          </cell>
          <cell r="DH28">
            <v>0</v>
          </cell>
          <cell r="DI28">
            <v>0</v>
          </cell>
          <cell r="DJ28">
            <v>0</v>
          </cell>
          <cell r="DK28">
            <v>0</v>
          </cell>
          <cell r="DL28">
            <v>0</v>
          </cell>
          <cell r="DM28"/>
          <cell r="DN28"/>
          <cell r="DO28"/>
          <cell r="DP28"/>
        </row>
        <row r="29">
          <cell r="A29">
            <v>58</v>
          </cell>
          <cell r="B29" t="str">
            <v>Dongeradeel</v>
          </cell>
          <cell r="C29">
            <v>2</v>
          </cell>
          <cell r="D29">
            <v>1295</v>
          </cell>
          <cell r="E29">
            <v>647</v>
          </cell>
          <cell r="F29">
            <v>0</v>
          </cell>
          <cell r="G29">
            <v>0</v>
          </cell>
          <cell r="H29">
            <v>-69679</v>
          </cell>
          <cell r="I29">
            <v>-33252</v>
          </cell>
          <cell r="J29"/>
          <cell r="K29">
            <v>0</v>
          </cell>
          <cell r="L29">
            <v>135970</v>
          </cell>
          <cell r="M29">
            <v>137202</v>
          </cell>
          <cell r="N29">
            <v>0</v>
          </cell>
          <cell r="O29">
            <v>0</v>
          </cell>
          <cell r="P29">
            <v>0</v>
          </cell>
          <cell r="Q29">
            <v>0</v>
          </cell>
          <cell r="R29">
            <v>0</v>
          </cell>
          <cell r="S29">
            <v>0</v>
          </cell>
          <cell r="T29">
            <v>0</v>
          </cell>
          <cell r="U29">
            <v>0</v>
          </cell>
          <cell r="V29">
            <v>15000</v>
          </cell>
          <cell r="W29">
            <v>106130</v>
          </cell>
          <cell r="X29">
            <v>0</v>
          </cell>
          <cell r="Y29"/>
          <cell r="Z29">
            <v>35000</v>
          </cell>
          <cell r="AA29">
            <v>0</v>
          </cell>
          <cell r="AB29">
            <v>0</v>
          </cell>
          <cell r="AC29"/>
          <cell r="AD29">
            <v>76268</v>
          </cell>
          <cell r="AE29">
            <v>0</v>
          </cell>
          <cell r="AF29">
            <v>0</v>
          </cell>
          <cell r="AG29">
            <v>0</v>
          </cell>
          <cell r="AH29">
            <v>0</v>
          </cell>
          <cell r="AI29">
            <v>0</v>
          </cell>
          <cell r="AJ29">
            <v>0</v>
          </cell>
          <cell r="AK29">
            <v>0</v>
          </cell>
          <cell r="AL29"/>
          <cell r="AM29">
            <v>0</v>
          </cell>
          <cell r="AN29">
            <v>0</v>
          </cell>
          <cell r="AO29">
            <v>0</v>
          </cell>
          <cell r="AP29">
            <v>0</v>
          </cell>
          <cell r="AQ29">
            <v>0</v>
          </cell>
          <cell r="AR29">
            <v>0</v>
          </cell>
          <cell r="AS29">
            <v>0</v>
          </cell>
          <cell r="AT29">
            <v>0</v>
          </cell>
          <cell r="AU29">
            <v>0</v>
          </cell>
          <cell r="AV29">
            <v>0</v>
          </cell>
          <cell r="AW29">
            <v>0</v>
          </cell>
          <cell r="AX29">
            <v>0</v>
          </cell>
          <cell r="AY29"/>
          <cell r="AZ29"/>
          <cell r="BA29">
            <v>0</v>
          </cell>
          <cell r="BB29"/>
          <cell r="BC29">
            <v>0</v>
          </cell>
          <cell r="BD29">
            <v>41933</v>
          </cell>
          <cell r="BE29"/>
          <cell r="BF29">
            <v>0</v>
          </cell>
          <cell r="BG29">
            <v>0</v>
          </cell>
          <cell r="BH29">
            <v>0</v>
          </cell>
          <cell r="BI29">
            <v>45717</v>
          </cell>
          <cell r="BJ29">
            <v>37632</v>
          </cell>
          <cell r="BK29">
            <v>37632</v>
          </cell>
          <cell r="BL29">
            <v>0</v>
          </cell>
          <cell r="BM29">
            <v>0</v>
          </cell>
          <cell r="BN29">
            <v>0</v>
          </cell>
          <cell r="BO29">
            <v>16052</v>
          </cell>
          <cell r="BP29">
            <v>4744.2</v>
          </cell>
          <cell r="BQ29">
            <v>8546.5116279069807</v>
          </cell>
          <cell r="BR29">
            <v>0</v>
          </cell>
          <cell r="BS29">
            <v>0</v>
          </cell>
          <cell r="BT29">
            <v>59787</v>
          </cell>
          <cell r="BU29"/>
          <cell r="BV29"/>
          <cell r="BW29"/>
          <cell r="BX29"/>
          <cell r="BY29">
            <v>0</v>
          </cell>
          <cell r="BZ29">
            <v>0</v>
          </cell>
          <cell r="CA29">
            <v>0</v>
          </cell>
          <cell r="CB29">
            <v>0</v>
          </cell>
          <cell r="CC29">
            <v>2288155</v>
          </cell>
          <cell r="CD29">
            <v>18446500</v>
          </cell>
          <cell r="CE29">
            <v>798211</v>
          </cell>
          <cell r="CF29">
            <v>-80994</v>
          </cell>
          <cell r="CG29">
            <v>798211</v>
          </cell>
          <cell r="CH29">
            <v>798211</v>
          </cell>
          <cell r="CI29">
            <v>798211</v>
          </cell>
          <cell r="CJ29">
            <v>798211</v>
          </cell>
          <cell r="CK29">
            <v>0</v>
          </cell>
          <cell r="CL29">
            <v>0</v>
          </cell>
          <cell r="CM29">
            <v>0</v>
          </cell>
          <cell r="CN29">
            <v>0</v>
          </cell>
          <cell r="CO29">
            <v>0</v>
          </cell>
          <cell r="CP29">
            <v>0</v>
          </cell>
          <cell r="CQ29">
            <v>6514014</v>
          </cell>
          <cell r="CR29">
            <v>6196289</v>
          </cell>
          <cell r="CS29">
            <v>6050656</v>
          </cell>
          <cell r="CT29">
            <v>5884040</v>
          </cell>
          <cell r="CU29">
            <v>5748871</v>
          </cell>
          <cell r="CV29">
            <v>-2259</v>
          </cell>
          <cell r="CW29">
            <v>0</v>
          </cell>
          <cell r="CX29">
            <v>0</v>
          </cell>
          <cell r="CY29">
            <v>0</v>
          </cell>
          <cell r="CZ29">
            <v>0</v>
          </cell>
          <cell r="DA29">
            <v>0</v>
          </cell>
          <cell r="DB29"/>
          <cell r="DC29">
            <v>0</v>
          </cell>
          <cell r="DD29">
            <v>0</v>
          </cell>
          <cell r="DE29">
            <v>0</v>
          </cell>
          <cell r="DF29">
            <v>215000</v>
          </cell>
          <cell r="DG29">
            <v>0</v>
          </cell>
          <cell r="DH29">
            <v>0</v>
          </cell>
          <cell r="DI29">
            <v>0</v>
          </cell>
          <cell r="DJ29">
            <v>0</v>
          </cell>
          <cell r="DK29">
            <v>0</v>
          </cell>
          <cell r="DL29">
            <v>0</v>
          </cell>
          <cell r="DM29"/>
          <cell r="DN29"/>
          <cell r="DO29"/>
          <cell r="DP29"/>
        </row>
        <row r="30">
          <cell r="A30">
            <v>1722</v>
          </cell>
          <cell r="B30" t="str">
            <v>Ferwerderadiel</v>
          </cell>
          <cell r="C30">
            <v>2</v>
          </cell>
          <cell r="D30">
            <v>15523</v>
          </cell>
          <cell r="E30">
            <v>7762</v>
          </cell>
          <cell r="F30">
            <v>0</v>
          </cell>
          <cell r="G30">
            <v>34193</v>
          </cell>
          <cell r="H30">
            <v>-29359</v>
          </cell>
          <cell r="I30">
            <v>-14622</v>
          </cell>
          <cell r="J30"/>
          <cell r="K30">
            <v>0</v>
          </cell>
          <cell r="L30">
            <v>34022</v>
          </cell>
          <cell r="M30">
            <v>33473</v>
          </cell>
          <cell r="N30">
            <v>0</v>
          </cell>
          <cell r="O30">
            <v>0</v>
          </cell>
          <cell r="P30">
            <v>0</v>
          </cell>
          <cell r="Q30">
            <v>0</v>
          </cell>
          <cell r="R30">
            <v>0</v>
          </cell>
          <cell r="S30">
            <v>0</v>
          </cell>
          <cell r="T30">
            <v>0</v>
          </cell>
          <cell r="U30">
            <v>0</v>
          </cell>
          <cell r="V30">
            <v>0</v>
          </cell>
          <cell r="W30">
            <v>38292</v>
          </cell>
          <cell r="X30">
            <v>0</v>
          </cell>
          <cell r="Y30"/>
          <cell r="Z30">
            <v>0</v>
          </cell>
          <cell r="AA30">
            <v>0</v>
          </cell>
          <cell r="AB30">
            <v>0</v>
          </cell>
          <cell r="AC30"/>
          <cell r="AD30">
            <v>0</v>
          </cell>
          <cell r="AE30">
            <v>0</v>
          </cell>
          <cell r="AF30">
            <v>0</v>
          </cell>
          <cell r="AG30">
            <v>0</v>
          </cell>
          <cell r="AH30">
            <v>0</v>
          </cell>
          <cell r="AI30">
            <v>0</v>
          </cell>
          <cell r="AJ30">
            <v>0</v>
          </cell>
          <cell r="AK30">
            <v>0</v>
          </cell>
          <cell r="AL30"/>
          <cell r="AM30">
            <v>0</v>
          </cell>
          <cell r="AN30">
            <v>0</v>
          </cell>
          <cell r="AO30">
            <v>0</v>
          </cell>
          <cell r="AP30">
            <v>0</v>
          </cell>
          <cell r="AQ30">
            <v>0</v>
          </cell>
          <cell r="AR30">
            <v>0</v>
          </cell>
          <cell r="AS30">
            <v>0</v>
          </cell>
          <cell r="AT30">
            <v>0</v>
          </cell>
          <cell r="AU30">
            <v>0</v>
          </cell>
          <cell r="AV30">
            <v>0</v>
          </cell>
          <cell r="AW30">
            <v>0</v>
          </cell>
          <cell r="AX30">
            <v>0</v>
          </cell>
          <cell r="AY30"/>
          <cell r="AZ30"/>
          <cell r="BA30">
            <v>0</v>
          </cell>
          <cell r="BB30"/>
          <cell r="BC30">
            <v>0</v>
          </cell>
          <cell r="BD30">
            <v>15325</v>
          </cell>
          <cell r="BE30"/>
          <cell r="BF30">
            <v>0</v>
          </cell>
          <cell r="BG30">
            <v>0</v>
          </cell>
          <cell r="BH30">
            <v>0</v>
          </cell>
          <cell r="BI30">
            <v>14133</v>
          </cell>
          <cell r="BJ30">
            <v>11634</v>
          </cell>
          <cell r="BK30">
            <v>11634</v>
          </cell>
          <cell r="BL30">
            <v>0</v>
          </cell>
          <cell r="BM30">
            <v>0</v>
          </cell>
          <cell r="BN30">
            <v>0</v>
          </cell>
          <cell r="BO30">
            <v>10215</v>
          </cell>
          <cell r="BP30">
            <v>4744.2</v>
          </cell>
          <cell r="BQ30">
            <v>8546.5116279069807</v>
          </cell>
          <cell r="BR30">
            <v>0</v>
          </cell>
          <cell r="BS30">
            <v>0</v>
          </cell>
          <cell r="BT30">
            <v>21672</v>
          </cell>
          <cell r="BU30"/>
          <cell r="BV30"/>
          <cell r="BW30"/>
          <cell r="BX30"/>
          <cell r="BY30">
            <v>0</v>
          </cell>
          <cell r="BZ30">
            <v>0</v>
          </cell>
          <cell r="CA30">
            <v>0</v>
          </cell>
          <cell r="CB30">
            <v>0</v>
          </cell>
          <cell r="CC30">
            <v>655766</v>
          </cell>
          <cell r="CD30">
            <v>4619115</v>
          </cell>
          <cell r="CE30">
            <v>374460</v>
          </cell>
          <cell r="CF30">
            <v>-35564</v>
          </cell>
          <cell r="CG30">
            <v>374460</v>
          </cell>
          <cell r="CH30">
            <v>374460</v>
          </cell>
          <cell r="CI30">
            <v>374460</v>
          </cell>
          <cell r="CJ30">
            <v>374460</v>
          </cell>
          <cell r="CK30">
            <v>0</v>
          </cell>
          <cell r="CL30">
            <v>0</v>
          </cell>
          <cell r="CM30">
            <v>0</v>
          </cell>
          <cell r="CN30">
            <v>0</v>
          </cell>
          <cell r="CO30">
            <v>0</v>
          </cell>
          <cell r="CP30">
            <v>0</v>
          </cell>
          <cell r="CQ30">
            <v>1059265</v>
          </cell>
          <cell r="CR30">
            <v>1032680</v>
          </cell>
          <cell r="CS30">
            <v>1032479</v>
          </cell>
          <cell r="CT30">
            <v>1034235</v>
          </cell>
          <cell r="CU30">
            <v>1035617</v>
          </cell>
          <cell r="CV30">
            <v>-11062</v>
          </cell>
          <cell r="CW30">
            <v>0</v>
          </cell>
          <cell r="CX30">
            <v>0</v>
          </cell>
          <cell r="CY30">
            <v>0</v>
          </cell>
          <cell r="CZ30">
            <v>0</v>
          </cell>
          <cell r="DA30">
            <v>0</v>
          </cell>
          <cell r="DB30"/>
          <cell r="DC30">
            <v>0</v>
          </cell>
          <cell r="DD30">
            <v>0</v>
          </cell>
          <cell r="DE30">
            <v>0</v>
          </cell>
          <cell r="DF30">
            <v>0</v>
          </cell>
          <cell r="DG30">
            <v>0</v>
          </cell>
          <cell r="DH30">
            <v>0</v>
          </cell>
          <cell r="DI30">
            <v>0</v>
          </cell>
          <cell r="DJ30">
            <v>0</v>
          </cell>
          <cell r="DK30">
            <v>0</v>
          </cell>
          <cell r="DL30">
            <v>0</v>
          </cell>
          <cell r="DM30"/>
          <cell r="DN30"/>
          <cell r="DO30"/>
          <cell r="DP30"/>
        </row>
        <row r="31">
          <cell r="A31">
            <v>72</v>
          </cell>
          <cell r="B31" t="str">
            <v>Harlingen</v>
          </cell>
          <cell r="C31">
            <v>2</v>
          </cell>
          <cell r="D31">
            <v>12693</v>
          </cell>
          <cell r="E31">
            <v>6347</v>
          </cell>
          <cell r="F31">
            <v>0</v>
          </cell>
          <cell r="G31">
            <v>0</v>
          </cell>
          <cell r="H31">
            <v>-16274</v>
          </cell>
          <cell r="I31">
            <v>0</v>
          </cell>
          <cell r="J31"/>
          <cell r="K31">
            <v>0</v>
          </cell>
          <cell r="L31">
            <v>88279</v>
          </cell>
          <cell r="M31">
            <v>86421</v>
          </cell>
          <cell r="N31">
            <v>0</v>
          </cell>
          <cell r="O31">
            <v>0</v>
          </cell>
          <cell r="P31">
            <v>0</v>
          </cell>
          <cell r="Q31">
            <v>0</v>
          </cell>
          <cell r="R31">
            <v>0</v>
          </cell>
          <cell r="S31">
            <v>0</v>
          </cell>
          <cell r="T31">
            <v>0</v>
          </cell>
          <cell r="U31">
            <v>0</v>
          </cell>
          <cell r="V31">
            <v>3000</v>
          </cell>
          <cell r="W31">
            <v>61423</v>
          </cell>
          <cell r="X31">
            <v>0</v>
          </cell>
          <cell r="Y31"/>
          <cell r="Z31">
            <v>0</v>
          </cell>
          <cell r="AA31">
            <v>0</v>
          </cell>
          <cell r="AB31">
            <v>0</v>
          </cell>
          <cell r="AC31"/>
          <cell r="AD31">
            <v>70401</v>
          </cell>
          <cell r="AE31">
            <v>0</v>
          </cell>
          <cell r="AF31">
            <v>0</v>
          </cell>
          <cell r="AG31">
            <v>0</v>
          </cell>
          <cell r="AH31">
            <v>0</v>
          </cell>
          <cell r="AI31">
            <v>0</v>
          </cell>
          <cell r="AJ31">
            <v>0</v>
          </cell>
          <cell r="AK31">
            <v>0</v>
          </cell>
          <cell r="AL31"/>
          <cell r="AM31">
            <v>0</v>
          </cell>
          <cell r="AN31">
            <v>0</v>
          </cell>
          <cell r="AO31">
            <v>0</v>
          </cell>
          <cell r="AP31">
            <v>0</v>
          </cell>
          <cell r="AQ31">
            <v>0</v>
          </cell>
          <cell r="AR31">
            <v>0</v>
          </cell>
          <cell r="AS31">
            <v>0</v>
          </cell>
          <cell r="AT31">
            <v>0</v>
          </cell>
          <cell r="AU31">
            <v>0</v>
          </cell>
          <cell r="AV31">
            <v>0</v>
          </cell>
          <cell r="AW31">
            <v>0</v>
          </cell>
          <cell r="AX31">
            <v>0</v>
          </cell>
          <cell r="AY31"/>
          <cell r="AZ31"/>
          <cell r="BA31">
            <v>0</v>
          </cell>
          <cell r="BB31"/>
          <cell r="BC31">
            <v>0</v>
          </cell>
          <cell r="BD31">
            <v>5567</v>
          </cell>
          <cell r="BE31"/>
          <cell r="BF31">
            <v>0</v>
          </cell>
          <cell r="BG31">
            <v>0</v>
          </cell>
          <cell r="BH31">
            <v>0</v>
          </cell>
          <cell r="BI31">
            <v>35350</v>
          </cell>
          <cell r="BJ31">
            <v>29098</v>
          </cell>
          <cell r="BK31">
            <v>29098</v>
          </cell>
          <cell r="BL31">
            <v>0</v>
          </cell>
          <cell r="BM31">
            <v>0</v>
          </cell>
          <cell r="BN31">
            <v>0</v>
          </cell>
          <cell r="BO31">
            <v>283101</v>
          </cell>
          <cell r="BP31">
            <v>1581.4</v>
          </cell>
          <cell r="BQ31">
            <v>2848.8372093023299</v>
          </cell>
          <cell r="BR31">
            <v>0</v>
          </cell>
          <cell r="BS31">
            <v>0</v>
          </cell>
          <cell r="BT31">
            <v>29732</v>
          </cell>
          <cell r="BU31"/>
          <cell r="BV31"/>
          <cell r="BW31"/>
          <cell r="BX31"/>
          <cell r="BY31">
            <v>0</v>
          </cell>
          <cell r="BZ31">
            <v>0</v>
          </cell>
          <cell r="CA31">
            <v>0</v>
          </cell>
          <cell r="CB31">
            <v>0</v>
          </cell>
          <cell r="CC31">
            <v>1602314</v>
          </cell>
          <cell r="CD31">
            <v>9758566</v>
          </cell>
          <cell r="CE31">
            <v>374759</v>
          </cell>
          <cell r="CF31">
            <v>0</v>
          </cell>
          <cell r="CG31">
            <v>374759</v>
          </cell>
          <cell r="CH31">
            <v>374759</v>
          </cell>
          <cell r="CI31">
            <v>374759</v>
          </cell>
          <cell r="CJ31">
            <v>374759</v>
          </cell>
          <cell r="CK31">
            <v>0</v>
          </cell>
          <cell r="CL31">
            <v>0</v>
          </cell>
          <cell r="CM31">
            <v>0</v>
          </cell>
          <cell r="CN31">
            <v>0</v>
          </cell>
          <cell r="CO31">
            <v>0</v>
          </cell>
          <cell r="CP31">
            <v>0</v>
          </cell>
          <cell r="CQ31">
            <v>2106185</v>
          </cell>
          <cell r="CR31">
            <v>2018924</v>
          </cell>
          <cell r="CS31">
            <v>1996041</v>
          </cell>
          <cell r="CT31">
            <v>1932058</v>
          </cell>
          <cell r="CU31">
            <v>1891793</v>
          </cell>
          <cell r="CV31">
            <v>-16578</v>
          </cell>
          <cell r="CW31">
            <v>0</v>
          </cell>
          <cell r="CX31">
            <v>0</v>
          </cell>
          <cell r="CY31">
            <v>0</v>
          </cell>
          <cell r="CZ31">
            <v>0</v>
          </cell>
          <cell r="DA31">
            <v>0</v>
          </cell>
          <cell r="DB31"/>
          <cell r="DC31">
            <v>0</v>
          </cell>
          <cell r="DD31">
            <v>0</v>
          </cell>
          <cell r="DE31">
            <v>0</v>
          </cell>
          <cell r="DF31">
            <v>0</v>
          </cell>
          <cell r="DG31">
            <v>0</v>
          </cell>
          <cell r="DH31">
            <v>0</v>
          </cell>
          <cell r="DI31">
            <v>0</v>
          </cell>
          <cell r="DJ31">
            <v>0</v>
          </cell>
          <cell r="DK31">
            <v>0</v>
          </cell>
          <cell r="DL31">
            <v>0</v>
          </cell>
          <cell r="DM31"/>
          <cell r="DN31"/>
          <cell r="DO31"/>
          <cell r="DP31"/>
        </row>
        <row r="32">
          <cell r="A32">
            <v>74</v>
          </cell>
          <cell r="B32" t="str">
            <v>Heerenveen</v>
          </cell>
          <cell r="C32">
            <v>2</v>
          </cell>
          <cell r="D32">
            <v>65564</v>
          </cell>
          <cell r="E32">
            <v>32782</v>
          </cell>
          <cell r="F32">
            <v>0</v>
          </cell>
          <cell r="G32">
            <v>0</v>
          </cell>
          <cell r="H32">
            <v>-35602</v>
          </cell>
          <cell r="I32">
            <v>-22774</v>
          </cell>
          <cell r="J32"/>
          <cell r="K32">
            <v>0</v>
          </cell>
          <cell r="L32">
            <v>217146</v>
          </cell>
          <cell r="M32">
            <v>218551</v>
          </cell>
          <cell r="N32">
            <v>0</v>
          </cell>
          <cell r="O32">
            <v>0</v>
          </cell>
          <cell r="P32">
            <v>0</v>
          </cell>
          <cell r="Q32">
            <v>0</v>
          </cell>
          <cell r="R32">
            <v>0</v>
          </cell>
          <cell r="S32">
            <v>0</v>
          </cell>
          <cell r="T32">
            <v>0</v>
          </cell>
          <cell r="U32">
            <v>0</v>
          </cell>
          <cell r="V32">
            <v>3000</v>
          </cell>
          <cell r="W32">
            <v>194378</v>
          </cell>
          <cell r="X32">
            <v>0</v>
          </cell>
          <cell r="Y32"/>
          <cell r="Z32">
            <v>0</v>
          </cell>
          <cell r="AA32">
            <v>0</v>
          </cell>
          <cell r="AB32">
            <v>0</v>
          </cell>
          <cell r="AC32"/>
          <cell r="AD32">
            <v>56712</v>
          </cell>
          <cell r="AE32">
            <v>0</v>
          </cell>
          <cell r="AF32">
            <v>0</v>
          </cell>
          <cell r="AG32">
            <v>0</v>
          </cell>
          <cell r="AH32">
            <v>0</v>
          </cell>
          <cell r="AI32">
            <v>0</v>
          </cell>
          <cell r="AJ32">
            <v>0</v>
          </cell>
          <cell r="AK32">
            <v>0</v>
          </cell>
          <cell r="AL32"/>
          <cell r="AM32">
            <v>0</v>
          </cell>
          <cell r="AN32">
            <v>0</v>
          </cell>
          <cell r="AO32">
            <v>0</v>
          </cell>
          <cell r="AP32">
            <v>0</v>
          </cell>
          <cell r="AQ32">
            <v>0</v>
          </cell>
          <cell r="AR32">
            <v>0</v>
          </cell>
          <cell r="AS32">
            <v>0</v>
          </cell>
          <cell r="AT32">
            <v>0</v>
          </cell>
          <cell r="AU32">
            <v>0</v>
          </cell>
          <cell r="AV32">
            <v>0</v>
          </cell>
          <cell r="AW32">
            <v>0</v>
          </cell>
          <cell r="AX32">
            <v>0</v>
          </cell>
          <cell r="AY32"/>
          <cell r="AZ32"/>
          <cell r="BA32">
            <v>0</v>
          </cell>
          <cell r="BB32"/>
          <cell r="BC32">
            <v>0</v>
          </cell>
          <cell r="BD32">
            <v>17623</v>
          </cell>
          <cell r="BE32"/>
          <cell r="BF32">
            <v>0</v>
          </cell>
          <cell r="BG32">
            <v>0</v>
          </cell>
          <cell r="BH32">
            <v>0</v>
          </cell>
          <cell r="BI32">
            <v>90722</v>
          </cell>
          <cell r="BJ32">
            <v>74678</v>
          </cell>
          <cell r="BK32">
            <v>74678</v>
          </cell>
          <cell r="BL32">
            <v>0</v>
          </cell>
          <cell r="BM32">
            <v>0</v>
          </cell>
          <cell r="BN32">
            <v>0</v>
          </cell>
          <cell r="BO32">
            <v>113941</v>
          </cell>
          <cell r="BP32">
            <v>0</v>
          </cell>
          <cell r="BQ32">
            <v>0</v>
          </cell>
          <cell r="BR32">
            <v>0</v>
          </cell>
          <cell r="BS32">
            <v>0</v>
          </cell>
          <cell r="BT32">
            <v>105818</v>
          </cell>
          <cell r="BU32"/>
          <cell r="BV32"/>
          <cell r="BW32"/>
          <cell r="BX32"/>
          <cell r="BY32">
            <v>0</v>
          </cell>
          <cell r="BZ32">
            <v>0</v>
          </cell>
          <cell r="CA32">
            <v>0</v>
          </cell>
          <cell r="CB32">
            <v>0</v>
          </cell>
          <cell r="CC32">
            <v>4320358</v>
          </cell>
          <cell r="CD32">
            <v>28706130</v>
          </cell>
          <cell r="CE32">
            <v>1494758</v>
          </cell>
          <cell r="CF32">
            <v>-54799</v>
          </cell>
          <cell r="CG32">
            <v>1494758</v>
          </cell>
          <cell r="CH32">
            <v>1494758</v>
          </cell>
          <cell r="CI32">
            <v>1494758</v>
          </cell>
          <cell r="CJ32">
            <v>1494758</v>
          </cell>
          <cell r="CK32">
            <v>0</v>
          </cell>
          <cell r="CL32">
            <v>0</v>
          </cell>
          <cell r="CM32">
            <v>0</v>
          </cell>
          <cell r="CN32">
            <v>0</v>
          </cell>
          <cell r="CO32">
            <v>0</v>
          </cell>
          <cell r="CP32">
            <v>0</v>
          </cell>
          <cell r="CQ32">
            <v>7956590</v>
          </cell>
          <cell r="CR32">
            <v>7481447</v>
          </cell>
          <cell r="CS32">
            <v>7218685</v>
          </cell>
          <cell r="CT32">
            <v>7034504</v>
          </cell>
          <cell r="CU32">
            <v>6834751</v>
          </cell>
          <cell r="CV32">
            <v>80118</v>
          </cell>
          <cell r="CW32">
            <v>0</v>
          </cell>
          <cell r="CX32">
            <v>0</v>
          </cell>
          <cell r="CY32">
            <v>0</v>
          </cell>
          <cell r="CZ32">
            <v>0</v>
          </cell>
          <cell r="DA32">
            <v>0</v>
          </cell>
          <cell r="DB32"/>
          <cell r="DC32">
            <v>0</v>
          </cell>
          <cell r="DD32">
            <v>0</v>
          </cell>
          <cell r="DE32">
            <v>0</v>
          </cell>
          <cell r="DF32">
            <v>0</v>
          </cell>
          <cell r="DG32">
            <v>0</v>
          </cell>
          <cell r="DH32">
            <v>0</v>
          </cell>
          <cell r="DI32">
            <v>0</v>
          </cell>
          <cell r="DJ32">
            <v>0</v>
          </cell>
          <cell r="DK32">
            <v>0</v>
          </cell>
          <cell r="DL32">
            <v>0</v>
          </cell>
          <cell r="DM32"/>
          <cell r="DN32"/>
          <cell r="DO32"/>
          <cell r="DP32"/>
        </row>
        <row r="33">
          <cell r="A33">
            <v>79</v>
          </cell>
          <cell r="B33" t="str">
            <v>Kollumerland en Nwkruisl</v>
          </cell>
          <cell r="C33">
            <v>2</v>
          </cell>
          <cell r="D33">
            <v>-3246</v>
          </cell>
          <cell r="E33">
            <v>-1623</v>
          </cell>
          <cell r="F33">
            <v>0</v>
          </cell>
          <cell r="G33">
            <v>0</v>
          </cell>
          <cell r="H33">
            <v>0</v>
          </cell>
          <cell r="I33">
            <v>0</v>
          </cell>
          <cell r="J33"/>
          <cell r="K33">
            <v>0</v>
          </cell>
          <cell r="L33">
            <v>58017</v>
          </cell>
          <cell r="M33">
            <v>60423</v>
          </cell>
          <cell r="N33">
            <v>0</v>
          </cell>
          <cell r="O33">
            <v>0</v>
          </cell>
          <cell r="P33">
            <v>0</v>
          </cell>
          <cell r="Q33">
            <v>0</v>
          </cell>
          <cell r="R33">
            <v>0</v>
          </cell>
          <cell r="S33">
            <v>0</v>
          </cell>
          <cell r="T33">
            <v>0</v>
          </cell>
          <cell r="U33">
            <v>0</v>
          </cell>
          <cell r="V33">
            <v>3000</v>
          </cell>
          <cell r="W33">
            <v>55592</v>
          </cell>
          <cell r="X33">
            <v>0</v>
          </cell>
          <cell r="Y33"/>
          <cell r="Z33">
            <v>0</v>
          </cell>
          <cell r="AA33">
            <v>0</v>
          </cell>
          <cell r="AB33">
            <v>0</v>
          </cell>
          <cell r="AC33"/>
          <cell r="AD33">
            <v>36178</v>
          </cell>
          <cell r="AE33">
            <v>0</v>
          </cell>
          <cell r="AF33">
            <v>0</v>
          </cell>
          <cell r="AG33">
            <v>0</v>
          </cell>
          <cell r="AH33">
            <v>0</v>
          </cell>
          <cell r="AI33">
            <v>0</v>
          </cell>
          <cell r="AJ33">
            <v>0</v>
          </cell>
          <cell r="AK33">
            <v>0</v>
          </cell>
          <cell r="AL33"/>
          <cell r="AM33">
            <v>0</v>
          </cell>
          <cell r="AN33">
            <v>0</v>
          </cell>
          <cell r="AO33">
            <v>0</v>
          </cell>
          <cell r="AP33">
            <v>0</v>
          </cell>
          <cell r="AQ33">
            <v>0</v>
          </cell>
          <cell r="AR33">
            <v>0</v>
          </cell>
          <cell r="AS33">
            <v>0</v>
          </cell>
          <cell r="AT33">
            <v>0</v>
          </cell>
          <cell r="AU33">
            <v>0</v>
          </cell>
          <cell r="AV33">
            <v>0</v>
          </cell>
          <cell r="AW33">
            <v>0</v>
          </cell>
          <cell r="AX33">
            <v>0</v>
          </cell>
          <cell r="AY33"/>
          <cell r="AZ33"/>
          <cell r="BA33">
            <v>0</v>
          </cell>
          <cell r="BB33"/>
          <cell r="BC33">
            <v>0</v>
          </cell>
          <cell r="BD33">
            <v>22583</v>
          </cell>
          <cell r="BE33"/>
          <cell r="BF33">
            <v>0</v>
          </cell>
          <cell r="BG33">
            <v>0</v>
          </cell>
          <cell r="BH33">
            <v>0</v>
          </cell>
          <cell r="BI33">
            <v>23438</v>
          </cell>
          <cell r="BJ33">
            <v>19293</v>
          </cell>
          <cell r="BK33">
            <v>19293</v>
          </cell>
          <cell r="BL33">
            <v>0</v>
          </cell>
          <cell r="BM33">
            <v>0</v>
          </cell>
          <cell r="BN33">
            <v>0</v>
          </cell>
          <cell r="BO33">
            <v>26267</v>
          </cell>
          <cell r="BP33">
            <v>7907</v>
          </cell>
          <cell r="BQ33">
            <v>14244.186046511601</v>
          </cell>
          <cell r="BR33">
            <v>0</v>
          </cell>
          <cell r="BS33">
            <v>0</v>
          </cell>
          <cell r="BT33">
            <v>30856</v>
          </cell>
          <cell r="BU33"/>
          <cell r="BV33"/>
          <cell r="BW33"/>
          <cell r="BX33"/>
          <cell r="BY33">
            <v>0</v>
          </cell>
          <cell r="BZ33">
            <v>0</v>
          </cell>
          <cell r="CA33">
            <v>0</v>
          </cell>
          <cell r="CB33">
            <v>0</v>
          </cell>
          <cell r="CC33">
            <v>1102380</v>
          </cell>
          <cell r="CD33">
            <v>9036110</v>
          </cell>
          <cell r="CE33">
            <v>524013</v>
          </cell>
          <cell r="CF33">
            <v>-56570</v>
          </cell>
          <cell r="CG33">
            <v>524013</v>
          </cell>
          <cell r="CH33">
            <v>524013</v>
          </cell>
          <cell r="CI33">
            <v>524013</v>
          </cell>
          <cell r="CJ33">
            <v>524013</v>
          </cell>
          <cell r="CK33">
            <v>0</v>
          </cell>
          <cell r="CL33">
            <v>0</v>
          </cell>
          <cell r="CM33">
            <v>0</v>
          </cell>
          <cell r="CN33">
            <v>0</v>
          </cell>
          <cell r="CO33">
            <v>0</v>
          </cell>
          <cell r="CP33">
            <v>193170</v>
          </cell>
          <cell r="CQ33">
            <v>2520056</v>
          </cell>
          <cell r="CR33">
            <v>2404558</v>
          </cell>
          <cell r="CS33">
            <v>2347838</v>
          </cell>
          <cell r="CT33">
            <v>2275695</v>
          </cell>
          <cell r="CU33">
            <v>2199638</v>
          </cell>
          <cell r="CV33">
            <v>-1583</v>
          </cell>
          <cell r="CW33">
            <v>0</v>
          </cell>
          <cell r="CX33">
            <v>0</v>
          </cell>
          <cell r="CY33">
            <v>0</v>
          </cell>
          <cell r="CZ33">
            <v>0</v>
          </cell>
          <cell r="DA33">
            <v>0</v>
          </cell>
          <cell r="DB33"/>
          <cell r="DC33">
            <v>0</v>
          </cell>
          <cell r="DD33">
            <v>0</v>
          </cell>
          <cell r="DE33">
            <v>0</v>
          </cell>
          <cell r="DF33">
            <v>0</v>
          </cell>
          <cell r="DG33">
            <v>0</v>
          </cell>
          <cell r="DH33">
            <v>0</v>
          </cell>
          <cell r="DI33">
            <v>0</v>
          </cell>
          <cell r="DJ33">
            <v>0</v>
          </cell>
          <cell r="DK33">
            <v>0</v>
          </cell>
          <cell r="DL33">
            <v>0</v>
          </cell>
          <cell r="DM33"/>
          <cell r="DN33"/>
          <cell r="DO33"/>
          <cell r="DP33"/>
        </row>
        <row r="34">
          <cell r="A34">
            <v>80</v>
          </cell>
          <cell r="B34" t="str">
            <v>Leeuwarden</v>
          </cell>
          <cell r="C34">
            <v>2</v>
          </cell>
          <cell r="D34">
            <v>512839.24</v>
          </cell>
          <cell r="E34">
            <v>256420.12</v>
          </cell>
          <cell r="F34">
            <v>0</v>
          </cell>
          <cell r="G34">
            <v>0</v>
          </cell>
          <cell r="H34">
            <v>367668.16</v>
          </cell>
          <cell r="I34">
            <v>-4187.4399999999996</v>
          </cell>
          <cell r="J34"/>
          <cell r="K34">
            <v>11536</v>
          </cell>
          <cell r="L34">
            <v>717872.48</v>
          </cell>
          <cell r="M34">
            <v>725736</v>
          </cell>
          <cell r="N34">
            <v>0</v>
          </cell>
          <cell r="O34">
            <v>0</v>
          </cell>
          <cell r="P34">
            <v>150000</v>
          </cell>
          <cell r="Q34">
            <v>385000</v>
          </cell>
          <cell r="R34">
            <v>0</v>
          </cell>
          <cell r="S34">
            <v>642099</v>
          </cell>
          <cell r="T34">
            <v>642099</v>
          </cell>
          <cell r="U34">
            <v>642099</v>
          </cell>
          <cell r="V34">
            <v>33000</v>
          </cell>
          <cell r="W34">
            <v>424716</v>
          </cell>
          <cell r="X34">
            <v>0</v>
          </cell>
          <cell r="Y34"/>
          <cell r="Z34">
            <v>0</v>
          </cell>
          <cell r="AA34">
            <v>40000</v>
          </cell>
          <cell r="AB34">
            <v>0</v>
          </cell>
          <cell r="AC34"/>
          <cell r="AD34">
            <v>231294</v>
          </cell>
          <cell r="AE34">
            <v>0</v>
          </cell>
          <cell r="AF34">
            <v>0</v>
          </cell>
          <cell r="AG34">
            <v>0</v>
          </cell>
          <cell r="AH34">
            <v>0</v>
          </cell>
          <cell r="AI34">
            <v>297554</v>
          </cell>
          <cell r="AJ34">
            <v>0</v>
          </cell>
          <cell r="AK34">
            <v>142644</v>
          </cell>
          <cell r="AL34"/>
          <cell r="AM34">
            <v>0</v>
          </cell>
          <cell r="AN34">
            <v>0</v>
          </cell>
          <cell r="AO34">
            <v>0</v>
          </cell>
          <cell r="AP34">
            <v>0</v>
          </cell>
          <cell r="AQ34">
            <v>0</v>
          </cell>
          <cell r="AR34">
            <v>0</v>
          </cell>
          <cell r="AS34">
            <v>2066000</v>
          </cell>
          <cell r="AT34">
            <v>20000</v>
          </cell>
          <cell r="AU34">
            <v>14220</v>
          </cell>
          <cell r="AV34">
            <v>14715134.0419576</v>
          </cell>
          <cell r="AW34">
            <v>80000</v>
          </cell>
          <cell r="AX34">
            <v>0</v>
          </cell>
          <cell r="AY34"/>
          <cell r="AZ34"/>
          <cell r="BA34">
            <v>0</v>
          </cell>
          <cell r="BB34"/>
          <cell r="BC34">
            <v>0</v>
          </cell>
          <cell r="BD34">
            <v>214416</v>
          </cell>
          <cell r="BE34"/>
          <cell r="BF34">
            <v>0</v>
          </cell>
          <cell r="BG34">
            <v>0</v>
          </cell>
          <cell r="BH34">
            <v>0</v>
          </cell>
          <cell r="BI34">
            <v>255418</v>
          </cell>
          <cell r="BJ34">
            <v>210247</v>
          </cell>
          <cell r="BK34">
            <v>210247</v>
          </cell>
          <cell r="BL34">
            <v>0</v>
          </cell>
          <cell r="BM34">
            <v>0</v>
          </cell>
          <cell r="BN34">
            <v>271040</v>
          </cell>
          <cell r="BO34">
            <v>381574</v>
          </cell>
          <cell r="BP34">
            <v>36372.199999999997</v>
          </cell>
          <cell r="BQ34">
            <v>65523.255813953503</v>
          </cell>
          <cell r="BR34">
            <v>0</v>
          </cell>
          <cell r="BS34">
            <v>0</v>
          </cell>
          <cell r="BT34">
            <v>258949</v>
          </cell>
          <cell r="BU34"/>
          <cell r="BV34"/>
          <cell r="BW34"/>
          <cell r="BX34"/>
          <cell r="BY34">
            <v>3803697.48562465</v>
          </cell>
          <cell r="BZ34">
            <v>7193675.3741356404</v>
          </cell>
          <cell r="CA34">
            <v>7244005.44501347</v>
          </cell>
          <cell r="CB34">
            <v>7386113.8804331999</v>
          </cell>
          <cell r="CC34">
            <v>10328137</v>
          </cell>
          <cell r="CD34">
            <v>130178129</v>
          </cell>
          <cell r="CE34">
            <v>6535106</v>
          </cell>
          <cell r="CF34">
            <v>-9664</v>
          </cell>
          <cell r="CG34">
            <v>6445106</v>
          </cell>
          <cell r="CH34">
            <v>6445106</v>
          </cell>
          <cell r="CI34">
            <v>6445106</v>
          </cell>
          <cell r="CJ34">
            <v>6445106</v>
          </cell>
          <cell r="CK34">
            <v>57359547</v>
          </cell>
          <cell r="CL34">
            <v>57330789</v>
          </cell>
          <cell r="CM34">
            <v>57330323</v>
          </cell>
          <cell r="CN34">
            <v>57329301</v>
          </cell>
          <cell r="CO34">
            <v>57330718</v>
          </cell>
          <cell r="CP34">
            <v>-76</v>
          </cell>
          <cell r="CQ34">
            <v>13951569</v>
          </cell>
          <cell r="CR34">
            <v>13327397</v>
          </cell>
          <cell r="CS34">
            <v>13059888</v>
          </cell>
          <cell r="CT34">
            <v>12784305</v>
          </cell>
          <cell r="CU34">
            <v>12455938</v>
          </cell>
          <cell r="CV34">
            <v>351248</v>
          </cell>
          <cell r="CW34">
            <v>0</v>
          </cell>
          <cell r="CX34">
            <v>0</v>
          </cell>
          <cell r="CY34">
            <v>0</v>
          </cell>
          <cell r="CZ34">
            <v>0</v>
          </cell>
          <cell r="DA34">
            <v>0</v>
          </cell>
          <cell r="DB34"/>
          <cell r="DC34">
            <v>0</v>
          </cell>
          <cell r="DD34">
            <v>0</v>
          </cell>
          <cell r="DE34">
            <v>0</v>
          </cell>
          <cell r="DF34">
            <v>0</v>
          </cell>
          <cell r="DG34">
            <v>0</v>
          </cell>
          <cell r="DH34">
            <v>0</v>
          </cell>
          <cell r="DI34">
            <v>0</v>
          </cell>
          <cell r="DJ34">
            <v>0</v>
          </cell>
          <cell r="DK34">
            <v>0</v>
          </cell>
          <cell r="DL34">
            <v>0</v>
          </cell>
          <cell r="DM34"/>
          <cell r="DN34"/>
          <cell r="DO34"/>
          <cell r="DP34"/>
        </row>
        <row r="35">
          <cell r="A35">
            <v>85</v>
          </cell>
          <cell r="B35" t="str">
            <v>Ooststellingwerf</v>
          </cell>
          <cell r="C35">
            <v>2</v>
          </cell>
          <cell r="D35">
            <v>-18959</v>
          </cell>
          <cell r="E35">
            <v>-9480</v>
          </cell>
          <cell r="F35">
            <v>0</v>
          </cell>
          <cell r="G35">
            <v>0</v>
          </cell>
          <cell r="H35">
            <v>-34517</v>
          </cell>
          <cell r="I35">
            <v>-5511</v>
          </cell>
          <cell r="J35"/>
          <cell r="K35">
            <v>0</v>
          </cell>
          <cell r="L35">
            <v>116014</v>
          </cell>
          <cell r="M35">
            <v>111990</v>
          </cell>
          <cell r="N35">
            <v>0</v>
          </cell>
          <cell r="O35">
            <v>0</v>
          </cell>
          <cell r="P35">
            <v>0</v>
          </cell>
          <cell r="Q35">
            <v>0</v>
          </cell>
          <cell r="R35">
            <v>0</v>
          </cell>
          <cell r="S35">
            <v>0</v>
          </cell>
          <cell r="T35">
            <v>0</v>
          </cell>
          <cell r="U35">
            <v>0</v>
          </cell>
          <cell r="V35">
            <v>0</v>
          </cell>
          <cell r="W35">
            <v>93341</v>
          </cell>
          <cell r="X35">
            <v>0</v>
          </cell>
          <cell r="Y35"/>
          <cell r="Z35">
            <v>0</v>
          </cell>
          <cell r="AA35">
            <v>0</v>
          </cell>
          <cell r="AB35">
            <v>0</v>
          </cell>
          <cell r="AC35"/>
          <cell r="AD35">
            <v>94846</v>
          </cell>
          <cell r="AE35">
            <v>0</v>
          </cell>
          <cell r="AF35">
            <v>0</v>
          </cell>
          <cell r="AG35">
            <v>0</v>
          </cell>
          <cell r="AH35">
            <v>0</v>
          </cell>
          <cell r="AI35">
            <v>0</v>
          </cell>
          <cell r="AJ35">
            <v>0</v>
          </cell>
          <cell r="AK35">
            <v>0</v>
          </cell>
          <cell r="AL35"/>
          <cell r="AM35">
            <v>0</v>
          </cell>
          <cell r="AN35">
            <v>0</v>
          </cell>
          <cell r="AO35">
            <v>0</v>
          </cell>
          <cell r="AP35">
            <v>0</v>
          </cell>
          <cell r="AQ35">
            <v>0</v>
          </cell>
          <cell r="AR35">
            <v>0</v>
          </cell>
          <cell r="AS35">
            <v>0</v>
          </cell>
          <cell r="AT35">
            <v>0</v>
          </cell>
          <cell r="AU35">
            <v>2370</v>
          </cell>
          <cell r="AV35">
            <v>0</v>
          </cell>
          <cell r="AW35">
            <v>0</v>
          </cell>
          <cell r="AX35">
            <v>0</v>
          </cell>
          <cell r="AY35"/>
          <cell r="AZ35"/>
          <cell r="BA35">
            <v>0</v>
          </cell>
          <cell r="BB35"/>
          <cell r="BC35">
            <v>0</v>
          </cell>
          <cell r="BD35">
            <v>8965</v>
          </cell>
          <cell r="BE35"/>
          <cell r="BF35">
            <v>0</v>
          </cell>
          <cell r="BG35">
            <v>0</v>
          </cell>
          <cell r="BH35">
            <v>0</v>
          </cell>
          <cell r="BI35">
            <v>46808</v>
          </cell>
          <cell r="BJ35">
            <v>38530</v>
          </cell>
          <cell r="BK35">
            <v>38530</v>
          </cell>
          <cell r="BL35">
            <v>0</v>
          </cell>
          <cell r="BM35">
            <v>0</v>
          </cell>
          <cell r="BN35">
            <v>0</v>
          </cell>
          <cell r="BO35">
            <v>78315</v>
          </cell>
          <cell r="BP35">
            <v>4744.2</v>
          </cell>
          <cell r="BQ35">
            <v>8546.5116279069807</v>
          </cell>
          <cell r="BR35">
            <v>0</v>
          </cell>
          <cell r="BS35">
            <v>0</v>
          </cell>
          <cell r="BT35">
            <v>53597</v>
          </cell>
          <cell r="BU35"/>
          <cell r="BV35"/>
          <cell r="BW35"/>
          <cell r="BX35"/>
          <cell r="BY35">
            <v>0</v>
          </cell>
          <cell r="BZ35">
            <v>0</v>
          </cell>
          <cell r="CA35">
            <v>0</v>
          </cell>
          <cell r="CB35">
            <v>0</v>
          </cell>
          <cell r="CC35">
            <v>2456321</v>
          </cell>
          <cell r="CD35">
            <v>14569879</v>
          </cell>
          <cell r="CE35">
            <v>1094179</v>
          </cell>
          <cell r="CF35">
            <v>-13355</v>
          </cell>
          <cell r="CG35">
            <v>1094179</v>
          </cell>
          <cell r="CH35">
            <v>1094179</v>
          </cell>
          <cell r="CI35">
            <v>1094179</v>
          </cell>
          <cell r="CJ35">
            <v>1094179</v>
          </cell>
          <cell r="CK35">
            <v>0</v>
          </cell>
          <cell r="CL35">
            <v>0</v>
          </cell>
          <cell r="CM35">
            <v>0</v>
          </cell>
          <cell r="CN35">
            <v>0</v>
          </cell>
          <cell r="CO35">
            <v>0</v>
          </cell>
          <cell r="CP35">
            <v>0</v>
          </cell>
          <cell r="CQ35">
            <v>3203840</v>
          </cell>
          <cell r="CR35">
            <v>3043718</v>
          </cell>
          <cell r="CS35">
            <v>2974842</v>
          </cell>
          <cell r="CT35">
            <v>2814325</v>
          </cell>
          <cell r="CU35">
            <v>2657437</v>
          </cell>
          <cell r="CV35">
            <v>28797</v>
          </cell>
          <cell r="CW35">
            <v>0</v>
          </cell>
          <cell r="CX35">
            <v>0</v>
          </cell>
          <cell r="CY35">
            <v>0</v>
          </cell>
          <cell r="CZ35">
            <v>0</v>
          </cell>
          <cell r="DA35">
            <v>0</v>
          </cell>
          <cell r="DB35"/>
          <cell r="DC35">
            <v>0</v>
          </cell>
          <cell r="DD35">
            <v>0</v>
          </cell>
          <cell r="DE35">
            <v>0</v>
          </cell>
          <cell r="DF35">
            <v>0</v>
          </cell>
          <cell r="DG35">
            <v>0</v>
          </cell>
          <cell r="DH35">
            <v>0</v>
          </cell>
          <cell r="DI35">
            <v>0</v>
          </cell>
          <cell r="DJ35">
            <v>0</v>
          </cell>
          <cell r="DK35">
            <v>0</v>
          </cell>
          <cell r="DL35">
            <v>0</v>
          </cell>
          <cell r="DM35"/>
          <cell r="DN35"/>
          <cell r="DO35"/>
          <cell r="DP35"/>
        </row>
        <row r="36">
          <cell r="A36">
            <v>86</v>
          </cell>
          <cell r="B36" t="str">
            <v>Opsterland</v>
          </cell>
          <cell r="C36">
            <v>2</v>
          </cell>
          <cell r="D36">
            <v>21223</v>
          </cell>
          <cell r="E36">
            <v>10611</v>
          </cell>
          <cell r="F36">
            <v>0</v>
          </cell>
          <cell r="G36">
            <v>0</v>
          </cell>
          <cell r="H36">
            <v>-37064</v>
          </cell>
          <cell r="I36">
            <v>-14057</v>
          </cell>
          <cell r="J36"/>
          <cell r="K36">
            <v>0</v>
          </cell>
          <cell r="L36">
            <v>122839</v>
          </cell>
          <cell r="M36">
            <v>126464</v>
          </cell>
          <cell r="N36">
            <v>0</v>
          </cell>
          <cell r="O36">
            <v>0</v>
          </cell>
          <cell r="P36">
            <v>0</v>
          </cell>
          <cell r="Q36">
            <v>0</v>
          </cell>
          <cell r="R36">
            <v>0</v>
          </cell>
          <cell r="S36">
            <v>0</v>
          </cell>
          <cell r="T36">
            <v>0</v>
          </cell>
          <cell r="U36">
            <v>0</v>
          </cell>
          <cell r="V36">
            <v>0</v>
          </cell>
          <cell r="W36">
            <v>127901</v>
          </cell>
          <cell r="X36">
            <v>0</v>
          </cell>
          <cell r="Y36"/>
          <cell r="Z36">
            <v>0</v>
          </cell>
          <cell r="AA36">
            <v>0</v>
          </cell>
          <cell r="AB36">
            <v>0</v>
          </cell>
          <cell r="AC36"/>
          <cell r="AD36">
            <v>35200</v>
          </cell>
          <cell r="AE36">
            <v>0</v>
          </cell>
          <cell r="AF36">
            <v>0</v>
          </cell>
          <cell r="AG36">
            <v>0</v>
          </cell>
          <cell r="AH36">
            <v>0</v>
          </cell>
          <cell r="AI36">
            <v>0</v>
          </cell>
          <cell r="AJ36">
            <v>0</v>
          </cell>
          <cell r="AK36">
            <v>0</v>
          </cell>
          <cell r="AL36"/>
          <cell r="AM36">
            <v>0</v>
          </cell>
          <cell r="AN36">
            <v>0</v>
          </cell>
          <cell r="AO36">
            <v>0</v>
          </cell>
          <cell r="AP36">
            <v>0</v>
          </cell>
          <cell r="AQ36">
            <v>0</v>
          </cell>
          <cell r="AR36">
            <v>0</v>
          </cell>
          <cell r="AS36">
            <v>0</v>
          </cell>
          <cell r="AT36">
            <v>0</v>
          </cell>
          <cell r="AU36">
            <v>2370</v>
          </cell>
          <cell r="AV36">
            <v>0</v>
          </cell>
          <cell r="AW36">
            <v>0</v>
          </cell>
          <cell r="AX36">
            <v>0</v>
          </cell>
          <cell r="AY36"/>
          <cell r="AZ36"/>
          <cell r="BA36">
            <v>0</v>
          </cell>
          <cell r="BB36"/>
          <cell r="BC36">
            <v>0</v>
          </cell>
          <cell r="BD36">
            <v>10432</v>
          </cell>
          <cell r="BE36"/>
          <cell r="BF36">
            <v>0</v>
          </cell>
          <cell r="BG36">
            <v>0</v>
          </cell>
          <cell r="BH36">
            <v>0</v>
          </cell>
          <cell r="BI36">
            <v>44583</v>
          </cell>
          <cell r="BJ36">
            <v>36698</v>
          </cell>
          <cell r="BK36">
            <v>36698</v>
          </cell>
          <cell r="BL36">
            <v>0</v>
          </cell>
          <cell r="BM36">
            <v>0</v>
          </cell>
          <cell r="BN36">
            <v>0</v>
          </cell>
          <cell r="BO36">
            <v>142037</v>
          </cell>
          <cell r="BP36">
            <v>4744.2</v>
          </cell>
          <cell r="BQ36">
            <v>8546.5116279069807</v>
          </cell>
          <cell r="BR36">
            <v>0</v>
          </cell>
          <cell r="BS36">
            <v>0</v>
          </cell>
          <cell r="BT36">
            <v>67891</v>
          </cell>
          <cell r="BU36"/>
          <cell r="BV36"/>
          <cell r="BW36"/>
          <cell r="BX36"/>
          <cell r="BY36">
            <v>0</v>
          </cell>
          <cell r="BZ36">
            <v>0</v>
          </cell>
          <cell r="CA36">
            <v>0</v>
          </cell>
          <cell r="CB36">
            <v>0</v>
          </cell>
          <cell r="CC36">
            <v>2406734</v>
          </cell>
          <cell r="CD36">
            <v>16393295</v>
          </cell>
          <cell r="CE36">
            <v>2147258</v>
          </cell>
          <cell r="CF36">
            <v>-20713</v>
          </cell>
          <cell r="CG36">
            <v>2147258</v>
          </cell>
          <cell r="CH36">
            <v>2147258</v>
          </cell>
          <cell r="CI36">
            <v>2147258</v>
          </cell>
          <cell r="CJ36">
            <v>2147258</v>
          </cell>
          <cell r="CK36">
            <v>0</v>
          </cell>
          <cell r="CL36">
            <v>0</v>
          </cell>
          <cell r="CM36">
            <v>0</v>
          </cell>
          <cell r="CN36">
            <v>0</v>
          </cell>
          <cell r="CO36">
            <v>0</v>
          </cell>
          <cell r="CP36">
            <v>-1984</v>
          </cell>
          <cell r="CQ36">
            <v>3393643</v>
          </cell>
          <cell r="CR36">
            <v>3219141</v>
          </cell>
          <cell r="CS36">
            <v>3091410</v>
          </cell>
          <cell r="CT36">
            <v>2933672</v>
          </cell>
          <cell r="CU36">
            <v>2794605</v>
          </cell>
          <cell r="CV36">
            <v>-17862</v>
          </cell>
          <cell r="CW36">
            <v>0</v>
          </cell>
          <cell r="CX36">
            <v>0</v>
          </cell>
          <cell r="CY36">
            <v>0</v>
          </cell>
          <cell r="CZ36">
            <v>0</v>
          </cell>
          <cell r="DA36">
            <v>0</v>
          </cell>
          <cell r="DB36"/>
          <cell r="DC36">
            <v>0</v>
          </cell>
          <cell r="DD36">
            <v>0</v>
          </cell>
          <cell r="DE36">
            <v>0</v>
          </cell>
          <cell r="DF36">
            <v>0</v>
          </cell>
          <cell r="DG36">
            <v>0</v>
          </cell>
          <cell r="DH36">
            <v>0</v>
          </cell>
          <cell r="DI36">
            <v>0</v>
          </cell>
          <cell r="DJ36">
            <v>0</v>
          </cell>
          <cell r="DK36">
            <v>0</v>
          </cell>
          <cell r="DL36">
            <v>0</v>
          </cell>
          <cell r="DM36"/>
          <cell r="DN36"/>
          <cell r="DO36"/>
          <cell r="DP36"/>
        </row>
        <row r="37">
          <cell r="A37">
            <v>88</v>
          </cell>
          <cell r="B37" t="str">
            <v>Schiermonnikoog</v>
          </cell>
          <cell r="C37">
            <v>2</v>
          </cell>
          <cell r="D37">
            <v>2951</v>
          </cell>
          <cell r="E37">
            <v>1476</v>
          </cell>
          <cell r="F37">
            <v>0</v>
          </cell>
          <cell r="G37">
            <v>0</v>
          </cell>
          <cell r="H37">
            <v>-2525</v>
          </cell>
          <cell r="I37">
            <v>-2214</v>
          </cell>
          <cell r="J37"/>
          <cell r="K37">
            <v>0</v>
          </cell>
          <cell r="L37">
            <v>1791</v>
          </cell>
          <cell r="M37">
            <v>2428</v>
          </cell>
          <cell r="N37">
            <v>0</v>
          </cell>
          <cell r="O37">
            <v>0</v>
          </cell>
          <cell r="P37">
            <v>0</v>
          </cell>
          <cell r="Q37">
            <v>0</v>
          </cell>
          <cell r="R37">
            <v>0</v>
          </cell>
          <cell r="S37">
            <v>0</v>
          </cell>
          <cell r="T37">
            <v>0</v>
          </cell>
          <cell r="U37">
            <v>0</v>
          </cell>
          <cell r="V37">
            <v>0</v>
          </cell>
          <cell r="W37">
            <v>20204</v>
          </cell>
          <cell r="X37">
            <v>0</v>
          </cell>
          <cell r="Y37"/>
          <cell r="Z37">
            <v>0</v>
          </cell>
          <cell r="AA37">
            <v>0</v>
          </cell>
          <cell r="AB37">
            <v>0</v>
          </cell>
          <cell r="AC37"/>
          <cell r="AD37">
            <v>0</v>
          </cell>
          <cell r="AE37">
            <v>0</v>
          </cell>
          <cell r="AF37">
            <v>0</v>
          </cell>
          <cell r="AG37">
            <v>0</v>
          </cell>
          <cell r="AH37">
            <v>0</v>
          </cell>
          <cell r="AI37">
            <v>0</v>
          </cell>
          <cell r="AJ37">
            <v>0</v>
          </cell>
          <cell r="AK37">
            <v>0</v>
          </cell>
          <cell r="AL37"/>
          <cell r="AM37">
            <v>0</v>
          </cell>
          <cell r="AN37">
            <v>0</v>
          </cell>
          <cell r="AO37">
            <v>0</v>
          </cell>
          <cell r="AP37">
            <v>0</v>
          </cell>
          <cell r="AQ37">
            <v>0</v>
          </cell>
          <cell r="AR37">
            <v>0</v>
          </cell>
          <cell r="AS37">
            <v>0</v>
          </cell>
          <cell r="AT37">
            <v>0</v>
          </cell>
          <cell r="AU37">
            <v>0</v>
          </cell>
          <cell r="AV37">
            <v>0</v>
          </cell>
          <cell r="AW37">
            <v>0</v>
          </cell>
          <cell r="AX37">
            <v>0</v>
          </cell>
          <cell r="AY37"/>
          <cell r="AZ37"/>
          <cell r="BA37">
            <v>0</v>
          </cell>
          <cell r="BB37"/>
          <cell r="BC37">
            <v>0</v>
          </cell>
          <cell r="BD37">
            <v>330</v>
          </cell>
          <cell r="BE37"/>
          <cell r="BF37">
            <v>0</v>
          </cell>
          <cell r="BG37">
            <v>0</v>
          </cell>
          <cell r="BH37">
            <v>0</v>
          </cell>
          <cell r="BI37">
            <v>1206</v>
          </cell>
          <cell r="BJ37">
            <v>993</v>
          </cell>
          <cell r="BK37">
            <v>993</v>
          </cell>
          <cell r="BL37">
            <v>0</v>
          </cell>
          <cell r="BM37">
            <v>0</v>
          </cell>
          <cell r="BN37">
            <v>0</v>
          </cell>
          <cell r="BO37">
            <v>12161</v>
          </cell>
          <cell r="BP37">
            <v>0</v>
          </cell>
          <cell r="BQ37">
            <v>0</v>
          </cell>
          <cell r="BR37">
            <v>0</v>
          </cell>
          <cell r="BS37">
            <v>0</v>
          </cell>
          <cell r="BT37">
            <v>1928</v>
          </cell>
          <cell r="BU37"/>
          <cell r="BV37"/>
          <cell r="BW37"/>
          <cell r="BX37"/>
          <cell r="BY37">
            <v>0</v>
          </cell>
          <cell r="BZ37">
            <v>0</v>
          </cell>
          <cell r="CA37">
            <v>0</v>
          </cell>
          <cell r="CB37">
            <v>0</v>
          </cell>
          <cell r="CC37">
            <v>102263</v>
          </cell>
          <cell r="CD37">
            <v>267452</v>
          </cell>
          <cell r="CE37">
            <v>4747</v>
          </cell>
          <cell r="CF37">
            <v>-5445</v>
          </cell>
          <cell r="CG37">
            <v>4747</v>
          </cell>
          <cell r="CH37">
            <v>4747</v>
          </cell>
          <cell r="CI37">
            <v>4747</v>
          </cell>
          <cell r="CJ37">
            <v>4747</v>
          </cell>
          <cell r="CK37">
            <v>0</v>
          </cell>
          <cell r="CL37">
            <v>0</v>
          </cell>
          <cell r="CM37">
            <v>0</v>
          </cell>
          <cell r="CN37">
            <v>0</v>
          </cell>
          <cell r="CO37">
            <v>0</v>
          </cell>
          <cell r="CP37">
            <v>0</v>
          </cell>
          <cell r="CQ37">
            <v>8496</v>
          </cell>
          <cell r="CR37">
            <v>8497</v>
          </cell>
          <cell r="CS37">
            <v>7198</v>
          </cell>
          <cell r="CT37">
            <v>7199</v>
          </cell>
          <cell r="CU37">
            <v>7199</v>
          </cell>
          <cell r="CV37">
            <v>-6990</v>
          </cell>
          <cell r="CW37">
            <v>0</v>
          </cell>
          <cell r="CX37">
            <v>0</v>
          </cell>
          <cell r="CY37">
            <v>0</v>
          </cell>
          <cell r="CZ37">
            <v>0</v>
          </cell>
          <cell r="DA37">
            <v>0</v>
          </cell>
          <cell r="DB37"/>
          <cell r="DC37">
            <v>0</v>
          </cell>
          <cell r="DD37">
            <v>0</v>
          </cell>
          <cell r="DE37">
            <v>0</v>
          </cell>
          <cell r="DF37">
            <v>0</v>
          </cell>
          <cell r="DG37">
            <v>0</v>
          </cell>
          <cell r="DH37">
            <v>0</v>
          </cell>
          <cell r="DI37">
            <v>0</v>
          </cell>
          <cell r="DJ37">
            <v>0</v>
          </cell>
          <cell r="DK37">
            <v>0</v>
          </cell>
          <cell r="DL37">
            <v>0</v>
          </cell>
          <cell r="DM37"/>
          <cell r="DN37"/>
          <cell r="DO37"/>
          <cell r="DP37"/>
        </row>
        <row r="38">
          <cell r="A38">
            <v>90</v>
          </cell>
          <cell r="B38" t="str">
            <v>Smallingerland</v>
          </cell>
          <cell r="C38">
            <v>2</v>
          </cell>
          <cell r="D38">
            <v>137552</v>
          </cell>
          <cell r="E38">
            <v>68776</v>
          </cell>
          <cell r="F38">
            <v>0</v>
          </cell>
          <cell r="G38">
            <v>0</v>
          </cell>
          <cell r="H38">
            <v>-42647</v>
          </cell>
          <cell r="I38">
            <v>0</v>
          </cell>
          <cell r="J38"/>
          <cell r="K38">
            <v>0</v>
          </cell>
          <cell r="L38">
            <v>292274</v>
          </cell>
          <cell r="M38">
            <v>290544</v>
          </cell>
          <cell r="N38">
            <v>0</v>
          </cell>
          <cell r="O38">
            <v>0</v>
          </cell>
          <cell r="P38">
            <v>0</v>
          </cell>
          <cell r="Q38">
            <v>0</v>
          </cell>
          <cell r="R38">
            <v>0</v>
          </cell>
          <cell r="S38">
            <v>0</v>
          </cell>
          <cell r="T38">
            <v>0</v>
          </cell>
          <cell r="U38">
            <v>0</v>
          </cell>
          <cell r="V38">
            <v>6000</v>
          </cell>
          <cell r="W38">
            <v>201026</v>
          </cell>
          <cell r="X38">
            <v>0</v>
          </cell>
          <cell r="Y38"/>
          <cell r="Z38">
            <v>0</v>
          </cell>
          <cell r="AA38">
            <v>0</v>
          </cell>
          <cell r="AB38">
            <v>0</v>
          </cell>
          <cell r="AC38"/>
          <cell r="AD38">
            <v>129069</v>
          </cell>
          <cell r="AE38">
            <v>0</v>
          </cell>
          <cell r="AF38">
            <v>0</v>
          </cell>
          <cell r="AG38">
            <v>0</v>
          </cell>
          <cell r="AH38">
            <v>0</v>
          </cell>
          <cell r="AI38">
            <v>0</v>
          </cell>
          <cell r="AJ38">
            <v>0</v>
          </cell>
          <cell r="AK38">
            <v>0</v>
          </cell>
          <cell r="AL38"/>
          <cell r="AM38">
            <v>0</v>
          </cell>
          <cell r="AN38">
            <v>0</v>
          </cell>
          <cell r="AO38">
            <v>0</v>
          </cell>
          <cell r="AP38">
            <v>0</v>
          </cell>
          <cell r="AQ38">
            <v>0</v>
          </cell>
          <cell r="AR38">
            <v>0</v>
          </cell>
          <cell r="AS38">
            <v>0</v>
          </cell>
          <cell r="AT38">
            <v>0</v>
          </cell>
          <cell r="AU38">
            <v>2370</v>
          </cell>
          <cell r="AV38">
            <v>0</v>
          </cell>
          <cell r="AW38">
            <v>0</v>
          </cell>
          <cell r="AX38">
            <v>0</v>
          </cell>
          <cell r="AY38"/>
          <cell r="AZ38"/>
          <cell r="BA38">
            <v>0</v>
          </cell>
          <cell r="BB38"/>
          <cell r="BC38">
            <v>0</v>
          </cell>
          <cell r="BD38">
            <v>19551</v>
          </cell>
          <cell r="BE38"/>
          <cell r="BF38">
            <v>0</v>
          </cell>
          <cell r="BG38">
            <v>0</v>
          </cell>
          <cell r="BH38">
            <v>0</v>
          </cell>
          <cell r="BI38">
            <v>105471</v>
          </cell>
          <cell r="BJ38">
            <v>86818</v>
          </cell>
          <cell r="BK38">
            <v>86818</v>
          </cell>
          <cell r="BL38">
            <v>0</v>
          </cell>
          <cell r="BM38">
            <v>0</v>
          </cell>
          <cell r="BN38">
            <v>0</v>
          </cell>
          <cell r="BO38">
            <v>177060</v>
          </cell>
          <cell r="BP38">
            <v>23721</v>
          </cell>
          <cell r="BQ38">
            <v>42732.5581395349</v>
          </cell>
          <cell r="BR38">
            <v>0</v>
          </cell>
          <cell r="BS38">
            <v>0</v>
          </cell>
          <cell r="BT38">
            <v>110466</v>
          </cell>
          <cell r="BU38"/>
          <cell r="BV38"/>
          <cell r="BW38"/>
          <cell r="BX38"/>
          <cell r="BY38">
            <v>0</v>
          </cell>
          <cell r="BZ38">
            <v>0</v>
          </cell>
          <cell r="CA38">
            <v>0</v>
          </cell>
          <cell r="CB38">
            <v>0</v>
          </cell>
          <cell r="CC38">
            <v>5197941</v>
          </cell>
          <cell r="CD38">
            <v>40756337</v>
          </cell>
          <cell r="CE38">
            <v>6443359</v>
          </cell>
          <cell r="CF38">
            <v>0</v>
          </cell>
          <cell r="CG38">
            <v>6443359</v>
          </cell>
          <cell r="CH38">
            <v>6443359</v>
          </cell>
          <cell r="CI38">
            <v>6443359</v>
          </cell>
          <cell r="CJ38">
            <v>6443359</v>
          </cell>
          <cell r="CK38">
            <v>0</v>
          </cell>
          <cell r="CL38">
            <v>0</v>
          </cell>
          <cell r="CM38">
            <v>0</v>
          </cell>
          <cell r="CN38">
            <v>0</v>
          </cell>
          <cell r="CO38">
            <v>0</v>
          </cell>
          <cell r="CP38">
            <v>0</v>
          </cell>
          <cell r="CQ38">
            <v>10679509</v>
          </cell>
          <cell r="CR38">
            <v>10196646</v>
          </cell>
          <cell r="CS38">
            <v>9951031</v>
          </cell>
          <cell r="CT38">
            <v>9782131</v>
          </cell>
          <cell r="CU38">
            <v>9538554</v>
          </cell>
          <cell r="CV38">
            <v>-25145</v>
          </cell>
          <cell r="CW38">
            <v>0</v>
          </cell>
          <cell r="CX38">
            <v>0</v>
          </cell>
          <cell r="CY38">
            <v>0</v>
          </cell>
          <cell r="CZ38">
            <v>0</v>
          </cell>
          <cell r="DA38">
            <v>0</v>
          </cell>
          <cell r="DB38"/>
          <cell r="DC38">
            <v>0</v>
          </cell>
          <cell r="DD38">
            <v>0</v>
          </cell>
          <cell r="DE38">
            <v>0</v>
          </cell>
          <cell r="DF38">
            <v>0</v>
          </cell>
          <cell r="DG38">
            <v>0</v>
          </cell>
          <cell r="DH38">
            <v>0</v>
          </cell>
          <cell r="DI38">
            <v>0</v>
          </cell>
          <cell r="DJ38">
            <v>0</v>
          </cell>
          <cell r="DK38">
            <v>0</v>
          </cell>
          <cell r="DL38">
            <v>0</v>
          </cell>
          <cell r="DM38"/>
          <cell r="DN38"/>
          <cell r="DO38"/>
          <cell r="DP38"/>
        </row>
        <row r="39">
          <cell r="A39">
            <v>1900</v>
          </cell>
          <cell r="B39" t="str">
            <v>Sudwest Fryslan</v>
          </cell>
          <cell r="C39">
            <v>2</v>
          </cell>
          <cell r="D39">
            <v>82392.320000000007</v>
          </cell>
          <cell r="E39">
            <v>41196.660000000003</v>
          </cell>
          <cell r="F39">
            <v>0</v>
          </cell>
          <cell r="G39">
            <v>0</v>
          </cell>
          <cell r="H39">
            <v>-34808.370000000003</v>
          </cell>
          <cell r="I39">
            <v>-41387.42</v>
          </cell>
          <cell r="J39"/>
          <cell r="K39">
            <v>0</v>
          </cell>
          <cell r="L39">
            <v>423001.89</v>
          </cell>
          <cell r="M39">
            <v>450368</v>
          </cell>
          <cell r="N39">
            <v>0</v>
          </cell>
          <cell r="O39">
            <v>0</v>
          </cell>
          <cell r="P39">
            <v>0</v>
          </cell>
          <cell r="Q39">
            <v>0</v>
          </cell>
          <cell r="R39">
            <v>0</v>
          </cell>
          <cell r="S39">
            <v>0</v>
          </cell>
          <cell r="T39">
            <v>0</v>
          </cell>
          <cell r="U39">
            <v>0</v>
          </cell>
          <cell r="V39">
            <v>24000</v>
          </cell>
          <cell r="W39">
            <v>340431</v>
          </cell>
          <cell r="X39">
            <v>0</v>
          </cell>
          <cell r="Y39"/>
          <cell r="Z39">
            <v>0</v>
          </cell>
          <cell r="AA39">
            <v>0</v>
          </cell>
          <cell r="AB39">
            <v>0</v>
          </cell>
          <cell r="AC39"/>
          <cell r="AD39">
            <v>161759</v>
          </cell>
          <cell r="AE39">
            <v>0</v>
          </cell>
          <cell r="AF39">
            <v>0</v>
          </cell>
          <cell r="AG39">
            <v>0</v>
          </cell>
          <cell r="AH39">
            <v>0</v>
          </cell>
          <cell r="AI39">
            <v>0</v>
          </cell>
          <cell r="AJ39">
            <v>0</v>
          </cell>
          <cell r="AK39">
            <v>0</v>
          </cell>
          <cell r="AL39"/>
          <cell r="AM39">
            <v>0</v>
          </cell>
          <cell r="AN39">
            <v>0</v>
          </cell>
          <cell r="AO39">
            <v>0</v>
          </cell>
          <cell r="AP39">
            <v>0</v>
          </cell>
          <cell r="AQ39">
            <v>0</v>
          </cell>
          <cell r="AR39">
            <v>0</v>
          </cell>
          <cell r="AS39">
            <v>0</v>
          </cell>
          <cell r="AT39">
            <v>20000</v>
          </cell>
          <cell r="AU39">
            <v>9480</v>
          </cell>
          <cell r="AV39">
            <v>0</v>
          </cell>
          <cell r="AW39">
            <v>0</v>
          </cell>
          <cell r="AX39">
            <v>0</v>
          </cell>
          <cell r="AY39"/>
          <cell r="AZ39"/>
          <cell r="BA39">
            <v>0</v>
          </cell>
          <cell r="BB39"/>
          <cell r="BC39">
            <v>0</v>
          </cell>
          <cell r="BD39">
            <v>157264</v>
          </cell>
          <cell r="BE39"/>
          <cell r="BF39">
            <v>0</v>
          </cell>
          <cell r="BG39">
            <v>0</v>
          </cell>
          <cell r="BH39">
            <v>0</v>
          </cell>
          <cell r="BI39">
            <v>153576</v>
          </cell>
          <cell r="BJ39">
            <v>126416</v>
          </cell>
          <cell r="BK39">
            <v>126416</v>
          </cell>
          <cell r="BL39">
            <v>0</v>
          </cell>
          <cell r="BM39">
            <v>0</v>
          </cell>
          <cell r="BN39">
            <v>0</v>
          </cell>
          <cell r="BO39">
            <v>344114</v>
          </cell>
          <cell r="BP39">
            <v>31628</v>
          </cell>
          <cell r="BQ39">
            <v>56976.744186046497</v>
          </cell>
          <cell r="BR39">
            <v>0</v>
          </cell>
          <cell r="BS39">
            <v>0</v>
          </cell>
          <cell r="BT39">
            <v>215766</v>
          </cell>
          <cell r="BU39"/>
          <cell r="BV39"/>
          <cell r="BW39"/>
          <cell r="BX39"/>
          <cell r="BY39">
            <v>0</v>
          </cell>
          <cell r="BZ39">
            <v>0</v>
          </cell>
          <cell r="CA39">
            <v>0</v>
          </cell>
          <cell r="CB39">
            <v>0</v>
          </cell>
          <cell r="CC39">
            <v>7456758</v>
          </cell>
          <cell r="CD39">
            <v>49240943</v>
          </cell>
          <cell r="CE39">
            <v>2843008</v>
          </cell>
          <cell r="CF39">
            <v>-100141</v>
          </cell>
          <cell r="CG39">
            <v>2843008</v>
          </cell>
          <cell r="CH39">
            <v>2843008</v>
          </cell>
          <cell r="CI39">
            <v>2843008</v>
          </cell>
          <cell r="CJ39">
            <v>2843008</v>
          </cell>
          <cell r="CK39">
            <v>0</v>
          </cell>
          <cell r="CL39">
            <v>0</v>
          </cell>
          <cell r="CM39">
            <v>0</v>
          </cell>
          <cell r="CN39">
            <v>0</v>
          </cell>
          <cell r="CO39">
            <v>0</v>
          </cell>
          <cell r="CP39">
            <v>0</v>
          </cell>
          <cell r="CQ39">
            <v>13771126</v>
          </cell>
          <cell r="CR39">
            <v>13132185</v>
          </cell>
          <cell r="CS39">
            <v>12764484</v>
          </cell>
          <cell r="CT39">
            <v>12428365</v>
          </cell>
          <cell r="CU39">
            <v>12019328</v>
          </cell>
          <cell r="CV39">
            <v>218157</v>
          </cell>
          <cell r="CW39">
            <v>0</v>
          </cell>
          <cell r="CX39">
            <v>0</v>
          </cell>
          <cell r="CY39">
            <v>0</v>
          </cell>
          <cell r="CZ39">
            <v>0</v>
          </cell>
          <cell r="DA39">
            <v>0</v>
          </cell>
          <cell r="DB39"/>
          <cell r="DC39">
            <v>0</v>
          </cell>
          <cell r="DD39">
            <v>0</v>
          </cell>
          <cell r="DE39">
            <v>0</v>
          </cell>
          <cell r="DF39">
            <v>0</v>
          </cell>
          <cell r="DG39">
            <v>0</v>
          </cell>
          <cell r="DH39">
            <v>0</v>
          </cell>
          <cell r="DI39">
            <v>0</v>
          </cell>
          <cell r="DJ39">
            <v>0</v>
          </cell>
          <cell r="DK39">
            <v>0</v>
          </cell>
          <cell r="DL39">
            <v>0</v>
          </cell>
          <cell r="DM39"/>
          <cell r="DN39"/>
          <cell r="DO39"/>
          <cell r="DP39"/>
        </row>
        <row r="40">
          <cell r="A40">
            <v>93</v>
          </cell>
          <cell r="B40" t="str">
            <v>Terschelling</v>
          </cell>
          <cell r="C40">
            <v>2</v>
          </cell>
          <cell r="D40">
            <v>-10463</v>
          </cell>
          <cell r="E40">
            <v>-5232</v>
          </cell>
          <cell r="F40">
            <v>0</v>
          </cell>
          <cell r="G40">
            <v>0</v>
          </cell>
          <cell r="H40">
            <v>0</v>
          </cell>
          <cell r="I40">
            <v>0</v>
          </cell>
          <cell r="J40"/>
          <cell r="K40">
            <v>0</v>
          </cell>
          <cell r="L40">
            <v>12256</v>
          </cell>
          <cell r="M40">
            <v>11428</v>
          </cell>
          <cell r="N40">
            <v>0</v>
          </cell>
          <cell r="O40">
            <v>0</v>
          </cell>
          <cell r="P40">
            <v>0</v>
          </cell>
          <cell r="Q40">
            <v>0</v>
          </cell>
          <cell r="R40">
            <v>0</v>
          </cell>
          <cell r="S40">
            <v>0</v>
          </cell>
          <cell r="T40">
            <v>0</v>
          </cell>
          <cell r="U40">
            <v>0</v>
          </cell>
          <cell r="V40">
            <v>0</v>
          </cell>
          <cell r="W40">
            <v>27213</v>
          </cell>
          <cell r="X40">
            <v>0</v>
          </cell>
          <cell r="Y40"/>
          <cell r="Z40">
            <v>0</v>
          </cell>
          <cell r="AA40">
            <v>0</v>
          </cell>
          <cell r="AB40">
            <v>0</v>
          </cell>
          <cell r="AC40"/>
          <cell r="AD40">
            <v>0</v>
          </cell>
          <cell r="AE40">
            <v>0</v>
          </cell>
          <cell r="AF40">
            <v>0</v>
          </cell>
          <cell r="AG40">
            <v>0</v>
          </cell>
          <cell r="AH40">
            <v>0</v>
          </cell>
          <cell r="AI40">
            <v>0</v>
          </cell>
          <cell r="AJ40">
            <v>0</v>
          </cell>
          <cell r="AK40">
            <v>0</v>
          </cell>
          <cell r="AL40"/>
          <cell r="AM40">
            <v>0</v>
          </cell>
          <cell r="AN40">
            <v>0</v>
          </cell>
          <cell r="AO40">
            <v>0</v>
          </cell>
          <cell r="AP40">
            <v>0</v>
          </cell>
          <cell r="AQ40">
            <v>0</v>
          </cell>
          <cell r="AR40">
            <v>0</v>
          </cell>
          <cell r="AS40">
            <v>0</v>
          </cell>
          <cell r="AT40">
            <v>0</v>
          </cell>
          <cell r="AU40">
            <v>0</v>
          </cell>
          <cell r="AV40">
            <v>0</v>
          </cell>
          <cell r="AW40">
            <v>0</v>
          </cell>
          <cell r="AX40">
            <v>0</v>
          </cell>
          <cell r="AY40"/>
          <cell r="AZ40"/>
          <cell r="BA40">
            <v>0</v>
          </cell>
          <cell r="BB40"/>
          <cell r="BC40">
            <v>0</v>
          </cell>
          <cell r="BD40">
            <v>1706</v>
          </cell>
          <cell r="BE40"/>
          <cell r="BF40">
            <v>0</v>
          </cell>
          <cell r="BG40">
            <v>0</v>
          </cell>
          <cell r="BH40">
            <v>0</v>
          </cell>
          <cell r="BI40">
            <v>4004</v>
          </cell>
          <cell r="BJ40">
            <v>3296</v>
          </cell>
          <cell r="BK40">
            <v>3296</v>
          </cell>
          <cell r="BL40">
            <v>0</v>
          </cell>
          <cell r="BM40">
            <v>0</v>
          </cell>
          <cell r="BN40">
            <v>0</v>
          </cell>
          <cell r="BO40">
            <v>10215</v>
          </cell>
          <cell r="BP40">
            <v>0</v>
          </cell>
          <cell r="BQ40">
            <v>0</v>
          </cell>
          <cell r="BR40">
            <v>0</v>
          </cell>
          <cell r="BS40">
            <v>0</v>
          </cell>
          <cell r="BT40">
            <v>15485</v>
          </cell>
          <cell r="BU40"/>
          <cell r="BV40"/>
          <cell r="BW40"/>
          <cell r="BX40"/>
          <cell r="BY40">
            <v>0</v>
          </cell>
          <cell r="BZ40">
            <v>0</v>
          </cell>
          <cell r="CA40">
            <v>0</v>
          </cell>
          <cell r="CB40">
            <v>0</v>
          </cell>
          <cell r="CC40">
            <v>305146</v>
          </cell>
          <cell r="CD40">
            <v>1326192</v>
          </cell>
          <cell r="CE40">
            <v>4747</v>
          </cell>
          <cell r="CF40">
            <v>283317</v>
          </cell>
          <cell r="CG40">
            <v>4747</v>
          </cell>
          <cell r="CH40">
            <v>4747</v>
          </cell>
          <cell r="CI40">
            <v>4747</v>
          </cell>
          <cell r="CJ40">
            <v>4747</v>
          </cell>
          <cell r="CK40">
            <v>0</v>
          </cell>
          <cell r="CL40">
            <v>0</v>
          </cell>
          <cell r="CM40">
            <v>0</v>
          </cell>
          <cell r="CN40">
            <v>0</v>
          </cell>
          <cell r="CO40">
            <v>0</v>
          </cell>
          <cell r="CP40">
            <v>-847</v>
          </cell>
          <cell r="CQ40">
            <v>226069</v>
          </cell>
          <cell r="CR40">
            <v>219413</v>
          </cell>
          <cell r="CS40">
            <v>217808</v>
          </cell>
          <cell r="CT40">
            <v>216925</v>
          </cell>
          <cell r="CU40">
            <v>216303</v>
          </cell>
          <cell r="CV40">
            <v>17736</v>
          </cell>
          <cell r="CW40">
            <v>0</v>
          </cell>
          <cell r="CX40">
            <v>0</v>
          </cell>
          <cell r="CY40">
            <v>0</v>
          </cell>
          <cell r="CZ40">
            <v>0</v>
          </cell>
          <cell r="DA40">
            <v>0</v>
          </cell>
          <cell r="DB40"/>
          <cell r="DC40">
            <v>0</v>
          </cell>
          <cell r="DD40">
            <v>0</v>
          </cell>
          <cell r="DE40">
            <v>0</v>
          </cell>
          <cell r="DF40">
            <v>0</v>
          </cell>
          <cell r="DG40">
            <v>0</v>
          </cell>
          <cell r="DH40">
            <v>0</v>
          </cell>
          <cell r="DI40">
            <v>0</v>
          </cell>
          <cell r="DJ40">
            <v>0</v>
          </cell>
          <cell r="DK40">
            <v>0</v>
          </cell>
          <cell r="DL40">
            <v>0</v>
          </cell>
          <cell r="DM40"/>
          <cell r="DN40"/>
          <cell r="DO40"/>
          <cell r="DP40"/>
        </row>
        <row r="41">
          <cell r="A41">
            <v>737</v>
          </cell>
          <cell r="B41" t="str">
            <v>Tytsjerksteradiel</v>
          </cell>
          <cell r="C41">
            <v>2</v>
          </cell>
          <cell r="D41">
            <v>76575</v>
          </cell>
          <cell r="E41">
            <v>38287</v>
          </cell>
          <cell r="F41">
            <v>0</v>
          </cell>
          <cell r="G41">
            <v>0</v>
          </cell>
          <cell r="H41">
            <v>-39182</v>
          </cell>
          <cell r="I41">
            <v>-6875</v>
          </cell>
          <cell r="J41"/>
          <cell r="K41">
            <v>0</v>
          </cell>
          <cell r="L41">
            <v>113806</v>
          </cell>
          <cell r="M41">
            <v>111561</v>
          </cell>
          <cell r="N41">
            <v>0</v>
          </cell>
          <cell r="O41">
            <v>0</v>
          </cell>
          <cell r="P41">
            <v>0</v>
          </cell>
          <cell r="Q41">
            <v>0</v>
          </cell>
          <cell r="R41">
            <v>0</v>
          </cell>
          <cell r="S41">
            <v>0</v>
          </cell>
          <cell r="T41">
            <v>0</v>
          </cell>
          <cell r="U41">
            <v>0</v>
          </cell>
          <cell r="V41">
            <v>0</v>
          </cell>
          <cell r="W41">
            <v>133343</v>
          </cell>
          <cell r="X41">
            <v>0</v>
          </cell>
          <cell r="Y41"/>
          <cell r="Z41">
            <v>0</v>
          </cell>
          <cell r="AA41">
            <v>0</v>
          </cell>
          <cell r="AB41">
            <v>0</v>
          </cell>
          <cell r="AC41"/>
          <cell r="AD41">
            <v>47912</v>
          </cell>
          <cell r="AE41">
            <v>0</v>
          </cell>
          <cell r="AF41">
            <v>0</v>
          </cell>
          <cell r="AG41">
            <v>0</v>
          </cell>
          <cell r="AH41">
            <v>0</v>
          </cell>
          <cell r="AI41">
            <v>0</v>
          </cell>
          <cell r="AJ41">
            <v>0</v>
          </cell>
          <cell r="AK41">
            <v>0</v>
          </cell>
          <cell r="AL41"/>
          <cell r="AM41">
            <v>0</v>
          </cell>
          <cell r="AN41">
            <v>0</v>
          </cell>
          <cell r="AO41">
            <v>0</v>
          </cell>
          <cell r="AP41">
            <v>0</v>
          </cell>
          <cell r="AQ41">
            <v>0</v>
          </cell>
          <cell r="AR41">
            <v>0</v>
          </cell>
          <cell r="AS41">
            <v>0</v>
          </cell>
          <cell r="AT41">
            <v>0</v>
          </cell>
          <cell r="AU41">
            <v>2370</v>
          </cell>
          <cell r="AV41">
            <v>0</v>
          </cell>
          <cell r="AW41">
            <v>0</v>
          </cell>
          <cell r="AX41">
            <v>0</v>
          </cell>
          <cell r="AY41"/>
          <cell r="AZ41"/>
          <cell r="BA41">
            <v>0</v>
          </cell>
          <cell r="BB41"/>
          <cell r="BC41">
            <v>0</v>
          </cell>
          <cell r="BD41">
            <v>11220</v>
          </cell>
          <cell r="BE41"/>
          <cell r="BF41">
            <v>0</v>
          </cell>
          <cell r="BG41">
            <v>0</v>
          </cell>
          <cell r="BH41">
            <v>0</v>
          </cell>
          <cell r="BI41">
            <v>46270</v>
          </cell>
          <cell r="BJ41">
            <v>38087</v>
          </cell>
          <cell r="BK41">
            <v>38087</v>
          </cell>
          <cell r="BL41">
            <v>0</v>
          </cell>
          <cell r="BM41">
            <v>0</v>
          </cell>
          <cell r="BN41">
            <v>0</v>
          </cell>
          <cell r="BO41">
            <v>154198</v>
          </cell>
          <cell r="BP41">
            <v>14232.6</v>
          </cell>
          <cell r="BQ41">
            <v>25639.534883720899</v>
          </cell>
          <cell r="BR41">
            <v>0</v>
          </cell>
          <cell r="BS41">
            <v>0</v>
          </cell>
          <cell r="BT41">
            <v>71107</v>
          </cell>
          <cell r="BU41"/>
          <cell r="BV41"/>
          <cell r="BW41"/>
          <cell r="BX41"/>
          <cell r="BY41">
            <v>0</v>
          </cell>
          <cell r="BZ41">
            <v>0</v>
          </cell>
          <cell r="CA41">
            <v>0</v>
          </cell>
          <cell r="CB41">
            <v>0</v>
          </cell>
          <cell r="CC41">
            <v>2725854</v>
          </cell>
          <cell r="CD41">
            <v>16906384</v>
          </cell>
          <cell r="CE41">
            <v>1909788</v>
          </cell>
          <cell r="CF41">
            <v>-16632</v>
          </cell>
          <cell r="CG41">
            <v>1909788</v>
          </cell>
          <cell r="CH41">
            <v>1909788</v>
          </cell>
          <cell r="CI41">
            <v>1909788</v>
          </cell>
          <cell r="CJ41">
            <v>1909788</v>
          </cell>
          <cell r="CK41">
            <v>0</v>
          </cell>
          <cell r="CL41">
            <v>0</v>
          </cell>
          <cell r="CM41">
            <v>0</v>
          </cell>
          <cell r="CN41">
            <v>0</v>
          </cell>
          <cell r="CO41">
            <v>0</v>
          </cell>
          <cell r="CP41">
            <v>0</v>
          </cell>
          <cell r="CQ41">
            <v>3571588</v>
          </cell>
          <cell r="CR41">
            <v>3413904</v>
          </cell>
          <cell r="CS41">
            <v>3335881</v>
          </cell>
          <cell r="CT41">
            <v>3293879</v>
          </cell>
          <cell r="CU41">
            <v>3189854</v>
          </cell>
          <cell r="CV41">
            <v>-88644</v>
          </cell>
          <cell r="CW41">
            <v>0</v>
          </cell>
          <cell r="CX41">
            <v>0</v>
          </cell>
          <cell r="CY41">
            <v>0</v>
          </cell>
          <cell r="CZ41">
            <v>0</v>
          </cell>
          <cell r="DA41">
            <v>0</v>
          </cell>
          <cell r="DB41"/>
          <cell r="DC41">
            <v>0</v>
          </cell>
          <cell r="DD41">
            <v>0</v>
          </cell>
          <cell r="DE41">
            <v>0</v>
          </cell>
          <cell r="DF41">
            <v>0</v>
          </cell>
          <cell r="DG41">
            <v>0</v>
          </cell>
          <cell r="DH41">
            <v>0</v>
          </cell>
          <cell r="DI41">
            <v>0</v>
          </cell>
          <cell r="DJ41">
            <v>0</v>
          </cell>
          <cell r="DK41">
            <v>0</v>
          </cell>
          <cell r="DL41">
            <v>0</v>
          </cell>
          <cell r="DM41"/>
          <cell r="DN41"/>
          <cell r="DO41"/>
          <cell r="DP41"/>
        </row>
        <row r="42">
          <cell r="A42">
            <v>96</v>
          </cell>
          <cell r="B42" t="str">
            <v>Vlieland</v>
          </cell>
          <cell r="C42">
            <v>2</v>
          </cell>
          <cell r="D42">
            <v>2856</v>
          </cell>
          <cell r="E42">
            <v>1428</v>
          </cell>
          <cell r="F42">
            <v>0</v>
          </cell>
          <cell r="G42">
            <v>0</v>
          </cell>
          <cell r="H42">
            <v>-418</v>
          </cell>
          <cell r="I42">
            <v>-789</v>
          </cell>
          <cell r="J42"/>
          <cell r="K42">
            <v>0</v>
          </cell>
          <cell r="L42">
            <v>3223</v>
          </cell>
          <cell r="M42">
            <v>5238</v>
          </cell>
          <cell r="N42">
            <v>0</v>
          </cell>
          <cell r="O42">
            <v>0</v>
          </cell>
          <cell r="P42">
            <v>0</v>
          </cell>
          <cell r="Q42">
            <v>0</v>
          </cell>
          <cell r="R42">
            <v>0</v>
          </cell>
          <cell r="S42">
            <v>0</v>
          </cell>
          <cell r="T42">
            <v>0</v>
          </cell>
          <cell r="U42">
            <v>0</v>
          </cell>
          <cell r="V42">
            <v>0</v>
          </cell>
          <cell r="W42">
            <v>20204</v>
          </cell>
          <cell r="X42">
            <v>0</v>
          </cell>
          <cell r="Y42"/>
          <cell r="Z42">
            <v>0</v>
          </cell>
          <cell r="AA42">
            <v>0</v>
          </cell>
          <cell r="AB42">
            <v>0</v>
          </cell>
          <cell r="AC42"/>
          <cell r="AD42">
            <v>0</v>
          </cell>
          <cell r="AE42">
            <v>0</v>
          </cell>
          <cell r="AF42">
            <v>0</v>
          </cell>
          <cell r="AG42">
            <v>0</v>
          </cell>
          <cell r="AH42">
            <v>0</v>
          </cell>
          <cell r="AI42">
            <v>0</v>
          </cell>
          <cell r="AJ42">
            <v>0</v>
          </cell>
          <cell r="AK42">
            <v>0</v>
          </cell>
          <cell r="AL42"/>
          <cell r="AM42">
            <v>0</v>
          </cell>
          <cell r="AN42">
            <v>0</v>
          </cell>
          <cell r="AO42">
            <v>0</v>
          </cell>
          <cell r="AP42">
            <v>0</v>
          </cell>
          <cell r="AQ42">
            <v>0</v>
          </cell>
          <cell r="AR42">
            <v>0</v>
          </cell>
          <cell r="AS42">
            <v>0</v>
          </cell>
          <cell r="AT42">
            <v>0</v>
          </cell>
          <cell r="AU42">
            <v>0</v>
          </cell>
          <cell r="AV42">
            <v>0</v>
          </cell>
          <cell r="AW42">
            <v>0</v>
          </cell>
          <cell r="AX42">
            <v>0</v>
          </cell>
          <cell r="AY42"/>
          <cell r="AZ42"/>
          <cell r="BA42">
            <v>0</v>
          </cell>
          <cell r="BB42"/>
          <cell r="BC42">
            <v>0</v>
          </cell>
          <cell r="BD42">
            <v>381</v>
          </cell>
          <cell r="BE42"/>
          <cell r="BF42">
            <v>0</v>
          </cell>
          <cell r="BG42">
            <v>0</v>
          </cell>
          <cell r="BH42">
            <v>0</v>
          </cell>
          <cell r="BI42">
            <v>1486</v>
          </cell>
          <cell r="BJ42">
            <v>1224</v>
          </cell>
          <cell r="BK42">
            <v>1224</v>
          </cell>
          <cell r="BL42">
            <v>0</v>
          </cell>
          <cell r="BM42">
            <v>0</v>
          </cell>
          <cell r="BN42">
            <v>0</v>
          </cell>
          <cell r="BO42">
            <v>10215</v>
          </cell>
          <cell r="BP42">
            <v>0</v>
          </cell>
          <cell r="BQ42">
            <v>0</v>
          </cell>
          <cell r="BR42">
            <v>0</v>
          </cell>
          <cell r="BS42">
            <v>0</v>
          </cell>
          <cell r="BT42">
            <v>2872</v>
          </cell>
          <cell r="BU42"/>
          <cell r="BV42"/>
          <cell r="BW42"/>
          <cell r="BX42"/>
          <cell r="BY42">
            <v>0</v>
          </cell>
          <cell r="BZ42">
            <v>0</v>
          </cell>
          <cell r="CA42">
            <v>0</v>
          </cell>
          <cell r="CB42">
            <v>0</v>
          </cell>
          <cell r="CC42">
            <v>88702</v>
          </cell>
          <cell r="CD42">
            <v>298379</v>
          </cell>
          <cell r="CE42">
            <v>4747</v>
          </cell>
          <cell r="CF42">
            <v>0</v>
          </cell>
          <cell r="CG42">
            <v>4747</v>
          </cell>
          <cell r="CH42">
            <v>4747</v>
          </cell>
          <cell r="CI42">
            <v>4747</v>
          </cell>
          <cell r="CJ42">
            <v>4747</v>
          </cell>
          <cell r="CK42">
            <v>0</v>
          </cell>
          <cell r="CL42">
            <v>0</v>
          </cell>
          <cell r="CM42">
            <v>0</v>
          </cell>
          <cell r="CN42">
            <v>0</v>
          </cell>
          <cell r="CO42">
            <v>0</v>
          </cell>
          <cell r="CP42">
            <v>-287</v>
          </cell>
          <cell r="CQ42">
            <v>8496</v>
          </cell>
          <cell r="CR42">
            <v>8497</v>
          </cell>
          <cell r="CS42">
            <v>7198</v>
          </cell>
          <cell r="CT42">
            <v>7199</v>
          </cell>
          <cell r="CU42">
            <v>7199</v>
          </cell>
          <cell r="CV42">
            <v>639</v>
          </cell>
          <cell r="CW42">
            <v>0</v>
          </cell>
          <cell r="CX42">
            <v>0</v>
          </cell>
          <cell r="CY42">
            <v>0</v>
          </cell>
          <cell r="CZ42">
            <v>0</v>
          </cell>
          <cell r="DA42">
            <v>0</v>
          </cell>
          <cell r="DB42"/>
          <cell r="DC42">
            <v>0</v>
          </cell>
          <cell r="DD42">
            <v>0</v>
          </cell>
          <cell r="DE42">
            <v>0</v>
          </cell>
          <cell r="DF42">
            <v>0</v>
          </cell>
          <cell r="DG42">
            <v>0</v>
          </cell>
          <cell r="DH42">
            <v>0</v>
          </cell>
          <cell r="DI42">
            <v>0</v>
          </cell>
          <cell r="DJ42">
            <v>0</v>
          </cell>
          <cell r="DK42">
            <v>0</v>
          </cell>
          <cell r="DL42">
            <v>0</v>
          </cell>
          <cell r="DM42"/>
          <cell r="DN42"/>
          <cell r="DO42"/>
          <cell r="DP42"/>
        </row>
        <row r="43">
          <cell r="A43">
            <v>1949</v>
          </cell>
          <cell r="B43" t="str">
            <v>Waadhoeke</v>
          </cell>
          <cell r="C43">
            <v>2</v>
          </cell>
          <cell r="D43">
            <v>105956.44</v>
          </cell>
          <cell r="E43">
            <v>52979.22</v>
          </cell>
          <cell r="F43">
            <v>0</v>
          </cell>
          <cell r="G43">
            <v>0</v>
          </cell>
          <cell r="H43">
            <v>-16134.79</v>
          </cell>
          <cell r="I43">
            <v>-6930.14</v>
          </cell>
          <cell r="J43"/>
          <cell r="K43">
            <v>0</v>
          </cell>
          <cell r="L43">
            <v>190614.63</v>
          </cell>
          <cell r="M43">
            <v>184794</v>
          </cell>
          <cell r="N43">
            <v>0</v>
          </cell>
          <cell r="O43">
            <v>0</v>
          </cell>
          <cell r="P43">
            <v>0</v>
          </cell>
          <cell r="Q43">
            <v>0</v>
          </cell>
          <cell r="R43">
            <v>0</v>
          </cell>
          <cell r="S43">
            <v>0</v>
          </cell>
          <cell r="T43">
            <v>0</v>
          </cell>
          <cell r="U43">
            <v>0</v>
          </cell>
          <cell r="V43">
            <v>9000</v>
          </cell>
          <cell r="W43">
            <v>201453</v>
          </cell>
          <cell r="X43">
            <v>0</v>
          </cell>
          <cell r="Y43"/>
          <cell r="Z43">
            <v>0</v>
          </cell>
          <cell r="AA43">
            <v>0</v>
          </cell>
          <cell r="AB43">
            <v>0</v>
          </cell>
          <cell r="AC43"/>
          <cell r="AD43">
            <v>110424</v>
          </cell>
          <cell r="AE43">
            <v>0</v>
          </cell>
          <cell r="AF43">
            <v>0</v>
          </cell>
          <cell r="AG43">
            <v>0</v>
          </cell>
          <cell r="AH43">
            <v>0</v>
          </cell>
          <cell r="AI43">
            <v>0</v>
          </cell>
          <cell r="AJ43">
            <v>0</v>
          </cell>
          <cell r="AK43">
            <v>0</v>
          </cell>
          <cell r="AL43"/>
          <cell r="AM43">
            <v>0</v>
          </cell>
          <cell r="AN43">
            <v>0</v>
          </cell>
          <cell r="AO43">
            <v>0</v>
          </cell>
          <cell r="AP43">
            <v>0</v>
          </cell>
          <cell r="AQ43">
            <v>0</v>
          </cell>
          <cell r="AR43">
            <v>0</v>
          </cell>
          <cell r="AS43">
            <v>0</v>
          </cell>
          <cell r="AT43">
            <v>0</v>
          </cell>
          <cell r="AU43">
            <v>0</v>
          </cell>
          <cell r="AV43">
            <v>0</v>
          </cell>
          <cell r="AW43">
            <v>0</v>
          </cell>
          <cell r="AX43">
            <v>0</v>
          </cell>
          <cell r="AY43"/>
          <cell r="AZ43"/>
          <cell r="BA43">
            <v>0</v>
          </cell>
          <cell r="BB43"/>
          <cell r="BC43">
            <v>0</v>
          </cell>
          <cell r="BD43">
            <v>80685</v>
          </cell>
          <cell r="BE43"/>
          <cell r="BF43">
            <v>0</v>
          </cell>
          <cell r="BG43">
            <v>0</v>
          </cell>
          <cell r="BH43">
            <v>0</v>
          </cell>
          <cell r="BI43">
            <v>78615</v>
          </cell>
          <cell r="BJ43">
            <v>64712</v>
          </cell>
          <cell r="BK43">
            <v>64712</v>
          </cell>
          <cell r="BL43">
            <v>0</v>
          </cell>
          <cell r="BM43">
            <v>0</v>
          </cell>
          <cell r="BN43">
            <v>0</v>
          </cell>
          <cell r="BO43">
            <v>230611</v>
          </cell>
          <cell r="BP43">
            <v>1581.4</v>
          </cell>
          <cell r="BQ43">
            <v>2848.8372093023299</v>
          </cell>
          <cell r="BR43">
            <v>0</v>
          </cell>
          <cell r="BS43">
            <v>0</v>
          </cell>
          <cell r="BT43">
            <v>105386</v>
          </cell>
          <cell r="BU43"/>
          <cell r="BV43"/>
          <cell r="BW43"/>
          <cell r="BX43"/>
          <cell r="BY43">
            <v>0</v>
          </cell>
          <cell r="BZ43">
            <v>0</v>
          </cell>
          <cell r="CA43">
            <v>0</v>
          </cell>
          <cell r="CB43">
            <v>0</v>
          </cell>
          <cell r="CC43">
            <v>3925066</v>
          </cell>
          <cell r="CD43">
            <v>25420945</v>
          </cell>
          <cell r="CE43">
            <v>1579616</v>
          </cell>
          <cell r="CF43">
            <v>46886</v>
          </cell>
          <cell r="CG43">
            <v>1579616</v>
          </cell>
          <cell r="CH43">
            <v>1579616</v>
          </cell>
          <cell r="CI43">
            <v>1579616</v>
          </cell>
          <cell r="CJ43">
            <v>1579616</v>
          </cell>
          <cell r="CK43">
            <v>0</v>
          </cell>
          <cell r="CL43">
            <v>0</v>
          </cell>
          <cell r="CM43">
            <v>0</v>
          </cell>
          <cell r="CN43">
            <v>0</v>
          </cell>
          <cell r="CO43">
            <v>0</v>
          </cell>
          <cell r="CP43">
            <v>-863</v>
          </cell>
          <cell r="CQ43">
            <v>5773523</v>
          </cell>
          <cell r="CR43">
            <v>5526417</v>
          </cell>
          <cell r="CS43">
            <v>5375101</v>
          </cell>
          <cell r="CT43">
            <v>5211602</v>
          </cell>
          <cell r="CU43">
            <v>5061282</v>
          </cell>
          <cell r="CV43">
            <v>-69479</v>
          </cell>
          <cell r="CW43">
            <v>0</v>
          </cell>
          <cell r="CX43">
            <v>0</v>
          </cell>
          <cell r="CY43">
            <v>0</v>
          </cell>
          <cell r="CZ43">
            <v>0</v>
          </cell>
          <cell r="DA43">
            <v>0</v>
          </cell>
          <cell r="DB43"/>
          <cell r="DC43">
            <v>0</v>
          </cell>
          <cell r="DD43">
            <v>0</v>
          </cell>
          <cell r="DE43">
            <v>0</v>
          </cell>
          <cell r="DF43">
            <v>0</v>
          </cell>
          <cell r="DG43">
            <v>0</v>
          </cell>
          <cell r="DH43">
            <v>0</v>
          </cell>
          <cell r="DI43">
            <v>0</v>
          </cell>
          <cell r="DJ43">
            <v>0</v>
          </cell>
          <cell r="DK43">
            <v>0</v>
          </cell>
          <cell r="DL43">
            <v>0</v>
          </cell>
          <cell r="DM43"/>
          <cell r="DN43"/>
          <cell r="DO43"/>
          <cell r="DP43"/>
        </row>
        <row r="44">
          <cell r="A44">
            <v>98</v>
          </cell>
          <cell r="B44" t="str">
            <v>Weststellingwerf</v>
          </cell>
          <cell r="C44">
            <v>2</v>
          </cell>
          <cell r="D44">
            <v>34728</v>
          </cell>
          <cell r="E44">
            <v>17364</v>
          </cell>
          <cell r="F44">
            <v>0</v>
          </cell>
          <cell r="G44">
            <v>0</v>
          </cell>
          <cell r="H44">
            <v>-19841</v>
          </cell>
          <cell r="I44">
            <v>0</v>
          </cell>
          <cell r="J44"/>
          <cell r="K44">
            <v>0</v>
          </cell>
          <cell r="L44">
            <v>116989</v>
          </cell>
          <cell r="M44">
            <v>114323</v>
          </cell>
          <cell r="N44">
            <v>0</v>
          </cell>
          <cell r="O44">
            <v>0</v>
          </cell>
          <cell r="P44">
            <v>0</v>
          </cell>
          <cell r="Q44">
            <v>0</v>
          </cell>
          <cell r="R44">
            <v>0</v>
          </cell>
          <cell r="S44">
            <v>0</v>
          </cell>
          <cell r="T44">
            <v>0</v>
          </cell>
          <cell r="U44">
            <v>0</v>
          </cell>
          <cell r="V44">
            <v>0</v>
          </cell>
          <cell r="W44">
            <v>87280</v>
          </cell>
          <cell r="X44">
            <v>0</v>
          </cell>
          <cell r="Y44"/>
          <cell r="Z44">
            <v>0</v>
          </cell>
          <cell r="AA44">
            <v>0</v>
          </cell>
          <cell r="AB44">
            <v>0</v>
          </cell>
          <cell r="AC44"/>
          <cell r="AD44">
            <v>90935</v>
          </cell>
          <cell r="AE44">
            <v>0</v>
          </cell>
          <cell r="AF44">
            <v>0</v>
          </cell>
          <cell r="AG44">
            <v>0</v>
          </cell>
          <cell r="AH44">
            <v>0</v>
          </cell>
          <cell r="AI44">
            <v>0</v>
          </cell>
          <cell r="AJ44">
            <v>0</v>
          </cell>
          <cell r="AK44">
            <v>0</v>
          </cell>
          <cell r="AL44"/>
          <cell r="AM44">
            <v>0</v>
          </cell>
          <cell r="AN44">
            <v>0</v>
          </cell>
          <cell r="AO44">
            <v>0</v>
          </cell>
          <cell r="AP44">
            <v>0</v>
          </cell>
          <cell r="AQ44">
            <v>0</v>
          </cell>
          <cell r="AR44">
            <v>0</v>
          </cell>
          <cell r="AS44">
            <v>0</v>
          </cell>
          <cell r="AT44">
            <v>0</v>
          </cell>
          <cell r="AU44">
            <v>0</v>
          </cell>
          <cell r="AV44">
            <v>0</v>
          </cell>
          <cell r="AW44">
            <v>0</v>
          </cell>
          <cell r="AX44">
            <v>0</v>
          </cell>
          <cell r="AY44"/>
          <cell r="AZ44"/>
          <cell r="BA44">
            <v>0</v>
          </cell>
          <cell r="BB44"/>
          <cell r="BC44">
            <v>0</v>
          </cell>
          <cell r="BD44">
            <v>8989</v>
          </cell>
          <cell r="BE44"/>
          <cell r="BF44">
            <v>0</v>
          </cell>
          <cell r="BG44">
            <v>0</v>
          </cell>
          <cell r="BH44">
            <v>0</v>
          </cell>
          <cell r="BI44">
            <v>47425</v>
          </cell>
          <cell r="BJ44">
            <v>39038</v>
          </cell>
          <cell r="BK44">
            <v>39038</v>
          </cell>
          <cell r="BL44">
            <v>0</v>
          </cell>
          <cell r="BM44">
            <v>0</v>
          </cell>
          <cell r="BN44">
            <v>0</v>
          </cell>
          <cell r="BO44">
            <v>146901</v>
          </cell>
          <cell r="BP44">
            <v>0</v>
          </cell>
          <cell r="BQ44">
            <v>0</v>
          </cell>
          <cell r="BR44">
            <v>0</v>
          </cell>
          <cell r="BS44">
            <v>0</v>
          </cell>
          <cell r="BT44">
            <v>54890</v>
          </cell>
          <cell r="BU44"/>
          <cell r="BV44"/>
          <cell r="BW44"/>
          <cell r="BX44"/>
          <cell r="BY44">
            <v>0</v>
          </cell>
          <cell r="BZ44">
            <v>0</v>
          </cell>
          <cell r="CA44">
            <v>0</v>
          </cell>
          <cell r="CB44">
            <v>0</v>
          </cell>
          <cell r="CC44">
            <v>2461141</v>
          </cell>
          <cell r="CD44">
            <v>14936022</v>
          </cell>
          <cell r="CE44">
            <v>801288</v>
          </cell>
          <cell r="CF44">
            <v>0</v>
          </cell>
          <cell r="CG44">
            <v>801288</v>
          </cell>
          <cell r="CH44">
            <v>801288</v>
          </cell>
          <cell r="CI44">
            <v>801288</v>
          </cell>
          <cell r="CJ44">
            <v>801288</v>
          </cell>
          <cell r="CK44">
            <v>0</v>
          </cell>
          <cell r="CL44">
            <v>0</v>
          </cell>
          <cell r="CM44">
            <v>0</v>
          </cell>
          <cell r="CN44">
            <v>0</v>
          </cell>
          <cell r="CO44">
            <v>0</v>
          </cell>
          <cell r="CP44">
            <v>0</v>
          </cell>
          <cell r="CQ44">
            <v>4520433</v>
          </cell>
          <cell r="CR44">
            <v>4261068</v>
          </cell>
          <cell r="CS44">
            <v>4091136</v>
          </cell>
          <cell r="CT44">
            <v>4007813</v>
          </cell>
          <cell r="CU44">
            <v>3952189</v>
          </cell>
          <cell r="CV44">
            <v>42872</v>
          </cell>
          <cell r="CW44">
            <v>0</v>
          </cell>
          <cell r="CX44">
            <v>0</v>
          </cell>
          <cell r="CY44">
            <v>0</v>
          </cell>
          <cell r="CZ44">
            <v>0</v>
          </cell>
          <cell r="DA44">
            <v>0</v>
          </cell>
          <cell r="DB44"/>
          <cell r="DC44">
            <v>0</v>
          </cell>
          <cell r="DD44">
            <v>0</v>
          </cell>
          <cell r="DE44">
            <v>0</v>
          </cell>
          <cell r="DF44">
            <v>0</v>
          </cell>
          <cell r="DG44">
            <v>0</v>
          </cell>
          <cell r="DH44">
            <v>0</v>
          </cell>
          <cell r="DI44">
            <v>0</v>
          </cell>
          <cell r="DJ44">
            <v>0</v>
          </cell>
          <cell r="DK44">
            <v>0</v>
          </cell>
          <cell r="DL44">
            <v>0</v>
          </cell>
          <cell r="DM44"/>
          <cell r="DN44"/>
          <cell r="DO44"/>
          <cell r="DP44"/>
        </row>
        <row r="45">
          <cell r="A45">
            <v>1680</v>
          </cell>
          <cell r="B45" t="str">
            <v>Aa en Hunze</v>
          </cell>
          <cell r="C45">
            <v>3</v>
          </cell>
          <cell r="D45">
            <v>-404</v>
          </cell>
          <cell r="E45">
            <v>-202</v>
          </cell>
          <cell r="F45">
            <v>0</v>
          </cell>
          <cell r="G45">
            <v>0</v>
          </cell>
          <cell r="H45">
            <v>-15182</v>
          </cell>
          <cell r="I45">
            <v>-1545</v>
          </cell>
          <cell r="J45"/>
          <cell r="K45">
            <v>0</v>
          </cell>
          <cell r="L45">
            <v>71387</v>
          </cell>
          <cell r="M45">
            <v>67898</v>
          </cell>
          <cell r="N45">
            <v>0</v>
          </cell>
          <cell r="O45">
            <v>0</v>
          </cell>
          <cell r="P45">
            <v>0</v>
          </cell>
          <cell r="Q45">
            <v>0</v>
          </cell>
          <cell r="R45">
            <v>0</v>
          </cell>
          <cell r="S45">
            <v>0</v>
          </cell>
          <cell r="T45">
            <v>0</v>
          </cell>
          <cell r="U45">
            <v>0</v>
          </cell>
          <cell r="V45">
            <v>6000</v>
          </cell>
          <cell r="W45">
            <v>98744</v>
          </cell>
          <cell r="X45">
            <v>0</v>
          </cell>
          <cell r="Y45"/>
          <cell r="Z45">
            <v>0</v>
          </cell>
          <cell r="AA45">
            <v>0</v>
          </cell>
          <cell r="AB45">
            <v>0</v>
          </cell>
          <cell r="AC45"/>
          <cell r="AD45">
            <v>0</v>
          </cell>
          <cell r="AE45">
            <v>0</v>
          </cell>
          <cell r="AF45">
            <v>0</v>
          </cell>
          <cell r="AG45">
            <v>0</v>
          </cell>
          <cell r="AH45">
            <v>0</v>
          </cell>
          <cell r="AI45">
            <v>0</v>
          </cell>
          <cell r="AJ45">
            <v>0</v>
          </cell>
          <cell r="AK45">
            <v>0</v>
          </cell>
          <cell r="AL45"/>
          <cell r="AM45">
            <v>0</v>
          </cell>
          <cell r="AN45">
            <v>0</v>
          </cell>
          <cell r="AO45">
            <v>0</v>
          </cell>
          <cell r="AP45">
            <v>0</v>
          </cell>
          <cell r="AQ45">
            <v>0</v>
          </cell>
          <cell r="AR45">
            <v>0</v>
          </cell>
          <cell r="AS45">
            <v>0</v>
          </cell>
          <cell r="AT45">
            <v>0</v>
          </cell>
          <cell r="AU45">
            <v>0</v>
          </cell>
          <cell r="AV45">
            <v>0</v>
          </cell>
          <cell r="AW45">
            <v>0</v>
          </cell>
          <cell r="AX45">
            <v>0</v>
          </cell>
          <cell r="AY45"/>
          <cell r="AZ45"/>
          <cell r="BA45">
            <v>0</v>
          </cell>
          <cell r="BB45"/>
          <cell r="BC45">
            <v>0</v>
          </cell>
          <cell r="BD45">
            <v>8876</v>
          </cell>
          <cell r="BE45"/>
          <cell r="BF45">
            <v>0</v>
          </cell>
          <cell r="BG45">
            <v>0</v>
          </cell>
          <cell r="BH45">
            <v>0</v>
          </cell>
          <cell r="BI45">
            <v>31523</v>
          </cell>
          <cell r="BJ45">
            <v>25948</v>
          </cell>
          <cell r="BK45">
            <v>25948</v>
          </cell>
          <cell r="BL45">
            <v>0</v>
          </cell>
          <cell r="BM45">
            <v>0</v>
          </cell>
          <cell r="BN45">
            <v>0</v>
          </cell>
          <cell r="BO45">
            <v>57398</v>
          </cell>
          <cell r="BP45">
            <v>4744.2</v>
          </cell>
          <cell r="BQ45">
            <v>8546.5116279069807</v>
          </cell>
          <cell r="BR45">
            <v>0</v>
          </cell>
          <cell r="BS45">
            <v>0</v>
          </cell>
          <cell r="BT45">
            <v>64826</v>
          </cell>
          <cell r="BU45"/>
          <cell r="BV45"/>
          <cell r="BW45"/>
          <cell r="BX45"/>
          <cell r="BY45">
            <v>0</v>
          </cell>
          <cell r="BZ45">
            <v>0</v>
          </cell>
          <cell r="CA45">
            <v>0</v>
          </cell>
          <cell r="CB45">
            <v>0</v>
          </cell>
          <cell r="CC45">
            <v>2107819</v>
          </cell>
          <cell r="CD45">
            <v>9452633</v>
          </cell>
          <cell r="CE45">
            <v>2336901</v>
          </cell>
          <cell r="CF45">
            <v>0</v>
          </cell>
          <cell r="CG45">
            <v>2336901</v>
          </cell>
          <cell r="CH45">
            <v>2336901</v>
          </cell>
          <cell r="CI45">
            <v>2336901</v>
          </cell>
          <cell r="CJ45">
            <v>2336901</v>
          </cell>
          <cell r="CK45">
            <v>0</v>
          </cell>
          <cell r="CL45">
            <v>0</v>
          </cell>
          <cell r="CM45">
            <v>0</v>
          </cell>
          <cell r="CN45">
            <v>0</v>
          </cell>
          <cell r="CO45">
            <v>0</v>
          </cell>
          <cell r="CP45">
            <v>-562</v>
          </cell>
          <cell r="CQ45">
            <v>101149</v>
          </cell>
          <cell r="CR45">
            <v>113634</v>
          </cell>
          <cell r="CS45">
            <v>117125</v>
          </cell>
          <cell r="CT45">
            <v>128402</v>
          </cell>
          <cell r="CU45">
            <v>139647</v>
          </cell>
          <cell r="CV45">
            <v>81949</v>
          </cell>
          <cell r="CW45">
            <v>0</v>
          </cell>
          <cell r="CX45">
            <v>0</v>
          </cell>
          <cell r="CY45">
            <v>0</v>
          </cell>
          <cell r="CZ45">
            <v>0</v>
          </cell>
          <cell r="DA45">
            <v>0</v>
          </cell>
          <cell r="DB45"/>
          <cell r="DC45">
            <v>0</v>
          </cell>
          <cell r="DD45">
            <v>0</v>
          </cell>
          <cell r="DE45">
            <v>0</v>
          </cell>
          <cell r="DF45">
            <v>0</v>
          </cell>
          <cell r="DG45">
            <v>0</v>
          </cell>
          <cell r="DH45">
            <v>0</v>
          </cell>
          <cell r="DI45">
            <v>0</v>
          </cell>
          <cell r="DJ45">
            <v>0</v>
          </cell>
          <cell r="DK45">
            <v>0</v>
          </cell>
          <cell r="DL45">
            <v>0</v>
          </cell>
          <cell r="DM45"/>
          <cell r="DN45"/>
          <cell r="DO45"/>
          <cell r="DP45"/>
        </row>
        <row r="46">
          <cell r="A46">
            <v>106</v>
          </cell>
          <cell r="B46" t="str">
            <v>Assen</v>
          </cell>
          <cell r="C46">
            <v>3</v>
          </cell>
          <cell r="D46">
            <v>58488</v>
          </cell>
          <cell r="E46">
            <v>29244</v>
          </cell>
          <cell r="F46">
            <v>0</v>
          </cell>
          <cell r="G46">
            <v>137488</v>
          </cell>
          <cell r="H46">
            <v>1686784</v>
          </cell>
          <cell r="I46">
            <v>679309</v>
          </cell>
          <cell r="J46"/>
          <cell r="K46">
            <v>0</v>
          </cell>
          <cell r="L46">
            <v>387059</v>
          </cell>
          <cell r="M46">
            <v>371870</v>
          </cell>
          <cell r="N46">
            <v>0</v>
          </cell>
          <cell r="O46">
            <v>0</v>
          </cell>
          <cell r="P46">
            <v>150000</v>
          </cell>
          <cell r="Q46">
            <v>0</v>
          </cell>
          <cell r="R46">
            <v>0</v>
          </cell>
          <cell r="S46">
            <v>0</v>
          </cell>
          <cell r="T46">
            <v>0</v>
          </cell>
          <cell r="U46">
            <v>0</v>
          </cell>
          <cell r="V46">
            <v>49500</v>
          </cell>
          <cell r="W46">
            <v>273490</v>
          </cell>
          <cell r="X46">
            <v>0</v>
          </cell>
          <cell r="Y46"/>
          <cell r="Z46">
            <v>0</v>
          </cell>
          <cell r="AA46">
            <v>0</v>
          </cell>
          <cell r="AB46">
            <v>0</v>
          </cell>
          <cell r="AC46"/>
          <cell r="AD46">
            <v>118313</v>
          </cell>
          <cell r="AE46">
            <v>0</v>
          </cell>
          <cell r="AF46">
            <v>0</v>
          </cell>
          <cell r="AG46">
            <v>0</v>
          </cell>
          <cell r="AH46">
            <v>0</v>
          </cell>
          <cell r="AI46">
            <v>148777</v>
          </cell>
          <cell r="AJ46">
            <v>0</v>
          </cell>
          <cell r="AK46">
            <v>0</v>
          </cell>
          <cell r="AL46"/>
          <cell r="AM46">
            <v>0</v>
          </cell>
          <cell r="AN46">
            <v>0</v>
          </cell>
          <cell r="AO46">
            <v>0</v>
          </cell>
          <cell r="AP46">
            <v>0</v>
          </cell>
          <cell r="AQ46">
            <v>0</v>
          </cell>
          <cell r="AR46">
            <v>0</v>
          </cell>
          <cell r="AS46">
            <v>0</v>
          </cell>
          <cell r="AT46">
            <v>20000</v>
          </cell>
          <cell r="AU46">
            <v>4740</v>
          </cell>
          <cell r="AV46">
            <v>4684217.1786038904</v>
          </cell>
          <cell r="AW46">
            <v>0</v>
          </cell>
          <cell r="AX46">
            <v>0</v>
          </cell>
          <cell r="AY46"/>
          <cell r="AZ46"/>
          <cell r="BA46">
            <v>0</v>
          </cell>
          <cell r="BB46"/>
          <cell r="BC46">
            <v>0</v>
          </cell>
          <cell r="BD46">
            <v>23713</v>
          </cell>
          <cell r="BE46"/>
          <cell r="BF46">
            <v>0</v>
          </cell>
          <cell r="BG46">
            <v>0</v>
          </cell>
          <cell r="BH46">
            <v>0</v>
          </cell>
          <cell r="BI46">
            <v>122981</v>
          </cell>
          <cell r="BJ46">
            <v>101232</v>
          </cell>
          <cell r="BK46">
            <v>101232</v>
          </cell>
          <cell r="BL46">
            <v>0</v>
          </cell>
          <cell r="BM46">
            <v>0</v>
          </cell>
          <cell r="BN46">
            <v>197890</v>
          </cell>
          <cell r="BO46">
            <v>217433</v>
          </cell>
          <cell r="BP46">
            <v>23721</v>
          </cell>
          <cell r="BQ46">
            <v>42732.5581395349</v>
          </cell>
          <cell r="BR46">
            <v>0</v>
          </cell>
          <cell r="BS46">
            <v>0</v>
          </cell>
          <cell r="BT46">
            <v>123179</v>
          </cell>
          <cell r="BU46"/>
          <cell r="BV46"/>
          <cell r="BW46"/>
          <cell r="BX46"/>
          <cell r="BY46">
            <v>0</v>
          </cell>
          <cell r="BZ46">
            <v>0</v>
          </cell>
          <cell r="CA46">
            <v>0</v>
          </cell>
          <cell r="CB46">
            <v>0</v>
          </cell>
          <cell r="CC46">
            <v>5913676</v>
          </cell>
          <cell r="CD46">
            <v>73726450</v>
          </cell>
          <cell r="CE46">
            <v>4703499</v>
          </cell>
          <cell r="CF46">
            <v>0</v>
          </cell>
          <cell r="CG46">
            <v>4703499</v>
          </cell>
          <cell r="CH46">
            <v>4703499</v>
          </cell>
          <cell r="CI46">
            <v>4703499</v>
          </cell>
          <cell r="CJ46">
            <v>4703499</v>
          </cell>
          <cell r="CK46">
            <v>40999033</v>
          </cell>
          <cell r="CL46">
            <v>40978516</v>
          </cell>
          <cell r="CM46">
            <v>40978184</v>
          </cell>
          <cell r="CN46">
            <v>40977454</v>
          </cell>
          <cell r="CO46">
            <v>40978466</v>
          </cell>
          <cell r="CP46">
            <v>0</v>
          </cell>
          <cell r="CQ46">
            <v>738799</v>
          </cell>
          <cell r="CR46">
            <v>826120</v>
          </cell>
          <cell r="CS46">
            <v>852464</v>
          </cell>
          <cell r="CT46">
            <v>931601</v>
          </cell>
          <cell r="CU46">
            <v>1010466</v>
          </cell>
          <cell r="CV46">
            <v>73863</v>
          </cell>
          <cell r="CW46">
            <v>0</v>
          </cell>
          <cell r="CX46">
            <v>0</v>
          </cell>
          <cell r="CY46">
            <v>0</v>
          </cell>
          <cell r="CZ46">
            <v>0</v>
          </cell>
          <cell r="DA46">
            <v>0</v>
          </cell>
          <cell r="DB46"/>
          <cell r="DC46">
            <v>0</v>
          </cell>
          <cell r="DD46">
            <v>0</v>
          </cell>
          <cell r="DE46">
            <v>0</v>
          </cell>
          <cell r="DF46">
            <v>0</v>
          </cell>
          <cell r="DG46">
            <v>0</v>
          </cell>
          <cell r="DH46">
            <v>0</v>
          </cell>
          <cell r="DI46">
            <v>0</v>
          </cell>
          <cell r="DJ46">
            <v>0</v>
          </cell>
          <cell r="DK46">
            <v>0</v>
          </cell>
          <cell r="DL46">
            <v>0</v>
          </cell>
          <cell r="DM46"/>
          <cell r="DN46"/>
          <cell r="DO46"/>
          <cell r="DP46"/>
        </row>
        <row r="47">
          <cell r="A47">
            <v>1681</v>
          </cell>
          <cell r="B47" t="str">
            <v>Borger-Odoorn</v>
          </cell>
          <cell r="C47">
            <v>3</v>
          </cell>
          <cell r="D47">
            <v>65108</v>
          </cell>
          <cell r="E47">
            <v>32554</v>
          </cell>
          <cell r="F47">
            <v>0</v>
          </cell>
          <cell r="G47">
            <v>0</v>
          </cell>
          <cell r="H47">
            <v>-43029</v>
          </cell>
          <cell r="I47">
            <v>-16678</v>
          </cell>
          <cell r="J47"/>
          <cell r="K47">
            <v>0</v>
          </cell>
          <cell r="L47">
            <v>100993</v>
          </cell>
          <cell r="M47">
            <v>92872</v>
          </cell>
          <cell r="N47">
            <v>0</v>
          </cell>
          <cell r="O47">
            <v>0</v>
          </cell>
          <cell r="P47">
            <v>0</v>
          </cell>
          <cell r="Q47">
            <v>0</v>
          </cell>
          <cell r="R47">
            <v>0</v>
          </cell>
          <cell r="S47">
            <v>0</v>
          </cell>
          <cell r="T47">
            <v>0</v>
          </cell>
          <cell r="U47">
            <v>0</v>
          </cell>
          <cell r="V47">
            <v>6000</v>
          </cell>
          <cell r="W47">
            <v>102048</v>
          </cell>
          <cell r="X47">
            <v>0</v>
          </cell>
          <cell r="Y47"/>
          <cell r="Z47">
            <v>0</v>
          </cell>
          <cell r="AA47">
            <v>0</v>
          </cell>
          <cell r="AB47">
            <v>0</v>
          </cell>
          <cell r="AC47"/>
          <cell r="AD47">
            <v>85068</v>
          </cell>
          <cell r="AE47">
            <v>0</v>
          </cell>
          <cell r="AF47">
            <v>0</v>
          </cell>
          <cell r="AG47">
            <v>0</v>
          </cell>
          <cell r="AH47">
            <v>0</v>
          </cell>
          <cell r="AI47">
            <v>0</v>
          </cell>
          <cell r="AJ47">
            <v>0</v>
          </cell>
          <cell r="AK47">
            <v>0</v>
          </cell>
          <cell r="AL47"/>
          <cell r="AM47">
            <v>0</v>
          </cell>
          <cell r="AN47">
            <v>0</v>
          </cell>
          <cell r="AO47">
            <v>0</v>
          </cell>
          <cell r="AP47">
            <v>0</v>
          </cell>
          <cell r="AQ47">
            <v>0</v>
          </cell>
          <cell r="AR47">
            <v>0</v>
          </cell>
          <cell r="AS47">
            <v>0</v>
          </cell>
          <cell r="AT47">
            <v>0</v>
          </cell>
          <cell r="AU47">
            <v>2370</v>
          </cell>
          <cell r="AV47">
            <v>0</v>
          </cell>
          <cell r="AW47">
            <v>0</v>
          </cell>
          <cell r="AX47">
            <v>0</v>
          </cell>
          <cell r="AY47"/>
          <cell r="AZ47"/>
          <cell r="BA47">
            <v>0</v>
          </cell>
          <cell r="BB47"/>
          <cell r="BC47">
            <v>0</v>
          </cell>
          <cell r="BD47">
            <v>8901</v>
          </cell>
          <cell r="BE47"/>
          <cell r="BF47">
            <v>0</v>
          </cell>
          <cell r="BG47">
            <v>0</v>
          </cell>
          <cell r="BH47">
            <v>0</v>
          </cell>
          <cell r="BI47">
            <v>38139</v>
          </cell>
          <cell r="BJ47">
            <v>31394</v>
          </cell>
          <cell r="BK47">
            <v>31394</v>
          </cell>
          <cell r="BL47">
            <v>0</v>
          </cell>
          <cell r="BM47">
            <v>0</v>
          </cell>
          <cell r="BN47">
            <v>0</v>
          </cell>
          <cell r="BO47">
            <v>74423</v>
          </cell>
          <cell r="BP47">
            <v>4744.2</v>
          </cell>
          <cell r="BQ47">
            <v>8546.5116279069807</v>
          </cell>
          <cell r="BR47">
            <v>0</v>
          </cell>
          <cell r="BS47">
            <v>0</v>
          </cell>
          <cell r="BT47">
            <v>68946</v>
          </cell>
          <cell r="BU47"/>
          <cell r="BV47"/>
          <cell r="BW47"/>
          <cell r="BX47"/>
          <cell r="BY47">
            <v>0</v>
          </cell>
          <cell r="BZ47">
            <v>0</v>
          </cell>
          <cell r="CA47">
            <v>0</v>
          </cell>
          <cell r="CB47">
            <v>0</v>
          </cell>
          <cell r="CC47">
            <v>2241392</v>
          </cell>
          <cell r="CD47">
            <v>15158707</v>
          </cell>
          <cell r="CE47">
            <v>1516965</v>
          </cell>
          <cell r="CF47">
            <v>0</v>
          </cell>
          <cell r="CG47">
            <v>1516965</v>
          </cell>
          <cell r="CH47">
            <v>1516965</v>
          </cell>
          <cell r="CI47">
            <v>1516965</v>
          </cell>
          <cell r="CJ47">
            <v>1516965</v>
          </cell>
          <cell r="CK47">
            <v>0</v>
          </cell>
          <cell r="CL47">
            <v>0</v>
          </cell>
          <cell r="CM47">
            <v>0</v>
          </cell>
          <cell r="CN47">
            <v>0</v>
          </cell>
          <cell r="CO47">
            <v>0</v>
          </cell>
          <cell r="CP47">
            <v>-6054</v>
          </cell>
          <cell r="CQ47">
            <v>4638091</v>
          </cell>
          <cell r="CR47">
            <v>4379441</v>
          </cell>
          <cell r="CS47">
            <v>4312300</v>
          </cell>
          <cell r="CT47">
            <v>4229353</v>
          </cell>
          <cell r="CU47">
            <v>4112668</v>
          </cell>
          <cell r="CV47">
            <v>46439</v>
          </cell>
          <cell r="CW47">
            <v>0</v>
          </cell>
          <cell r="CX47">
            <v>0</v>
          </cell>
          <cell r="CY47">
            <v>0</v>
          </cell>
          <cell r="CZ47">
            <v>0</v>
          </cell>
          <cell r="DA47">
            <v>0</v>
          </cell>
          <cell r="DB47"/>
          <cell r="DC47">
            <v>0</v>
          </cell>
          <cell r="DD47">
            <v>0</v>
          </cell>
          <cell r="DE47">
            <v>0</v>
          </cell>
          <cell r="DF47">
            <v>0</v>
          </cell>
          <cell r="DG47">
            <v>0</v>
          </cell>
          <cell r="DH47">
            <v>0</v>
          </cell>
          <cell r="DI47">
            <v>0</v>
          </cell>
          <cell r="DJ47">
            <v>0</v>
          </cell>
          <cell r="DK47">
            <v>0</v>
          </cell>
          <cell r="DL47">
            <v>0</v>
          </cell>
          <cell r="DM47"/>
          <cell r="DN47"/>
          <cell r="DO47"/>
          <cell r="DP47"/>
        </row>
        <row r="48">
          <cell r="A48">
            <v>109</v>
          </cell>
          <cell r="B48" t="str">
            <v>Coevorden</v>
          </cell>
          <cell r="C48">
            <v>3</v>
          </cell>
          <cell r="D48">
            <v>74921</v>
          </cell>
          <cell r="E48">
            <v>37461</v>
          </cell>
          <cell r="F48">
            <v>0</v>
          </cell>
          <cell r="G48">
            <v>0</v>
          </cell>
          <cell r="H48">
            <v>-44248</v>
          </cell>
          <cell r="I48">
            <v>0</v>
          </cell>
          <cell r="J48"/>
          <cell r="K48">
            <v>0</v>
          </cell>
          <cell r="L48">
            <v>178588</v>
          </cell>
          <cell r="M48">
            <v>176460</v>
          </cell>
          <cell r="N48">
            <v>0</v>
          </cell>
          <cell r="O48">
            <v>0</v>
          </cell>
          <cell r="P48">
            <v>0</v>
          </cell>
          <cell r="Q48">
            <v>0</v>
          </cell>
          <cell r="R48">
            <v>0</v>
          </cell>
          <cell r="S48">
            <v>0</v>
          </cell>
          <cell r="T48">
            <v>0</v>
          </cell>
          <cell r="U48">
            <v>0</v>
          </cell>
          <cell r="V48">
            <v>0</v>
          </cell>
          <cell r="W48">
            <v>62227</v>
          </cell>
          <cell r="X48">
            <v>0</v>
          </cell>
          <cell r="Y48"/>
          <cell r="Z48">
            <v>0</v>
          </cell>
          <cell r="AA48">
            <v>0</v>
          </cell>
          <cell r="AB48">
            <v>0</v>
          </cell>
          <cell r="AC48"/>
          <cell r="AD48">
            <v>96802</v>
          </cell>
          <cell r="AE48">
            <v>0</v>
          </cell>
          <cell r="AF48">
            <v>0</v>
          </cell>
          <cell r="AG48">
            <v>0</v>
          </cell>
          <cell r="AH48">
            <v>0</v>
          </cell>
          <cell r="AI48">
            <v>0</v>
          </cell>
          <cell r="AJ48">
            <v>0</v>
          </cell>
          <cell r="AK48">
            <v>0</v>
          </cell>
          <cell r="AL48"/>
          <cell r="AM48">
            <v>0</v>
          </cell>
          <cell r="AN48">
            <v>0</v>
          </cell>
          <cell r="AO48">
            <v>0</v>
          </cell>
          <cell r="AP48">
            <v>0</v>
          </cell>
          <cell r="AQ48">
            <v>0</v>
          </cell>
          <cell r="AR48">
            <v>0</v>
          </cell>
          <cell r="AS48">
            <v>0</v>
          </cell>
          <cell r="AT48">
            <v>0</v>
          </cell>
          <cell r="AU48">
            <v>11850</v>
          </cell>
          <cell r="AV48">
            <v>0</v>
          </cell>
          <cell r="AW48">
            <v>0</v>
          </cell>
          <cell r="AX48">
            <v>0</v>
          </cell>
          <cell r="AY48"/>
          <cell r="AZ48"/>
          <cell r="BA48">
            <v>0</v>
          </cell>
          <cell r="BB48"/>
          <cell r="BC48">
            <v>0</v>
          </cell>
          <cell r="BD48">
            <v>12387</v>
          </cell>
          <cell r="BE48"/>
          <cell r="BF48">
            <v>0</v>
          </cell>
          <cell r="BG48">
            <v>0</v>
          </cell>
          <cell r="BH48">
            <v>0</v>
          </cell>
          <cell r="BI48">
            <v>57620</v>
          </cell>
          <cell r="BJ48">
            <v>47430</v>
          </cell>
          <cell r="BK48">
            <v>47430</v>
          </cell>
          <cell r="BL48">
            <v>0</v>
          </cell>
          <cell r="BM48">
            <v>0</v>
          </cell>
          <cell r="BN48">
            <v>0</v>
          </cell>
          <cell r="BO48">
            <v>189220</v>
          </cell>
          <cell r="BP48">
            <v>22139.599999999999</v>
          </cell>
          <cell r="BQ48">
            <v>39883.720930232601</v>
          </cell>
          <cell r="BR48">
            <v>0</v>
          </cell>
          <cell r="BS48">
            <v>0</v>
          </cell>
          <cell r="BT48">
            <v>80388</v>
          </cell>
          <cell r="BU48"/>
          <cell r="BV48"/>
          <cell r="BW48"/>
          <cell r="BX48"/>
          <cell r="BY48">
            <v>0</v>
          </cell>
          <cell r="BZ48">
            <v>0</v>
          </cell>
          <cell r="CA48">
            <v>0</v>
          </cell>
          <cell r="CB48">
            <v>0</v>
          </cell>
          <cell r="CC48">
            <v>3248208</v>
          </cell>
          <cell r="CD48">
            <v>18575151</v>
          </cell>
          <cell r="CE48">
            <v>926968</v>
          </cell>
          <cell r="CF48">
            <v>0</v>
          </cell>
          <cell r="CG48">
            <v>926968</v>
          </cell>
          <cell r="CH48">
            <v>926968</v>
          </cell>
          <cell r="CI48">
            <v>926968</v>
          </cell>
          <cell r="CJ48">
            <v>926968</v>
          </cell>
          <cell r="CK48">
            <v>0</v>
          </cell>
          <cell r="CL48">
            <v>0</v>
          </cell>
          <cell r="CM48">
            <v>0</v>
          </cell>
          <cell r="CN48">
            <v>0</v>
          </cell>
          <cell r="CO48">
            <v>0</v>
          </cell>
          <cell r="CP48">
            <v>0</v>
          </cell>
          <cell r="CQ48">
            <v>4078561</v>
          </cell>
          <cell r="CR48">
            <v>3848121</v>
          </cell>
          <cell r="CS48">
            <v>3766728</v>
          </cell>
          <cell r="CT48">
            <v>3654643</v>
          </cell>
          <cell r="CU48">
            <v>3615290</v>
          </cell>
          <cell r="CV48">
            <v>-9775</v>
          </cell>
          <cell r="CW48">
            <v>0</v>
          </cell>
          <cell r="CX48">
            <v>0</v>
          </cell>
          <cell r="CY48">
            <v>0</v>
          </cell>
          <cell r="CZ48">
            <v>0</v>
          </cell>
          <cell r="DA48">
            <v>0</v>
          </cell>
          <cell r="DB48"/>
          <cell r="DC48">
            <v>0</v>
          </cell>
          <cell r="DD48">
            <v>0</v>
          </cell>
          <cell r="DE48">
            <v>0</v>
          </cell>
          <cell r="DF48">
            <v>0</v>
          </cell>
          <cell r="DG48">
            <v>0</v>
          </cell>
          <cell r="DH48">
            <v>0</v>
          </cell>
          <cell r="DI48">
            <v>0</v>
          </cell>
          <cell r="DJ48">
            <v>0</v>
          </cell>
          <cell r="DK48">
            <v>0</v>
          </cell>
          <cell r="DL48">
            <v>0</v>
          </cell>
          <cell r="DM48"/>
          <cell r="DN48"/>
          <cell r="DO48"/>
          <cell r="DP48"/>
        </row>
        <row r="49">
          <cell r="A49">
            <v>1690</v>
          </cell>
          <cell r="B49" t="str">
            <v>De Wolden</v>
          </cell>
          <cell r="C49">
            <v>3</v>
          </cell>
          <cell r="D49">
            <v>19716</v>
          </cell>
          <cell r="E49">
            <v>9858</v>
          </cell>
          <cell r="F49">
            <v>0</v>
          </cell>
          <cell r="G49">
            <v>0</v>
          </cell>
          <cell r="H49">
            <v>-23149</v>
          </cell>
          <cell r="I49">
            <v>-7353</v>
          </cell>
          <cell r="J49"/>
          <cell r="K49">
            <v>0</v>
          </cell>
          <cell r="L49">
            <v>72004</v>
          </cell>
          <cell r="M49">
            <v>74969</v>
          </cell>
          <cell r="N49">
            <v>0</v>
          </cell>
          <cell r="O49">
            <v>0</v>
          </cell>
          <cell r="P49">
            <v>0</v>
          </cell>
          <cell r="Q49">
            <v>0</v>
          </cell>
          <cell r="R49">
            <v>0</v>
          </cell>
          <cell r="S49">
            <v>0</v>
          </cell>
          <cell r="T49">
            <v>0</v>
          </cell>
          <cell r="U49">
            <v>0</v>
          </cell>
          <cell r="V49">
            <v>6000</v>
          </cell>
          <cell r="W49">
            <v>98161</v>
          </cell>
          <cell r="X49">
            <v>0</v>
          </cell>
          <cell r="Y49"/>
          <cell r="Z49">
            <v>0</v>
          </cell>
          <cell r="AA49">
            <v>0</v>
          </cell>
          <cell r="AB49">
            <v>0</v>
          </cell>
          <cell r="AC49"/>
          <cell r="AD49">
            <v>20000</v>
          </cell>
          <cell r="AE49">
            <v>0</v>
          </cell>
          <cell r="AF49">
            <v>0</v>
          </cell>
          <cell r="AG49">
            <v>0</v>
          </cell>
          <cell r="AH49">
            <v>0</v>
          </cell>
          <cell r="AI49">
            <v>0</v>
          </cell>
          <cell r="AJ49">
            <v>0</v>
          </cell>
          <cell r="AK49">
            <v>0</v>
          </cell>
          <cell r="AL49"/>
          <cell r="AM49">
            <v>0</v>
          </cell>
          <cell r="AN49">
            <v>0</v>
          </cell>
          <cell r="AO49">
            <v>0</v>
          </cell>
          <cell r="AP49">
            <v>0</v>
          </cell>
          <cell r="AQ49">
            <v>0</v>
          </cell>
          <cell r="AR49">
            <v>0</v>
          </cell>
          <cell r="AS49">
            <v>0</v>
          </cell>
          <cell r="AT49">
            <v>0</v>
          </cell>
          <cell r="AU49">
            <v>0</v>
          </cell>
          <cell r="AV49">
            <v>0</v>
          </cell>
          <cell r="AW49">
            <v>0</v>
          </cell>
          <cell r="AX49">
            <v>0</v>
          </cell>
          <cell r="AY49"/>
          <cell r="AZ49"/>
          <cell r="BA49">
            <v>0</v>
          </cell>
          <cell r="BB49"/>
          <cell r="BC49">
            <v>0</v>
          </cell>
          <cell r="BD49">
            <v>8335</v>
          </cell>
          <cell r="BE49"/>
          <cell r="BF49">
            <v>0</v>
          </cell>
          <cell r="BG49">
            <v>0</v>
          </cell>
          <cell r="BH49">
            <v>0</v>
          </cell>
          <cell r="BI49">
            <v>28463</v>
          </cell>
          <cell r="BJ49">
            <v>23429</v>
          </cell>
          <cell r="BK49">
            <v>23429</v>
          </cell>
          <cell r="BL49">
            <v>0</v>
          </cell>
          <cell r="BM49">
            <v>0</v>
          </cell>
          <cell r="BN49">
            <v>0</v>
          </cell>
          <cell r="BO49">
            <v>128903</v>
          </cell>
          <cell r="BP49">
            <v>0</v>
          </cell>
          <cell r="BQ49">
            <v>0</v>
          </cell>
          <cell r="BR49">
            <v>0</v>
          </cell>
          <cell r="BS49">
            <v>0</v>
          </cell>
          <cell r="BT49">
            <v>51128</v>
          </cell>
          <cell r="BU49"/>
          <cell r="BV49"/>
          <cell r="BW49"/>
          <cell r="BX49"/>
          <cell r="BY49">
            <v>0</v>
          </cell>
          <cell r="BZ49">
            <v>0</v>
          </cell>
          <cell r="CA49">
            <v>0</v>
          </cell>
          <cell r="CB49">
            <v>0</v>
          </cell>
          <cell r="CC49">
            <v>1900624</v>
          </cell>
          <cell r="CD49">
            <v>8128449</v>
          </cell>
          <cell r="CE49">
            <v>510448</v>
          </cell>
          <cell r="CF49">
            <v>-17720</v>
          </cell>
          <cell r="CG49">
            <v>510448</v>
          </cell>
          <cell r="CH49">
            <v>510448</v>
          </cell>
          <cell r="CI49">
            <v>510448</v>
          </cell>
          <cell r="CJ49">
            <v>510448</v>
          </cell>
          <cell r="CK49">
            <v>0</v>
          </cell>
          <cell r="CL49">
            <v>0</v>
          </cell>
          <cell r="CM49">
            <v>0</v>
          </cell>
          <cell r="CN49">
            <v>0</v>
          </cell>
          <cell r="CO49">
            <v>0</v>
          </cell>
          <cell r="CP49">
            <v>0</v>
          </cell>
          <cell r="CQ49">
            <v>1145072</v>
          </cell>
          <cell r="CR49">
            <v>1094280</v>
          </cell>
          <cell r="CS49">
            <v>1023288</v>
          </cell>
          <cell r="CT49">
            <v>966172</v>
          </cell>
          <cell r="CU49">
            <v>922333</v>
          </cell>
          <cell r="CV49">
            <v>24002</v>
          </cell>
          <cell r="CW49">
            <v>0</v>
          </cell>
          <cell r="CX49">
            <v>0</v>
          </cell>
          <cell r="CY49">
            <v>0</v>
          </cell>
          <cell r="CZ49">
            <v>0</v>
          </cell>
          <cell r="DA49">
            <v>0</v>
          </cell>
          <cell r="DB49"/>
          <cell r="DC49">
            <v>0</v>
          </cell>
          <cell r="DD49">
            <v>0</v>
          </cell>
          <cell r="DE49">
            <v>0</v>
          </cell>
          <cell r="DF49">
            <v>0</v>
          </cell>
          <cell r="DG49">
            <v>0</v>
          </cell>
          <cell r="DH49">
            <v>0</v>
          </cell>
          <cell r="DI49">
            <v>0</v>
          </cell>
          <cell r="DJ49">
            <v>0</v>
          </cell>
          <cell r="DK49">
            <v>0</v>
          </cell>
          <cell r="DL49">
            <v>0</v>
          </cell>
          <cell r="DM49"/>
          <cell r="DN49"/>
          <cell r="DO49"/>
          <cell r="DP49"/>
        </row>
        <row r="50">
          <cell r="A50">
            <v>114</v>
          </cell>
          <cell r="B50" t="str">
            <v>Emmen</v>
          </cell>
          <cell r="C50">
            <v>3</v>
          </cell>
          <cell r="D50">
            <v>417459</v>
          </cell>
          <cell r="E50">
            <v>208730</v>
          </cell>
          <cell r="F50">
            <v>0</v>
          </cell>
          <cell r="G50">
            <v>0</v>
          </cell>
          <cell r="H50">
            <v>-152203</v>
          </cell>
          <cell r="I50">
            <v>-2576</v>
          </cell>
          <cell r="J50"/>
          <cell r="K50">
            <v>7500</v>
          </cell>
          <cell r="L50">
            <v>663138</v>
          </cell>
          <cell r="M50">
            <v>637941</v>
          </cell>
          <cell r="N50">
            <v>0</v>
          </cell>
          <cell r="O50">
            <v>0</v>
          </cell>
          <cell r="P50">
            <v>150000</v>
          </cell>
          <cell r="Q50">
            <v>0</v>
          </cell>
          <cell r="R50">
            <v>0</v>
          </cell>
          <cell r="S50">
            <v>1805019</v>
          </cell>
          <cell r="T50">
            <v>1805019</v>
          </cell>
          <cell r="U50">
            <v>1805019</v>
          </cell>
          <cell r="V50">
            <v>72000</v>
          </cell>
          <cell r="W50">
            <v>415580</v>
          </cell>
          <cell r="X50">
            <v>0</v>
          </cell>
          <cell r="Y50"/>
          <cell r="Z50">
            <v>0</v>
          </cell>
          <cell r="AA50">
            <v>40000</v>
          </cell>
          <cell r="AB50">
            <v>0</v>
          </cell>
          <cell r="AC50"/>
          <cell r="AD50">
            <v>402853</v>
          </cell>
          <cell r="AE50">
            <v>0</v>
          </cell>
          <cell r="AF50">
            <v>0</v>
          </cell>
          <cell r="AG50">
            <v>0</v>
          </cell>
          <cell r="AH50">
            <v>0</v>
          </cell>
          <cell r="AI50">
            <v>0</v>
          </cell>
          <cell r="AJ50">
            <v>0</v>
          </cell>
          <cell r="AK50">
            <v>82888</v>
          </cell>
          <cell r="AL50"/>
          <cell r="AM50">
            <v>0</v>
          </cell>
          <cell r="AN50">
            <v>0</v>
          </cell>
          <cell r="AO50">
            <v>0</v>
          </cell>
          <cell r="AP50">
            <v>0</v>
          </cell>
          <cell r="AQ50">
            <v>0</v>
          </cell>
          <cell r="AR50">
            <v>0</v>
          </cell>
          <cell r="AS50">
            <v>0</v>
          </cell>
          <cell r="AT50">
            <v>0</v>
          </cell>
          <cell r="AU50">
            <v>11850</v>
          </cell>
          <cell r="AV50">
            <v>3228341.69270535</v>
          </cell>
          <cell r="AW50">
            <v>80000</v>
          </cell>
          <cell r="AX50">
            <v>0</v>
          </cell>
          <cell r="AY50"/>
          <cell r="AZ50"/>
          <cell r="BA50">
            <v>0</v>
          </cell>
          <cell r="BB50"/>
          <cell r="BC50">
            <v>0</v>
          </cell>
          <cell r="BD50">
            <v>37733</v>
          </cell>
          <cell r="BE50"/>
          <cell r="BF50">
            <v>0</v>
          </cell>
          <cell r="BG50">
            <v>0</v>
          </cell>
          <cell r="BH50">
            <v>0</v>
          </cell>
          <cell r="BI50">
            <v>217747</v>
          </cell>
          <cell r="BJ50">
            <v>179238</v>
          </cell>
          <cell r="BK50">
            <v>179238</v>
          </cell>
          <cell r="BL50">
            <v>0</v>
          </cell>
          <cell r="BM50">
            <v>0</v>
          </cell>
          <cell r="BN50">
            <v>0</v>
          </cell>
          <cell r="BO50">
            <v>810875</v>
          </cell>
          <cell r="BP50">
            <v>39535</v>
          </cell>
          <cell r="BQ50">
            <v>71220.930232558094</v>
          </cell>
          <cell r="BR50">
            <v>0</v>
          </cell>
          <cell r="BS50">
            <v>0</v>
          </cell>
          <cell r="BT50">
            <v>215514</v>
          </cell>
          <cell r="BU50"/>
          <cell r="BV50"/>
          <cell r="BW50"/>
          <cell r="BX50"/>
          <cell r="BY50">
            <v>2831539.0244533899</v>
          </cell>
          <cell r="BZ50">
            <v>3261677.1421955898</v>
          </cell>
          <cell r="CA50">
            <v>3298422.6095404001</v>
          </cell>
          <cell r="CB50">
            <v>3402174.5173375099</v>
          </cell>
          <cell r="CC50">
            <v>11104184</v>
          </cell>
          <cell r="CD50">
            <v>101149084</v>
          </cell>
          <cell r="CE50">
            <v>5970966</v>
          </cell>
          <cell r="CF50">
            <v>-6245</v>
          </cell>
          <cell r="CG50">
            <v>5970966</v>
          </cell>
          <cell r="CH50">
            <v>5970966</v>
          </cell>
          <cell r="CI50">
            <v>5970966</v>
          </cell>
          <cell r="CJ50">
            <v>5970966</v>
          </cell>
          <cell r="CK50">
            <v>21889294</v>
          </cell>
          <cell r="CL50">
            <v>21878308</v>
          </cell>
          <cell r="CM50">
            <v>21878130</v>
          </cell>
          <cell r="CN50">
            <v>21877739</v>
          </cell>
          <cell r="CO50">
            <v>21878281</v>
          </cell>
          <cell r="CP50">
            <v>0</v>
          </cell>
          <cell r="CQ50">
            <v>24753727</v>
          </cell>
          <cell r="CR50">
            <v>23291987</v>
          </cell>
          <cell r="CS50">
            <v>22436038</v>
          </cell>
          <cell r="CT50">
            <v>21604410</v>
          </cell>
          <cell r="CU50">
            <v>20900312</v>
          </cell>
          <cell r="CV50">
            <v>-105933</v>
          </cell>
          <cell r="CW50">
            <v>0</v>
          </cell>
          <cell r="CX50">
            <v>0</v>
          </cell>
          <cell r="CY50">
            <v>0</v>
          </cell>
          <cell r="CZ50">
            <v>0</v>
          </cell>
          <cell r="DA50">
            <v>0</v>
          </cell>
          <cell r="DB50"/>
          <cell r="DC50">
            <v>0</v>
          </cell>
          <cell r="DD50">
            <v>0</v>
          </cell>
          <cell r="DE50">
            <v>0</v>
          </cell>
          <cell r="DF50">
            <v>0</v>
          </cell>
          <cell r="DG50">
            <v>0</v>
          </cell>
          <cell r="DH50">
            <v>0</v>
          </cell>
          <cell r="DI50">
            <v>0</v>
          </cell>
          <cell r="DJ50">
            <v>0</v>
          </cell>
          <cell r="DK50">
            <v>0</v>
          </cell>
          <cell r="DL50">
            <v>0</v>
          </cell>
          <cell r="DM50"/>
          <cell r="DN50"/>
          <cell r="DO50"/>
          <cell r="DP50"/>
        </row>
        <row r="51">
          <cell r="A51">
            <v>118</v>
          </cell>
          <cell r="B51" t="str">
            <v>Hoogeveen</v>
          </cell>
          <cell r="C51">
            <v>3</v>
          </cell>
          <cell r="D51">
            <v>86899</v>
          </cell>
          <cell r="E51">
            <v>43450</v>
          </cell>
          <cell r="F51">
            <v>0</v>
          </cell>
          <cell r="G51">
            <v>0</v>
          </cell>
          <cell r="H51">
            <v>461540</v>
          </cell>
          <cell r="I51">
            <v>0</v>
          </cell>
          <cell r="J51"/>
          <cell r="K51">
            <v>0</v>
          </cell>
          <cell r="L51">
            <v>297129</v>
          </cell>
          <cell r="M51">
            <v>290402</v>
          </cell>
          <cell r="N51">
            <v>0</v>
          </cell>
          <cell r="O51">
            <v>0</v>
          </cell>
          <cell r="P51">
            <v>0</v>
          </cell>
          <cell r="Q51">
            <v>0</v>
          </cell>
          <cell r="R51">
            <v>0</v>
          </cell>
          <cell r="S51">
            <v>0</v>
          </cell>
          <cell r="T51">
            <v>0</v>
          </cell>
          <cell r="U51">
            <v>0</v>
          </cell>
          <cell r="V51">
            <v>9000</v>
          </cell>
          <cell r="W51">
            <v>216926</v>
          </cell>
          <cell r="X51">
            <v>0</v>
          </cell>
          <cell r="Y51"/>
          <cell r="Z51">
            <v>0</v>
          </cell>
          <cell r="AA51">
            <v>0</v>
          </cell>
          <cell r="AB51">
            <v>0</v>
          </cell>
          <cell r="AC51"/>
          <cell r="AD51">
            <v>173070</v>
          </cell>
          <cell r="AE51">
            <v>0</v>
          </cell>
          <cell r="AF51">
            <v>0</v>
          </cell>
          <cell r="AG51">
            <v>0</v>
          </cell>
          <cell r="AH51">
            <v>0</v>
          </cell>
          <cell r="AI51">
            <v>0</v>
          </cell>
          <cell r="AJ51">
            <v>0</v>
          </cell>
          <cell r="AK51">
            <v>0</v>
          </cell>
          <cell r="AL51"/>
          <cell r="AM51">
            <v>0</v>
          </cell>
          <cell r="AN51">
            <v>0</v>
          </cell>
          <cell r="AO51">
            <v>0</v>
          </cell>
          <cell r="AP51">
            <v>0</v>
          </cell>
          <cell r="AQ51">
            <v>0</v>
          </cell>
          <cell r="AR51">
            <v>0</v>
          </cell>
          <cell r="AS51">
            <v>0</v>
          </cell>
          <cell r="AT51">
            <v>0</v>
          </cell>
          <cell r="AU51">
            <v>0</v>
          </cell>
          <cell r="AV51">
            <v>0</v>
          </cell>
          <cell r="AW51">
            <v>0</v>
          </cell>
          <cell r="AX51">
            <v>0</v>
          </cell>
          <cell r="AY51"/>
          <cell r="AZ51"/>
          <cell r="BA51">
            <v>0</v>
          </cell>
          <cell r="BB51"/>
          <cell r="BC51">
            <v>0</v>
          </cell>
          <cell r="BD51">
            <v>19416</v>
          </cell>
          <cell r="BE51"/>
          <cell r="BF51">
            <v>0</v>
          </cell>
          <cell r="BG51">
            <v>0</v>
          </cell>
          <cell r="BH51">
            <v>0</v>
          </cell>
          <cell r="BI51">
            <v>105121</v>
          </cell>
          <cell r="BJ51">
            <v>86530</v>
          </cell>
          <cell r="BK51">
            <v>86530</v>
          </cell>
          <cell r="BL51">
            <v>0</v>
          </cell>
          <cell r="BM51">
            <v>0</v>
          </cell>
          <cell r="BN51">
            <v>0</v>
          </cell>
          <cell r="BO51">
            <v>177060</v>
          </cell>
          <cell r="BP51">
            <v>34790.800000000003</v>
          </cell>
          <cell r="BQ51">
            <v>62674.418604651197</v>
          </cell>
          <cell r="BR51">
            <v>0</v>
          </cell>
          <cell r="BS51">
            <v>0</v>
          </cell>
          <cell r="BT51">
            <v>104642</v>
          </cell>
          <cell r="BU51"/>
          <cell r="BV51"/>
          <cell r="BW51"/>
          <cell r="BX51"/>
          <cell r="BY51">
            <v>0</v>
          </cell>
          <cell r="BZ51">
            <v>0</v>
          </cell>
          <cell r="CA51">
            <v>0</v>
          </cell>
          <cell r="CB51">
            <v>0</v>
          </cell>
          <cell r="CC51">
            <v>5528813</v>
          </cell>
          <cell r="CD51">
            <v>65735511</v>
          </cell>
          <cell r="CE51">
            <v>3554295</v>
          </cell>
          <cell r="CF51">
            <v>0</v>
          </cell>
          <cell r="CG51">
            <v>3554295</v>
          </cell>
          <cell r="CH51">
            <v>3554295</v>
          </cell>
          <cell r="CI51">
            <v>3554295</v>
          </cell>
          <cell r="CJ51">
            <v>3554295</v>
          </cell>
          <cell r="CK51">
            <v>0</v>
          </cell>
          <cell r="CL51">
            <v>0</v>
          </cell>
          <cell r="CM51">
            <v>0</v>
          </cell>
          <cell r="CN51">
            <v>0</v>
          </cell>
          <cell r="CO51">
            <v>0</v>
          </cell>
          <cell r="CP51">
            <v>0</v>
          </cell>
          <cell r="CQ51">
            <v>36519300</v>
          </cell>
          <cell r="CR51">
            <v>34443132</v>
          </cell>
          <cell r="CS51">
            <v>33387371</v>
          </cell>
          <cell r="CT51">
            <v>32397822</v>
          </cell>
          <cell r="CU51">
            <v>31367071</v>
          </cell>
          <cell r="CV51">
            <v>-175320</v>
          </cell>
          <cell r="CW51">
            <v>0</v>
          </cell>
          <cell r="CX51">
            <v>0</v>
          </cell>
          <cell r="CY51">
            <v>0</v>
          </cell>
          <cell r="CZ51">
            <v>0</v>
          </cell>
          <cell r="DA51">
            <v>0</v>
          </cell>
          <cell r="DB51"/>
          <cell r="DC51">
            <v>0</v>
          </cell>
          <cell r="DD51">
            <v>0</v>
          </cell>
          <cell r="DE51">
            <v>0</v>
          </cell>
          <cell r="DF51">
            <v>0</v>
          </cell>
          <cell r="DG51">
            <v>0</v>
          </cell>
          <cell r="DH51">
            <v>0</v>
          </cell>
          <cell r="DI51">
            <v>0</v>
          </cell>
          <cell r="DJ51">
            <v>0</v>
          </cell>
          <cell r="DK51">
            <v>0</v>
          </cell>
          <cell r="DL51">
            <v>0</v>
          </cell>
          <cell r="DM51"/>
          <cell r="DN51"/>
          <cell r="DO51"/>
          <cell r="DP51"/>
        </row>
        <row r="52">
          <cell r="A52">
            <v>119</v>
          </cell>
          <cell r="B52" t="str">
            <v>Meppel</v>
          </cell>
          <cell r="C52">
            <v>3</v>
          </cell>
          <cell r="D52">
            <v>-6158</v>
          </cell>
          <cell r="E52">
            <v>-3079</v>
          </cell>
          <cell r="F52">
            <v>0</v>
          </cell>
          <cell r="G52">
            <v>0</v>
          </cell>
          <cell r="H52">
            <v>-40227</v>
          </cell>
          <cell r="I52">
            <v>-21953</v>
          </cell>
          <cell r="J52"/>
          <cell r="K52">
            <v>0</v>
          </cell>
          <cell r="L52">
            <v>151808</v>
          </cell>
          <cell r="M52">
            <v>138321</v>
          </cell>
          <cell r="N52">
            <v>0</v>
          </cell>
          <cell r="O52">
            <v>0</v>
          </cell>
          <cell r="P52">
            <v>0</v>
          </cell>
          <cell r="Q52">
            <v>0</v>
          </cell>
          <cell r="R52">
            <v>0</v>
          </cell>
          <cell r="S52">
            <v>0</v>
          </cell>
          <cell r="T52">
            <v>0</v>
          </cell>
          <cell r="U52">
            <v>0</v>
          </cell>
          <cell r="V52">
            <v>0</v>
          </cell>
          <cell r="W52">
            <v>124985</v>
          </cell>
          <cell r="X52">
            <v>0</v>
          </cell>
          <cell r="Y52"/>
          <cell r="Z52">
            <v>0</v>
          </cell>
          <cell r="AA52">
            <v>0</v>
          </cell>
          <cell r="AB52">
            <v>0</v>
          </cell>
          <cell r="AC52"/>
          <cell r="AD52">
            <v>22489</v>
          </cell>
          <cell r="AE52">
            <v>0</v>
          </cell>
          <cell r="AF52">
            <v>0</v>
          </cell>
          <cell r="AG52">
            <v>0</v>
          </cell>
          <cell r="AH52">
            <v>0</v>
          </cell>
          <cell r="AI52">
            <v>0</v>
          </cell>
          <cell r="AJ52">
            <v>0</v>
          </cell>
          <cell r="AK52">
            <v>0</v>
          </cell>
          <cell r="AL52"/>
          <cell r="AM52">
            <v>0</v>
          </cell>
          <cell r="AN52">
            <v>0</v>
          </cell>
          <cell r="AO52">
            <v>0</v>
          </cell>
          <cell r="AP52">
            <v>0</v>
          </cell>
          <cell r="AQ52">
            <v>0</v>
          </cell>
          <cell r="AR52">
            <v>0</v>
          </cell>
          <cell r="AS52">
            <v>0</v>
          </cell>
          <cell r="AT52">
            <v>0</v>
          </cell>
          <cell r="AU52">
            <v>0</v>
          </cell>
          <cell r="AV52">
            <v>0</v>
          </cell>
          <cell r="AW52">
            <v>0</v>
          </cell>
          <cell r="AX52">
            <v>0</v>
          </cell>
          <cell r="AY52"/>
          <cell r="AZ52"/>
          <cell r="BA52">
            <v>0</v>
          </cell>
          <cell r="BB52"/>
          <cell r="BC52">
            <v>0</v>
          </cell>
          <cell r="BD52">
            <v>11593</v>
          </cell>
          <cell r="BE52"/>
          <cell r="BF52">
            <v>0</v>
          </cell>
          <cell r="BG52">
            <v>0</v>
          </cell>
          <cell r="BH52">
            <v>0</v>
          </cell>
          <cell r="BI52">
            <v>53522</v>
          </cell>
          <cell r="BJ52">
            <v>44056</v>
          </cell>
          <cell r="BK52">
            <v>44056</v>
          </cell>
          <cell r="BL52">
            <v>0</v>
          </cell>
          <cell r="BM52">
            <v>0</v>
          </cell>
          <cell r="BN52">
            <v>0</v>
          </cell>
          <cell r="BO52">
            <v>218893</v>
          </cell>
          <cell r="BP52">
            <v>3162.8</v>
          </cell>
          <cell r="BQ52">
            <v>5697.6744186046499</v>
          </cell>
          <cell r="BR52">
            <v>0</v>
          </cell>
          <cell r="BS52">
            <v>0</v>
          </cell>
          <cell r="BT52">
            <v>57727</v>
          </cell>
          <cell r="BU52"/>
          <cell r="BV52"/>
          <cell r="BW52"/>
          <cell r="BX52"/>
          <cell r="BY52">
            <v>0</v>
          </cell>
          <cell r="BZ52">
            <v>0</v>
          </cell>
          <cell r="CA52">
            <v>0</v>
          </cell>
          <cell r="CB52">
            <v>0</v>
          </cell>
          <cell r="CC52">
            <v>2778375</v>
          </cell>
          <cell r="CD52">
            <v>21327724</v>
          </cell>
          <cell r="CE52">
            <v>1422303</v>
          </cell>
          <cell r="CF52">
            <v>-53192</v>
          </cell>
          <cell r="CG52">
            <v>1422303</v>
          </cell>
          <cell r="CH52">
            <v>1422303</v>
          </cell>
          <cell r="CI52">
            <v>1422303</v>
          </cell>
          <cell r="CJ52">
            <v>1422303</v>
          </cell>
          <cell r="CK52">
            <v>0</v>
          </cell>
          <cell r="CL52">
            <v>0</v>
          </cell>
          <cell r="CM52">
            <v>0</v>
          </cell>
          <cell r="CN52">
            <v>0</v>
          </cell>
          <cell r="CO52">
            <v>0</v>
          </cell>
          <cell r="CP52">
            <v>0</v>
          </cell>
          <cell r="CQ52">
            <v>6851403</v>
          </cell>
          <cell r="CR52">
            <v>6543505</v>
          </cell>
          <cell r="CS52">
            <v>6362656</v>
          </cell>
          <cell r="CT52">
            <v>6178804</v>
          </cell>
          <cell r="CU52">
            <v>6010292</v>
          </cell>
          <cell r="CV52">
            <v>46597</v>
          </cell>
          <cell r="CW52">
            <v>0</v>
          </cell>
          <cell r="CX52">
            <v>0</v>
          </cell>
          <cell r="CY52">
            <v>0</v>
          </cell>
          <cell r="CZ52">
            <v>0</v>
          </cell>
          <cell r="DA52">
            <v>0</v>
          </cell>
          <cell r="DB52"/>
          <cell r="DC52">
            <v>250000</v>
          </cell>
          <cell r="DD52">
            <v>0</v>
          </cell>
          <cell r="DE52">
            <v>0</v>
          </cell>
          <cell r="DF52">
            <v>0</v>
          </cell>
          <cell r="DG52">
            <v>0</v>
          </cell>
          <cell r="DH52">
            <v>0</v>
          </cell>
          <cell r="DI52">
            <v>0</v>
          </cell>
          <cell r="DJ52">
            <v>0</v>
          </cell>
          <cell r="DK52">
            <v>0</v>
          </cell>
          <cell r="DL52">
            <v>0</v>
          </cell>
          <cell r="DM52"/>
          <cell r="DN52"/>
          <cell r="DO52"/>
          <cell r="DP52"/>
        </row>
        <row r="53">
          <cell r="A53">
            <v>1731</v>
          </cell>
          <cell r="B53" t="str">
            <v>Midden Drenthe</v>
          </cell>
          <cell r="C53">
            <v>3</v>
          </cell>
          <cell r="D53">
            <v>6088</v>
          </cell>
          <cell r="E53">
            <v>3044</v>
          </cell>
          <cell r="F53">
            <v>0</v>
          </cell>
          <cell r="G53">
            <v>0</v>
          </cell>
          <cell r="H53">
            <v>-14382</v>
          </cell>
          <cell r="I53">
            <v>-3978</v>
          </cell>
          <cell r="J53"/>
          <cell r="K53">
            <v>0</v>
          </cell>
          <cell r="L53">
            <v>120272</v>
          </cell>
          <cell r="M53">
            <v>112966</v>
          </cell>
          <cell r="N53">
            <v>0</v>
          </cell>
          <cell r="O53">
            <v>0</v>
          </cell>
          <cell r="P53">
            <v>0</v>
          </cell>
          <cell r="Q53">
            <v>0</v>
          </cell>
          <cell r="R53">
            <v>0</v>
          </cell>
          <cell r="S53">
            <v>0</v>
          </cell>
          <cell r="T53">
            <v>0</v>
          </cell>
          <cell r="U53">
            <v>0</v>
          </cell>
          <cell r="V53">
            <v>6000</v>
          </cell>
          <cell r="W53">
            <v>134121</v>
          </cell>
          <cell r="X53">
            <v>0</v>
          </cell>
          <cell r="Y53"/>
          <cell r="Z53">
            <v>0</v>
          </cell>
          <cell r="AA53">
            <v>0</v>
          </cell>
          <cell r="AB53">
            <v>0</v>
          </cell>
          <cell r="AC53"/>
          <cell r="AD53">
            <v>44001</v>
          </cell>
          <cell r="AE53">
            <v>0</v>
          </cell>
          <cell r="AF53">
            <v>0</v>
          </cell>
          <cell r="AG53">
            <v>0</v>
          </cell>
          <cell r="AH53">
            <v>0</v>
          </cell>
          <cell r="AI53">
            <v>0</v>
          </cell>
          <cell r="AJ53">
            <v>0</v>
          </cell>
          <cell r="AK53">
            <v>0</v>
          </cell>
          <cell r="AL53"/>
          <cell r="AM53">
            <v>0</v>
          </cell>
          <cell r="AN53">
            <v>0</v>
          </cell>
          <cell r="AO53">
            <v>0</v>
          </cell>
          <cell r="AP53">
            <v>0</v>
          </cell>
          <cell r="AQ53">
            <v>0</v>
          </cell>
          <cell r="AR53">
            <v>0</v>
          </cell>
          <cell r="AS53">
            <v>0</v>
          </cell>
          <cell r="AT53">
            <v>0</v>
          </cell>
          <cell r="AU53">
            <v>0</v>
          </cell>
          <cell r="AV53">
            <v>0</v>
          </cell>
          <cell r="AW53">
            <v>0</v>
          </cell>
          <cell r="AX53">
            <v>0</v>
          </cell>
          <cell r="AY53"/>
          <cell r="AZ53"/>
          <cell r="BA53">
            <v>0</v>
          </cell>
          <cell r="BB53"/>
          <cell r="BC53">
            <v>0</v>
          </cell>
          <cell r="BD53">
            <v>11724</v>
          </cell>
          <cell r="BE53"/>
          <cell r="BF53">
            <v>0</v>
          </cell>
          <cell r="BG53">
            <v>0</v>
          </cell>
          <cell r="BH53">
            <v>0</v>
          </cell>
          <cell r="BI53">
            <v>43191</v>
          </cell>
          <cell r="BJ53">
            <v>35553</v>
          </cell>
          <cell r="BK53">
            <v>35553</v>
          </cell>
          <cell r="BL53">
            <v>0</v>
          </cell>
          <cell r="BM53">
            <v>0</v>
          </cell>
          <cell r="BN53">
            <v>0</v>
          </cell>
          <cell r="BO53">
            <v>122093</v>
          </cell>
          <cell r="BP53">
            <v>3162.8</v>
          </cell>
          <cell r="BQ53">
            <v>5697.6744186046499</v>
          </cell>
          <cell r="BR53">
            <v>0</v>
          </cell>
          <cell r="BS53">
            <v>0</v>
          </cell>
          <cell r="BT53">
            <v>73455</v>
          </cell>
          <cell r="BU53"/>
          <cell r="BV53"/>
          <cell r="BW53"/>
          <cell r="BX53"/>
          <cell r="BY53">
            <v>0</v>
          </cell>
          <cell r="BZ53">
            <v>0</v>
          </cell>
          <cell r="CA53">
            <v>0</v>
          </cell>
          <cell r="CB53">
            <v>0</v>
          </cell>
          <cell r="CC53">
            <v>2638693</v>
          </cell>
          <cell r="CD53">
            <v>12202899</v>
          </cell>
          <cell r="CE53">
            <v>2236989</v>
          </cell>
          <cell r="CF53">
            <v>-9643</v>
          </cell>
          <cell r="CG53">
            <v>2236989</v>
          </cell>
          <cell r="CH53">
            <v>2236989</v>
          </cell>
          <cell r="CI53">
            <v>2236989</v>
          </cell>
          <cell r="CJ53">
            <v>2236989</v>
          </cell>
          <cell r="CK53">
            <v>0</v>
          </cell>
          <cell r="CL53">
            <v>0</v>
          </cell>
          <cell r="CM53">
            <v>0</v>
          </cell>
          <cell r="CN53">
            <v>0</v>
          </cell>
          <cell r="CO53">
            <v>0</v>
          </cell>
          <cell r="CP53">
            <v>0</v>
          </cell>
          <cell r="CQ53">
            <v>182180</v>
          </cell>
          <cell r="CR53">
            <v>204461</v>
          </cell>
          <cell r="CS53">
            <v>210793</v>
          </cell>
          <cell r="CT53">
            <v>230931</v>
          </cell>
          <cell r="CU53">
            <v>251011</v>
          </cell>
          <cell r="CV53">
            <v>-109404</v>
          </cell>
          <cell r="CW53">
            <v>0</v>
          </cell>
          <cell r="CX53">
            <v>0</v>
          </cell>
          <cell r="CY53">
            <v>0</v>
          </cell>
          <cell r="CZ53">
            <v>0</v>
          </cell>
          <cell r="DA53">
            <v>0</v>
          </cell>
          <cell r="DB53"/>
          <cell r="DC53">
            <v>0</v>
          </cell>
          <cell r="DD53">
            <v>0</v>
          </cell>
          <cell r="DE53">
            <v>0</v>
          </cell>
          <cell r="DF53">
            <v>0</v>
          </cell>
          <cell r="DG53">
            <v>0</v>
          </cell>
          <cell r="DH53">
            <v>0</v>
          </cell>
          <cell r="DI53">
            <v>0</v>
          </cell>
          <cell r="DJ53">
            <v>0</v>
          </cell>
          <cell r="DK53">
            <v>0</v>
          </cell>
          <cell r="DL53">
            <v>0</v>
          </cell>
          <cell r="DM53"/>
          <cell r="DN53"/>
          <cell r="DO53"/>
          <cell r="DP53"/>
        </row>
        <row r="54">
          <cell r="A54">
            <v>1699</v>
          </cell>
          <cell r="B54" t="str">
            <v>Noordenveld</v>
          </cell>
          <cell r="C54">
            <v>3</v>
          </cell>
          <cell r="D54">
            <v>-3778</v>
          </cell>
          <cell r="E54">
            <v>-1889</v>
          </cell>
          <cell r="F54">
            <v>0</v>
          </cell>
          <cell r="G54">
            <v>0</v>
          </cell>
          <cell r="H54">
            <v>-20303</v>
          </cell>
          <cell r="I54">
            <v>-1489</v>
          </cell>
          <cell r="J54"/>
          <cell r="K54">
            <v>0</v>
          </cell>
          <cell r="L54">
            <v>129126</v>
          </cell>
          <cell r="M54">
            <v>115180</v>
          </cell>
          <cell r="N54">
            <v>0</v>
          </cell>
          <cell r="O54">
            <v>0</v>
          </cell>
          <cell r="P54">
            <v>0</v>
          </cell>
          <cell r="Q54">
            <v>0</v>
          </cell>
          <cell r="R54">
            <v>0</v>
          </cell>
          <cell r="S54">
            <v>0</v>
          </cell>
          <cell r="T54">
            <v>0</v>
          </cell>
          <cell r="U54">
            <v>0</v>
          </cell>
          <cell r="V54">
            <v>9000</v>
          </cell>
          <cell r="W54">
            <v>91522</v>
          </cell>
          <cell r="X54">
            <v>348128</v>
          </cell>
          <cell r="Y54"/>
          <cell r="Z54">
            <v>0</v>
          </cell>
          <cell r="AA54">
            <v>0</v>
          </cell>
          <cell r="AB54">
            <v>0</v>
          </cell>
          <cell r="AC54"/>
          <cell r="AD54">
            <v>0</v>
          </cell>
          <cell r="AE54">
            <v>0</v>
          </cell>
          <cell r="AF54">
            <v>0</v>
          </cell>
          <cell r="AG54">
            <v>0</v>
          </cell>
          <cell r="AH54">
            <v>0</v>
          </cell>
          <cell r="AI54">
            <v>0</v>
          </cell>
          <cell r="AJ54">
            <v>0</v>
          </cell>
          <cell r="AK54">
            <v>0</v>
          </cell>
          <cell r="AL54"/>
          <cell r="AM54">
            <v>0</v>
          </cell>
          <cell r="AN54">
            <v>0</v>
          </cell>
          <cell r="AO54">
            <v>0</v>
          </cell>
          <cell r="AP54">
            <v>0</v>
          </cell>
          <cell r="AQ54">
            <v>0</v>
          </cell>
          <cell r="AR54">
            <v>0</v>
          </cell>
          <cell r="AS54">
            <v>0</v>
          </cell>
          <cell r="AT54">
            <v>0</v>
          </cell>
          <cell r="AU54">
            <v>4740</v>
          </cell>
          <cell r="AV54">
            <v>0</v>
          </cell>
          <cell r="AW54">
            <v>0</v>
          </cell>
          <cell r="AX54">
            <v>0</v>
          </cell>
          <cell r="AY54"/>
          <cell r="AZ54"/>
          <cell r="BA54">
            <v>0</v>
          </cell>
          <cell r="BB54"/>
          <cell r="BC54">
            <v>0</v>
          </cell>
          <cell r="BD54">
            <v>11578</v>
          </cell>
          <cell r="BE54"/>
          <cell r="BF54">
            <v>0</v>
          </cell>
          <cell r="BG54">
            <v>0</v>
          </cell>
          <cell r="BH54">
            <v>0</v>
          </cell>
          <cell r="BI54">
            <v>52351</v>
          </cell>
          <cell r="BJ54">
            <v>43093</v>
          </cell>
          <cell r="BK54">
            <v>43093</v>
          </cell>
          <cell r="BL54">
            <v>0</v>
          </cell>
          <cell r="BM54">
            <v>0</v>
          </cell>
          <cell r="BN54">
            <v>0</v>
          </cell>
          <cell r="BO54">
            <v>125985</v>
          </cell>
          <cell r="BP54">
            <v>11069.8</v>
          </cell>
          <cell r="BQ54">
            <v>19941.8604651163</v>
          </cell>
          <cell r="BR54">
            <v>0</v>
          </cell>
          <cell r="BS54">
            <v>0</v>
          </cell>
          <cell r="BT54">
            <v>56890</v>
          </cell>
          <cell r="BU54"/>
          <cell r="BV54"/>
          <cell r="BW54"/>
          <cell r="BX54"/>
          <cell r="BY54">
            <v>0</v>
          </cell>
          <cell r="BZ54">
            <v>0</v>
          </cell>
          <cell r="CA54">
            <v>0</v>
          </cell>
          <cell r="CB54">
            <v>0</v>
          </cell>
          <cell r="CC54">
            <v>2918898</v>
          </cell>
          <cell r="CD54">
            <v>13886554</v>
          </cell>
          <cell r="CE54">
            <v>1142153</v>
          </cell>
          <cell r="CF54">
            <v>-3594</v>
          </cell>
          <cell r="CG54">
            <v>1142153</v>
          </cell>
          <cell r="CH54">
            <v>1142153</v>
          </cell>
          <cell r="CI54">
            <v>1142153</v>
          </cell>
          <cell r="CJ54">
            <v>1142153</v>
          </cell>
          <cell r="CK54">
            <v>0</v>
          </cell>
          <cell r="CL54">
            <v>0</v>
          </cell>
          <cell r="CM54">
            <v>0</v>
          </cell>
          <cell r="CN54">
            <v>0</v>
          </cell>
          <cell r="CO54">
            <v>0</v>
          </cell>
          <cell r="CP54">
            <v>0</v>
          </cell>
          <cell r="CQ54">
            <v>3113096</v>
          </cell>
          <cell r="CR54">
            <v>2986761</v>
          </cell>
          <cell r="CS54">
            <v>2933629</v>
          </cell>
          <cell r="CT54">
            <v>2876839</v>
          </cell>
          <cell r="CU54">
            <v>2814401</v>
          </cell>
          <cell r="CV54">
            <v>35312</v>
          </cell>
          <cell r="CW54">
            <v>0</v>
          </cell>
          <cell r="CX54">
            <v>0</v>
          </cell>
          <cell r="CY54">
            <v>0</v>
          </cell>
          <cell r="CZ54">
            <v>0</v>
          </cell>
          <cell r="DA54">
            <v>0</v>
          </cell>
          <cell r="DB54"/>
          <cell r="DC54">
            <v>0</v>
          </cell>
          <cell r="DD54">
            <v>0</v>
          </cell>
          <cell r="DE54">
            <v>0</v>
          </cell>
          <cell r="DF54">
            <v>0</v>
          </cell>
          <cell r="DG54">
            <v>0</v>
          </cell>
          <cell r="DH54">
            <v>0</v>
          </cell>
          <cell r="DI54">
            <v>0</v>
          </cell>
          <cell r="DJ54">
            <v>0</v>
          </cell>
          <cell r="DK54">
            <v>0</v>
          </cell>
          <cell r="DL54">
            <v>0</v>
          </cell>
          <cell r="DM54"/>
          <cell r="DN54"/>
          <cell r="DO54"/>
          <cell r="DP54"/>
        </row>
        <row r="55">
          <cell r="A55">
            <v>1730</v>
          </cell>
          <cell r="B55" t="str">
            <v>Tynaarlo</v>
          </cell>
          <cell r="C55">
            <v>3</v>
          </cell>
          <cell r="D55">
            <v>-22914</v>
          </cell>
          <cell r="E55">
            <v>-11457</v>
          </cell>
          <cell r="F55">
            <v>0</v>
          </cell>
          <cell r="G55">
            <v>0</v>
          </cell>
          <cell r="H55">
            <v>-36336</v>
          </cell>
          <cell r="I55">
            <v>-11981</v>
          </cell>
          <cell r="J55"/>
          <cell r="K55">
            <v>0</v>
          </cell>
          <cell r="L55">
            <v>95979</v>
          </cell>
          <cell r="M55">
            <v>90920</v>
          </cell>
          <cell r="N55">
            <v>0</v>
          </cell>
          <cell r="O55">
            <v>0</v>
          </cell>
          <cell r="P55">
            <v>0</v>
          </cell>
          <cell r="Q55">
            <v>0</v>
          </cell>
          <cell r="R55">
            <v>0</v>
          </cell>
          <cell r="S55">
            <v>0</v>
          </cell>
          <cell r="T55">
            <v>0</v>
          </cell>
          <cell r="U55">
            <v>0</v>
          </cell>
          <cell r="V55">
            <v>9000</v>
          </cell>
          <cell r="W55">
            <v>125957</v>
          </cell>
          <cell r="X55">
            <v>0</v>
          </cell>
          <cell r="Y55"/>
          <cell r="Z55">
            <v>0</v>
          </cell>
          <cell r="AA55">
            <v>0</v>
          </cell>
          <cell r="AB55">
            <v>0</v>
          </cell>
          <cell r="AC55"/>
          <cell r="AD55">
            <v>0</v>
          </cell>
          <cell r="AE55">
            <v>0</v>
          </cell>
          <cell r="AF55">
            <v>0</v>
          </cell>
          <cell r="AG55">
            <v>0</v>
          </cell>
          <cell r="AH55">
            <v>0</v>
          </cell>
          <cell r="AI55">
            <v>0</v>
          </cell>
          <cell r="AJ55">
            <v>0</v>
          </cell>
          <cell r="AK55">
            <v>0</v>
          </cell>
          <cell r="AL55"/>
          <cell r="AM55">
            <v>0</v>
          </cell>
          <cell r="AN55">
            <v>0</v>
          </cell>
          <cell r="AO55">
            <v>0</v>
          </cell>
          <cell r="AP55">
            <v>0</v>
          </cell>
          <cell r="AQ55">
            <v>0</v>
          </cell>
          <cell r="AR55">
            <v>0</v>
          </cell>
          <cell r="AS55">
            <v>0</v>
          </cell>
          <cell r="AT55">
            <v>0</v>
          </cell>
          <cell r="AU55">
            <v>0</v>
          </cell>
          <cell r="AV55">
            <v>0</v>
          </cell>
          <cell r="AW55">
            <v>0</v>
          </cell>
          <cell r="AX55">
            <v>0</v>
          </cell>
          <cell r="AY55"/>
          <cell r="AZ55"/>
          <cell r="BA55">
            <v>0</v>
          </cell>
          <cell r="BB55"/>
          <cell r="BC55">
            <v>0</v>
          </cell>
          <cell r="BD55">
            <v>11682</v>
          </cell>
          <cell r="BE55"/>
          <cell r="BF55">
            <v>0</v>
          </cell>
          <cell r="BG55">
            <v>0</v>
          </cell>
          <cell r="BH55">
            <v>0</v>
          </cell>
          <cell r="BI55">
            <v>36670</v>
          </cell>
          <cell r="BJ55">
            <v>30185</v>
          </cell>
          <cell r="BK55">
            <v>30185</v>
          </cell>
          <cell r="BL55">
            <v>0</v>
          </cell>
          <cell r="BM55">
            <v>0</v>
          </cell>
          <cell r="BN55">
            <v>0</v>
          </cell>
          <cell r="BO55">
            <v>50589</v>
          </cell>
          <cell r="BP55">
            <v>17395.400000000001</v>
          </cell>
          <cell r="BQ55">
            <v>31337.209302325598</v>
          </cell>
          <cell r="BR55">
            <v>0</v>
          </cell>
          <cell r="BS55">
            <v>0</v>
          </cell>
          <cell r="BT55">
            <v>61467</v>
          </cell>
          <cell r="BU55"/>
          <cell r="BV55"/>
          <cell r="BW55"/>
          <cell r="BX55"/>
          <cell r="BY55">
            <v>0</v>
          </cell>
          <cell r="BZ55">
            <v>0</v>
          </cell>
          <cell r="CA55">
            <v>0</v>
          </cell>
          <cell r="CB55">
            <v>0</v>
          </cell>
          <cell r="CC55">
            <v>2544414</v>
          </cell>
          <cell r="CD55">
            <v>10749906</v>
          </cell>
          <cell r="CE55">
            <v>1365729</v>
          </cell>
          <cell r="CF55">
            <v>0</v>
          </cell>
          <cell r="CG55">
            <v>1365729</v>
          </cell>
          <cell r="CH55">
            <v>1365729</v>
          </cell>
          <cell r="CI55">
            <v>1365729</v>
          </cell>
          <cell r="CJ55">
            <v>1365729</v>
          </cell>
          <cell r="CK55">
            <v>0</v>
          </cell>
          <cell r="CL55">
            <v>0</v>
          </cell>
          <cell r="CM55">
            <v>0</v>
          </cell>
          <cell r="CN55">
            <v>0</v>
          </cell>
          <cell r="CO55">
            <v>0</v>
          </cell>
          <cell r="CP55">
            <v>-4318</v>
          </cell>
          <cell r="CQ55">
            <v>205079</v>
          </cell>
          <cell r="CR55">
            <v>228370</v>
          </cell>
          <cell r="CS55">
            <v>235891</v>
          </cell>
          <cell r="CT55">
            <v>257067</v>
          </cell>
          <cell r="CU55">
            <v>278158</v>
          </cell>
          <cell r="CV55">
            <v>40181</v>
          </cell>
          <cell r="CW55">
            <v>0</v>
          </cell>
          <cell r="CX55">
            <v>0</v>
          </cell>
          <cell r="CY55">
            <v>0</v>
          </cell>
          <cell r="CZ55">
            <v>0</v>
          </cell>
          <cell r="DA55">
            <v>0</v>
          </cell>
          <cell r="DB55"/>
          <cell r="DC55">
            <v>0</v>
          </cell>
          <cell r="DD55">
            <v>0</v>
          </cell>
          <cell r="DE55">
            <v>0</v>
          </cell>
          <cell r="DF55">
            <v>0</v>
          </cell>
          <cell r="DG55">
            <v>525262</v>
          </cell>
          <cell r="DH55">
            <v>0</v>
          </cell>
          <cell r="DI55">
            <v>0</v>
          </cell>
          <cell r="DJ55">
            <v>0</v>
          </cell>
          <cell r="DK55">
            <v>0</v>
          </cell>
          <cell r="DL55">
            <v>0</v>
          </cell>
          <cell r="DM55"/>
          <cell r="DN55"/>
          <cell r="DO55"/>
          <cell r="DP55"/>
        </row>
        <row r="56">
          <cell r="A56">
            <v>1701</v>
          </cell>
          <cell r="B56" t="str">
            <v>Westerveld</v>
          </cell>
          <cell r="C56">
            <v>3</v>
          </cell>
          <cell r="D56">
            <v>-10259</v>
          </cell>
          <cell r="E56">
            <v>-5129</v>
          </cell>
          <cell r="F56">
            <v>0</v>
          </cell>
          <cell r="G56">
            <v>0</v>
          </cell>
          <cell r="H56">
            <v>-21652</v>
          </cell>
          <cell r="I56">
            <v>0</v>
          </cell>
          <cell r="J56"/>
          <cell r="K56">
            <v>0</v>
          </cell>
          <cell r="L56">
            <v>64265</v>
          </cell>
          <cell r="M56">
            <v>67184</v>
          </cell>
          <cell r="N56">
            <v>0</v>
          </cell>
          <cell r="O56">
            <v>0</v>
          </cell>
          <cell r="P56">
            <v>0</v>
          </cell>
          <cell r="Q56">
            <v>0</v>
          </cell>
          <cell r="R56">
            <v>0</v>
          </cell>
          <cell r="S56">
            <v>0</v>
          </cell>
          <cell r="T56">
            <v>0</v>
          </cell>
          <cell r="U56">
            <v>0</v>
          </cell>
          <cell r="V56">
            <v>0</v>
          </cell>
          <cell r="W56">
            <v>62833</v>
          </cell>
          <cell r="X56">
            <v>0</v>
          </cell>
          <cell r="Y56"/>
          <cell r="Z56">
            <v>0</v>
          </cell>
          <cell r="AA56">
            <v>0</v>
          </cell>
          <cell r="AB56">
            <v>0</v>
          </cell>
          <cell r="AC56"/>
          <cell r="AD56">
            <v>20000</v>
          </cell>
          <cell r="AE56">
            <v>0</v>
          </cell>
          <cell r="AF56">
            <v>0</v>
          </cell>
          <cell r="AG56">
            <v>0</v>
          </cell>
          <cell r="AH56">
            <v>0</v>
          </cell>
          <cell r="AI56">
            <v>0</v>
          </cell>
          <cell r="AJ56">
            <v>0</v>
          </cell>
          <cell r="AK56">
            <v>0</v>
          </cell>
          <cell r="AL56"/>
          <cell r="AM56">
            <v>0</v>
          </cell>
          <cell r="AN56">
            <v>0</v>
          </cell>
          <cell r="AO56">
            <v>0</v>
          </cell>
          <cell r="AP56">
            <v>0</v>
          </cell>
          <cell r="AQ56">
            <v>0</v>
          </cell>
          <cell r="AR56">
            <v>0</v>
          </cell>
          <cell r="AS56">
            <v>0</v>
          </cell>
          <cell r="AT56">
            <v>0</v>
          </cell>
          <cell r="AU56">
            <v>0</v>
          </cell>
          <cell r="AV56">
            <v>0</v>
          </cell>
          <cell r="AW56">
            <v>0</v>
          </cell>
          <cell r="AX56">
            <v>0</v>
          </cell>
          <cell r="AY56"/>
          <cell r="AZ56"/>
          <cell r="BA56">
            <v>0</v>
          </cell>
          <cell r="BB56"/>
          <cell r="BC56">
            <v>0</v>
          </cell>
          <cell r="BD56">
            <v>6699</v>
          </cell>
          <cell r="BE56"/>
          <cell r="BF56">
            <v>0</v>
          </cell>
          <cell r="BG56">
            <v>0</v>
          </cell>
          <cell r="BH56">
            <v>0</v>
          </cell>
          <cell r="BI56">
            <v>26420</v>
          </cell>
          <cell r="BJ56">
            <v>21747</v>
          </cell>
          <cell r="BK56">
            <v>21747</v>
          </cell>
          <cell r="BL56">
            <v>0</v>
          </cell>
          <cell r="BM56">
            <v>0</v>
          </cell>
          <cell r="BN56">
            <v>0</v>
          </cell>
          <cell r="BO56">
            <v>39887</v>
          </cell>
          <cell r="BP56">
            <v>15814</v>
          </cell>
          <cell r="BQ56">
            <v>28488.372093023299</v>
          </cell>
          <cell r="BR56">
            <v>0</v>
          </cell>
          <cell r="BS56">
            <v>0</v>
          </cell>
          <cell r="BT56">
            <v>51133</v>
          </cell>
          <cell r="BU56"/>
          <cell r="BV56"/>
          <cell r="BW56"/>
          <cell r="BX56"/>
          <cell r="BY56">
            <v>0</v>
          </cell>
          <cell r="BZ56">
            <v>0</v>
          </cell>
          <cell r="CA56">
            <v>0</v>
          </cell>
          <cell r="CB56">
            <v>0</v>
          </cell>
          <cell r="CC56">
            <v>1752594</v>
          </cell>
          <cell r="CD56">
            <v>9372883</v>
          </cell>
          <cell r="CE56">
            <v>484802</v>
          </cell>
          <cell r="CF56">
            <v>0</v>
          </cell>
          <cell r="CG56">
            <v>484802</v>
          </cell>
          <cell r="CH56">
            <v>484802</v>
          </cell>
          <cell r="CI56">
            <v>484802</v>
          </cell>
          <cell r="CJ56">
            <v>484802</v>
          </cell>
          <cell r="CK56">
            <v>0</v>
          </cell>
          <cell r="CL56">
            <v>0</v>
          </cell>
          <cell r="CM56">
            <v>0</v>
          </cell>
          <cell r="CN56">
            <v>0</v>
          </cell>
          <cell r="CO56">
            <v>0</v>
          </cell>
          <cell r="CP56">
            <v>0</v>
          </cell>
          <cell r="CQ56">
            <v>2790027</v>
          </cell>
          <cell r="CR56">
            <v>2608462</v>
          </cell>
          <cell r="CS56">
            <v>2549472</v>
          </cell>
          <cell r="CT56">
            <v>2470260</v>
          </cell>
          <cell r="CU56">
            <v>2368912</v>
          </cell>
          <cell r="CV56">
            <v>11492</v>
          </cell>
          <cell r="CW56">
            <v>0</v>
          </cell>
          <cell r="CX56">
            <v>0</v>
          </cell>
          <cell r="CY56">
            <v>0</v>
          </cell>
          <cell r="CZ56">
            <v>0</v>
          </cell>
          <cell r="DA56">
            <v>0</v>
          </cell>
          <cell r="DB56"/>
          <cell r="DC56">
            <v>0</v>
          </cell>
          <cell r="DD56">
            <v>0</v>
          </cell>
          <cell r="DE56">
            <v>0</v>
          </cell>
          <cell r="DF56">
            <v>0</v>
          </cell>
          <cell r="DG56">
            <v>0</v>
          </cell>
          <cell r="DH56">
            <v>0</v>
          </cell>
          <cell r="DI56">
            <v>0</v>
          </cell>
          <cell r="DJ56">
            <v>0</v>
          </cell>
          <cell r="DK56">
            <v>0</v>
          </cell>
          <cell r="DL56">
            <v>0</v>
          </cell>
          <cell r="DM56"/>
          <cell r="DN56"/>
          <cell r="DO56"/>
          <cell r="DP56"/>
        </row>
        <row r="57">
          <cell r="A57">
            <v>141</v>
          </cell>
          <cell r="B57" t="str">
            <v>Almelo</v>
          </cell>
          <cell r="C57">
            <v>4</v>
          </cell>
          <cell r="D57">
            <v>131058</v>
          </cell>
          <cell r="E57">
            <v>65529</v>
          </cell>
          <cell r="F57">
            <v>0</v>
          </cell>
          <cell r="G57">
            <v>0</v>
          </cell>
          <cell r="H57">
            <v>1401035</v>
          </cell>
          <cell r="I57">
            <v>533543</v>
          </cell>
          <cell r="J57"/>
          <cell r="K57">
            <v>0</v>
          </cell>
          <cell r="L57">
            <v>515310</v>
          </cell>
          <cell r="M57">
            <v>517952</v>
          </cell>
          <cell r="N57">
            <v>0</v>
          </cell>
          <cell r="O57">
            <v>0</v>
          </cell>
          <cell r="P57">
            <v>0</v>
          </cell>
          <cell r="Q57">
            <v>0</v>
          </cell>
          <cell r="R57">
            <v>0</v>
          </cell>
          <cell r="S57">
            <v>664785</v>
          </cell>
          <cell r="T57">
            <v>664785</v>
          </cell>
          <cell r="U57">
            <v>664785</v>
          </cell>
          <cell r="V57">
            <v>3000</v>
          </cell>
          <cell r="W57">
            <v>295260</v>
          </cell>
          <cell r="X57">
            <v>0</v>
          </cell>
          <cell r="Y57"/>
          <cell r="Z57">
            <v>0</v>
          </cell>
          <cell r="AA57">
            <v>0</v>
          </cell>
          <cell r="AB57">
            <v>0</v>
          </cell>
          <cell r="AC57"/>
          <cell r="AD57">
            <v>239561</v>
          </cell>
          <cell r="AE57">
            <v>0</v>
          </cell>
          <cell r="AF57">
            <v>0</v>
          </cell>
          <cell r="AG57">
            <v>0</v>
          </cell>
          <cell r="AH57">
            <v>0</v>
          </cell>
          <cell r="AI57">
            <v>0</v>
          </cell>
          <cell r="AJ57">
            <v>0</v>
          </cell>
          <cell r="AK57">
            <v>296468</v>
          </cell>
          <cell r="AL57"/>
          <cell r="AM57">
            <v>0</v>
          </cell>
          <cell r="AN57">
            <v>0</v>
          </cell>
          <cell r="AO57">
            <v>0</v>
          </cell>
          <cell r="AP57">
            <v>0</v>
          </cell>
          <cell r="AQ57">
            <v>0</v>
          </cell>
          <cell r="AR57">
            <v>0</v>
          </cell>
          <cell r="AS57">
            <v>0</v>
          </cell>
          <cell r="AT57">
            <v>0</v>
          </cell>
          <cell r="AU57">
            <v>7110</v>
          </cell>
          <cell r="AV57">
            <v>3090266.81796304</v>
          </cell>
          <cell r="AW57">
            <v>0</v>
          </cell>
          <cell r="AX57">
            <v>0</v>
          </cell>
          <cell r="AY57"/>
          <cell r="AZ57"/>
          <cell r="BA57">
            <v>0</v>
          </cell>
          <cell r="BB57"/>
          <cell r="BC57">
            <v>0</v>
          </cell>
          <cell r="BD57">
            <v>25443</v>
          </cell>
          <cell r="BE57"/>
          <cell r="BF57">
            <v>0</v>
          </cell>
          <cell r="BG57">
            <v>0</v>
          </cell>
          <cell r="BH57">
            <v>0</v>
          </cell>
          <cell r="BI57">
            <v>147744</v>
          </cell>
          <cell r="BJ57">
            <v>121616</v>
          </cell>
          <cell r="BK57">
            <v>121616</v>
          </cell>
          <cell r="BL57">
            <v>0</v>
          </cell>
          <cell r="BM57">
            <v>0</v>
          </cell>
          <cell r="BN57">
            <v>0</v>
          </cell>
          <cell r="BO57">
            <v>256348</v>
          </cell>
          <cell r="BP57">
            <v>20558.2</v>
          </cell>
          <cell r="BQ57">
            <v>37034.8837209302</v>
          </cell>
          <cell r="BR57">
            <v>0</v>
          </cell>
          <cell r="BS57">
            <v>0</v>
          </cell>
          <cell r="BT57">
            <v>136787</v>
          </cell>
          <cell r="BU57"/>
          <cell r="BV57"/>
          <cell r="BW57"/>
          <cell r="BX57"/>
          <cell r="BY57">
            <v>0</v>
          </cell>
          <cell r="BZ57">
            <v>0</v>
          </cell>
          <cell r="CA57">
            <v>0</v>
          </cell>
          <cell r="CB57">
            <v>0</v>
          </cell>
          <cell r="CC57">
            <v>6975292</v>
          </cell>
          <cell r="CD57">
            <v>67512519</v>
          </cell>
          <cell r="CE57">
            <v>3116570</v>
          </cell>
          <cell r="CF57">
            <v>0</v>
          </cell>
          <cell r="CG57">
            <v>3116570</v>
          </cell>
          <cell r="CH57">
            <v>3116570</v>
          </cell>
          <cell r="CI57">
            <v>3116570</v>
          </cell>
          <cell r="CJ57">
            <v>3116570</v>
          </cell>
          <cell r="CK57">
            <v>16664548</v>
          </cell>
          <cell r="CL57">
            <v>16656184</v>
          </cell>
          <cell r="CM57">
            <v>16656049</v>
          </cell>
          <cell r="CN57">
            <v>16655751</v>
          </cell>
          <cell r="CO57">
            <v>16656164</v>
          </cell>
          <cell r="CP57">
            <v>0</v>
          </cell>
          <cell r="CQ57">
            <v>12361944</v>
          </cell>
          <cell r="CR57">
            <v>11731371</v>
          </cell>
          <cell r="CS57">
            <v>11305697</v>
          </cell>
          <cell r="CT57">
            <v>10957137</v>
          </cell>
          <cell r="CU57">
            <v>10553548</v>
          </cell>
          <cell r="CV57">
            <v>-35358</v>
          </cell>
          <cell r="CW57">
            <v>0</v>
          </cell>
          <cell r="CX57">
            <v>0</v>
          </cell>
          <cell r="CY57">
            <v>0</v>
          </cell>
          <cell r="CZ57">
            <v>0</v>
          </cell>
          <cell r="DA57">
            <v>0</v>
          </cell>
          <cell r="DB57"/>
          <cell r="DC57">
            <v>0</v>
          </cell>
          <cell r="DD57">
            <v>0</v>
          </cell>
          <cell r="DE57">
            <v>0</v>
          </cell>
          <cell r="DF57">
            <v>0</v>
          </cell>
          <cell r="DG57">
            <v>0</v>
          </cell>
          <cell r="DH57">
            <v>0</v>
          </cell>
          <cell r="DI57">
            <v>0</v>
          </cell>
          <cell r="DJ57">
            <v>0</v>
          </cell>
          <cell r="DK57">
            <v>0</v>
          </cell>
          <cell r="DL57">
            <v>0</v>
          </cell>
          <cell r="DM57"/>
          <cell r="DN57"/>
          <cell r="DO57"/>
          <cell r="DP57"/>
        </row>
        <row r="58">
          <cell r="A58">
            <v>147</v>
          </cell>
          <cell r="B58" t="str">
            <v>Borne</v>
          </cell>
          <cell r="C58">
            <v>4</v>
          </cell>
          <cell r="D58">
            <v>15534</v>
          </cell>
          <cell r="E58">
            <v>7767</v>
          </cell>
          <cell r="F58">
            <v>0</v>
          </cell>
          <cell r="G58">
            <v>0</v>
          </cell>
          <cell r="H58">
            <v>0</v>
          </cell>
          <cell r="I58">
            <v>0</v>
          </cell>
          <cell r="J58"/>
          <cell r="K58">
            <v>0</v>
          </cell>
          <cell r="L58">
            <v>77794</v>
          </cell>
          <cell r="M58">
            <v>79945</v>
          </cell>
          <cell r="N58">
            <v>0</v>
          </cell>
          <cell r="O58">
            <v>0</v>
          </cell>
          <cell r="P58">
            <v>0</v>
          </cell>
          <cell r="Q58">
            <v>0</v>
          </cell>
          <cell r="R58">
            <v>0</v>
          </cell>
          <cell r="S58">
            <v>0</v>
          </cell>
          <cell r="T58">
            <v>0</v>
          </cell>
          <cell r="U58">
            <v>0</v>
          </cell>
          <cell r="V58">
            <v>0</v>
          </cell>
          <cell r="W58">
            <v>89220</v>
          </cell>
          <cell r="X58">
            <v>0</v>
          </cell>
          <cell r="Y58"/>
          <cell r="Z58">
            <v>0</v>
          </cell>
          <cell r="AA58">
            <v>0</v>
          </cell>
          <cell r="AB58">
            <v>0</v>
          </cell>
          <cell r="AC58"/>
          <cell r="AD58">
            <v>0</v>
          </cell>
          <cell r="AE58">
            <v>0</v>
          </cell>
          <cell r="AF58">
            <v>0</v>
          </cell>
          <cell r="AG58">
            <v>0</v>
          </cell>
          <cell r="AH58">
            <v>0</v>
          </cell>
          <cell r="AI58">
            <v>0</v>
          </cell>
          <cell r="AJ58">
            <v>0</v>
          </cell>
          <cell r="AK58">
            <v>0</v>
          </cell>
          <cell r="AL58"/>
          <cell r="AM58">
            <v>0</v>
          </cell>
          <cell r="AN58">
            <v>0</v>
          </cell>
          <cell r="AO58">
            <v>0</v>
          </cell>
          <cell r="AP58">
            <v>0</v>
          </cell>
          <cell r="AQ58">
            <v>0</v>
          </cell>
          <cell r="AR58">
            <v>0</v>
          </cell>
          <cell r="AS58">
            <v>0</v>
          </cell>
          <cell r="AT58">
            <v>0</v>
          </cell>
          <cell r="AU58">
            <v>0</v>
          </cell>
          <cell r="AV58">
            <v>0</v>
          </cell>
          <cell r="AW58">
            <v>0</v>
          </cell>
          <cell r="AX58">
            <v>0</v>
          </cell>
          <cell r="AY58"/>
          <cell r="AZ58"/>
          <cell r="BA58">
            <v>0</v>
          </cell>
          <cell r="BB58"/>
          <cell r="BC58">
            <v>0</v>
          </cell>
          <cell r="BD58">
            <v>8002</v>
          </cell>
          <cell r="BE58"/>
          <cell r="BF58">
            <v>0</v>
          </cell>
          <cell r="BG58">
            <v>0</v>
          </cell>
          <cell r="BH58">
            <v>0</v>
          </cell>
          <cell r="BI58">
            <v>28021</v>
          </cell>
          <cell r="BJ58">
            <v>23066</v>
          </cell>
          <cell r="BK58">
            <v>23066</v>
          </cell>
          <cell r="BL58">
            <v>0</v>
          </cell>
          <cell r="BM58">
            <v>0</v>
          </cell>
          <cell r="BN58">
            <v>0</v>
          </cell>
          <cell r="BO58">
            <v>0</v>
          </cell>
          <cell r="BP58">
            <v>0</v>
          </cell>
          <cell r="BQ58">
            <v>0</v>
          </cell>
          <cell r="BR58">
            <v>0</v>
          </cell>
          <cell r="BS58">
            <v>0</v>
          </cell>
          <cell r="BT58">
            <v>34964</v>
          </cell>
          <cell r="BU58"/>
          <cell r="BV58"/>
          <cell r="BW58"/>
          <cell r="BX58"/>
          <cell r="BY58">
            <v>0</v>
          </cell>
          <cell r="BZ58">
            <v>0</v>
          </cell>
          <cell r="CA58">
            <v>0</v>
          </cell>
          <cell r="CB58">
            <v>0</v>
          </cell>
          <cell r="CC58">
            <v>1776844</v>
          </cell>
          <cell r="CD58">
            <v>10516386</v>
          </cell>
          <cell r="CE58">
            <v>802124</v>
          </cell>
          <cell r="CF58">
            <v>-1265</v>
          </cell>
          <cell r="CG58">
            <v>802124</v>
          </cell>
          <cell r="CH58">
            <v>802124</v>
          </cell>
          <cell r="CI58">
            <v>802124</v>
          </cell>
          <cell r="CJ58">
            <v>802124</v>
          </cell>
          <cell r="CK58">
            <v>0</v>
          </cell>
          <cell r="CL58">
            <v>0</v>
          </cell>
          <cell r="CM58">
            <v>0</v>
          </cell>
          <cell r="CN58">
            <v>0</v>
          </cell>
          <cell r="CO58">
            <v>0</v>
          </cell>
          <cell r="CP58">
            <v>0</v>
          </cell>
          <cell r="CQ58">
            <v>2573874</v>
          </cell>
          <cell r="CR58">
            <v>2451084</v>
          </cell>
          <cell r="CS58">
            <v>2395726</v>
          </cell>
          <cell r="CT58">
            <v>2344834</v>
          </cell>
          <cell r="CU58">
            <v>2234051</v>
          </cell>
          <cell r="CV58">
            <v>-48344</v>
          </cell>
          <cell r="CW58">
            <v>0</v>
          </cell>
          <cell r="CX58">
            <v>0</v>
          </cell>
          <cell r="CY58">
            <v>0</v>
          </cell>
          <cell r="CZ58">
            <v>0</v>
          </cell>
          <cell r="DA58">
            <v>0</v>
          </cell>
          <cell r="DB58"/>
          <cell r="DC58">
            <v>0</v>
          </cell>
          <cell r="DD58">
            <v>0</v>
          </cell>
          <cell r="DE58">
            <v>0</v>
          </cell>
          <cell r="DF58">
            <v>0</v>
          </cell>
          <cell r="DG58">
            <v>0</v>
          </cell>
          <cell r="DH58">
            <v>0</v>
          </cell>
          <cell r="DI58">
            <v>0</v>
          </cell>
          <cell r="DJ58">
            <v>0</v>
          </cell>
          <cell r="DK58">
            <v>0</v>
          </cell>
          <cell r="DL58">
            <v>0</v>
          </cell>
          <cell r="DM58"/>
          <cell r="DN58"/>
          <cell r="DO58"/>
          <cell r="DP58"/>
        </row>
        <row r="59">
          <cell r="A59">
            <v>148</v>
          </cell>
          <cell r="B59" t="str">
            <v>Dalfsen</v>
          </cell>
          <cell r="C59">
            <v>4</v>
          </cell>
          <cell r="D59">
            <v>-51085</v>
          </cell>
          <cell r="E59">
            <v>-25543</v>
          </cell>
          <cell r="F59">
            <v>0</v>
          </cell>
          <cell r="G59">
            <v>0</v>
          </cell>
          <cell r="H59">
            <v>0</v>
          </cell>
          <cell r="I59">
            <v>-1697</v>
          </cell>
          <cell r="J59"/>
          <cell r="K59">
            <v>0</v>
          </cell>
          <cell r="L59">
            <v>71606</v>
          </cell>
          <cell r="M59">
            <v>76969</v>
          </cell>
          <cell r="N59">
            <v>0</v>
          </cell>
          <cell r="O59">
            <v>0</v>
          </cell>
          <cell r="P59">
            <v>0</v>
          </cell>
          <cell r="Q59">
            <v>0</v>
          </cell>
          <cell r="R59">
            <v>0</v>
          </cell>
          <cell r="S59">
            <v>0</v>
          </cell>
          <cell r="T59">
            <v>0</v>
          </cell>
          <cell r="U59">
            <v>0</v>
          </cell>
          <cell r="V59">
            <v>0</v>
          </cell>
          <cell r="W59">
            <v>53136</v>
          </cell>
          <cell r="X59">
            <v>0</v>
          </cell>
          <cell r="Y59"/>
          <cell r="Z59">
            <v>0</v>
          </cell>
          <cell r="AA59">
            <v>0</v>
          </cell>
          <cell r="AB59">
            <v>0</v>
          </cell>
          <cell r="AC59"/>
          <cell r="AD59">
            <v>0</v>
          </cell>
          <cell r="AE59">
            <v>0</v>
          </cell>
          <cell r="AF59">
            <v>0</v>
          </cell>
          <cell r="AG59">
            <v>0</v>
          </cell>
          <cell r="AH59">
            <v>0</v>
          </cell>
          <cell r="AI59">
            <v>148777</v>
          </cell>
          <cell r="AJ59">
            <v>0</v>
          </cell>
          <cell r="AK59">
            <v>0</v>
          </cell>
          <cell r="AL59"/>
          <cell r="AM59">
            <v>0</v>
          </cell>
          <cell r="AN59">
            <v>0</v>
          </cell>
          <cell r="AO59">
            <v>0</v>
          </cell>
          <cell r="AP59">
            <v>0</v>
          </cell>
          <cell r="AQ59">
            <v>0</v>
          </cell>
          <cell r="AR59">
            <v>0</v>
          </cell>
          <cell r="AS59">
            <v>0</v>
          </cell>
          <cell r="AT59">
            <v>0</v>
          </cell>
          <cell r="AU59">
            <v>4740</v>
          </cell>
          <cell r="AV59">
            <v>0</v>
          </cell>
          <cell r="AW59">
            <v>0</v>
          </cell>
          <cell r="AX59">
            <v>0</v>
          </cell>
          <cell r="AY59"/>
          <cell r="AZ59"/>
          <cell r="BA59">
            <v>0</v>
          </cell>
          <cell r="BB59"/>
          <cell r="BC59">
            <v>0</v>
          </cell>
          <cell r="BD59">
            <v>9854</v>
          </cell>
          <cell r="BE59"/>
          <cell r="BF59">
            <v>0</v>
          </cell>
          <cell r="BG59">
            <v>0</v>
          </cell>
          <cell r="BH59">
            <v>0</v>
          </cell>
          <cell r="BI59">
            <v>28673</v>
          </cell>
          <cell r="BJ59">
            <v>23602</v>
          </cell>
          <cell r="BK59">
            <v>23602</v>
          </cell>
          <cell r="BL59">
            <v>0</v>
          </cell>
          <cell r="BM59">
            <v>0</v>
          </cell>
          <cell r="BN59">
            <v>0</v>
          </cell>
          <cell r="BO59">
            <v>48643</v>
          </cell>
          <cell r="BP59">
            <v>9488.4</v>
          </cell>
          <cell r="BQ59">
            <v>17093.023255814001</v>
          </cell>
          <cell r="BR59">
            <v>0</v>
          </cell>
          <cell r="BS59">
            <v>0</v>
          </cell>
          <cell r="BT59">
            <v>46639</v>
          </cell>
          <cell r="BU59"/>
          <cell r="BV59"/>
          <cell r="BW59"/>
          <cell r="BX59"/>
          <cell r="BY59">
            <v>0</v>
          </cell>
          <cell r="BZ59">
            <v>0</v>
          </cell>
          <cell r="CA59">
            <v>0</v>
          </cell>
          <cell r="CB59">
            <v>0</v>
          </cell>
          <cell r="CC59">
            <v>1949735</v>
          </cell>
          <cell r="CD59">
            <v>11044900</v>
          </cell>
          <cell r="CE59">
            <v>823084</v>
          </cell>
          <cell r="CF59">
            <v>0</v>
          </cell>
          <cell r="CG59">
            <v>823084</v>
          </cell>
          <cell r="CH59">
            <v>823084</v>
          </cell>
          <cell r="CI59">
            <v>823084</v>
          </cell>
          <cell r="CJ59">
            <v>823084</v>
          </cell>
          <cell r="CK59">
            <v>0</v>
          </cell>
          <cell r="CL59">
            <v>0</v>
          </cell>
          <cell r="CM59">
            <v>0</v>
          </cell>
          <cell r="CN59">
            <v>0</v>
          </cell>
          <cell r="CO59">
            <v>0</v>
          </cell>
          <cell r="CP59">
            <v>-613</v>
          </cell>
          <cell r="CQ59">
            <v>2866430</v>
          </cell>
          <cell r="CR59">
            <v>2734701</v>
          </cell>
          <cell r="CS59">
            <v>2648632</v>
          </cell>
          <cell r="CT59">
            <v>2544615</v>
          </cell>
          <cell r="CU59">
            <v>2461337</v>
          </cell>
          <cell r="CV59">
            <v>1709</v>
          </cell>
          <cell r="CW59">
            <v>0</v>
          </cell>
          <cell r="CX59">
            <v>0</v>
          </cell>
          <cell r="CY59">
            <v>0</v>
          </cell>
          <cell r="CZ59">
            <v>0</v>
          </cell>
          <cell r="DA59">
            <v>0</v>
          </cell>
          <cell r="DB59"/>
          <cell r="DC59">
            <v>0</v>
          </cell>
          <cell r="DD59">
            <v>0</v>
          </cell>
          <cell r="DE59">
            <v>0</v>
          </cell>
          <cell r="DF59">
            <v>0</v>
          </cell>
          <cell r="DG59">
            <v>0</v>
          </cell>
          <cell r="DH59">
            <v>0</v>
          </cell>
          <cell r="DI59">
            <v>0</v>
          </cell>
          <cell r="DJ59">
            <v>0</v>
          </cell>
          <cell r="DK59">
            <v>0</v>
          </cell>
          <cell r="DL59">
            <v>0</v>
          </cell>
          <cell r="DM59"/>
          <cell r="DN59"/>
          <cell r="DO59"/>
          <cell r="DP59"/>
        </row>
        <row r="60">
          <cell r="A60">
            <v>150</v>
          </cell>
          <cell r="B60" t="str">
            <v>Deventer</v>
          </cell>
          <cell r="C60">
            <v>4</v>
          </cell>
          <cell r="D60">
            <v>144393</v>
          </cell>
          <cell r="E60">
            <v>72196</v>
          </cell>
          <cell r="F60">
            <v>0</v>
          </cell>
          <cell r="G60">
            <v>131566</v>
          </cell>
          <cell r="H60">
            <v>-155411</v>
          </cell>
          <cell r="I60">
            <v>-125347</v>
          </cell>
          <cell r="J60"/>
          <cell r="K60">
            <v>0</v>
          </cell>
          <cell r="L60">
            <v>535883</v>
          </cell>
          <cell r="M60">
            <v>543426</v>
          </cell>
          <cell r="N60">
            <v>0</v>
          </cell>
          <cell r="O60">
            <v>0</v>
          </cell>
          <cell r="P60">
            <v>150000</v>
          </cell>
          <cell r="Q60">
            <v>0</v>
          </cell>
          <cell r="R60">
            <v>0</v>
          </cell>
          <cell r="S60">
            <v>625149</v>
          </cell>
          <cell r="T60">
            <v>625149</v>
          </cell>
          <cell r="U60">
            <v>625149</v>
          </cell>
          <cell r="V60">
            <v>18000</v>
          </cell>
          <cell r="W60">
            <v>385063</v>
          </cell>
          <cell r="X60">
            <v>0</v>
          </cell>
          <cell r="Y60"/>
          <cell r="Z60">
            <v>0</v>
          </cell>
          <cell r="AA60">
            <v>0</v>
          </cell>
          <cell r="AB60">
            <v>0</v>
          </cell>
          <cell r="AC60"/>
          <cell r="AD60">
            <v>119291</v>
          </cell>
          <cell r="AE60">
            <v>0</v>
          </cell>
          <cell r="AF60">
            <v>0</v>
          </cell>
          <cell r="AG60">
            <v>0</v>
          </cell>
          <cell r="AH60">
            <v>0</v>
          </cell>
          <cell r="AI60">
            <v>0</v>
          </cell>
          <cell r="AJ60">
            <v>0</v>
          </cell>
          <cell r="AK60">
            <v>235941</v>
          </cell>
          <cell r="AL60"/>
          <cell r="AM60">
            <v>0</v>
          </cell>
          <cell r="AN60">
            <v>0</v>
          </cell>
          <cell r="AO60">
            <v>0</v>
          </cell>
          <cell r="AP60">
            <v>0</v>
          </cell>
          <cell r="AQ60">
            <v>0</v>
          </cell>
          <cell r="AR60">
            <v>0</v>
          </cell>
          <cell r="AS60">
            <v>0</v>
          </cell>
          <cell r="AT60">
            <v>20000</v>
          </cell>
          <cell r="AU60">
            <v>2370</v>
          </cell>
          <cell r="AV60">
            <v>3956545.8042349801</v>
          </cell>
          <cell r="AW60">
            <v>0</v>
          </cell>
          <cell r="AX60">
            <v>0</v>
          </cell>
          <cell r="AY60"/>
          <cell r="AZ60"/>
          <cell r="BA60">
            <v>0</v>
          </cell>
          <cell r="BB60"/>
          <cell r="BC60">
            <v>0</v>
          </cell>
          <cell r="BD60">
            <v>34856</v>
          </cell>
          <cell r="BE60"/>
          <cell r="BF60">
            <v>0</v>
          </cell>
          <cell r="BG60">
            <v>0</v>
          </cell>
          <cell r="BH60">
            <v>0</v>
          </cell>
          <cell r="BI60">
            <v>171532</v>
          </cell>
          <cell r="BJ60">
            <v>141196</v>
          </cell>
          <cell r="BK60">
            <v>141196</v>
          </cell>
          <cell r="BL60">
            <v>0</v>
          </cell>
          <cell r="BM60">
            <v>0</v>
          </cell>
          <cell r="BN60">
            <v>0</v>
          </cell>
          <cell r="BO60">
            <v>258780</v>
          </cell>
          <cell r="BP60">
            <v>18976.8</v>
          </cell>
          <cell r="BQ60">
            <v>34186.046511627901</v>
          </cell>
          <cell r="BR60">
            <v>0</v>
          </cell>
          <cell r="BS60">
            <v>0</v>
          </cell>
          <cell r="BT60">
            <v>174643</v>
          </cell>
          <cell r="BU60"/>
          <cell r="BV60"/>
          <cell r="BW60"/>
          <cell r="BX60"/>
          <cell r="BY60">
            <v>0</v>
          </cell>
          <cell r="BZ60">
            <v>0</v>
          </cell>
          <cell r="CA60">
            <v>0</v>
          </cell>
          <cell r="CB60">
            <v>0</v>
          </cell>
          <cell r="CC60">
            <v>7862284</v>
          </cell>
          <cell r="CD60">
            <v>81842649</v>
          </cell>
          <cell r="CE60">
            <v>3114255</v>
          </cell>
          <cell r="CF60">
            <v>-142075</v>
          </cell>
          <cell r="CG60">
            <v>3114255</v>
          </cell>
          <cell r="CH60">
            <v>3114255</v>
          </cell>
          <cell r="CI60">
            <v>3114255</v>
          </cell>
          <cell r="CJ60">
            <v>3114255</v>
          </cell>
          <cell r="CK60">
            <v>19900575</v>
          </cell>
          <cell r="CL60">
            <v>19890587</v>
          </cell>
          <cell r="CM60">
            <v>19890426</v>
          </cell>
          <cell r="CN60">
            <v>19890070</v>
          </cell>
          <cell r="CO60">
            <v>19890563</v>
          </cell>
          <cell r="CP60">
            <v>-23954</v>
          </cell>
          <cell r="CQ60">
            <v>18014832</v>
          </cell>
          <cell r="CR60">
            <v>17263247</v>
          </cell>
          <cell r="CS60">
            <v>16798512</v>
          </cell>
          <cell r="CT60">
            <v>16453936</v>
          </cell>
          <cell r="CU60">
            <v>16140314</v>
          </cell>
          <cell r="CV60">
            <v>-6903</v>
          </cell>
          <cell r="CW60">
            <v>0</v>
          </cell>
          <cell r="CX60">
            <v>0</v>
          </cell>
          <cell r="CY60">
            <v>0</v>
          </cell>
          <cell r="CZ60">
            <v>0</v>
          </cell>
          <cell r="DA60">
            <v>80000</v>
          </cell>
          <cell r="DB60"/>
          <cell r="DC60">
            <v>0</v>
          </cell>
          <cell r="DD60">
            <v>0</v>
          </cell>
          <cell r="DE60">
            <v>0</v>
          </cell>
          <cell r="DF60">
            <v>0</v>
          </cell>
          <cell r="DG60">
            <v>0</v>
          </cell>
          <cell r="DH60">
            <v>0</v>
          </cell>
          <cell r="DI60">
            <v>0</v>
          </cell>
          <cell r="DJ60">
            <v>0</v>
          </cell>
          <cell r="DK60">
            <v>0</v>
          </cell>
          <cell r="DL60">
            <v>0</v>
          </cell>
          <cell r="DM60"/>
          <cell r="DN60"/>
          <cell r="DO60"/>
          <cell r="DP60"/>
        </row>
        <row r="61">
          <cell r="A61">
            <v>1774</v>
          </cell>
          <cell r="B61" t="str">
            <v>Dinkelland</v>
          </cell>
          <cell r="C61">
            <v>4</v>
          </cell>
          <cell r="D61">
            <v>44802</v>
          </cell>
          <cell r="E61">
            <v>22401</v>
          </cell>
          <cell r="F61">
            <v>0</v>
          </cell>
          <cell r="G61">
            <v>0</v>
          </cell>
          <cell r="H61">
            <v>-15403</v>
          </cell>
          <cell r="I61">
            <v>-13016</v>
          </cell>
          <cell r="J61"/>
          <cell r="K61">
            <v>0</v>
          </cell>
          <cell r="L61">
            <v>64563</v>
          </cell>
          <cell r="M61">
            <v>56304</v>
          </cell>
          <cell r="N61">
            <v>0</v>
          </cell>
          <cell r="O61">
            <v>0</v>
          </cell>
          <cell r="P61">
            <v>0</v>
          </cell>
          <cell r="Q61">
            <v>0</v>
          </cell>
          <cell r="R61">
            <v>0</v>
          </cell>
          <cell r="S61">
            <v>0</v>
          </cell>
          <cell r="T61">
            <v>0</v>
          </cell>
          <cell r="U61">
            <v>0</v>
          </cell>
          <cell r="V61">
            <v>0</v>
          </cell>
          <cell r="W61">
            <v>120320</v>
          </cell>
          <cell r="X61">
            <v>0</v>
          </cell>
          <cell r="Y61"/>
          <cell r="Z61">
            <v>0</v>
          </cell>
          <cell r="AA61">
            <v>0</v>
          </cell>
          <cell r="AB61">
            <v>0</v>
          </cell>
          <cell r="AC61"/>
          <cell r="AD61">
            <v>20000</v>
          </cell>
          <cell r="AE61">
            <v>0</v>
          </cell>
          <cell r="AF61">
            <v>0</v>
          </cell>
          <cell r="AG61">
            <v>0</v>
          </cell>
          <cell r="AH61">
            <v>0</v>
          </cell>
          <cell r="AI61">
            <v>0</v>
          </cell>
          <cell r="AJ61">
            <v>0</v>
          </cell>
          <cell r="AK61">
            <v>0</v>
          </cell>
          <cell r="AL61"/>
          <cell r="AM61">
            <v>0</v>
          </cell>
          <cell r="AN61">
            <v>0</v>
          </cell>
          <cell r="AO61">
            <v>0</v>
          </cell>
          <cell r="AP61">
            <v>0</v>
          </cell>
          <cell r="AQ61">
            <v>0</v>
          </cell>
          <cell r="AR61">
            <v>0</v>
          </cell>
          <cell r="AS61">
            <v>0</v>
          </cell>
          <cell r="AT61">
            <v>0</v>
          </cell>
          <cell r="AU61">
            <v>2370</v>
          </cell>
          <cell r="AV61">
            <v>0</v>
          </cell>
          <cell r="AW61">
            <v>0</v>
          </cell>
          <cell r="AX61">
            <v>0</v>
          </cell>
          <cell r="AY61"/>
          <cell r="AZ61"/>
          <cell r="BA61">
            <v>0</v>
          </cell>
          <cell r="BB61"/>
          <cell r="BC61">
            <v>0</v>
          </cell>
          <cell r="BD61">
            <v>9213</v>
          </cell>
          <cell r="BE61"/>
          <cell r="BF61">
            <v>0</v>
          </cell>
          <cell r="BG61">
            <v>0</v>
          </cell>
          <cell r="BH61">
            <v>0</v>
          </cell>
          <cell r="BI61">
            <v>29002</v>
          </cell>
          <cell r="BJ61">
            <v>23873</v>
          </cell>
          <cell r="BK61">
            <v>23873</v>
          </cell>
          <cell r="BL61">
            <v>0</v>
          </cell>
          <cell r="BM61">
            <v>0</v>
          </cell>
          <cell r="BN61">
            <v>0</v>
          </cell>
          <cell r="BO61">
            <v>63236</v>
          </cell>
          <cell r="BP61">
            <v>0</v>
          </cell>
          <cell r="BQ61">
            <v>0</v>
          </cell>
          <cell r="BR61">
            <v>0</v>
          </cell>
          <cell r="BS61">
            <v>0</v>
          </cell>
          <cell r="BT61">
            <v>45652</v>
          </cell>
          <cell r="BU61"/>
          <cell r="BV61"/>
          <cell r="BW61"/>
          <cell r="BX61"/>
          <cell r="BY61">
            <v>0</v>
          </cell>
          <cell r="BZ61">
            <v>0</v>
          </cell>
          <cell r="CA61">
            <v>0</v>
          </cell>
          <cell r="CB61">
            <v>0</v>
          </cell>
          <cell r="CC61">
            <v>1789951</v>
          </cell>
          <cell r="CD61">
            <v>10482953</v>
          </cell>
          <cell r="CE61">
            <v>1514281</v>
          </cell>
          <cell r="CF61">
            <v>-31494</v>
          </cell>
          <cell r="CG61">
            <v>1514281</v>
          </cell>
          <cell r="CH61">
            <v>1514281</v>
          </cell>
          <cell r="CI61">
            <v>1514281</v>
          </cell>
          <cell r="CJ61">
            <v>1514281</v>
          </cell>
          <cell r="CK61">
            <v>0</v>
          </cell>
          <cell r="CL61">
            <v>0</v>
          </cell>
          <cell r="CM61">
            <v>0</v>
          </cell>
          <cell r="CN61">
            <v>0</v>
          </cell>
          <cell r="CO61">
            <v>0</v>
          </cell>
          <cell r="CP61">
            <v>0</v>
          </cell>
          <cell r="CQ61">
            <v>2297821</v>
          </cell>
          <cell r="CR61">
            <v>2147290</v>
          </cell>
          <cell r="CS61">
            <v>2029634</v>
          </cell>
          <cell r="CT61">
            <v>1919262</v>
          </cell>
          <cell r="CU61">
            <v>1807982</v>
          </cell>
          <cell r="CV61">
            <v>19387</v>
          </cell>
          <cell r="CW61">
            <v>0</v>
          </cell>
          <cell r="CX61">
            <v>0</v>
          </cell>
          <cell r="CY61">
            <v>0</v>
          </cell>
          <cell r="CZ61">
            <v>0</v>
          </cell>
          <cell r="DA61">
            <v>0</v>
          </cell>
          <cell r="DB61"/>
          <cell r="DC61">
            <v>0</v>
          </cell>
          <cell r="DD61">
            <v>0</v>
          </cell>
          <cell r="DE61">
            <v>0</v>
          </cell>
          <cell r="DF61">
            <v>0</v>
          </cell>
          <cell r="DG61">
            <v>0</v>
          </cell>
          <cell r="DH61">
            <v>0</v>
          </cell>
          <cell r="DI61">
            <v>0</v>
          </cell>
          <cell r="DJ61">
            <v>0</v>
          </cell>
          <cell r="DK61">
            <v>0</v>
          </cell>
          <cell r="DL61">
            <v>0</v>
          </cell>
          <cell r="DM61"/>
          <cell r="DN61"/>
          <cell r="DO61"/>
          <cell r="DP61"/>
        </row>
        <row r="62">
          <cell r="A62">
            <v>153</v>
          </cell>
          <cell r="B62" t="str">
            <v>Enschede</v>
          </cell>
          <cell r="C62">
            <v>4</v>
          </cell>
          <cell r="D62">
            <v>564371</v>
          </cell>
          <cell r="E62">
            <v>282185</v>
          </cell>
          <cell r="F62">
            <v>0</v>
          </cell>
          <cell r="G62">
            <v>0</v>
          </cell>
          <cell r="H62">
            <v>-168310</v>
          </cell>
          <cell r="I62">
            <v>0</v>
          </cell>
          <cell r="J62"/>
          <cell r="K62">
            <v>7500</v>
          </cell>
          <cell r="L62">
            <v>1172997</v>
          </cell>
          <cell r="M62">
            <v>1208221</v>
          </cell>
          <cell r="N62">
            <v>0</v>
          </cell>
          <cell r="O62">
            <v>0</v>
          </cell>
          <cell r="P62">
            <v>404571</v>
          </cell>
          <cell r="Q62">
            <v>0</v>
          </cell>
          <cell r="R62">
            <v>0</v>
          </cell>
          <cell r="S62">
            <v>1574112</v>
          </cell>
          <cell r="T62">
            <v>1574112</v>
          </cell>
          <cell r="U62">
            <v>1574112</v>
          </cell>
          <cell r="V62">
            <v>45000</v>
          </cell>
          <cell r="W62">
            <v>563502</v>
          </cell>
          <cell r="X62">
            <v>0</v>
          </cell>
          <cell r="Y62"/>
          <cell r="Z62">
            <v>0</v>
          </cell>
          <cell r="AA62">
            <v>40000</v>
          </cell>
          <cell r="AB62">
            <v>0</v>
          </cell>
          <cell r="AC62"/>
          <cell r="AD62">
            <v>580813</v>
          </cell>
          <cell r="AE62">
            <v>0</v>
          </cell>
          <cell r="AF62">
            <v>0</v>
          </cell>
          <cell r="AG62">
            <v>0</v>
          </cell>
          <cell r="AH62">
            <v>0</v>
          </cell>
          <cell r="AI62">
            <v>0</v>
          </cell>
          <cell r="AJ62">
            <v>0</v>
          </cell>
          <cell r="AK62">
            <v>793023</v>
          </cell>
          <cell r="AL62"/>
          <cell r="AM62">
            <v>0</v>
          </cell>
          <cell r="AN62">
            <v>0</v>
          </cell>
          <cell r="AO62">
            <v>0</v>
          </cell>
          <cell r="AP62">
            <v>0</v>
          </cell>
          <cell r="AQ62">
            <v>0</v>
          </cell>
          <cell r="AR62">
            <v>0</v>
          </cell>
          <cell r="AS62">
            <v>0</v>
          </cell>
          <cell r="AT62">
            <v>20000</v>
          </cell>
          <cell r="AU62">
            <v>4740</v>
          </cell>
          <cell r="AV62">
            <v>9174891.4508063495</v>
          </cell>
          <cell r="AW62">
            <v>96207</v>
          </cell>
          <cell r="AX62">
            <v>0</v>
          </cell>
          <cell r="AY62"/>
          <cell r="AZ62"/>
          <cell r="BA62">
            <v>0</v>
          </cell>
          <cell r="BB62"/>
          <cell r="BC62">
            <v>0</v>
          </cell>
          <cell r="BD62">
            <v>55513</v>
          </cell>
          <cell r="BE62"/>
          <cell r="BF62">
            <v>0</v>
          </cell>
          <cell r="BG62">
            <v>0</v>
          </cell>
          <cell r="BH62">
            <v>0</v>
          </cell>
          <cell r="BI62">
            <v>331753</v>
          </cell>
          <cell r="BJ62">
            <v>273082</v>
          </cell>
          <cell r="BK62">
            <v>273082</v>
          </cell>
          <cell r="BL62">
            <v>0</v>
          </cell>
          <cell r="BM62">
            <v>0</v>
          </cell>
          <cell r="BN62">
            <v>277200</v>
          </cell>
          <cell r="BO62">
            <v>330285</v>
          </cell>
          <cell r="BP62">
            <v>22139.599999999999</v>
          </cell>
          <cell r="BQ62">
            <v>39883.720930232601</v>
          </cell>
          <cell r="BR62">
            <v>0</v>
          </cell>
          <cell r="BS62">
            <v>0</v>
          </cell>
          <cell r="BT62">
            <v>313920</v>
          </cell>
          <cell r="BU62"/>
          <cell r="BV62"/>
          <cell r="BW62"/>
          <cell r="BX62"/>
          <cell r="BY62">
            <v>4095529.5975298402</v>
          </cell>
          <cell r="BZ62">
            <v>4734319.4288211698</v>
          </cell>
          <cell r="CA62">
            <v>4788889.4144088803</v>
          </cell>
          <cell r="CB62">
            <v>4942969.3737153299</v>
          </cell>
          <cell r="CC62">
            <v>13251717</v>
          </cell>
          <cell r="CD62">
            <v>153672761</v>
          </cell>
          <cell r="CE62">
            <v>6982981</v>
          </cell>
          <cell r="CF62">
            <v>0</v>
          </cell>
          <cell r="CG62">
            <v>6982981</v>
          </cell>
          <cell r="CH62">
            <v>6982981</v>
          </cell>
          <cell r="CI62">
            <v>6982981</v>
          </cell>
          <cell r="CJ62">
            <v>6982981</v>
          </cell>
          <cell r="CK62">
            <v>45759420</v>
          </cell>
          <cell r="CL62">
            <v>45736453</v>
          </cell>
          <cell r="CM62">
            <v>45736081</v>
          </cell>
          <cell r="CN62">
            <v>45735265</v>
          </cell>
          <cell r="CO62">
            <v>45736397</v>
          </cell>
          <cell r="CP62">
            <v>0</v>
          </cell>
          <cell r="CQ62">
            <v>28685818</v>
          </cell>
          <cell r="CR62">
            <v>27114776</v>
          </cell>
          <cell r="CS62">
            <v>26018217</v>
          </cell>
          <cell r="CT62">
            <v>24889772</v>
          </cell>
          <cell r="CU62">
            <v>23950850</v>
          </cell>
          <cell r="CV62">
            <v>547267</v>
          </cell>
          <cell r="CW62">
            <v>0</v>
          </cell>
          <cell r="CX62">
            <v>0</v>
          </cell>
          <cell r="CY62">
            <v>0</v>
          </cell>
          <cell r="CZ62">
            <v>0</v>
          </cell>
          <cell r="DA62">
            <v>0</v>
          </cell>
          <cell r="DB62"/>
          <cell r="DC62">
            <v>0</v>
          </cell>
          <cell r="DD62">
            <v>0</v>
          </cell>
          <cell r="DE62">
            <v>0</v>
          </cell>
          <cell r="DF62">
            <v>0</v>
          </cell>
          <cell r="DG62">
            <v>0</v>
          </cell>
          <cell r="DH62">
            <v>0</v>
          </cell>
          <cell r="DI62">
            <v>0</v>
          </cell>
          <cell r="DJ62">
            <v>0</v>
          </cell>
          <cell r="DK62">
            <v>0</v>
          </cell>
          <cell r="DL62">
            <v>0</v>
          </cell>
          <cell r="DM62"/>
          <cell r="DN62"/>
          <cell r="DO62"/>
          <cell r="DP62"/>
        </row>
        <row r="63">
          <cell r="A63">
            <v>158</v>
          </cell>
          <cell r="B63" t="str">
            <v>Haaksbergen</v>
          </cell>
          <cell r="C63">
            <v>4</v>
          </cell>
          <cell r="D63">
            <v>27943</v>
          </cell>
          <cell r="E63">
            <v>13972</v>
          </cell>
          <cell r="F63">
            <v>0</v>
          </cell>
          <cell r="G63">
            <v>0</v>
          </cell>
          <cell r="H63">
            <v>-27373</v>
          </cell>
          <cell r="I63">
            <v>-5961</v>
          </cell>
          <cell r="J63"/>
          <cell r="K63">
            <v>0</v>
          </cell>
          <cell r="L63">
            <v>87742</v>
          </cell>
          <cell r="M63">
            <v>78159</v>
          </cell>
          <cell r="N63">
            <v>0</v>
          </cell>
          <cell r="O63">
            <v>0</v>
          </cell>
          <cell r="P63">
            <v>0</v>
          </cell>
          <cell r="Q63">
            <v>0</v>
          </cell>
          <cell r="R63">
            <v>0</v>
          </cell>
          <cell r="S63">
            <v>0</v>
          </cell>
          <cell r="T63">
            <v>0</v>
          </cell>
          <cell r="U63">
            <v>0</v>
          </cell>
          <cell r="V63">
            <v>3000</v>
          </cell>
          <cell r="W63">
            <v>73339</v>
          </cell>
          <cell r="X63">
            <v>0</v>
          </cell>
          <cell r="Y63"/>
          <cell r="Z63">
            <v>0</v>
          </cell>
          <cell r="AA63">
            <v>0</v>
          </cell>
          <cell r="AB63">
            <v>0</v>
          </cell>
          <cell r="AC63"/>
          <cell r="AD63">
            <v>0</v>
          </cell>
          <cell r="AE63">
            <v>0</v>
          </cell>
          <cell r="AF63">
            <v>0</v>
          </cell>
          <cell r="AG63">
            <v>0</v>
          </cell>
          <cell r="AH63">
            <v>0</v>
          </cell>
          <cell r="AI63">
            <v>0</v>
          </cell>
          <cell r="AJ63">
            <v>0</v>
          </cell>
          <cell r="AK63">
            <v>0</v>
          </cell>
          <cell r="AL63"/>
          <cell r="AM63">
            <v>0</v>
          </cell>
          <cell r="AN63">
            <v>0</v>
          </cell>
          <cell r="AO63">
            <v>0</v>
          </cell>
          <cell r="AP63">
            <v>0</v>
          </cell>
          <cell r="AQ63">
            <v>0</v>
          </cell>
          <cell r="AR63">
            <v>0</v>
          </cell>
          <cell r="AS63">
            <v>0</v>
          </cell>
          <cell r="AT63">
            <v>0</v>
          </cell>
          <cell r="AU63">
            <v>0</v>
          </cell>
          <cell r="AV63">
            <v>0</v>
          </cell>
          <cell r="AW63">
            <v>0</v>
          </cell>
          <cell r="AX63">
            <v>0</v>
          </cell>
          <cell r="AY63"/>
          <cell r="AZ63"/>
          <cell r="BA63">
            <v>0</v>
          </cell>
          <cell r="BB63"/>
          <cell r="BC63">
            <v>0</v>
          </cell>
          <cell r="BD63">
            <v>8520</v>
          </cell>
          <cell r="BE63"/>
          <cell r="BF63">
            <v>0</v>
          </cell>
          <cell r="BG63">
            <v>0</v>
          </cell>
          <cell r="BH63">
            <v>0</v>
          </cell>
          <cell r="BI63">
            <v>32097</v>
          </cell>
          <cell r="BJ63">
            <v>26421</v>
          </cell>
          <cell r="BK63">
            <v>26421</v>
          </cell>
          <cell r="BL63">
            <v>0</v>
          </cell>
          <cell r="BM63">
            <v>0</v>
          </cell>
          <cell r="BN63">
            <v>0</v>
          </cell>
          <cell r="BO63">
            <v>40860</v>
          </cell>
          <cell r="BP63">
            <v>0</v>
          </cell>
          <cell r="BQ63">
            <v>0</v>
          </cell>
          <cell r="BR63">
            <v>0</v>
          </cell>
          <cell r="BS63">
            <v>0</v>
          </cell>
          <cell r="BT63">
            <v>40269</v>
          </cell>
          <cell r="BU63"/>
          <cell r="BV63"/>
          <cell r="BW63"/>
          <cell r="BX63"/>
          <cell r="BY63">
            <v>0</v>
          </cell>
          <cell r="BZ63">
            <v>0</v>
          </cell>
          <cell r="CA63">
            <v>0</v>
          </cell>
          <cell r="CB63">
            <v>0</v>
          </cell>
          <cell r="CC63">
            <v>1968839</v>
          </cell>
          <cell r="CD63">
            <v>10066570</v>
          </cell>
          <cell r="CE63">
            <v>260951</v>
          </cell>
          <cell r="CF63">
            <v>0</v>
          </cell>
          <cell r="CG63">
            <v>260951</v>
          </cell>
          <cell r="CH63">
            <v>260951</v>
          </cell>
          <cell r="CI63">
            <v>260951</v>
          </cell>
          <cell r="CJ63">
            <v>260951</v>
          </cell>
          <cell r="CK63">
            <v>0</v>
          </cell>
          <cell r="CL63">
            <v>0</v>
          </cell>
          <cell r="CM63">
            <v>0</v>
          </cell>
          <cell r="CN63">
            <v>0</v>
          </cell>
          <cell r="CO63">
            <v>0</v>
          </cell>
          <cell r="CP63">
            <v>-2157</v>
          </cell>
          <cell r="CQ63">
            <v>2326884</v>
          </cell>
          <cell r="CR63">
            <v>2164548</v>
          </cell>
          <cell r="CS63">
            <v>2117384</v>
          </cell>
          <cell r="CT63">
            <v>2075616</v>
          </cell>
          <cell r="CU63">
            <v>2049577</v>
          </cell>
          <cell r="CV63">
            <v>20196</v>
          </cell>
          <cell r="CW63">
            <v>0</v>
          </cell>
          <cell r="CX63">
            <v>0</v>
          </cell>
          <cell r="CY63">
            <v>0</v>
          </cell>
          <cell r="CZ63">
            <v>0</v>
          </cell>
          <cell r="DA63">
            <v>0</v>
          </cell>
          <cell r="DB63"/>
          <cell r="DC63">
            <v>0</v>
          </cell>
          <cell r="DD63">
            <v>0</v>
          </cell>
          <cell r="DE63">
            <v>0</v>
          </cell>
          <cell r="DF63">
            <v>0</v>
          </cell>
          <cell r="DG63">
            <v>0</v>
          </cell>
          <cell r="DH63">
            <v>0</v>
          </cell>
          <cell r="DI63">
            <v>0</v>
          </cell>
          <cell r="DJ63">
            <v>0</v>
          </cell>
          <cell r="DK63">
            <v>0</v>
          </cell>
          <cell r="DL63">
            <v>0</v>
          </cell>
          <cell r="DM63"/>
          <cell r="DN63"/>
          <cell r="DO63"/>
          <cell r="DP63"/>
        </row>
        <row r="64">
          <cell r="A64">
            <v>160</v>
          </cell>
          <cell r="B64" t="str">
            <v>Hardenberg</v>
          </cell>
          <cell r="C64">
            <v>4</v>
          </cell>
          <cell r="D64">
            <v>10215</v>
          </cell>
          <cell r="E64">
            <v>5108</v>
          </cell>
          <cell r="F64">
            <v>0</v>
          </cell>
          <cell r="G64">
            <v>0</v>
          </cell>
          <cell r="H64">
            <v>-50289</v>
          </cell>
          <cell r="I64">
            <v>-4273</v>
          </cell>
          <cell r="J64"/>
          <cell r="K64">
            <v>0</v>
          </cell>
          <cell r="L64">
            <v>218619</v>
          </cell>
          <cell r="M64">
            <v>212123</v>
          </cell>
          <cell r="N64">
            <v>0</v>
          </cell>
          <cell r="O64">
            <v>0</v>
          </cell>
          <cell r="P64">
            <v>0</v>
          </cell>
          <cell r="Q64">
            <v>0</v>
          </cell>
          <cell r="R64">
            <v>0</v>
          </cell>
          <cell r="S64">
            <v>0</v>
          </cell>
          <cell r="T64">
            <v>0</v>
          </cell>
          <cell r="U64">
            <v>0</v>
          </cell>
          <cell r="V64">
            <v>3000</v>
          </cell>
          <cell r="W64">
            <v>262410</v>
          </cell>
          <cell r="X64">
            <v>0</v>
          </cell>
          <cell r="Y64"/>
          <cell r="Z64">
            <v>0</v>
          </cell>
          <cell r="AA64">
            <v>0</v>
          </cell>
          <cell r="AB64">
            <v>0</v>
          </cell>
          <cell r="AC64"/>
          <cell r="AD64">
            <v>27378</v>
          </cell>
          <cell r="AE64">
            <v>0</v>
          </cell>
          <cell r="AF64">
            <v>0</v>
          </cell>
          <cell r="AG64">
            <v>0</v>
          </cell>
          <cell r="AH64">
            <v>0</v>
          </cell>
          <cell r="AI64">
            <v>0</v>
          </cell>
          <cell r="AJ64">
            <v>0</v>
          </cell>
          <cell r="AK64">
            <v>0</v>
          </cell>
          <cell r="AL64"/>
          <cell r="AM64">
            <v>0</v>
          </cell>
          <cell r="AN64">
            <v>0</v>
          </cell>
          <cell r="AO64">
            <v>0</v>
          </cell>
          <cell r="AP64">
            <v>0</v>
          </cell>
          <cell r="AQ64">
            <v>0</v>
          </cell>
          <cell r="AR64">
            <v>0</v>
          </cell>
          <cell r="AS64">
            <v>0</v>
          </cell>
          <cell r="AT64">
            <v>0</v>
          </cell>
          <cell r="AU64">
            <v>9480</v>
          </cell>
          <cell r="AV64">
            <v>0</v>
          </cell>
          <cell r="AW64">
            <v>0</v>
          </cell>
          <cell r="AX64">
            <v>0</v>
          </cell>
          <cell r="AY64"/>
          <cell r="AZ64"/>
          <cell r="BA64">
            <v>0</v>
          </cell>
          <cell r="BB64"/>
          <cell r="BC64">
            <v>0</v>
          </cell>
          <cell r="BD64">
            <v>21136</v>
          </cell>
          <cell r="BE64"/>
          <cell r="BF64">
            <v>0</v>
          </cell>
          <cell r="BG64">
            <v>0</v>
          </cell>
          <cell r="BH64">
            <v>0</v>
          </cell>
          <cell r="BI64">
            <v>75367</v>
          </cell>
          <cell r="BJ64">
            <v>62038</v>
          </cell>
          <cell r="BK64">
            <v>62038</v>
          </cell>
          <cell r="BL64">
            <v>0</v>
          </cell>
          <cell r="BM64">
            <v>0</v>
          </cell>
          <cell r="BN64">
            <v>0</v>
          </cell>
          <cell r="BO64">
            <v>261698</v>
          </cell>
          <cell r="BP64">
            <v>6325.6</v>
          </cell>
          <cell r="BQ64">
            <v>11395.3488372093</v>
          </cell>
          <cell r="BR64">
            <v>0</v>
          </cell>
          <cell r="BS64">
            <v>0</v>
          </cell>
          <cell r="BT64">
            <v>113678</v>
          </cell>
          <cell r="BU64"/>
          <cell r="BV64"/>
          <cell r="BW64"/>
          <cell r="BX64"/>
          <cell r="BY64">
            <v>0</v>
          </cell>
          <cell r="BZ64">
            <v>0</v>
          </cell>
          <cell r="CA64">
            <v>0</v>
          </cell>
          <cell r="CB64">
            <v>0</v>
          </cell>
          <cell r="CC64">
            <v>4414604</v>
          </cell>
          <cell r="CD64">
            <v>33808888</v>
          </cell>
          <cell r="CE64">
            <v>2868747</v>
          </cell>
          <cell r="CF64">
            <v>-10331</v>
          </cell>
          <cell r="CG64">
            <v>2868747</v>
          </cell>
          <cell r="CH64">
            <v>2868747</v>
          </cell>
          <cell r="CI64">
            <v>2868747</v>
          </cell>
          <cell r="CJ64">
            <v>2868747</v>
          </cell>
          <cell r="CK64">
            <v>0</v>
          </cell>
          <cell r="CL64">
            <v>0</v>
          </cell>
          <cell r="CM64">
            <v>0</v>
          </cell>
          <cell r="CN64">
            <v>0</v>
          </cell>
          <cell r="CO64">
            <v>0</v>
          </cell>
          <cell r="CP64">
            <v>0</v>
          </cell>
          <cell r="CQ64">
            <v>8963154</v>
          </cell>
          <cell r="CR64">
            <v>8555424</v>
          </cell>
          <cell r="CS64">
            <v>8302937</v>
          </cell>
          <cell r="CT64">
            <v>8084073</v>
          </cell>
          <cell r="CU64">
            <v>7844110</v>
          </cell>
          <cell r="CV64">
            <v>305742</v>
          </cell>
          <cell r="CW64">
            <v>0</v>
          </cell>
          <cell r="CX64">
            <v>0</v>
          </cell>
          <cell r="CY64">
            <v>0</v>
          </cell>
          <cell r="CZ64">
            <v>0</v>
          </cell>
          <cell r="DA64">
            <v>0</v>
          </cell>
          <cell r="DB64"/>
          <cell r="DC64">
            <v>3750</v>
          </cell>
          <cell r="DD64">
            <v>0</v>
          </cell>
          <cell r="DE64">
            <v>0</v>
          </cell>
          <cell r="DF64">
            <v>0</v>
          </cell>
          <cell r="DG64">
            <v>0</v>
          </cell>
          <cell r="DH64">
            <v>0</v>
          </cell>
          <cell r="DI64">
            <v>0</v>
          </cell>
          <cell r="DJ64">
            <v>0</v>
          </cell>
          <cell r="DK64">
            <v>0</v>
          </cell>
          <cell r="DL64">
            <v>0</v>
          </cell>
          <cell r="DM64"/>
          <cell r="DN64"/>
          <cell r="DO64"/>
          <cell r="DP64"/>
        </row>
        <row r="65">
          <cell r="A65">
            <v>163</v>
          </cell>
          <cell r="B65" t="str">
            <v>Hellendoorn</v>
          </cell>
          <cell r="C65">
            <v>4</v>
          </cell>
          <cell r="D65">
            <v>17682</v>
          </cell>
          <cell r="E65">
            <v>8841</v>
          </cell>
          <cell r="F65">
            <v>0</v>
          </cell>
          <cell r="G65">
            <v>0</v>
          </cell>
          <cell r="H65">
            <v>-28602</v>
          </cell>
          <cell r="I65">
            <v>-9367</v>
          </cell>
          <cell r="J65"/>
          <cell r="K65">
            <v>0</v>
          </cell>
          <cell r="L65">
            <v>123674</v>
          </cell>
          <cell r="M65">
            <v>116275</v>
          </cell>
          <cell r="N65">
            <v>0</v>
          </cell>
          <cell r="O65">
            <v>0</v>
          </cell>
          <cell r="P65">
            <v>0</v>
          </cell>
          <cell r="Q65">
            <v>0</v>
          </cell>
          <cell r="R65">
            <v>0</v>
          </cell>
          <cell r="S65">
            <v>0</v>
          </cell>
          <cell r="T65">
            <v>0</v>
          </cell>
          <cell r="U65">
            <v>0</v>
          </cell>
          <cell r="V65">
            <v>3000</v>
          </cell>
          <cell r="W65">
            <v>146950</v>
          </cell>
          <cell r="X65">
            <v>0</v>
          </cell>
          <cell r="Y65"/>
          <cell r="Z65">
            <v>0</v>
          </cell>
          <cell r="AA65">
            <v>0</v>
          </cell>
          <cell r="AB65">
            <v>0</v>
          </cell>
          <cell r="AC65"/>
          <cell r="AD65">
            <v>20000</v>
          </cell>
          <cell r="AE65">
            <v>0</v>
          </cell>
          <cell r="AF65">
            <v>0</v>
          </cell>
          <cell r="AG65">
            <v>0</v>
          </cell>
          <cell r="AH65">
            <v>0</v>
          </cell>
          <cell r="AI65">
            <v>0</v>
          </cell>
          <cell r="AJ65">
            <v>0</v>
          </cell>
          <cell r="AK65">
            <v>0</v>
          </cell>
          <cell r="AL65"/>
          <cell r="AM65">
            <v>0</v>
          </cell>
          <cell r="AN65">
            <v>0</v>
          </cell>
          <cell r="AO65">
            <v>0</v>
          </cell>
          <cell r="AP65">
            <v>0</v>
          </cell>
          <cell r="AQ65">
            <v>0</v>
          </cell>
          <cell r="AR65">
            <v>0</v>
          </cell>
          <cell r="AS65">
            <v>0</v>
          </cell>
          <cell r="AT65">
            <v>0</v>
          </cell>
          <cell r="AU65">
            <v>2370</v>
          </cell>
          <cell r="AV65">
            <v>0</v>
          </cell>
          <cell r="AW65">
            <v>0</v>
          </cell>
          <cell r="AX65">
            <v>0</v>
          </cell>
          <cell r="AY65"/>
          <cell r="AZ65"/>
          <cell r="BA65">
            <v>0</v>
          </cell>
          <cell r="BB65"/>
          <cell r="BC65">
            <v>0</v>
          </cell>
          <cell r="BD65">
            <v>12557</v>
          </cell>
          <cell r="BE65"/>
          <cell r="BF65">
            <v>0</v>
          </cell>
          <cell r="BG65">
            <v>0</v>
          </cell>
          <cell r="BH65">
            <v>0</v>
          </cell>
          <cell r="BI65">
            <v>48284</v>
          </cell>
          <cell r="BJ65">
            <v>39745</v>
          </cell>
          <cell r="BK65">
            <v>39745</v>
          </cell>
          <cell r="BL65">
            <v>0</v>
          </cell>
          <cell r="BM65">
            <v>0</v>
          </cell>
          <cell r="BN65">
            <v>0</v>
          </cell>
          <cell r="BO65">
            <v>148847</v>
          </cell>
          <cell r="BP65">
            <v>11069.8</v>
          </cell>
          <cell r="BQ65">
            <v>19941.8604651163</v>
          </cell>
          <cell r="BR65">
            <v>0</v>
          </cell>
          <cell r="BS65">
            <v>0</v>
          </cell>
          <cell r="BT65">
            <v>57593</v>
          </cell>
          <cell r="BU65"/>
          <cell r="BV65"/>
          <cell r="BW65"/>
          <cell r="BX65"/>
          <cell r="BY65">
            <v>0</v>
          </cell>
          <cell r="BZ65">
            <v>0</v>
          </cell>
          <cell r="CA65">
            <v>0</v>
          </cell>
          <cell r="CB65">
            <v>0</v>
          </cell>
          <cell r="CC65">
            <v>2924401</v>
          </cell>
          <cell r="CD65">
            <v>16793894</v>
          </cell>
          <cell r="CE65">
            <v>1295444</v>
          </cell>
          <cell r="CF65">
            <v>-22705</v>
          </cell>
          <cell r="CG65">
            <v>1295444</v>
          </cell>
          <cell r="CH65">
            <v>1295444</v>
          </cell>
          <cell r="CI65">
            <v>1295444</v>
          </cell>
          <cell r="CJ65">
            <v>1295444</v>
          </cell>
          <cell r="CK65">
            <v>0</v>
          </cell>
          <cell r="CL65">
            <v>0</v>
          </cell>
          <cell r="CM65">
            <v>0</v>
          </cell>
          <cell r="CN65">
            <v>0</v>
          </cell>
          <cell r="CO65">
            <v>0</v>
          </cell>
          <cell r="CP65">
            <v>0</v>
          </cell>
          <cell r="CQ65">
            <v>3576010</v>
          </cell>
          <cell r="CR65">
            <v>3364194</v>
          </cell>
          <cell r="CS65">
            <v>3258353</v>
          </cell>
          <cell r="CT65">
            <v>3165911</v>
          </cell>
          <cell r="CU65">
            <v>3060751</v>
          </cell>
          <cell r="CV65">
            <v>-6733</v>
          </cell>
          <cell r="CW65">
            <v>0</v>
          </cell>
          <cell r="CX65">
            <v>0</v>
          </cell>
          <cell r="CY65">
            <v>0</v>
          </cell>
          <cell r="CZ65">
            <v>0</v>
          </cell>
          <cell r="DA65">
            <v>0</v>
          </cell>
          <cell r="DB65"/>
          <cell r="DC65">
            <v>0</v>
          </cell>
          <cell r="DD65">
            <v>0</v>
          </cell>
          <cell r="DE65">
            <v>0</v>
          </cell>
          <cell r="DF65">
            <v>0</v>
          </cell>
          <cell r="DG65">
            <v>0</v>
          </cell>
          <cell r="DH65">
            <v>0</v>
          </cell>
          <cell r="DI65">
            <v>0</v>
          </cell>
          <cell r="DJ65">
            <v>0</v>
          </cell>
          <cell r="DK65">
            <v>0</v>
          </cell>
          <cell r="DL65">
            <v>0</v>
          </cell>
          <cell r="DM65"/>
          <cell r="DN65"/>
          <cell r="DO65"/>
          <cell r="DP65"/>
        </row>
        <row r="66">
          <cell r="A66">
            <v>164</v>
          </cell>
          <cell r="B66" t="str">
            <v>Hengelo O</v>
          </cell>
          <cell r="C66">
            <v>4</v>
          </cell>
          <cell r="D66">
            <v>136619</v>
          </cell>
          <cell r="E66">
            <v>68309</v>
          </cell>
          <cell r="F66">
            <v>0</v>
          </cell>
          <cell r="G66">
            <v>0</v>
          </cell>
          <cell r="H66">
            <v>0</v>
          </cell>
          <cell r="I66">
            <v>0</v>
          </cell>
          <cell r="J66"/>
          <cell r="K66">
            <v>0</v>
          </cell>
          <cell r="L66">
            <v>451244</v>
          </cell>
          <cell r="M66">
            <v>454029</v>
          </cell>
          <cell r="N66">
            <v>0</v>
          </cell>
          <cell r="O66">
            <v>0</v>
          </cell>
          <cell r="P66">
            <v>0</v>
          </cell>
          <cell r="Q66">
            <v>0</v>
          </cell>
          <cell r="R66">
            <v>0</v>
          </cell>
          <cell r="S66">
            <v>839389</v>
          </cell>
          <cell r="T66">
            <v>839389</v>
          </cell>
          <cell r="U66">
            <v>839389</v>
          </cell>
          <cell r="V66">
            <v>12000</v>
          </cell>
          <cell r="W66">
            <v>326361</v>
          </cell>
          <cell r="X66">
            <v>0</v>
          </cell>
          <cell r="Y66"/>
          <cell r="Z66">
            <v>0</v>
          </cell>
          <cell r="AA66">
            <v>0</v>
          </cell>
          <cell r="AB66">
            <v>0</v>
          </cell>
          <cell r="AC66"/>
          <cell r="AD66">
            <v>158403</v>
          </cell>
          <cell r="AE66">
            <v>0</v>
          </cell>
          <cell r="AF66">
            <v>0</v>
          </cell>
          <cell r="AG66">
            <v>0</v>
          </cell>
          <cell r="AH66">
            <v>0</v>
          </cell>
          <cell r="AI66">
            <v>0</v>
          </cell>
          <cell r="AJ66">
            <v>0</v>
          </cell>
          <cell r="AK66">
            <v>74792</v>
          </cell>
          <cell r="AL66"/>
          <cell r="AM66">
            <v>0</v>
          </cell>
          <cell r="AN66">
            <v>0</v>
          </cell>
          <cell r="AO66">
            <v>0</v>
          </cell>
          <cell r="AP66">
            <v>0</v>
          </cell>
          <cell r="AQ66">
            <v>0</v>
          </cell>
          <cell r="AR66">
            <v>0</v>
          </cell>
          <cell r="AS66">
            <v>0</v>
          </cell>
          <cell r="AT66">
            <v>20000</v>
          </cell>
          <cell r="AU66">
            <v>7110</v>
          </cell>
          <cell r="AV66">
            <v>0</v>
          </cell>
          <cell r="AW66">
            <v>0</v>
          </cell>
          <cell r="AX66">
            <v>0</v>
          </cell>
          <cell r="AY66"/>
          <cell r="AZ66"/>
          <cell r="BA66">
            <v>0</v>
          </cell>
          <cell r="BB66"/>
          <cell r="BC66">
            <v>0</v>
          </cell>
          <cell r="BD66">
            <v>28364</v>
          </cell>
          <cell r="BE66"/>
          <cell r="BF66">
            <v>0</v>
          </cell>
          <cell r="BG66">
            <v>0</v>
          </cell>
          <cell r="BH66">
            <v>0</v>
          </cell>
          <cell r="BI66">
            <v>150389</v>
          </cell>
          <cell r="BJ66">
            <v>123792</v>
          </cell>
          <cell r="BK66">
            <v>123792</v>
          </cell>
          <cell r="BL66">
            <v>0</v>
          </cell>
          <cell r="BM66">
            <v>0</v>
          </cell>
          <cell r="BN66">
            <v>0</v>
          </cell>
          <cell r="BO66">
            <v>231540</v>
          </cell>
          <cell r="BP66">
            <v>23721</v>
          </cell>
          <cell r="BQ66">
            <v>42732.5581395349</v>
          </cell>
          <cell r="BR66">
            <v>0</v>
          </cell>
          <cell r="BS66">
            <v>0</v>
          </cell>
          <cell r="BT66">
            <v>139324</v>
          </cell>
          <cell r="BU66"/>
          <cell r="BV66"/>
          <cell r="BW66"/>
          <cell r="BX66"/>
          <cell r="BY66">
            <v>0</v>
          </cell>
          <cell r="BZ66">
            <v>0</v>
          </cell>
          <cell r="CA66">
            <v>0</v>
          </cell>
          <cell r="CB66">
            <v>0</v>
          </cell>
          <cell r="CC66">
            <v>6860388</v>
          </cell>
          <cell r="CD66">
            <v>48845623</v>
          </cell>
          <cell r="CE66">
            <v>6316867</v>
          </cell>
          <cell r="CF66">
            <v>0</v>
          </cell>
          <cell r="CG66">
            <v>6316867</v>
          </cell>
          <cell r="CH66">
            <v>6316867</v>
          </cell>
          <cell r="CI66">
            <v>6316867</v>
          </cell>
          <cell r="CJ66">
            <v>6316867</v>
          </cell>
          <cell r="CK66">
            <v>0</v>
          </cell>
          <cell r="CL66">
            <v>0</v>
          </cell>
          <cell r="CM66">
            <v>0</v>
          </cell>
          <cell r="CN66">
            <v>0</v>
          </cell>
          <cell r="CO66">
            <v>0</v>
          </cell>
          <cell r="CP66">
            <v>0</v>
          </cell>
          <cell r="CQ66">
            <v>12485937</v>
          </cell>
          <cell r="CR66">
            <v>11965419</v>
          </cell>
          <cell r="CS66">
            <v>11688192</v>
          </cell>
          <cell r="CT66">
            <v>11437996</v>
          </cell>
          <cell r="CU66">
            <v>11141791</v>
          </cell>
          <cell r="CV66">
            <v>80224</v>
          </cell>
          <cell r="CW66">
            <v>0</v>
          </cell>
          <cell r="CX66">
            <v>0</v>
          </cell>
          <cell r="CY66">
            <v>0</v>
          </cell>
          <cell r="CZ66">
            <v>0</v>
          </cell>
          <cell r="DA66">
            <v>0</v>
          </cell>
          <cell r="DB66"/>
          <cell r="DC66">
            <v>0</v>
          </cell>
          <cell r="DD66">
            <v>0</v>
          </cell>
          <cell r="DE66">
            <v>0</v>
          </cell>
          <cell r="DF66">
            <v>0</v>
          </cell>
          <cell r="DG66">
            <v>0</v>
          </cell>
          <cell r="DH66">
            <v>0</v>
          </cell>
          <cell r="DI66">
            <v>0</v>
          </cell>
          <cell r="DJ66">
            <v>0</v>
          </cell>
          <cell r="DK66">
            <v>0</v>
          </cell>
          <cell r="DL66">
            <v>0</v>
          </cell>
          <cell r="DM66"/>
          <cell r="DN66"/>
          <cell r="DO66"/>
          <cell r="DP66"/>
        </row>
        <row r="67">
          <cell r="A67">
            <v>1735</v>
          </cell>
          <cell r="B67" t="str">
            <v>Hof van Twente</v>
          </cell>
          <cell r="C67">
            <v>4</v>
          </cell>
          <cell r="D67">
            <v>-8374</v>
          </cell>
          <cell r="E67">
            <v>-4187</v>
          </cell>
          <cell r="F67">
            <v>0</v>
          </cell>
          <cell r="G67">
            <v>0</v>
          </cell>
          <cell r="H67">
            <v>-24653</v>
          </cell>
          <cell r="I67">
            <v>0</v>
          </cell>
          <cell r="J67"/>
          <cell r="K67">
            <v>0</v>
          </cell>
          <cell r="L67">
            <v>96098</v>
          </cell>
          <cell r="M67">
            <v>105133</v>
          </cell>
          <cell r="N67">
            <v>0</v>
          </cell>
          <cell r="O67">
            <v>0</v>
          </cell>
          <cell r="P67">
            <v>0</v>
          </cell>
          <cell r="Q67">
            <v>0</v>
          </cell>
          <cell r="R67">
            <v>0</v>
          </cell>
          <cell r="S67">
            <v>0</v>
          </cell>
          <cell r="T67">
            <v>0</v>
          </cell>
          <cell r="U67">
            <v>0</v>
          </cell>
          <cell r="V67">
            <v>0</v>
          </cell>
          <cell r="W67">
            <v>141702</v>
          </cell>
          <cell r="X67">
            <v>0</v>
          </cell>
          <cell r="Y67"/>
          <cell r="Z67">
            <v>0</v>
          </cell>
          <cell r="AA67">
            <v>0</v>
          </cell>
          <cell r="AB67">
            <v>53960</v>
          </cell>
          <cell r="AC67"/>
          <cell r="AD67">
            <v>0</v>
          </cell>
          <cell r="AE67">
            <v>0</v>
          </cell>
          <cell r="AF67">
            <v>0</v>
          </cell>
          <cell r="AG67">
            <v>0</v>
          </cell>
          <cell r="AH67">
            <v>0</v>
          </cell>
          <cell r="AI67">
            <v>0</v>
          </cell>
          <cell r="AJ67">
            <v>0</v>
          </cell>
          <cell r="AK67">
            <v>0</v>
          </cell>
          <cell r="AL67"/>
          <cell r="AM67">
            <v>0</v>
          </cell>
          <cell r="AN67">
            <v>0</v>
          </cell>
          <cell r="AO67">
            <v>0</v>
          </cell>
          <cell r="AP67">
            <v>0</v>
          </cell>
          <cell r="AQ67">
            <v>0</v>
          </cell>
          <cell r="AR67">
            <v>0</v>
          </cell>
          <cell r="AS67">
            <v>0</v>
          </cell>
          <cell r="AT67">
            <v>0</v>
          </cell>
          <cell r="AU67">
            <v>0</v>
          </cell>
          <cell r="AV67">
            <v>0</v>
          </cell>
          <cell r="AW67">
            <v>0</v>
          </cell>
          <cell r="AX67">
            <v>0</v>
          </cell>
          <cell r="AY67"/>
          <cell r="AZ67"/>
          <cell r="BA67">
            <v>0</v>
          </cell>
          <cell r="BB67"/>
          <cell r="BC67">
            <v>0</v>
          </cell>
          <cell r="BD67">
            <v>12290</v>
          </cell>
          <cell r="BE67"/>
          <cell r="BF67">
            <v>0</v>
          </cell>
          <cell r="BG67">
            <v>0</v>
          </cell>
          <cell r="BH67">
            <v>0</v>
          </cell>
          <cell r="BI67">
            <v>43050</v>
          </cell>
          <cell r="BJ67">
            <v>35437</v>
          </cell>
          <cell r="BK67">
            <v>35437</v>
          </cell>
          <cell r="BL67">
            <v>0</v>
          </cell>
          <cell r="BM67">
            <v>0</v>
          </cell>
          <cell r="BN67">
            <v>0</v>
          </cell>
          <cell r="BO67">
            <v>133768</v>
          </cell>
          <cell r="BP67">
            <v>0</v>
          </cell>
          <cell r="BQ67">
            <v>0</v>
          </cell>
          <cell r="BR67">
            <v>0</v>
          </cell>
          <cell r="BS67">
            <v>0</v>
          </cell>
          <cell r="BT67">
            <v>54608</v>
          </cell>
          <cell r="BU67"/>
          <cell r="BV67"/>
          <cell r="BW67"/>
          <cell r="BX67"/>
          <cell r="BY67">
            <v>0</v>
          </cell>
          <cell r="BZ67">
            <v>0</v>
          </cell>
          <cell r="CA67">
            <v>0</v>
          </cell>
          <cell r="CB67">
            <v>0</v>
          </cell>
          <cell r="CC67">
            <v>3007914</v>
          </cell>
          <cell r="CD67">
            <v>13014585</v>
          </cell>
          <cell r="CE67">
            <v>947639</v>
          </cell>
          <cell r="CF67">
            <v>0</v>
          </cell>
          <cell r="CG67">
            <v>947639</v>
          </cell>
          <cell r="CH67">
            <v>947639</v>
          </cell>
          <cell r="CI67">
            <v>947639</v>
          </cell>
          <cell r="CJ67">
            <v>947639</v>
          </cell>
          <cell r="CK67">
            <v>0</v>
          </cell>
          <cell r="CL67">
            <v>0</v>
          </cell>
          <cell r="CM67">
            <v>0</v>
          </cell>
          <cell r="CN67">
            <v>0</v>
          </cell>
          <cell r="CO67">
            <v>0</v>
          </cell>
          <cell r="CP67">
            <v>0</v>
          </cell>
          <cell r="CQ67">
            <v>2512081</v>
          </cell>
          <cell r="CR67">
            <v>2373676</v>
          </cell>
          <cell r="CS67">
            <v>2355064</v>
          </cell>
          <cell r="CT67">
            <v>2280014</v>
          </cell>
          <cell r="CU67">
            <v>2219045</v>
          </cell>
          <cell r="CV67">
            <v>63487</v>
          </cell>
          <cell r="CW67">
            <v>0</v>
          </cell>
          <cell r="CX67">
            <v>0</v>
          </cell>
          <cell r="CY67">
            <v>0</v>
          </cell>
          <cell r="CZ67">
            <v>0</v>
          </cell>
          <cell r="DA67">
            <v>0</v>
          </cell>
          <cell r="DB67"/>
          <cell r="DC67">
            <v>0</v>
          </cell>
          <cell r="DD67">
            <v>0</v>
          </cell>
          <cell r="DE67">
            <v>0</v>
          </cell>
          <cell r="DF67">
            <v>0</v>
          </cell>
          <cell r="DG67">
            <v>0</v>
          </cell>
          <cell r="DH67">
            <v>0</v>
          </cell>
          <cell r="DI67">
            <v>0</v>
          </cell>
          <cell r="DJ67">
            <v>0</v>
          </cell>
          <cell r="DK67">
            <v>0</v>
          </cell>
          <cell r="DL67">
            <v>0</v>
          </cell>
          <cell r="DM67"/>
          <cell r="DN67"/>
          <cell r="DO67"/>
          <cell r="DP67"/>
        </row>
        <row r="68">
          <cell r="A68">
            <v>166</v>
          </cell>
          <cell r="B68" t="str">
            <v>Kampen</v>
          </cell>
          <cell r="C68">
            <v>4</v>
          </cell>
          <cell r="D68">
            <v>8507</v>
          </cell>
          <cell r="E68">
            <v>4254</v>
          </cell>
          <cell r="F68">
            <v>0</v>
          </cell>
          <cell r="G68">
            <v>0</v>
          </cell>
          <cell r="H68">
            <v>209887</v>
          </cell>
          <cell r="I68">
            <v>0</v>
          </cell>
          <cell r="J68"/>
          <cell r="K68">
            <v>0</v>
          </cell>
          <cell r="L68">
            <v>210461</v>
          </cell>
          <cell r="M68">
            <v>207909</v>
          </cell>
          <cell r="N68">
            <v>0</v>
          </cell>
          <cell r="O68">
            <v>0</v>
          </cell>
          <cell r="P68">
            <v>0</v>
          </cell>
          <cell r="Q68">
            <v>0</v>
          </cell>
          <cell r="R68">
            <v>0</v>
          </cell>
          <cell r="S68">
            <v>0</v>
          </cell>
          <cell r="T68">
            <v>0</v>
          </cell>
          <cell r="U68">
            <v>0</v>
          </cell>
          <cell r="V68">
            <v>0</v>
          </cell>
          <cell r="W68">
            <v>226645</v>
          </cell>
          <cell r="X68">
            <v>0</v>
          </cell>
          <cell r="Y68"/>
          <cell r="Z68">
            <v>0</v>
          </cell>
          <cell r="AA68">
            <v>0</v>
          </cell>
          <cell r="AB68">
            <v>0</v>
          </cell>
          <cell r="AC68"/>
          <cell r="AD68">
            <v>103646</v>
          </cell>
          <cell r="AE68">
            <v>0</v>
          </cell>
          <cell r="AF68">
            <v>0</v>
          </cell>
          <cell r="AG68">
            <v>0</v>
          </cell>
          <cell r="AH68">
            <v>0</v>
          </cell>
          <cell r="AI68">
            <v>0</v>
          </cell>
          <cell r="AJ68">
            <v>0</v>
          </cell>
          <cell r="AK68">
            <v>0</v>
          </cell>
          <cell r="AL68"/>
          <cell r="AM68">
            <v>0</v>
          </cell>
          <cell r="AN68">
            <v>0</v>
          </cell>
          <cell r="AO68">
            <v>0</v>
          </cell>
          <cell r="AP68">
            <v>0</v>
          </cell>
          <cell r="AQ68">
            <v>0</v>
          </cell>
          <cell r="AR68">
            <v>0</v>
          </cell>
          <cell r="AS68">
            <v>0</v>
          </cell>
          <cell r="AT68">
            <v>0</v>
          </cell>
          <cell r="AU68">
            <v>2370</v>
          </cell>
          <cell r="AV68">
            <v>0</v>
          </cell>
          <cell r="AW68">
            <v>0</v>
          </cell>
          <cell r="AX68">
            <v>0</v>
          </cell>
          <cell r="AY68"/>
          <cell r="AZ68"/>
          <cell r="BA68">
            <v>0</v>
          </cell>
          <cell r="BB68"/>
          <cell r="BC68">
            <v>0</v>
          </cell>
          <cell r="BD68">
            <v>18433</v>
          </cell>
          <cell r="BE68"/>
          <cell r="BF68">
            <v>0</v>
          </cell>
          <cell r="BG68">
            <v>0</v>
          </cell>
          <cell r="BH68">
            <v>0</v>
          </cell>
          <cell r="BI68">
            <v>75006</v>
          </cell>
          <cell r="BJ68">
            <v>61741</v>
          </cell>
          <cell r="BK68">
            <v>61741</v>
          </cell>
          <cell r="BL68">
            <v>0</v>
          </cell>
          <cell r="BM68">
            <v>0</v>
          </cell>
          <cell r="BN68">
            <v>0</v>
          </cell>
          <cell r="BO68">
            <v>251483</v>
          </cell>
          <cell r="BP68">
            <v>36372.199999999997</v>
          </cell>
          <cell r="BQ68">
            <v>65523.255813953503</v>
          </cell>
          <cell r="BR68">
            <v>0</v>
          </cell>
          <cell r="BS68">
            <v>0</v>
          </cell>
          <cell r="BT68">
            <v>91583</v>
          </cell>
          <cell r="BU68"/>
          <cell r="BV68"/>
          <cell r="BW68"/>
          <cell r="BX68"/>
          <cell r="BY68">
            <v>0</v>
          </cell>
          <cell r="BZ68">
            <v>0</v>
          </cell>
          <cell r="CA68">
            <v>0</v>
          </cell>
          <cell r="CB68">
            <v>0</v>
          </cell>
          <cell r="CC68">
            <v>3808484</v>
          </cell>
          <cell r="CD68">
            <v>26366112</v>
          </cell>
          <cell r="CE68">
            <v>1846704</v>
          </cell>
          <cell r="CF68">
            <v>0</v>
          </cell>
          <cell r="CG68">
            <v>1846704</v>
          </cell>
          <cell r="CH68">
            <v>1846704</v>
          </cell>
          <cell r="CI68">
            <v>1846704</v>
          </cell>
          <cell r="CJ68">
            <v>1846704</v>
          </cell>
          <cell r="CK68">
            <v>0</v>
          </cell>
          <cell r="CL68">
            <v>0</v>
          </cell>
          <cell r="CM68">
            <v>0</v>
          </cell>
          <cell r="CN68">
            <v>0</v>
          </cell>
          <cell r="CO68">
            <v>0</v>
          </cell>
          <cell r="CP68">
            <v>0</v>
          </cell>
          <cell r="CQ68">
            <v>5726923</v>
          </cell>
          <cell r="CR68">
            <v>5435829</v>
          </cell>
          <cell r="CS68">
            <v>5257552</v>
          </cell>
          <cell r="CT68">
            <v>5100450</v>
          </cell>
          <cell r="CU68">
            <v>4963493</v>
          </cell>
          <cell r="CV68">
            <v>-14290</v>
          </cell>
          <cell r="CW68">
            <v>0</v>
          </cell>
          <cell r="CX68">
            <v>0</v>
          </cell>
          <cell r="CY68">
            <v>0</v>
          </cell>
          <cell r="CZ68">
            <v>0</v>
          </cell>
          <cell r="DA68">
            <v>0</v>
          </cell>
          <cell r="DB68"/>
          <cell r="DC68">
            <v>0</v>
          </cell>
          <cell r="DD68">
            <v>0</v>
          </cell>
          <cell r="DE68">
            <v>0</v>
          </cell>
          <cell r="DF68">
            <v>0</v>
          </cell>
          <cell r="DG68">
            <v>0</v>
          </cell>
          <cell r="DH68">
            <v>0</v>
          </cell>
          <cell r="DI68">
            <v>0</v>
          </cell>
          <cell r="DJ68">
            <v>0</v>
          </cell>
          <cell r="DK68">
            <v>0</v>
          </cell>
          <cell r="DL68">
            <v>0</v>
          </cell>
          <cell r="DM68"/>
          <cell r="DN68"/>
          <cell r="DO68"/>
          <cell r="DP68"/>
        </row>
        <row r="69">
          <cell r="A69">
            <v>168</v>
          </cell>
          <cell r="B69" t="str">
            <v>Losser</v>
          </cell>
          <cell r="C69">
            <v>4</v>
          </cell>
          <cell r="D69">
            <v>8299</v>
          </cell>
          <cell r="E69">
            <v>4149</v>
          </cell>
          <cell r="F69">
            <v>0</v>
          </cell>
          <cell r="G69">
            <v>0</v>
          </cell>
          <cell r="H69">
            <v>-25016</v>
          </cell>
          <cell r="I69">
            <v>-2296</v>
          </cell>
          <cell r="J69"/>
          <cell r="K69">
            <v>0</v>
          </cell>
          <cell r="L69">
            <v>87264</v>
          </cell>
          <cell r="M69">
            <v>90087</v>
          </cell>
          <cell r="N69">
            <v>0</v>
          </cell>
          <cell r="O69">
            <v>0</v>
          </cell>
          <cell r="P69">
            <v>0</v>
          </cell>
          <cell r="Q69">
            <v>0</v>
          </cell>
          <cell r="R69">
            <v>0</v>
          </cell>
          <cell r="S69">
            <v>0</v>
          </cell>
          <cell r="T69">
            <v>0</v>
          </cell>
          <cell r="U69">
            <v>0</v>
          </cell>
          <cell r="V69">
            <v>6000</v>
          </cell>
          <cell r="W69">
            <v>87859</v>
          </cell>
          <cell r="X69">
            <v>0</v>
          </cell>
          <cell r="Y69"/>
          <cell r="Z69">
            <v>0</v>
          </cell>
          <cell r="AA69">
            <v>0</v>
          </cell>
          <cell r="AB69">
            <v>0</v>
          </cell>
          <cell r="AC69"/>
          <cell r="AD69">
            <v>61601</v>
          </cell>
          <cell r="AE69">
            <v>0</v>
          </cell>
          <cell r="AF69">
            <v>0</v>
          </cell>
          <cell r="AG69">
            <v>0</v>
          </cell>
          <cell r="AH69">
            <v>0</v>
          </cell>
          <cell r="AI69">
            <v>0</v>
          </cell>
          <cell r="AJ69">
            <v>0</v>
          </cell>
          <cell r="AK69">
            <v>0</v>
          </cell>
          <cell r="AL69"/>
          <cell r="AM69">
            <v>0</v>
          </cell>
          <cell r="AN69">
            <v>0</v>
          </cell>
          <cell r="AO69">
            <v>0</v>
          </cell>
          <cell r="AP69">
            <v>0</v>
          </cell>
          <cell r="AQ69">
            <v>0</v>
          </cell>
          <cell r="AR69">
            <v>0</v>
          </cell>
          <cell r="AS69">
            <v>0</v>
          </cell>
          <cell r="AT69">
            <v>0</v>
          </cell>
          <cell r="AU69">
            <v>0</v>
          </cell>
          <cell r="AV69">
            <v>0</v>
          </cell>
          <cell r="AW69">
            <v>0</v>
          </cell>
          <cell r="AX69">
            <v>0</v>
          </cell>
          <cell r="AY69"/>
          <cell r="AZ69"/>
          <cell r="BA69">
            <v>0</v>
          </cell>
          <cell r="BB69"/>
          <cell r="BC69">
            <v>0</v>
          </cell>
          <cell r="BD69">
            <v>7892</v>
          </cell>
          <cell r="BE69"/>
          <cell r="BF69">
            <v>0</v>
          </cell>
          <cell r="BG69">
            <v>0</v>
          </cell>
          <cell r="BH69">
            <v>0</v>
          </cell>
          <cell r="BI69">
            <v>31396</v>
          </cell>
          <cell r="BJ69">
            <v>25844</v>
          </cell>
          <cell r="BK69">
            <v>25844</v>
          </cell>
          <cell r="BL69">
            <v>0</v>
          </cell>
          <cell r="BM69">
            <v>0</v>
          </cell>
          <cell r="BN69">
            <v>0</v>
          </cell>
          <cell r="BO69">
            <v>84638</v>
          </cell>
          <cell r="BP69">
            <v>17395.400000000001</v>
          </cell>
          <cell r="BQ69">
            <v>31337.209302325598</v>
          </cell>
          <cell r="BR69">
            <v>0</v>
          </cell>
          <cell r="BS69">
            <v>0</v>
          </cell>
          <cell r="BT69">
            <v>38462</v>
          </cell>
          <cell r="BU69"/>
          <cell r="BV69"/>
          <cell r="BW69"/>
          <cell r="BX69"/>
          <cell r="BY69">
            <v>0</v>
          </cell>
          <cell r="BZ69">
            <v>0</v>
          </cell>
          <cell r="CA69">
            <v>0</v>
          </cell>
          <cell r="CB69">
            <v>0</v>
          </cell>
          <cell r="CC69">
            <v>2026436</v>
          </cell>
          <cell r="CD69">
            <v>12098680</v>
          </cell>
          <cell r="CE69">
            <v>535451</v>
          </cell>
          <cell r="CF69">
            <v>0</v>
          </cell>
          <cell r="CG69">
            <v>535451</v>
          </cell>
          <cell r="CH69">
            <v>535451</v>
          </cell>
          <cell r="CI69">
            <v>535451</v>
          </cell>
          <cell r="CJ69">
            <v>535451</v>
          </cell>
          <cell r="CK69">
            <v>0</v>
          </cell>
          <cell r="CL69">
            <v>0</v>
          </cell>
          <cell r="CM69">
            <v>0</v>
          </cell>
          <cell r="CN69">
            <v>0</v>
          </cell>
          <cell r="CO69">
            <v>0</v>
          </cell>
          <cell r="CP69">
            <v>-835</v>
          </cell>
          <cell r="CQ69">
            <v>3285649</v>
          </cell>
          <cell r="CR69">
            <v>3006844</v>
          </cell>
          <cell r="CS69">
            <v>2942386</v>
          </cell>
          <cell r="CT69">
            <v>2806017</v>
          </cell>
          <cell r="CU69">
            <v>2715416</v>
          </cell>
          <cell r="CV69">
            <v>40206</v>
          </cell>
          <cell r="CW69">
            <v>0</v>
          </cell>
          <cell r="CX69">
            <v>0</v>
          </cell>
          <cell r="CY69">
            <v>0</v>
          </cell>
          <cell r="CZ69">
            <v>0</v>
          </cell>
          <cell r="DA69">
            <v>0</v>
          </cell>
          <cell r="DB69"/>
          <cell r="DC69">
            <v>0</v>
          </cell>
          <cell r="DD69">
            <v>0</v>
          </cell>
          <cell r="DE69">
            <v>0</v>
          </cell>
          <cell r="DF69">
            <v>0</v>
          </cell>
          <cell r="DG69">
            <v>0</v>
          </cell>
          <cell r="DH69">
            <v>0</v>
          </cell>
          <cell r="DI69">
            <v>0</v>
          </cell>
          <cell r="DJ69">
            <v>0</v>
          </cell>
          <cell r="DK69">
            <v>0</v>
          </cell>
          <cell r="DL69">
            <v>0</v>
          </cell>
          <cell r="DM69"/>
          <cell r="DN69"/>
          <cell r="DO69"/>
          <cell r="DP69"/>
        </row>
        <row r="70">
          <cell r="A70">
            <v>173</v>
          </cell>
          <cell r="B70" t="str">
            <v>Oldenzaal</v>
          </cell>
          <cell r="C70">
            <v>4</v>
          </cell>
          <cell r="D70">
            <v>43738</v>
          </cell>
          <cell r="E70">
            <v>21869</v>
          </cell>
          <cell r="F70">
            <v>0</v>
          </cell>
          <cell r="G70">
            <v>0</v>
          </cell>
          <cell r="H70">
            <v>0</v>
          </cell>
          <cell r="I70">
            <v>-10749</v>
          </cell>
          <cell r="J70"/>
          <cell r="K70">
            <v>0</v>
          </cell>
          <cell r="L70">
            <v>139969</v>
          </cell>
          <cell r="M70">
            <v>140368</v>
          </cell>
          <cell r="N70">
            <v>0</v>
          </cell>
          <cell r="O70">
            <v>0</v>
          </cell>
          <cell r="P70">
            <v>0</v>
          </cell>
          <cell r="Q70">
            <v>0</v>
          </cell>
          <cell r="R70">
            <v>0</v>
          </cell>
          <cell r="S70">
            <v>0</v>
          </cell>
          <cell r="T70">
            <v>0</v>
          </cell>
          <cell r="U70">
            <v>0</v>
          </cell>
          <cell r="V70">
            <v>0</v>
          </cell>
          <cell r="W70">
            <v>129067</v>
          </cell>
          <cell r="X70">
            <v>0</v>
          </cell>
          <cell r="Y70"/>
          <cell r="Z70">
            <v>0</v>
          </cell>
          <cell r="AA70">
            <v>0</v>
          </cell>
          <cell r="AB70">
            <v>0</v>
          </cell>
          <cell r="AC70"/>
          <cell r="AD70">
            <v>55756</v>
          </cell>
          <cell r="AE70">
            <v>0</v>
          </cell>
          <cell r="AF70">
            <v>0</v>
          </cell>
          <cell r="AG70">
            <v>0</v>
          </cell>
          <cell r="AH70">
            <v>0</v>
          </cell>
          <cell r="AI70">
            <v>0</v>
          </cell>
          <cell r="AJ70">
            <v>0</v>
          </cell>
          <cell r="AK70">
            <v>0</v>
          </cell>
          <cell r="AL70"/>
          <cell r="AM70">
            <v>0</v>
          </cell>
          <cell r="AN70">
            <v>0</v>
          </cell>
          <cell r="AO70">
            <v>0</v>
          </cell>
          <cell r="AP70">
            <v>0</v>
          </cell>
          <cell r="AQ70">
            <v>0</v>
          </cell>
          <cell r="AR70">
            <v>0</v>
          </cell>
          <cell r="AS70">
            <v>0</v>
          </cell>
          <cell r="AT70">
            <v>0</v>
          </cell>
          <cell r="AU70">
            <v>4740</v>
          </cell>
          <cell r="AV70">
            <v>0</v>
          </cell>
          <cell r="AW70">
            <v>0</v>
          </cell>
          <cell r="AX70">
            <v>0</v>
          </cell>
          <cell r="AY70"/>
          <cell r="AZ70"/>
          <cell r="BA70">
            <v>0</v>
          </cell>
          <cell r="BB70"/>
          <cell r="BC70">
            <v>0</v>
          </cell>
          <cell r="BD70">
            <v>11235</v>
          </cell>
          <cell r="BE70"/>
          <cell r="BF70">
            <v>0</v>
          </cell>
          <cell r="BG70">
            <v>0</v>
          </cell>
          <cell r="BH70">
            <v>0</v>
          </cell>
          <cell r="BI70">
            <v>51302</v>
          </cell>
          <cell r="BJ70">
            <v>42229</v>
          </cell>
          <cell r="BK70">
            <v>42229</v>
          </cell>
          <cell r="BL70">
            <v>0</v>
          </cell>
          <cell r="BM70">
            <v>0</v>
          </cell>
          <cell r="BN70">
            <v>0</v>
          </cell>
          <cell r="BO70">
            <v>71505</v>
          </cell>
          <cell r="BP70">
            <v>6325.6</v>
          </cell>
          <cell r="BQ70">
            <v>11395.3488372093</v>
          </cell>
          <cell r="BR70">
            <v>0</v>
          </cell>
          <cell r="BS70">
            <v>0</v>
          </cell>
          <cell r="BT70">
            <v>50156</v>
          </cell>
          <cell r="BU70"/>
          <cell r="BV70"/>
          <cell r="BW70"/>
          <cell r="BX70"/>
          <cell r="BY70">
            <v>0</v>
          </cell>
          <cell r="BZ70">
            <v>0</v>
          </cell>
          <cell r="CA70">
            <v>0</v>
          </cell>
          <cell r="CB70">
            <v>0</v>
          </cell>
          <cell r="CC70">
            <v>2796349</v>
          </cell>
          <cell r="CD70">
            <v>18753394</v>
          </cell>
          <cell r="CE70">
            <v>936831</v>
          </cell>
          <cell r="CF70">
            <v>-26005</v>
          </cell>
          <cell r="CG70">
            <v>936831</v>
          </cell>
          <cell r="CH70">
            <v>936831</v>
          </cell>
          <cell r="CI70">
            <v>936831</v>
          </cell>
          <cell r="CJ70">
            <v>936831</v>
          </cell>
          <cell r="CK70">
            <v>0</v>
          </cell>
          <cell r="CL70">
            <v>0</v>
          </cell>
          <cell r="CM70">
            <v>0</v>
          </cell>
          <cell r="CN70">
            <v>0</v>
          </cell>
          <cell r="CO70">
            <v>0</v>
          </cell>
          <cell r="CP70">
            <v>0</v>
          </cell>
          <cell r="CQ70">
            <v>6623722</v>
          </cell>
          <cell r="CR70">
            <v>6200524</v>
          </cell>
          <cell r="CS70">
            <v>5994359</v>
          </cell>
          <cell r="CT70">
            <v>5729414</v>
          </cell>
          <cell r="CU70">
            <v>5563641</v>
          </cell>
          <cell r="CV70">
            <v>-14143</v>
          </cell>
          <cell r="CW70">
            <v>0</v>
          </cell>
          <cell r="CX70">
            <v>0</v>
          </cell>
          <cell r="CY70">
            <v>0</v>
          </cell>
          <cell r="CZ70">
            <v>0</v>
          </cell>
          <cell r="DA70">
            <v>0</v>
          </cell>
          <cell r="DB70"/>
          <cell r="DC70">
            <v>0</v>
          </cell>
          <cell r="DD70">
            <v>0</v>
          </cell>
          <cell r="DE70">
            <v>0</v>
          </cell>
          <cell r="DF70">
            <v>0</v>
          </cell>
          <cell r="DG70">
            <v>0</v>
          </cell>
          <cell r="DH70">
            <v>0</v>
          </cell>
          <cell r="DI70">
            <v>0</v>
          </cell>
          <cell r="DJ70">
            <v>0</v>
          </cell>
          <cell r="DK70">
            <v>0</v>
          </cell>
          <cell r="DL70">
            <v>0</v>
          </cell>
          <cell r="DM70"/>
          <cell r="DN70"/>
          <cell r="DO70"/>
          <cell r="DP70"/>
        </row>
        <row r="71">
          <cell r="A71">
            <v>1773</v>
          </cell>
          <cell r="B71" t="str">
            <v>Olst-Wijhe</v>
          </cell>
          <cell r="C71">
            <v>4</v>
          </cell>
          <cell r="D71">
            <v>38537</v>
          </cell>
          <cell r="E71">
            <v>19269</v>
          </cell>
          <cell r="F71">
            <v>0</v>
          </cell>
          <cell r="G71">
            <v>0</v>
          </cell>
          <cell r="H71">
            <v>-7814</v>
          </cell>
          <cell r="I71">
            <v>-8385</v>
          </cell>
          <cell r="J71"/>
          <cell r="K71">
            <v>0</v>
          </cell>
          <cell r="L71">
            <v>55152</v>
          </cell>
          <cell r="M71">
            <v>59899</v>
          </cell>
          <cell r="N71">
            <v>0</v>
          </cell>
          <cell r="O71">
            <v>0</v>
          </cell>
          <cell r="P71">
            <v>0</v>
          </cell>
          <cell r="Q71">
            <v>0</v>
          </cell>
          <cell r="R71">
            <v>0</v>
          </cell>
          <cell r="S71">
            <v>0</v>
          </cell>
          <cell r="T71">
            <v>0</v>
          </cell>
          <cell r="U71">
            <v>0</v>
          </cell>
          <cell r="V71">
            <v>0</v>
          </cell>
          <cell r="W71">
            <v>74641</v>
          </cell>
          <cell r="X71">
            <v>0</v>
          </cell>
          <cell r="Y71"/>
          <cell r="Z71">
            <v>0</v>
          </cell>
          <cell r="AA71">
            <v>0</v>
          </cell>
          <cell r="AB71">
            <v>0</v>
          </cell>
          <cell r="AC71"/>
          <cell r="AD71">
            <v>0</v>
          </cell>
          <cell r="AE71">
            <v>0</v>
          </cell>
          <cell r="AF71">
            <v>0</v>
          </cell>
          <cell r="AG71">
            <v>0</v>
          </cell>
          <cell r="AH71">
            <v>0</v>
          </cell>
          <cell r="AI71">
            <v>0</v>
          </cell>
          <cell r="AJ71">
            <v>0</v>
          </cell>
          <cell r="AK71">
            <v>0</v>
          </cell>
          <cell r="AL71"/>
          <cell r="AM71">
            <v>0</v>
          </cell>
          <cell r="AN71">
            <v>0</v>
          </cell>
          <cell r="AO71">
            <v>0</v>
          </cell>
          <cell r="AP71">
            <v>0</v>
          </cell>
          <cell r="AQ71">
            <v>0</v>
          </cell>
          <cell r="AR71">
            <v>0</v>
          </cell>
          <cell r="AS71">
            <v>0</v>
          </cell>
          <cell r="AT71">
            <v>0</v>
          </cell>
          <cell r="AU71">
            <v>0</v>
          </cell>
          <cell r="AV71">
            <v>0</v>
          </cell>
          <cell r="AW71">
            <v>0</v>
          </cell>
          <cell r="AX71">
            <v>0</v>
          </cell>
          <cell r="AY71"/>
          <cell r="AZ71"/>
          <cell r="BA71">
            <v>0</v>
          </cell>
          <cell r="BB71"/>
          <cell r="BC71">
            <v>0</v>
          </cell>
          <cell r="BD71">
            <v>6304</v>
          </cell>
          <cell r="BE71"/>
          <cell r="BF71">
            <v>0</v>
          </cell>
          <cell r="BG71">
            <v>0</v>
          </cell>
          <cell r="BH71">
            <v>0</v>
          </cell>
          <cell r="BI71">
            <v>21533</v>
          </cell>
          <cell r="BJ71">
            <v>17725</v>
          </cell>
          <cell r="BK71">
            <v>17725</v>
          </cell>
          <cell r="BL71">
            <v>0</v>
          </cell>
          <cell r="BM71">
            <v>0</v>
          </cell>
          <cell r="BN71">
            <v>0</v>
          </cell>
          <cell r="BO71">
            <v>25294</v>
          </cell>
          <cell r="BP71">
            <v>6325.6</v>
          </cell>
          <cell r="BQ71">
            <v>11395.3488372093</v>
          </cell>
          <cell r="BR71">
            <v>0</v>
          </cell>
          <cell r="BS71">
            <v>0</v>
          </cell>
          <cell r="BT71">
            <v>31367</v>
          </cell>
          <cell r="BU71"/>
          <cell r="BV71"/>
          <cell r="BW71"/>
          <cell r="BX71"/>
          <cell r="BY71">
            <v>0</v>
          </cell>
          <cell r="BZ71">
            <v>0</v>
          </cell>
          <cell r="CA71">
            <v>0</v>
          </cell>
          <cell r="CB71">
            <v>0</v>
          </cell>
          <cell r="CC71">
            <v>1426552</v>
          </cell>
          <cell r="CD71">
            <v>8314766</v>
          </cell>
          <cell r="CE71">
            <v>632587</v>
          </cell>
          <cell r="CF71">
            <v>0</v>
          </cell>
          <cell r="CG71">
            <v>632587</v>
          </cell>
          <cell r="CH71">
            <v>632587</v>
          </cell>
          <cell r="CI71">
            <v>632587</v>
          </cell>
          <cell r="CJ71">
            <v>632587</v>
          </cell>
          <cell r="CK71">
            <v>0</v>
          </cell>
          <cell r="CL71">
            <v>0</v>
          </cell>
          <cell r="CM71">
            <v>0</v>
          </cell>
          <cell r="CN71">
            <v>0</v>
          </cell>
          <cell r="CO71">
            <v>0</v>
          </cell>
          <cell r="CP71">
            <v>-3017</v>
          </cell>
          <cell r="CQ71">
            <v>1925449</v>
          </cell>
          <cell r="CR71">
            <v>1804405</v>
          </cell>
          <cell r="CS71">
            <v>1744520</v>
          </cell>
          <cell r="CT71">
            <v>1674451</v>
          </cell>
          <cell r="CU71">
            <v>1598709</v>
          </cell>
          <cell r="CV71">
            <v>12917</v>
          </cell>
          <cell r="CW71">
            <v>0</v>
          </cell>
          <cell r="CX71">
            <v>0</v>
          </cell>
          <cell r="CY71">
            <v>0</v>
          </cell>
          <cell r="CZ71">
            <v>0</v>
          </cell>
          <cell r="DA71">
            <v>0</v>
          </cell>
          <cell r="DB71"/>
          <cell r="DC71">
            <v>0</v>
          </cell>
          <cell r="DD71">
            <v>0</v>
          </cell>
          <cell r="DE71">
            <v>0</v>
          </cell>
          <cell r="DF71">
            <v>0</v>
          </cell>
          <cell r="DG71">
            <v>0</v>
          </cell>
          <cell r="DH71">
            <v>0</v>
          </cell>
          <cell r="DI71">
            <v>0</v>
          </cell>
          <cell r="DJ71">
            <v>0</v>
          </cell>
          <cell r="DK71">
            <v>0</v>
          </cell>
          <cell r="DL71">
            <v>0</v>
          </cell>
          <cell r="DM71"/>
          <cell r="DN71"/>
          <cell r="DO71"/>
          <cell r="DP71"/>
        </row>
        <row r="72">
          <cell r="A72">
            <v>175</v>
          </cell>
          <cell r="B72" t="str">
            <v>Ommen</v>
          </cell>
          <cell r="C72">
            <v>4</v>
          </cell>
          <cell r="D72">
            <v>20377</v>
          </cell>
          <cell r="E72">
            <v>10188</v>
          </cell>
          <cell r="F72">
            <v>0</v>
          </cell>
          <cell r="G72">
            <v>0</v>
          </cell>
          <cell r="H72">
            <v>0</v>
          </cell>
          <cell r="I72">
            <v>0</v>
          </cell>
          <cell r="J72"/>
          <cell r="K72">
            <v>0</v>
          </cell>
          <cell r="L72">
            <v>55709</v>
          </cell>
          <cell r="M72">
            <v>59994</v>
          </cell>
          <cell r="N72">
            <v>0</v>
          </cell>
          <cell r="O72">
            <v>0</v>
          </cell>
          <cell r="P72">
            <v>0</v>
          </cell>
          <cell r="Q72">
            <v>0</v>
          </cell>
          <cell r="R72">
            <v>0</v>
          </cell>
          <cell r="S72">
            <v>0</v>
          </cell>
          <cell r="T72">
            <v>0</v>
          </cell>
          <cell r="U72">
            <v>0</v>
          </cell>
          <cell r="V72">
            <v>3000</v>
          </cell>
          <cell r="W72">
            <v>69976</v>
          </cell>
          <cell r="X72">
            <v>0</v>
          </cell>
          <cell r="Y72"/>
          <cell r="Z72">
            <v>0</v>
          </cell>
          <cell r="AA72">
            <v>0</v>
          </cell>
          <cell r="AB72">
            <v>0</v>
          </cell>
          <cell r="AC72"/>
          <cell r="AD72">
            <v>0</v>
          </cell>
          <cell r="AE72">
            <v>0</v>
          </cell>
          <cell r="AF72">
            <v>0</v>
          </cell>
          <cell r="AG72">
            <v>0</v>
          </cell>
          <cell r="AH72">
            <v>0</v>
          </cell>
          <cell r="AI72">
            <v>0</v>
          </cell>
          <cell r="AJ72">
            <v>0</v>
          </cell>
          <cell r="AK72">
            <v>0</v>
          </cell>
          <cell r="AL72"/>
          <cell r="AM72">
            <v>0</v>
          </cell>
          <cell r="AN72">
            <v>0</v>
          </cell>
          <cell r="AO72">
            <v>0</v>
          </cell>
          <cell r="AP72">
            <v>0</v>
          </cell>
          <cell r="AQ72">
            <v>0</v>
          </cell>
          <cell r="AR72">
            <v>0</v>
          </cell>
          <cell r="AS72">
            <v>0</v>
          </cell>
          <cell r="AT72">
            <v>0</v>
          </cell>
          <cell r="AU72">
            <v>0</v>
          </cell>
          <cell r="AV72">
            <v>0</v>
          </cell>
          <cell r="AW72">
            <v>0</v>
          </cell>
          <cell r="AX72">
            <v>0</v>
          </cell>
          <cell r="AY72"/>
          <cell r="AZ72"/>
          <cell r="BA72">
            <v>0</v>
          </cell>
          <cell r="BB72"/>
          <cell r="BC72">
            <v>0</v>
          </cell>
          <cell r="BD72">
            <v>6154</v>
          </cell>
          <cell r="BE72"/>
          <cell r="BF72">
            <v>0</v>
          </cell>
          <cell r="BG72">
            <v>0</v>
          </cell>
          <cell r="BH72">
            <v>0</v>
          </cell>
          <cell r="BI72">
            <v>20622</v>
          </cell>
          <cell r="BJ72">
            <v>16975</v>
          </cell>
          <cell r="BK72">
            <v>16975</v>
          </cell>
          <cell r="BL72">
            <v>0</v>
          </cell>
          <cell r="BM72">
            <v>0</v>
          </cell>
          <cell r="BN72">
            <v>0</v>
          </cell>
          <cell r="BO72">
            <v>15566</v>
          </cell>
          <cell r="BP72">
            <v>4744.2</v>
          </cell>
          <cell r="BQ72">
            <v>8546.5116279069807</v>
          </cell>
          <cell r="BR72">
            <v>0</v>
          </cell>
          <cell r="BS72">
            <v>0</v>
          </cell>
          <cell r="BT72">
            <v>38500</v>
          </cell>
          <cell r="BU72"/>
          <cell r="BV72"/>
          <cell r="BW72"/>
          <cell r="BX72"/>
          <cell r="BY72">
            <v>0</v>
          </cell>
          <cell r="BZ72">
            <v>0</v>
          </cell>
          <cell r="CA72">
            <v>0</v>
          </cell>
          <cell r="CB72">
            <v>0</v>
          </cell>
          <cell r="CC72">
            <v>1261982</v>
          </cell>
          <cell r="CD72">
            <v>9124302</v>
          </cell>
          <cell r="CE72">
            <v>671262</v>
          </cell>
          <cell r="CF72">
            <v>0</v>
          </cell>
          <cell r="CG72">
            <v>671262</v>
          </cell>
          <cell r="CH72">
            <v>671262</v>
          </cell>
          <cell r="CI72">
            <v>671262</v>
          </cell>
          <cell r="CJ72">
            <v>671262</v>
          </cell>
          <cell r="CK72">
            <v>0</v>
          </cell>
          <cell r="CL72">
            <v>0</v>
          </cell>
          <cell r="CM72">
            <v>0</v>
          </cell>
          <cell r="CN72">
            <v>0</v>
          </cell>
          <cell r="CO72">
            <v>0</v>
          </cell>
          <cell r="CP72">
            <v>0</v>
          </cell>
          <cell r="CQ72">
            <v>2925830</v>
          </cell>
          <cell r="CR72">
            <v>2768884</v>
          </cell>
          <cell r="CS72">
            <v>2632778</v>
          </cell>
          <cell r="CT72">
            <v>2509384</v>
          </cell>
          <cell r="CU72">
            <v>2443581</v>
          </cell>
          <cell r="CV72">
            <v>-3847</v>
          </cell>
          <cell r="CW72">
            <v>0</v>
          </cell>
          <cell r="CX72">
            <v>0</v>
          </cell>
          <cell r="CY72">
            <v>0</v>
          </cell>
          <cell r="CZ72">
            <v>0</v>
          </cell>
          <cell r="DA72">
            <v>0</v>
          </cell>
          <cell r="DB72"/>
          <cell r="DC72">
            <v>1250</v>
          </cell>
          <cell r="DD72">
            <v>0</v>
          </cell>
          <cell r="DE72">
            <v>0</v>
          </cell>
          <cell r="DF72">
            <v>0</v>
          </cell>
          <cell r="DG72">
            <v>0</v>
          </cell>
          <cell r="DH72">
            <v>0</v>
          </cell>
          <cell r="DI72">
            <v>0</v>
          </cell>
          <cell r="DJ72">
            <v>0</v>
          </cell>
          <cell r="DK72">
            <v>0</v>
          </cell>
          <cell r="DL72">
            <v>0</v>
          </cell>
          <cell r="DM72"/>
          <cell r="DN72"/>
          <cell r="DO72"/>
          <cell r="DP72"/>
        </row>
        <row r="73">
          <cell r="A73">
            <v>177</v>
          </cell>
          <cell r="B73" t="str">
            <v>Raalte</v>
          </cell>
          <cell r="C73">
            <v>4</v>
          </cell>
          <cell r="D73">
            <v>1622</v>
          </cell>
          <cell r="E73">
            <v>811</v>
          </cell>
          <cell r="F73">
            <v>0</v>
          </cell>
          <cell r="G73">
            <v>0</v>
          </cell>
          <cell r="H73">
            <v>-11968</v>
          </cell>
          <cell r="I73">
            <v>-2625</v>
          </cell>
          <cell r="J73"/>
          <cell r="K73">
            <v>0</v>
          </cell>
          <cell r="L73">
            <v>114900</v>
          </cell>
          <cell r="M73">
            <v>121417</v>
          </cell>
          <cell r="N73">
            <v>0</v>
          </cell>
          <cell r="O73">
            <v>0</v>
          </cell>
          <cell r="P73">
            <v>0</v>
          </cell>
          <cell r="Q73">
            <v>0</v>
          </cell>
          <cell r="R73">
            <v>0</v>
          </cell>
          <cell r="S73">
            <v>0</v>
          </cell>
          <cell r="T73">
            <v>0</v>
          </cell>
          <cell r="U73">
            <v>0</v>
          </cell>
          <cell r="V73">
            <v>0</v>
          </cell>
          <cell r="W73">
            <v>160556</v>
          </cell>
          <cell r="X73">
            <v>0</v>
          </cell>
          <cell r="Y73"/>
          <cell r="Z73">
            <v>0</v>
          </cell>
          <cell r="AA73">
            <v>0</v>
          </cell>
          <cell r="AB73">
            <v>0</v>
          </cell>
          <cell r="AC73"/>
          <cell r="AD73">
            <v>28356</v>
          </cell>
          <cell r="AE73">
            <v>0</v>
          </cell>
          <cell r="AF73">
            <v>0</v>
          </cell>
          <cell r="AG73">
            <v>0</v>
          </cell>
          <cell r="AH73">
            <v>0</v>
          </cell>
          <cell r="AI73">
            <v>0</v>
          </cell>
          <cell r="AJ73">
            <v>0</v>
          </cell>
          <cell r="AK73">
            <v>0</v>
          </cell>
          <cell r="AL73"/>
          <cell r="AM73">
            <v>0</v>
          </cell>
          <cell r="AN73">
            <v>0</v>
          </cell>
          <cell r="AO73">
            <v>0</v>
          </cell>
          <cell r="AP73">
            <v>0</v>
          </cell>
          <cell r="AQ73">
            <v>0</v>
          </cell>
          <cell r="AR73">
            <v>0</v>
          </cell>
          <cell r="AS73">
            <v>0</v>
          </cell>
          <cell r="AT73">
            <v>0</v>
          </cell>
          <cell r="AU73">
            <v>0</v>
          </cell>
          <cell r="AV73">
            <v>0</v>
          </cell>
          <cell r="AW73">
            <v>0</v>
          </cell>
          <cell r="AX73">
            <v>0</v>
          </cell>
          <cell r="AY73"/>
          <cell r="AZ73"/>
          <cell r="BA73">
            <v>0</v>
          </cell>
          <cell r="BB73"/>
          <cell r="BC73">
            <v>0</v>
          </cell>
          <cell r="BD73">
            <v>12956</v>
          </cell>
          <cell r="BE73"/>
          <cell r="BF73">
            <v>0</v>
          </cell>
          <cell r="BG73">
            <v>0</v>
          </cell>
          <cell r="BH73">
            <v>0</v>
          </cell>
          <cell r="BI73">
            <v>46863</v>
          </cell>
          <cell r="BJ73">
            <v>38575</v>
          </cell>
          <cell r="BK73">
            <v>38575</v>
          </cell>
          <cell r="BL73">
            <v>0</v>
          </cell>
          <cell r="BM73">
            <v>0</v>
          </cell>
          <cell r="BN73">
            <v>0</v>
          </cell>
          <cell r="BO73">
            <v>125985</v>
          </cell>
          <cell r="BP73">
            <v>45860.6</v>
          </cell>
          <cell r="BQ73">
            <v>82616.279069767406</v>
          </cell>
          <cell r="BR73">
            <v>0</v>
          </cell>
          <cell r="BS73">
            <v>0</v>
          </cell>
          <cell r="BT73">
            <v>62132</v>
          </cell>
          <cell r="BU73"/>
          <cell r="BV73"/>
          <cell r="BW73"/>
          <cell r="BX73"/>
          <cell r="BY73">
            <v>0</v>
          </cell>
          <cell r="BZ73">
            <v>0</v>
          </cell>
          <cell r="CA73">
            <v>0</v>
          </cell>
          <cell r="CB73">
            <v>0</v>
          </cell>
          <cell r="CC73">
            <v>2856296</v>
          </cell>
          <cell r="CD73">
            <v>16484365</v>
          </cell>
          <cell r="CE73">
            <v>692099</v>
          </cell>
          <cell r="CF73">
            <v>-6332</v>
          </cell>
          <cell r="CG73">
            <v>692099</v>
          </cell>
          <cell r="CH73">
            <v>692099</v>
          </cell>
          <cell r="CI73">
            <v>692099</v>
          </cell>
          <cell r="CJ73">
            <v>692099</v>
          </cell>
          <cell r="CK73">
            <v>0</v>
          </cell>
          <cell r="CL73">
            <v>0</v>
          </cell>
          <cell r="CM73">
            <v>0</v>
          </cell>
          <cell r="CN73">
            <v>0</v>
          </cell>
          <cell r="CO73">
            <v>0</v>
          </cell>
          <cell r="CP73">
            <v>0</v>
          </cell>
          <cell r="CQ73">
            <v>4384860</v>
          </cell>
          <cell r="CR73">
            <v>4120696</v>
          </cell>
          <cell r="CS73">
            <v>4011358</v>
          </cell>
          <cell r="CT73">
            <v>3843150</v>
          </cell>
          <cell r="CU73">
            <v>3641700</v>
          </cell>
          <cell r="CV73">
            <v>46504</v>
          </cell>
          <cell r="CW73">
            <v>0</v>
          </cell>
          <cell r="CX73">
            <v>0</v>
          </cell>
          <cell r="CY73">
            <v>0</v>
          </cell>
          <cell r="CZ73">
            <v>0</v>
          </cell>
          <cell r="DA73">
            <v>0</v>
          </cell>
          <cell r="DB73"/>
          <cell r="DC73">
            <v>0</v>
          </cell>
          <cell r="DD73">
            <v>0</v>
          </cell>
          <cell r="DE73">
            <v>0</v>
          </cell>
          <cell r="DF73">
            <v>0</v>
          </cell>
          <cell r="DG73">
            <v>0</v>
          </cell>
          <cell r="DH73">
            <v>0</v>
          </cell>
          <cell r="DI73">
            <v>0</v>
          </cell>
          <cell r="DJ73">
            <v>0</v>
          </cell>
          <cell r="DK73">
            <v>0</v>
          </cell>
          <cell r="DL73">
            <v>0</v>
          </cell>
          <cell r="DM73"/>
          <cell r="DN73"/>
          <cell r="DO73"/>
          <cell r="DP73"/>
        </row>
        <row r="74">
          <cell r="A74">
            <v>1742</v>
          </cell>
          <cell r="B74" t="str">
            <v>Rijssen-Holten</v>
          </cell>
          <cell r="C74">
            <v>4</v>
          </cell>
          <cell r="D74">
            <v>-10186</v>
          </cell>
          <cell r="E74">
            <v>-5093</v>
          </cell>
          <cell r="F74">
            <v>0</v>
          </cell>
          <cell r="G74">
            <v>0</v>
          </cell>
          <cell r="H74">
            <v>-11579</v>
          </cell>
          <cell r="I74">
            <v>0</v>
          </cell>
          <cell r="J74"/>
          <cell r="K74">
            <v>0</v>
          </cell>
          <cell r="L74">
            <v>112214</v>
          </cell>
          <cell r="M74">
            <v>109656</v>
          </cell>
          <cell r="N74">
            <v>0</v>
          </cell>
          <cell r="O74">
            <v>0</v>
          </cell>
          <cell r="P74">
            <v>0</v>
          </cell>
          <cell r="Q74">
            <v>0</v>
          </cell>
          <cell r="R74">
            <v>0</v>
          </cell>
          <cell r="S74">
            <v>0</v>
          </cell>
          <cell r="T74">
            <v>0</v>
          </cell>
          <cell r="U74">
            <v>0</v>
          </cell>
          <cell r="V74">
            <v>6000</v>
          </cell>
          <cell r="W74">
            <v>157184</v>
          </cell>
          <cell r="X74">
            <v>0</v>
          </cell>
          <cell r="Y74"/>
          <cell r="Z74">
            <v>0</v>
          </cell>
          <cell r="AA74">
            <v>0</v>
          </cell>
          <cell r="AB74">
            <v>0</v>
          </cell>
          <cell r="AC74"/>
          <cell r="AD74">
            <v>0</v>
          </cell>
          <cell r="AE74">
            <v>0</v>
          </cell>
          <cell r="AF74">
            <v>0</v>
          </cell>
          <cell r="AG74">
            <v>0</v>
          </cell>
          <cell r="AH74">
            <v>0</v>
          </cell>
          <cell r="AI74">
            <v>0</v>
          </cell>
          <cell r="AJ74">
            <v>0</v>
          </cell>
          <cell r="AK74">
            <v>0</v>
          </cell>
          <cell r="AL74"/>
          <cell r="AM74">
            <v>0</v>
          </cell>
          <cell r="AN74">
            <v>0</v>
          </cell>
          <cell r="AO74">
            <v>0</v>
          </cell>
          <cell r="AP74">
            <v>0</v>
          </cell>
          <cell r="AQ74">
            <v>0</v>
          </cell>
          <cell r="AR74">
            <v>0</v>
          </cell>
          <cell r="AS74">
            <v>0</v>
          </cell>
          <cell r="AT74">
            <v>0</v>
          </cell>
          <cell r="AU74">
            <v>0</v>
          </cell>
          <cell r="AV74">
            <v>0</v>
          </cell>
          <cell r="AW74">
            <v>0</v>
          </cell>
          <cell r="AX74">
            <v>0</v>
          </cell>
          <cell r="AY74"/>
          <cell r="AZ74"/>
          <cell r="BA74">
            <v>0</v>
          </cell>
          <cell r="BB74"/>
          <cell r="BC74">
            <v>0</v>
          </cell>
          <cell r="BD74">
            <v>13333</v>
          </cell>
          <cell r="BE74"/>
          <cell r="BF74">
            <v>0</v>
          </cell>
          <cell r="BG74">
            <v>0</v>
          </cell>
          <cell r="BH74">
            <v>0</v>
          </cell>
          <cell r="BI74">
            <v>38098</v>
          </cell>
          <cell r="BJ74">
            <v>31360</v>
          </cell>
          <cell r="BK74">
            <v>31360</v>
          </cell>
          <cell r="BL74">
            <v>0</v>
          </cell>
          <cell r="BM74">
            <v>0</v>
          </cell>
          <cell r="BN74">
            <v>0</v>
          </cell>
          <cell r="BO74">
            <v>50102</v>
          </cell>
          <cell r="BP74">
            <v>12651.2</v>
          </cell>
          <cell r="BQ74">
            <v>22790.697674418599</v>
          </cell>
          <cell r="BR74">
            <v>0</v>
          </cell>
          <cell r="BS74">
            <v>0</v>
          </cell>
          <cell r="BT74">
            <v>66417</v>
          </cell>
          <cell r="BU74"/>
          <cell r="BV74"/>
          <cell r="BW74"/>
          <cell r="BX74"/>
          <cell r="BY74">
            <v>0</v>
          </cell>
          <cell r="BZ74">
            <v>0</v>
          </cell>
          <cell r="CA74">
            <v>0</v>
          </cell>
          <cell r="CB74">
            <v>0</v>
          </cell>
          <cell r="CC74">
            <v>2680906</v>
          </cell>
          <cell r="CD74">
            <v>16611426</v>
          </cell>
          <cell r="CE74">
            <v>1377636</v>
          </cell>
          <cell r="CF74">
            <v>0</v>
          </cell>
          <cell r="CG74">
            <v>1377636</v>
          </cell>
          <cell r="CH74">
            <v>1377636</v>
          </cell>
          <cell r="CI74">
            <v>1377636</v>
          </cell>
          <cell r="CJ74">
            <v>1377636</v>
          </cell>
          <cell r="CK74">
            <v>0</v>
          </cell>
          <cell r="CL74">
            <v>0</v>
          </cell>
          <cell r="CM74">
            <v>0</v>
          </cell>
          <cell r="CN74">
            <v>0</v>
          </cell>
          <cell r="CO74">
            <v>0</v>
          </cell>
          <cell r="CP74">
            <v>0</v>
          </cell>
          <cell r="CQ74">
            <v>3459631</v>
          </cell>
          <cell r="CR74">
            <v>3200772</v>
          </cell>
          <cell r="CS74">
            <v>3063237</v>
          </cell>
          <cell r="CT74">
            <v>2949252</v>
          </cell>
          <cell r="CU74">
            <v>2775997</v>
          </cell>
          <cell r="CV74">
            <v>-139173</v>
          </cell>
          <cell r="CW74">
            <v>0</v>
          </cell>
          <cell r="CX74">
            <v>0</v>
          </cell>
          <cell r="CY74">
            <v>0</v>
          </cell>
          <cell r="CZ74">
            <v>0</v>
          </cell>
          <cell r="DA74">
            <v>0</v>
          </cell>
          <cell r="DB74"/>
          <cell r="DC74">
            <v>0</v>
          </cell>
          <cell r="DD74">
            <v>0</v>
          </cell>
          <cell r="DE74">
            <v>0</v>
          </cell>
          <cell r="DF74">
            <v>0</v>
          </cell>
          <cell r="DG74">
            <v>0</v>
          </cell>
          <cell r="DH74">
            <v>0</v>
          </cell>
          <cell r="DI74">
            <v>0</v>
          </cell>
          <cell r="DJ74">
            <v>0</v>
          </cell>
          <cell r="DK74">
            <v>0</v>
          </cell>
          <cell r="DL74">
            <v>0</v>
          </cell>
          <cell r="DM74"/>
          <cell r="DN74"/>
          <cell r="DO74"/>
          <cell r="DP74"/>
        </row>
        <row r="75">
          <cell r="A75">
            <v>180</v>
          </cell>
          <cell r="B75" t="str">
            <v>Staphorst</v>
          </cell>
          <cell r="C75">
            <v>4</v>
          </cell>
          <cell r="D75">
            <v>-33234</v>
          </cell>
          <cell r="E75">
            <v>-16617</v>
          </cell>
          <cell r="F75">
            <v>0</v>
          </cell>
          <cell r="G75">
            <v>0</v>
          </cell>
          <cell r="H75">
            <v>0</v>
          </cell>
          <cell r="I75">
            <v>0</v>
          </cell>
          <cell r="J75"/>
          <cell r="K75">
            <v>0</v>
          </cell>
          <cell r="L75">
            <v>61718</v>
          </cell>
          <cell r="M75">
            <v>48115</v>
          </cell>
          <cell r="N75">
            <v>0</v>
          </cell>
          <cell r="O75">
            <v>0</v>
          </cell>
          <cell r="P75">
            <v>0</v>
          </cell>
          <cell r="Q75">
            <v>0</v>
          </cell>
          <cell r="R75">
            <v>0</v>
          </cell>
          <cell r="S75">
            <v>0</v>
          </cell>
          <cell r="T75">
            <v>0</v>
          </cell>
          <cell r="U75">
            <v>0</v>
          </cell>
          <cell r="V75">
            <v>0</v>
          </cell>
          <cell r="W75">
            <v>66066</v>
          </cell>
          <cell r="X75">
            <v>0</v>
          </cell>
          <cell r="Y75"/>
          <cell r="Z75">
            <v>0</v>
          </cell>
          <cell r="AA75">
            <v>0</v>
          </cell>
          <cell r="AB75">
            <v>0</v>
          </cell>
          <cell r="AC75"/>
          <cell r="AD75">
            <v>0</v>
          </cell>
          <cell r="AE75">
            <v>0</v>
          </cell>
          <cell r="AF75">
            <v>0</v>
          </cell>
          <cell r="AG75">
            <v>0</v>
          </cell>
          <cell r="AH75">
            <v>0</v>
          </cell>
          <cell r="AI75">
            <v>0</v>
          </cell>
          <cell r="AJ75">
            <v>0</v>
          </cell>
          <cell r="AK75">
            <v>0</v>
          </cell>
          <cell r="AL75"/>
          <cell r="AM75">
            <v>0</v>
          </cell>
          <cell r="AN75">
            <v>0</v>
          </cell>
          <cell r="AO75">
            <v>0</v>
          </cell>
          <cell r="AP75">
            <v>0</v>
          </cell>
          <cell r="AQ75">
            <v>0</v>
          </cell>
          <cell r="AR75">
            <v>0</v>
          </cell>
          <cell r="AS75">
            <v>0</v>
          </cell>
          <cell r="AT75">
            <v>0</v>
          </cell>
          <cell r="AU75">
            <v>2370</v>
          </cell>
          <cell r="AV75">
            <v>0</v>
          </cell>
          <cell r="AW75">
            <v>0</v>
          </cell>
          <cell r="AX75">
            <v>0</v>
          </cell>
          <cell r="AY75"/>
          <cell r="AZ75"/>
          <cell r="BA75">
            <v>0</v>
          </cell>
          <cell r="BB75"/>
          <cell r="BC75">
            <v>0</v>
          </cell>
          <cell r="BD75">
            <v>5859</v>
          </cell>
          <cell r="BE75"/>
          <cell r="BF75">
            <v>0</v>
          </cell>
          <cell r="BG75">
            <v>0</v>
          </cell>
          <cell r="BH75">
            <v>0</v>
          </cell>
          <cell r="BI75">
            <v>12370</v>
          </cell>
          <cell r="BJ75">
            <v>10183</v>
          </cell>
          <cell r="BK75">
            <v>10183</v>
          </cell>
          <cell r="BL75">
            <v>0</v>
          </cell>
          <cell r="BM75">
            <v>0</v>
          </cell>
          <cell r="BN75">
            <v>0</v>
          </cell>
          <cell r="BO75">
            <v>90962</v>
          </cell>
          <cell r="BP75">
            <v>6325.6</v>
          </cell>
          <cell r="BQ75">
            <v>11395.3488372093</v>
          </cell>
          <cell r="BR75">
            <v>0</v>
          </cell>
          <cell r="BS75">
            <v>0</v>
          </cell>
          <cell r="BT75">
            <v>33686</v>
          </cell>
          <cell r="BU75"/>
          <cell r="BV75"/>
          <cell r="BW75"/>
          <cell r="BX75"/>
          <cell r="BY75">
            <v>0</v>
          </cell>
          <cell r="BZ75">
            <v>0</v>
          </cell>
          <cell r="CA75">
            <v>0</v>
          </cell>
          <cell r="CB75">
            <v>0</v>
          </cell>
          <cell r="CC75">
            <v>839165</v>
          </cell>
          <cell r="CD75">
            <v>5807423</v>
          </cell>
          <cell r="CE75">
            <v>296988</v>
          </cell>
          <cell r="CF75">
            <v>-2838</v>
          </cell>
          <cell r="CG75">
            <v>296988</v>
          </cell>
          <cell r="CH75">
            <v>296988</v>
          </cell>
          <cell r="CI75">
            <v>296988</v>
          </cell>
          <cell r="CJ75">
            <v>296988</v>
          </cell>
          <cell r="CK75">
            <v>0</v>
          </cell>
          <cell r="CL75">
            <v>0</v>
          </cell>
          <cell r="CM75">
            <v>0</v>
          </cell>
          <cell r="CN75">
            <v>0</v>
          </cell>
          <cell r="CO75">
            <v>0</v>
          </cell>
          <cell r="CP75">
            <v>32734</v>
          </cell>
          <cell r="CQ75">
            <v>1202885</v>
          </cell>
          <cell r="CR75">
            <v>1158568</v>
          </cell>
          <cell r="CS75">
            <v>1135538</v>
          </cell>
          <cell r="CT75">
            <v>1129208</v>
          </cell>
          <cell r="CU75">
            <v>1129662</v>
          </cell>
          <cell r="CV75">
            <v>-55546</v>
          </cell>
          <cell r="CW75">
            <v>0</v>
          </cell>
          <cell r="CX75">
            <v>0</v>
          </cell>
          <cell r="CY75">
            <v>0</v>
          </cell>
          <cell r="CZ75">
            <v>0</v>
          </cell>
          <cell r="DA75">
            <v>0</v>
          </cell>
          <cell r="DB75"/>
          <cell r="DC75">
            <v>0</v>
          </cell>
          <cell r="DD75">
            <v>0</v>
          </cell>
          <cell r="DE75">
            <v>0</v>
          </cell>
          <cell r="DF75">
            <v>0</v>
          </cell>
          <cell r="DG75">
            <v>0</v>
          </cell>
          <cell r="DH75">
            <v>0</v>
          </cell>
          <cell r="DI75">
            <v>0</v>
          </cell>
          <cell r="DJ75">
            <v>0</v>
          </cell>
          <cell r="DK75">
            <v>0</v>
          </cell>
          <cell r="DL75">
            <v>0</v>
          </cell>
          <cell r="DM75"/>
          <cell r="DN75"/>
          <cell r="DO75"/>
          <cell r="DP75"/>
        </row>
        <row r="76">
          <cell r="A76">
            <v>1708</v>
          </cell>
          <cell r="B76" t="str">
            <v>Steenwijkerland</v>
          </cell>
          <cell r="C76">
            <v>4</v>
          </cell>
          <cell r="D76">
            <v>23498</v>
          </cell>
          <cell r="E76">
            <v>11749</v>
          </cell>
          <cell r="F76">
            <v>0</v>
          </cell>
          <cell r="G76">
            <v>41361</v>
          </cell>
          <cell r="H76">
            <v>0</v>
          </cell>
          <cell r="I76">
            <v>-7232</v>
          </cell>
          <cell r="J76"/>
          <cell r="K76">
            <v>0</v>
          </cell>
          <cell r="L76">
            <v>199598</v>
          </cell>
          <cell r="M76">
            <v>199029</v>
          </cell>
          <cell r="N76">
            <v>0</v>
          </cell>
          <cell r="O76">
            <v>0</v>
          </cell>
          <cell r="P76">
            <v>0</v>
          </cell>
          <cell r="Q76">
            <v>0</v>
          </cell>
          <cell r="R76">
            <v>0</v>
          </cell>
          <cell r="S76">
            <v>0</v>
          </cell>
          <cell r="T76">
            <v>0</v>
          </cell>
          <cell r="U76">
            <v>0</v>
          </cell>
          <cell r="V76">
            <v>3000</v>
          </cell>
          <cell r="W76">
            <v>79602</v>
          </cell>
          <cell r="X76">
            <v>0</v>
          </cell>
          <cell r="Y76"/>
          <cell r="Z76">
            <v>0</v>
          </cell>
          <cell r="AA76">
            <v>0</v>
          </cell>
          <cell r="AB76">
            <v>0</v>
          </cell>
          <cell r="AC76"/>
          <cell r="AD76">
            <v>63557</v>
          </cell>
          <cell r="AE76">
            <v>0</v>
          </cell>
          <cell r="AF76">
            <v>0</v>
          </cell>
          <cell r="AG76">
            <v>0</v>
          </cell>
          <cell r="AH76">
            <v>0</v>
          </cell>
          <cell r="AI76">
            <v>0</v>
          </cell>
          <cell r="AJ76">
            <v>0</v>
          </cell>
          <cell r="AK76">
            <v>0</v>
          </cell>
          <cell r="AL76"/>
          <cell r="AM76">
            <v>0</v>
          </cell>
          <cell r="AN76">
            <v>0</v>
          </cell>
          <cell r="AO76">
            <v>0</v>
          </cell>
          <cell r="AP76">
            <v>0</v>
          </cell>
          <cell r="AQ76">
            <v>0</v>
          </cell>
          <cell r="AR76">
            <v>0</v>
          </cell>
          <cell r="AS76">
            <v>0</v>
          </cell>
          <cell r="AT76">
            <v>0</v>
          </cell>
          <cell r="AU76">
            <v>4740</v>
          </cell>
          <cell r="AV76">
            <v>0</v>
          </cell>
          <cell r="AW76">
            <v>0</v>
          </cell>
          <cell r="AX76">
            <v>0</v>
          </cell>
          <cell r="AY76"/>
          <cell r="AZ76"/>
          <cell r="BA76">
            <v>0</v>
          </cell>
          <cell r="BB76"/>
          <cell r="BC76">
            <v>0</v>
          </cell>
          <cell r="BD76">
            <v>15252</v>
          </cell>
          <cell r="BE76"/>
          <cell r="BF76">
            <v>0</v>
          </cell>
          <cell r="BG76">
            <v>0</v>
          </cell>
          <cell r="BH76">
            <v>0</v>
          </cell>
          <cell r="BI76">
            <v>70475</v>
          </cell>
          <cell r="BJ76">
            <v>58011</v>
          </cell>
          <cell r="BK76">
            <v>58011</v>
          </cell>
          <cell r="BL76">
            <v>0</v>
          </cell>
          <cell r="BM76">
            <v>0</v>
          </cell>
          <cell r="BN76">
            <v>0</v>
          </cell>
          <cell r="BO76">
            <v>157603</v>
          </cell>
          <cell r="BP76">
            <v>4744.2</v>
          </cell>
          <cell r="BQ76">
            <v>8546.5116279069807</v>
          </cell>
          <cell r="BR76">
            <v>0</v>
          </cell>
          <cell r="BS76">
            <v>0</v>
          </cell>
          <cell r="BT76">
            <v>98045</v>
          </cell>
          <cell r="BU76"/>
          <cell r="BV76"/>
          <cell r="BW76"/>
          <cell r="BX76"/>
          <cell r="BY76">
            <v>0</v>
          </cell>
          <cell r="BZ76">
            <v>0</v>
          </cell>
          <cell r="CA76">
            <v>0</v>
          </cell>
          <cell r="CB76">
            <v>0</v>
          </cell>
          <cell r="CC76">
            <v>3834069</v>
          </cell>
          <cell r="CD76">
            <v>24899994</v>
          </cell>
          <cell r="CE76">
            <v>1717096</v>
          </cell>
          <cell r="CF76">
            <v>-17539</v>
          </cell>
          <cell r="CG76">
            <v>1717096</v>
          </cell>
          <cell r="CH76">
            <v>1717096</v>
          </cell>
          <cell r="CI76">
            <v>1717096</v>
          </cell>
          <cell r="CJ76">
            <v>1717096</v>
          </cell>
          <cell r="CK76">
            <v>0</v>
          </cell>
          <cell r="CL76">
            <v>0</v>
          </cell>
          <cell r="CM76">
            <v>0</v>
          </cell>
          <cell r="CN76">
            <v>0</v>
          </cell>
          <cell r="CO76">
            <v>0</v>
          </cell>
          <cell r="CP76">
            <v>0</v>
          </cell>
          <cell r="CQ76">
            <v>7006168</v>
          </cell>
          <cell r="CR76">
            <v>6613193</v>
          </cell>
          <cell r="CS76">
            <v>6445561</v>
          </cell>
          <cell r="CT76">
            <v>6210642</v>
          </cell>
          <cell r="CU76">
            <v>6018882</v>
          </cell>
          <cell r="CV76">
            <v>-48174</v>
          </cell>
          <cell r="CW76">
            <v>0</v>
          </cell>
          <cell r="CX76">
            <v>0</v>
          </cell>
          <cell r="CY76">
            <v>0</v>
          </cell>
          <cell r="CZ76">
            <v>0</v>
          </cell>
          <cell r="DA76">
            <v>0</v>
          </cell>
          <cell r="DB76"/>
          <cell r="DC76">
            <v>0</v>
          </cell>
          <cell r="DD76">
            <v>0</v>
          </cell>
          <cell r="DE76">
            <v>0</v>
          </cell>
          <cell r="DF76">
            <v>0</v>
          </cell>
          <cell r="DG76">
            <v>0</v>
          </cell>
          <cell r="DH76">
            <v>0</v>
          </cell>
          <cell r="DI76">
            <v>0</v>
          </cell>
          <cell r="DJ76">
            <v>0</v>
          </cell>
          <cell r="DK76">
            <v>0</v>
          </cell>
          <cell r="DL76">
            <v>0</v>
          </cell>
          <cell r="DM76"/>
          <cell r="DN76"/>
          <cell r="DO76"/>
          <cell r="DP76"/>
        </row>
        <row r="77">
          <cell r="A77">
            <v>183</v>
          </cell>
          <cell r="B77" t="str">
            <v>Tubbergen</v>
          </cell>
          <cell r="C77">
            <v>4</v>
          </cell>
          <cell r="D77">
            <v>15041</v>
          </cell>
          <cell r="E77">
            <v>7521</v>
          </cell>
          <cell r="F77">
            <v>0</v>
          </cell>
          <cell r="G77">
            <v>0</v>
          </cell>
          <cell r="H77">
            <v>-17953</v>
          </cell>
          <cell r="I77">
            <v>-42959</v>
          </cell>
          <cell r="J77"/>
          <cell r="K77">
            <v>0</v>
          </cell>
          <cell r="L77">
            <v>52645</v>
          </cell>
          <cell r="M77">
            <v>46662</v>
          </cell>
          <cell r="N77">
            <v>0</v>
          </cell>
          <cell r="O77">
            <v>0</v>
          </cell>
          <cell r="P77">
            <v>0</v>
          </cell>
          <cell r="Q77">
            <v>0</v>
          </cell>
          <cell r="R77">
            <v>0</v>
          </cell>
          <cell r="S77">
            <v>0</v>
          </cell>
          <cell r="T77">
            <v>0</v>
          </cell>
          <cell r="U77">
            <v>0</v>
          </cell>
          <cell r="V77">
            <v>9000</v>
          </cell>
          <cell r="W77">
            <v>101854</v>
          </cell>
          <cell r="X77">
            <v>0</v>
          </cell>
          <cell r="Y77"/>
          <cell r="Z77">
            <v>0</v>
          </cell>
          <cell r="AA77">
            <v>0</v>
          </cell>
          <cell r="AB77">
            <v>0</v>
          </cell>
          <cell r="AC77"/>
          <cell r="AD77">
            <v>0</v>
          </cell>
          <cell r="AE77">
            <v>0</v>
          </cell>
          <cell r="AF77">
            <v>0</v>
          </cell>
          <cell r="AG77">
            <v>0</v>
          </cell>
          <cell r="AH77">
            <v>0</v>
          </cell>
          <cell r="AI77">
            <v>0</v>
          </cell>
          <cell r="AJ77">
            <v>0</v>
          </cell>
          <cell r="AK77">
            <v>0</v>
          </cell>
          <cell r="AL77"/>
          <cell r="AM77">
            <v>0</v>
          </cell>
          <cell r="AN77">
            <v>0</v>
          </cell>
          <cell r="AO77">
            <v>0</v>
          </cell>
          <cell r="AP77">
            <v>0</v>
          </cell>
          <cell r="AQ77">
            <v>0</v>
          </cell>
          <cell r="AR77">
            <v>0</v>
          </cell>
          <cell r="AS77">
            <v>0</v>
          </cell>
          <cell r="AT77">
            <v>0</v>
          </cell>
          <cell r="AU77">
            <v>0</v>
          </cell>
          <cell r="AV77">
            <v>0</v>
          </cell>
          <cell r="AW77">
            <v>0</v>
          </cell>
          <cell r="AX77">
            <v>0</v>
          </cell>
          <cell r="AY77"/>
          <cell r="AZ77"/>
          <cell r="BA77">
            <v>0</v>
          </cell>
          <cell r="BB77"/>
          <cell r="BC77">
            <v>0</v>
          </cell>
          <cell r="BD77">
            <v>7425</v>
          </cell>
          <cell r="BE77"/>
          <cell r="BF77">
            <v>0</v>
          </cell>
          <cell r="BG77">
            <v>0</v>
          </cell>
          <cell r="BH77">
            <v>0</v>
          </cell>
          <cell r="BI77">
            <v>20055</v>
          </cell>
          <cell r="BJ77">
            <v>16508</v>
          </cell>
          <cell r="BK77">
            <v>16508</v>
          </cell>
          <cell r="BL77">
            <v>0</v>
          </cell>
          <cell r="BM77">
            <v>0</v>
          </cell>
          <cell r="BN77">
            <v>0</v>
          </cell>
          <cell r="BO77">
            <v>58371</v>
          </cell>
          <cell r="BP77">
            <v>7907</v>
          </cell>
          <cell r="BQ77">
            <v>14244.186046511601</v>
          </cell>
          <cell r="BR77">
            <v>0</v>
          </cell>
          <cell r="BS77">
            <v>0</v>
          </cell>
          <cell r="BT77">
            <v>40479</v>
          </cell>
          <cell r="BU77"/>
          <cell r="BV77"/>
          <cell r="BW77"/>
          <cell r="BX77"/>
          <cell r="BY77">
            <v>0</v>
          </cell>
          <cell r="BZ77">
            <v>0</v>
          </cell>
          <cell r="CA77">
            <v>0</v>
          </cell>
          <cell r="CB77">
            <v>0</v>
          </cell>
          <cell r="CC77">
            <v>1408795</v>
          </cell>
          <cell r="CD77">
            <v>8008094</v>
          </cell>
          <cell r="CE77">
            <v>481577</v>
          </cell>
          <cell r="CF77">
            <v>-104185</v>
          </cell>
          <cell r="CG77">
            <v>481577</v>
          </cell>
          <cell r="CH77">
            <v>481577</v>
          </cell>
          <cell r="CI77">
            <v>481577</v>
          </cell>
          <cell r="CJ77">
            <v>481577</v>
          </cell>
          <cell r="CK77">
            <v>0</v>
          </cell>
          <cell r="CL77">
            <v>0</v>
          </cell>
          <cell r="CM77">
            <v>0</v>
          </cell>
          <cell r="CN77">
            <v>0</v>
          </cell>
          <cell r="CO77">
            <v>0</v>
          </cell>
          <cell r="CP77">
            <v>0</v>
          </cell>
          <cell r="CQ77">
            <v>2084466</v>
          </cell>
          <cell r="CR77">
            <v>1966282</v>
          </cell>
          <cell r="CS77">
            <v>1888959</v>
          </cell>
          <cell r="CT77">
            <v>1813953</v>
          </cell>
          <cell r="CU77">
            <v>1767244</v>
          </cell>
          <cell r="CV77">
            <v>7526</v>
          </cell>
          <cell r="CW77">
            <v>0</v>
          </cell>
          <cell r="CX77">
            <v>0</v>
          </cell>
          <cell r="CY77">
            <v>0</v>
          </cell>
          <cell r="CZ77">
            <v>0</v>
          </cell>
          <cell r="DA77">
            <v>0</v>
          </cell>
          <cell r="DB77"/>
          <cell r="DC77">
            <v>0</v>
          </cell>
          <cell r="DD77">
            <v>0</v>
          </cell>
          <cell r="DE77">
            <v>0</v>
          </cell>
          <cell r="DF77">
            <v>0</v>
          </cell>
          <cell r="DG77">
            <v>0</v>
          </cell>
          <cell r="DH77">
            <v>0</v>
          </cell>
          <cell r="DI77">
            <v>0</v>
          </cell>
          <cell r="DJ77">
            <v>0</v>
          </cell>
          <cell r="DK77">
            <v>0</v>
          </cell>
          <cell r="DL77">
            <v>0</v>
          </cell>
          <cell r="DM77"/>
          <cell r="DN77"/>
          <cell r="DO77"/>
          <cell r="DP77"/>
        </row>
        <row r="78">
          <cell r="A78">
            <v>1700</v>
          </cell>
          <cell r="B78" t="str">
            <v>Twenterand</v>
          </cell>
          <cell r="C78">
            <v>4</v>
          </cell>
          <cell r="D78">
            <v>17114</v>
          </cell>
          <cell r="E78">
            <v>8557</v>
          </cell>
          <cell r="F78">
            <v>0</v>
          </cell>
          <cell r="G78">
            <v>0</v>
          </cell>
          <cell r="H78">
            <v>0</v>
          </cell>
          <cell r="I78">
            <v>0</v>
          </cell>
          <cell r="J78"/>
          <cell r="K78">
            <v>0</v>
          </cell>
          <cell r="L78">
            <v>145878</v>
          </cell>
          <cell r="M78">
            <v>148558</v>
          </cell>
          <cell r="N78">
            <v>0</v>
          </cell>
          <cell r="O78">
            <v>0</v>
          </cell>
          <cell r="P78">
            <v>0</v>
          </cell>
          <cell r="Q78">
            <v>0</v>
          </cell>
          <cell r="R78">
            <v>0</v>
          </cell>
          <cell r="S78">
            <v>0</v>
          </cell>
          <cell r="T78">
            <v>0</v>
          </cell>
          <cell r="U78">
            <v>0</v>
          </cell>
          <cell r="V78">
            <v>9000</v>
          </cell>
          <cell r="W78">
            <v>88896</v>
          </cell>
          <cell r="X78">
            <v>0</v>
          </cell>
          <cell r="Y78"/>
          <cell r="Z78">
            <v>0</v>
          </cell>
          <cell r="AA78">
            <v>0</v>
          </cell>
          <cell r="AB78">
            <v>0</v>
          </cell>
          <cell r="AC78"/>
          <cell r="AD78">
            <v>22489</v>
          </cell>
          <cell r="AE78">
            <v>0</v>
          </cell>
          <cell r="AF78">
            <v>0</v>
          </cell>
          <cell r="AG78">
            <v>0</v>
          </cell>
          <cell r="AH78">
            <v>0</v>
          </cell>
          <cell r="AI78">
            <v>0</v>
          </cell>
          <cell r="AJ78">
            <v>0</v>
          </cell>
          <cell r="AK78">
            <v>0</v>
          </cell>
          <cell r="AL78"/>
          <cell r="AM78">
            <v>0</v>
          </cell>
          <cell r="AN78">
            <v>0</v>
          </cell>
          <cell r="AO78">
            <v>0</v>
          </cell>
          <cell r="AP78">
            <v>0</v>
          </cell>
          <cell r="AQ78">
            <v>0</v>
          </cell>
          <cell r="AR78">
            <v>0</v>
          </cell>
          <cell r="AS78">
            <v>0</v>
          </cell>
          <cell r="AT78">
            <v>0</v>
          </cell>
          <cell r="AU78">
            <v>7110</v>
          </cell>
          <cell r="AV78">
            <v>0</v>
          </cell>
          <cell r="AW78">
            <v>0</v>
          </cell>
          <cell r="AX78">
            <v>0</v>
          </cell>
          <cell r="AY78"/>
          <cell r="AZ78"/>
          <cell r="BA78">
            <v>0</v>
          </cell>
          <cell r="BB78"/>
          <cell r="BC78">
            <v>0</v>
          </cell>
          <cell r="BD78">
            <v>11881</v>
          </cell>
          <cell r="BE78"/>
          <cell r="BF78">
            <v>0</v>
          </cell>
          <cell r="BG78">
            <v>0</v>
          </cell>
          <cell r="BH78">
            <v>0</v>
          </cell>
          <cell r="BI78">
            <v>45317</v>
          </cell>
          <cell r="BJ78">
            <v>37302</v>
          </cell>
          <cell r="BK78">
            <v>37302</v>
          </cell>
          <cell r="BL78">
            <v>0</v>
          </cell>
          <cell r="BM78">
            <v>0</v>
          </cell>
          <cell r="BN78">
            <v>0</v>
          </cell>
          <cell r="BO78">
            <v>93394</v>
          </cell>
          <cell r="BP78">
            <v>11069.8</v>
          </cell>
          <cell r="BQ78">
            <v>19941.8604651163</v>
          </cell>
          <cell r="BR78">
            <v>0</v>
          </cell>
          <cell r="BS78">
            <v>0</v>
          </cell>
          <cell r="BT78">
            <v>61488</v>
          </cell>
          <cell r="BU78"/>
          <cell r="BV78"/>
          <cell r="BW78"/>
          <cell r="BX78"/>
          <cell r="BY78">
            <v>0</v>
          </cell>
          <cell r="BZ78">
            <v>0</v>
          </cell>
          <cell r="CA78">
            <v>0</v>
          </cell>
          <cell r="CB78">
            <v>0</v>
          </cell>
          <cell r="CC78">
            <v>2666711</v>
          </cell>
          <cell r="CD78">
            <v>22125616</v>
          </cell>
          <cell r="CE78">
            <v>2250160</v>
          </cell>
          <cell r="CF78">
            <v>-47066</v>
          </cell>
          <cell r="CG78">
            <v>2250160</v>
          </cell>
          <cell r="CH78">
            <v>2250160</v>
          </cell>
          <cell r="CI78">
            <v>2250160</v>
          </cell>
          <cell r="CJ78">
            <v>2250160</v>
          </cell>
          <cell r="CK78">
            <v>0</v>
          </cell>
          <cell r="CL78">
            <v>0</v>
          </cell>
          <cell r="CM78">
            <v>0</v>
          </cell>
          <cell r="CN78">
            <v>0</v>
          </cell>
          <cell r="CO78">
            <v>0</v>
          </cell>
          <cell r="CP78">
            <v>0</v>
          </cell>
          <cell r="CQ78">
            <v>6769259</v>
          </cell>
          <cell r="CR78">
            <v>6275049</v>
          </cell>
          <cell r="CS78">
            <v>6051275</v>
          </cell>
          <cell r="CT78">
            <v>5837107</v>
          </cell>
          <cell r="CU78">
            <v>5580754</v>
          </cell>
          <cell r="CV78">
            <v>-13975</v>
          </cell>
          <cell r="CW78">
            <v>0</v>
          </cell>
          <cell r="CX78">
            <v>0</v>
          </cell>
          <cell r="CY78">
            <v>0</v>
          </cell>
          <cell r="CZ78">
            <v>0</v>
          </cell>
          <cell r="DA78">
            <v>0</v>
          </cell>
          <cell r="DB78"/>
          <cell r="DC78">
            <v>0</v>
          </cell>
          <cell r="DD78">
            <v>0</v>
          </cell>
          <cell r="DE78">
            <v>0</v>
          </cell>
          <cell r="DF78">
            <v>0</v>
          </cell>
          <cell r="DG78">
            <v>0</v>
          </cell>
          <cell r="DH78">
            <v>0</v>
          </cell>
          <cell r="DI78">
            <v>0</v>
          </cell>
          <cell r="DJ78">
            <v>0</v>
          </cell>
          <cell r="DK78">
            <v>0</v>
          </cell>
          <cell r="DL78">
            <v>0</v>
          </cell>
          <cell r="DM78"/>
          <cell r="DN78"/>
          <cell r="DO78"/>
          <cell r="DP78"/>
        </row>
        <row r="79">
          <cell r="A79">
            <v>189</v>
          </cell>
          <cell r="B79" t="str">
            <v>Wierden</v>
          </cell>
          <cell r="C79">
            <v>4</v>
          </cell>
          <cell r="D79">
            <v>-13637</v>
          </cell>
          <cell r="E79">
            <v>-6819</v>
          </cell>
          <cell r="F79">
            <v>0</v>
          </cell>
          <cell r="G79">
            <v>0</v>
          </cell>
          <cell r="H79">
            <v>-41690</v>
          </cell>
          <cell r="I79">
            <v>-27964</v>
          </cell>
          <cell r="J79"/>
          <cell r="K79">
            <v>0</v>
          </cell>
          <cell r="L79">
            <v>71387</v>
          </cell>
          <cell r="M79">
            <v>65613</v>
          </cell>
          <cell r="N79">
            <v>0</v>
          </cell>
          <cell r="O79">
            <v>0</v>
          </cell>
          <cell r="P79">
            <v>0</v>
          </cell>
          <cell r="Q79">
            <v>0</v>
          </cell>
          <cell r="R79">
            <v>0</v>
          </cell>
          <cell r="S79">
            <v>0</v>
          </cell>
          <cell r="T79">
            <v>0</v>
          </cell>
          <cell r="U79">
            <v>0</v>
          </cell>
          <cell r="V79">
            <v>3000</v>
          </cell>
          <cell r="W79">
            <v>90916</v>
          </cell>
          <cell r="X79">
            <v>0</v>
          </cell>
          <cell r="Y79"/>
          <cell r="Z79">
            <v>0</v>
          </cell>
          <cell r="AA79">
            <v>0</v>
          </cell>
          <cell r="AB79">
            <v>0</v>
          </cell>
          <cell r="AC79"/>
          <cell r="AD79">
            <v>0</v>
          </cell>
          <cell r="AE79">
            <v>0</v>
          </cell>
          <cell r="AF79">
            <v>0</v>
          </cell>
          <cell r="AG79">
            <v>0</v>
          </cell>
          <cell r="AH79">
            <v>0</v>
          </cell>
          <cell r="AI79">
            <v>0</v>
          </cell>
          <cell r="AJ79">
            <v>0</v>
          </cell>
          <cell r="AK79">
            <v>0</v>
          </cell>
          <cell r="AL79"/>
          <cell r="AM79">
            <v>0</v>
          </cell>
          <cell r="AN79">
            <v>0</v>
          </cell>
          <cell r="AO79">
            <v>0</v>
          </cell>
          <cell r="AP79">
            <v>0</v>
          </cell>
          <cell r="AQ79">
            <v>0</v>
          </cell>
          <cell r="AR79">
            <v>0</v>
          </cell>
          <cell r="AS79">
            <v>0</v>
          </cell>
          <cell r="AT79">
            <v>0</v>
          </cell>
          <cell r="AU79">
            <v>0</v>
          </cell>
          <cell r="AV79">
            <v>0</v>
          </cell>
          <cell r="AW79">
            <v>0</v>
          </cell>
          <cell r="AX79">
            <v>0</v>
          </cell>
          <cell r="AY79"/>
          <cell r="AZ79"/>
          <cell r="BA79">
            <v>0</v>
          </cell>
          <cell r="BB79"/>
          <cell r="BC79">
            <v>0</v>
          </cell>
          <cell r="BD79">
            <v>8504</v>
          </cell>
          <cell r="BE79"/>
          <cell r="BF79">
            <v>0</v>
          </cell>
          <cell r="BG79">
            <v>0</v>
          </cell>
          <cell r="BH79">
            <v>0</v>
          </cell>
          <cell r="BI79">
            <v>23016</v>
          </cell>
          <cell r="BJ79">
            <v>18945</v>
          </cell>
          <cell r="BK79">
            <v>18945</v>
          </cell>
          <cell r="BL79">
            <v>0</v>
          </cell>
          <cell r="BM79">
            <v>0</v>
          </cell>
          <cell r="BN79">
            <v>0</v>
          </cell>
          <cell r="BO79">
            <v>57398</v>
          </cell>
          <cell r="BP79">
            <v>14232.6</v>
          </cell>
          <cell r="BQ79">
            <v>25639.534883720899</v>
          </cell>
          <cell r="BR79">
            <v>0</v>
          </cell>
          <cell r="BS79">
            <v>0</v>
          </cell>
          <cell r="BT79">
            <v>41699</v>
          </cell>
          <cell r="BU79"/>
          <cell r="BV79"/>
          <cell r="BW79"/>
          <cell r="BX79"/>
          <cell r="BY79">
            <v>0</v>
          </cell>
          <cell r="BZ79">
            <v>0</v>
          </cell>
          <cell r="CA79">
            <v>0</v>
          </cell>
          <cell r="CB79">
            <v>0</v>
          </cell>
          <cell r="CC79">
            <v>1600991</v>
          </cell>
          <cell r="CD79">
            <v>9183643</v>
          </cell>
          <cell r="CE79">
            <v>758676</v>
          </cell>
          <cell r="CF79">
            <v>-67715</v>
          </cell>
          <cell r="CG79">
            <v>758676</v>
          </cell>
          <cell r="CH79">
            <v>758676</v>
          </cell>
          <cell r="CI79">
            <v>758676</v>
          </cell>
          <cell r="CJ79">
            <v>758676</v>
          </cell>
          <cell r="CK79">
            <v>0</v>
          </cell>
          <cell r="CL79">
            <v>0</v>
          </cell>
          <cell r="CM79">
            <v>0</v>
          </cell>
          <cell r="CN79">
            <v>0</v>
          </cell>
          <cell r="CO79">
            <v>0</v>
          </cell>
          <cell r="CP79">
            <v>0</v>
          </cell>
          <cell r="CQ79">
            <v>2175679</v>
          </cell>
          <cell r="CR79">
            <v>1966145</v>
          </cell>
          <cell r="CS79">
            <v>1877185</v>
          </cell>
          <cell r="CT79">
            <v>1782638</v>
          </cell>
          <cell r="CU79">
            <v>1723259</v>
          </cell>
          <cell r="CV79">
            <v>-43357</v>
          </cell>
          <cell r="CW79">
            <v>0</v>
          </cell>
          <cell r="CX79">
            <v>0</v>
          </cell>
          <cell r="CY79">
            <v>0</v>
          </cell>
          <cell r="CZ79">
            <v>0</v>
          </cell>
          <cell r="DA79">
            <v>0</v>
          </cell>
          <cell r="DB79"/>
          <cell r="DC79">
            <v>0</v>
          </cell>
          <cell r="DD79">
            <v>0</v>
          </cell>
          <cell r="DE79">
            <v>0</v>
          </cell>
          <cell r="DF79">
            <v>0</v>
          </cell>
          <cell r="DG79">
            <v>0</v>
          </cell>
          <cell r="DH79">
            <v>0</v>
          </cell>
          <cell r="DI79">
            <v>0</v>
          </cell>
          <cell r="DJ79">
            <v>0</v>
          </cell>
          <cell r="DK79">
            <v>0</v>
          </cell>
          <cell r="DL79">
            <v>0</v>
          </cell>
          <cell r="DM79"/>
          <cell r="DN79"/>
          <cell r="DO79"/>
          <cell r="DP79"/>
        </row>
        <row r="80">
          <cell r="A80">
            <v>1896</v>
          </cell>
          <cell r="B80" t="str">
            <v>Zwartewaterland</v>
          </cell>
          <cell r="C80">
            <v>4</v>
          </cell>
          <cell r="D80">
            <v>10900</v>
          </cell>
          <cell r="E80">
            <v>5450</v>
          </cell>
          <cell r="F80">
            <v>0</v>
          </cell>
          <cell r="G80">
            <v>0</v>
          </cell>
          <cell r="H80">
            <v>0</v>
          </cell>
          <cell r="I80">
            <v>0</v>
          </cell>
          <cell r="J80"/>
          <cell r="K80">
            <v>0</v>
          </cell>
          <cell r="L80">
            <v>63469</v>
          </cell>
          <cell r="M80">
            <v>62137</v>
          </cell>
          <cell r="N80">
            <v>0</v>
          </cell>
          <cell r="O80">
            <v>0</v>
          </cell>
          <cell r="P80">
            <v>0</v>
          </cell>
          <cell r="Q80">
            <v>0</v>
          </cell>
          <cell r="R80">
            <v>0</v>
          </cell>
          <cell r="S80">
            <v>0</v>
          </cell>
          <cell r="T80">
            <v>0</v>
          </cell>
          <cell r="U80">
            <v>0</v>
          </cell>
          <cell r="V80">
            <v>0</v>
          </cell>
          <cell r="W80">
            <v>68288</v>
          </cell>
          <cell r="X80">
            <v>0</v>
          </cell>
          <cell r="Y80"/>
          <cell r="Z80">
            <v>0</v>
          </cell>
          <cell r="AA80">
            <v>0</v>
          </cell>
          <cell r="AB80">
            <v>0</v>
          </cell>
          <cell r="AC80"/>
          <cell r="AD80">
            <v>0</v>
          </cell>
          <cell r="AE80">
            <v>0</v>
          </cell>
          <cell r="AF80">
            <v>0</v>
          </cell>
          <cell r="AG80">
            <v>0</v>
          </cell>
          <cell r="AH80">
            <v>0</v>
          </cell>
          <cell r="AI80">
            <v>0</v>
          </cell>
          <cell r="AJ80">
            <v>0</v>
          </cell>
          <cell r="AK80">
            <v>0</v>
          </cell>
          <cell r="AL80"/>
          <cell r="AM80">
            <v>0</v>
          </cell>
          <cell r="AN80">
            <v>0</v>
          </cell>
          <cell r="AO80">
            <v>0</v>
          </cell>
          <cell r="AP80">
            <v>0</v>
          </cell>
          <cell r="AQ80">
            <v>0</v>
          </cell>
          <cell r="AR80">
            <v>0</v>
          </cell>
          <cell r="AS80">
            <v>0</v>
          </cell>
          <cell r="AT80">
            <v>0</v>
          </cell>
          <cell r="AU80">
            <v>4740</v>
          </cell>
          <cell r="AV80">
            <v>0</v>
          </cell>
          <cell r="AW80">
            <v>0</v>
          </cell>
          <cell r="AX80">
            <v>0</v>
          </cell>
          <cell r="AY80"/>
          <cell r="AZ80"/>
          <cell r="BA80">
            <v>0</v>
          </cell>
          <cell r="BB80"/>
          <cell r="BC80">
            <v>0</v>
          </cell>
          <cell r="BD80">
            <v>7831</v>
          </cell>
          <cell r="BE80"/>
          <cell r="BF80">
            <v>0</v>
          </cell>
          <cell r="BG80">
            <v>0</v>
          </cell>
          <cell r="BH80">
            <v>0</v>
          </cell>
          <cell r="BI80">
            <v>23230</v>
          </cell>
          <cell r="BJ80">
            <v>19122</v>
          </cell>
          <cell r="BK80">
            <v>19122</v>
          </cell>
          <cell r="BL80">
            <v>0</v>
          </cell>
          <cell r="BM80">
            <v>0</v>
          </cell>
          <cell r="BN80">
            <v>0</v>
          </cell>
          <cell r="BO80">
            <v>333690</v>
          </cell>
          <cell r="BP80">
            <v>7907</v>
          </cell>
          <cell r="BQ80">
            <v>14244.186046511601</v>
          </cell>
          <cell r="BR80">
            <v>0</v>
          </cell>
          <cell r="BS80">
            <v>0</v>
          </cell>
          <cell r="BT80">
            <v>40429</v>
          </cell>
          <cell r="BU80"/>
          <cell r="BV80"/>
          <cell r="BW80"/>
          <cell r="BX80"/>
          <cell r="BY80">
            <v>0</v>
          </cell>
          <cell r="BZ80">
            <v>0</v>
          </cell>
          <cell r="CA80">
            <v>0</v>
          </cell>
          <cell r="CB80">
            <v>0</v>
          </cell>
          <cell r="CC80">
            <v>1306744</v>
          </cell>
          <cell r="CD80">
            <v>8751088</v>
          </cell>
          <cell r="CE80">
            <v>645072</v>
          </cell>
          <cell r="CF80">
            <v>0</v>
          </cell>
          <cell r="CG80">
            <v>645072</v>
          </cell>
          <cell r="CH80">
            <v>645072</v>
          </cell>
          <cell r="CI80">
            <v>645072</v>
          </cell>
          <cell r="CJ80">
            <v>645072</v>
          </cell>
          <cell r="CK80">
            <v>0</v>
          </cell>
          <cell r="CL80">
            <v>0</v>
          </cell>
          <cell r="CM80">
            <v>0</v>
          </cell>
          <cell r="CN80">
            <v>0</v>
          </cell>
          <cell r="CO80">
            <v>0</v>
          </cell>
          <cell r="CP80">
            <v>0</v>
          </cell>
          <cell r="CQ80">
            <v>1034727</v>
          </cell>
          <cell r="CR80">
            <v>1011151</v>
          </cell>
          <cell r="CS80">
            <v>1006190</v>
          </cell>
          <cell r="CT80">
            <v>1016948</v>
          </cell>
          <cell r="CU80">
            <v>1002292</v>
          </cell>
          <cell r="CV80">
            <v>-75187</v>
          </cell>
          <cell r="CW80">
            <v>0</v>
          </cell>
          <cell r="CX80">
            <v>0</v>
          </cell>
          <cell r="CY80">
            <v>0</v>
          </cell>
          <cell r="CZ80">
            <v>0</v>
          </cell>
          <cell r="DA80">
            <v>0</v>
          </cell>
          <cell r="DB80"/>
          <cell r="DC80">
            <v>0</v>
          </cell>
          <cell r="DD80">
            <v>0</v>
          </cell>
          <cell r="DE80">
            <v>0</v>
          </cell>
          <cell r="DF80">
            <v>0</v>
          </cell>
          <cell r="DG80">
            <v>0</v>
          </cell>
          <cell r="DH80">
            <v>0</v>
          </cell>
          <cell r="DI80">
            <v>0</v>
          </cell>
          <cell r="DJ80">
            <v>0</v>
          </cell>
          <cell r="DK80">
            <v>0</v>
          </cell>
          <cell r="DL80">
            <v>0</v>
          </cell>
          <cell r="DM80"/>
          <cell r="DN80"/>
          <cell r="DO80"/>
          <cell r="DP80"/>
        </row>
        <row r="81">
          <cell r="A81">
            <v>193</v>
          </cell>
          <cell r="B81" t="str">
            <v>Zwolle</v>
          </cell>
          <cell r="C81">
            <v>4</v>
          </cell>
          <cell r="D81">
            <v>225081</v>
          </cell>
          <cell r="E81">
            <v>112541</v>
          </cell>
          <cell r="F81">
            <v>0</v>
          </cell>
          <cell r="G81">
            <v>90237</v>
          </cell>
          <cell r="H81">
            <v>0</v>
          </cell>
          <cell r="I81">
            <v>0</v>
          </cell>
          <cell r="J81"/>
          <cell r="K81">
            <v>0</v>
          </cell>
          <cell r="L81">
            <v>604047</v>
          </cell>
          <cell r="M81">
            <v>603373</v>
          </cell>
          <cell r="N81">
            <v>0</v>
          </cell>
          <cell r="O81">
            <v>0</v>
          </cell>
          <cell r="P81">
            <v>150000</v>
          </cell>
          <cell r="Q81">
            <v>50000</v>
          </cell>
          <cell r="R81">
            <v>0</v>
          </cell>
          <cell r="S81">
            <v>805430</v>
          </cell>
          <cell r="T81">
            <v>805430</v>
          </cell>
          <cell r="U81">
            <v>805430</v>
          </cell>
          <cell r="V81">
            <v>12000</v>
          </cell>
          <cell r="W81">
            <v>456594</v>
          </cell>
          <cell r="X81">
            <v>0</v>
          </cell>
          <cell r="Y81"/>
          <cell r="Z81">
            <v>0</v>
          </cell>
          <cell r="AA81">
            <v>33000</v>
          </cell>
          <cell r="AB81">
            <v>0</v>
          </cell>
          <cell r="AC81"/>
          <cell r="AD81">
            <v>68446</v>
          </cell>
          <cell r="AE81">
            <v>0</v>
          </cell>
          <cell r="AF81">
            <v>0</v>
          </cell>
          <cell r="AG81">
            <v>0</v>
          </cell>
          <cell r="AH81">
            <v>0</v>
          </cell>
          <cell r="AI81">
            <v>0</v>
          </cell>
          <cell r="AJ81">
            <v>0</v>
          </cell>
          <cell r="AK81">
            <v>207412</v>
          </cell>
          <cell r="AL81"/>
          <cell r="AM81">
            <v>0</v>
          </cell>
          <cell r="AN81">
            <v>0</v>
          </cell>
          <cell r="AO81">
            <v>0</v>
          </cell>
          <cell r="AP81">
            <v>0</v>
          </cell>
          <cell r="AQ81">
            <v>0</v>
          </cell>
          <cell r="AR81">
            <v>0</v>
          </cell>
          <cell r="AS81">
            <v>0</v>
          </cell>
          <cell r="AT81">
            <v>20000</v>
          </cell>
          <cell r="AU81">
            <v>2370</v>
          </cell>
          <cell r="AV81">
            <v>9956629.2501135804</v>
          </cell>
          <cell r="AW81">
            <v>237716</v>
          </cell>
          <cell r="AX81">
            <v>0</v>
          </cell>
          <cell r="AY81"/>
          <cell r="AZ81"/>
          <cell r="BA81">
            <v>0</v>
          </cell>
          <cell r="BB81"/>
          <cell r="BC81">
            <v>0</v>
          </cell>
          <cell r="BD81">
            <v>44072</v>
          </cell>
          <cell r="BE81"/>
          <cell r="BF81">
            <v>0</v>
          </cell>
          <cell r="BG81">
            <v>0</v>
          </cell>
          <cell r="BH81">
            <v>0</v>
          </cell>
          <cell r="BI81">
            <v>203280</v>
          </cell>
          <cell r="BJ81">
            <v>167330</v>
          </cell>
          <cell r="BK81">
            <v>167330</v>
          </cell>
          <cell r="BL81">
            <v>0</v>
          </cell>
          <cell r="BM81">
            <v>0</v>
          </cell>
          <cell r="BN81">
            <v>215600</v>
          </cell>
          <cell r="BO81">
            <v>400817</v>
          </cell>
          <cell r="BP81">
            <v>42697.8</v>
          </cell>
          <cell r="BQ81">
            <v>76918.604651162794</v>
          </cell>
          <cell r="BR81">
            <v>0</v>
          </cell>
          <cell r="BS81">
            <v>0</v>
          </cell>
          <cell r="BT81">
            <v>217022</v>
          </cell>
          <cell r="BU81"/>
          <cell r="BV81"/>
          <cell r="BW81"/>
          <cell r="BX81"/>
          <cell r="BY81">
            <v>3482465.9086209401</v>
          </cell>
          <cell r="BZ81">
            <v>3975534.0444269502</v>
          </cell>
          <cell r="CA81">
            <v>4017655.4429631499</v>
          </cell>
          <cell r="CB81">
            <v>4136586.4505947498</v>
          </cell>
          <cell r="CC81">
            <v>8263126</v>
          </cell>
          <cell r="CD81">
            <v>134463450</v>
          </cell>
          <cell r="CE81">
            <v>6012208</v>
          </cell>
          <cell r="CF81">
            <v>0</v>
          </cell>
          <cell r="CG81">
            <v>6012208</v>
          </cell>
          <cell r="CH81">
            <v>6012208</v>
          </cell>
          <cell r="CI81">
            <v>6012208</v>
          </cell>
          <cell r="CJ81">
            <v>6012208</v>
          </cell>
          <cell r="CK81">
            <v>70709668</v>
          </cell>
          <cell r="CL81">
            <v>70674781</v>
          </cell>
          <cell r="CM81">
            <v>70674216</v>
          </cell>
          <cell r="CN81">
            <v>70672975</v>
          </cell>
          <cell r="CO81">
            <v>70674695</v>
          </cell>
          <cell r="CP81">
            <v>0</v>
          </cell>
          <cell r="CQ81">
            <v>13808334</v>
          </cell>
          <cell r="CR81">
            <v>13246512</v>
          </cell>
          <cell r="CS81">
            <v>13015535</v>
          </cell>
          <cell r="CT81">
            <v>12829738</v>
          </cell>
          <cell r="CU81">
            <v>12542103</v>
          </cell>
          <cell r="CV81">
            <v>-30630</v>
          </cell>
          <cell r="CW81">
            <v>0</v>
          </cell>
          <cell r="CX81">
            <v>0</v>
          </cell>
          <cell r="CY81">
            <v>0</v>
          </cell>
          <cell r="CZ81">
            <v>0</v>
          </cell>
          <cell r="DA81">
            <v>80000</v>
          </cell>
          <cell r="DB81"/>
          <cell r="DC81">
            <v>0</v>
          </cell>
          <cell r="DD81">
            <v>0</v>
          </cell>
          <cell r="DE81">
            <v>0</v>
          </cell>
          <cell r="DF81">
            <v>0</v>
          </cell>
          <cell r="DG81">
            <v>0</v>
          </cell>
          <cell r="DH81">
            <v>0</v>
          </cell>
          <cell r="DI81">
            <v>0</v>
          </cell>
          <cell r="DJ81">
            <v>0</v>
          </cell>
          <cell r="DK81">
            <v>0</v>
          </cell>
          <cell r="DL81">
            <v>0</v>
          </cell>
          <cell r="DM81"/>
          <cell r="DN81"/>
          <cell r="DO81"/>
          <cell r="DP81"/>
        </row>
        <row r="82">
          <cell r="A82">
            <v>197</v>
          </cell>
          <cell r="B82" t="str">
            <v>Aalten</v>
          </cell>
          <cell r="C82">
            <v>5</v>
          </cell>
          <cell r="D82">
            <v>-45788</v>
          </cell>
          <cell r="E82">
            <v>-22894</v>
          </cell>
          <cell r="F82">
            <v>0</v>
          </cell>
          <cell r="G82">
            <v>0</v>
          </cell>
          <cell r="H82">
            <v>-65818</v>
          </cell>
          <cell r="I82">
            <v>-40424</v>
          </cell>
          <cell r="J82"/>
          <cell r="K82">
            <v>0</v>
          </cell>
          <cell r="L82">
            <v>82072</v>
          </cell>
          <cell r="M82">
            <v>77255</v>
          </cell>
          <cell r="N82">
            <v>0</v>
          </cell>
          <cell r="O82">
            <v>0</v>
          </cell>
          <cell r="P82">
            <v>0</v>
          </cell>
          <cell r="Q82">
            <v>0</v>
          </cell>
          <cell r="R82">
            <v>0</v>
          </cell>
          <cell r="S82">
            <v>0</v>
          </cell>
          <cell r="T82">
            <v>0</v>
          </cell>
          <cell r="U82">
            <v>0</v>
          </cell>
          <cell r="V82">
            <v>0</v>
          </cell>
          <cell r="W82">
            <v>50509</v>
          </cell>
          <cell r="X82">
            <v>0</v>
          </cell>
          <cell r="Y82"/>
          <cell r="Z82">
            <v>0</v>
          </cell>
          <cell r="AA82">
            <v>0</v>
          </cell>
          <cell r="AB82">
            <v>0</v>
          </cell>
          <cell r="AC82"/>
          <cell r="AD82">
            <v>0</v>
          </cell>
          <cell r="AE82">
            <v>0</v>
          </cell>
          <cell r="AF82">
            <v>0</v>
          </cell>
          <cell r="AG82">
            <v>0</v>
          </cell>
          <cell r="AH82">
            <v>0</v>
          </cell>
          <cell r="AI82">
            <v>0</v>
          </cell>
          <cell r="AJ82">
            <v>0</v>
          </cell>
          <cell r="AK82">
            <v>0</v>
          </cell>
          <cell r="AL82"/>
          <cell r="AM82">
            <v>0</v>
          </cell>
          <cell r="AN82">
            <v>0</v>
          </cell>
          <cell r="AO82">
            <v>0</v>
          </cell>
          <cell r="AP82">
            <v>0</v>
          </cell>
          <cell r="AQ82">
            <v>0</v>
          </cell>
          <cell r="AR82">
            <v>0</v>
          </cell>
          <cell r="AS82">
            <v>0</v>
          </cell>
          <cell r="AT82">
            <v>0</v>
          </cell>
          <cell r="AU82">
            <v>4740</v>
          </cell>
          <cell r="AV82">
            <v>0</v>
          </cell>
          <cell r="AW82">
            <v>0</v>
          </cell>
          <cell r="AX82">
            <v>0</v>
          </cell>
          <cell r="AY82"/>
          <cell r="AZ82"/>
          <cell r="BA82">
            <v>0</v>
          </cell>
          <cell r="BB82"/>
          <cell r="BC82">
            <v>0</v>
          </cell>
          <cell r="BD82">
            <v>9494</v>
          </cell>
          <cell r="BE82"/>
          <cell r="BF82">
            <v>0</v>
          </cell>
          <cell r="BG82">
            <v>0</v>
          </cell>
          <cell r="BH82">
            <v>0</v>
          </cell>
          <cell r="BI82">
            <v>42340</v>
          </cell>
          <cell r="BJ82">
            <v>34852</v>
          </cell>
          <cell r="BK82">
            <v>34852</v>
          </cell>
          <cell r="BL82">
            <v>0</v>
          </cell>
          <cell r="BM82">
            <v>0</v>
          </cell>
          <cell r="BN82">
            <v>0</v>
          </cell>
          <cell r="BO82">
            <v>37455</v>
          </cell>
          <cell r="BP82">
            <v>7907</v>
          </cell>
          <cell r="BQ82">
            <v>14244.186046511601</v>
          </cell>
          <cell r="BR82">
            <v>0</v>
          </cell>
          <cell r="BS82">
            <v>0</v>
          </cell>
          <cell r="BT82">
            <v>46683</v>
          </cell>
          <cell r="BU82"/>
          <cell r="BV82"/>
          <cell r="BW82"/>
          <cell r="BX82"/>
          <cell r="BY82">
            <v>0</v>
          </cell>
          <cell r="BZ82">
            <v>0</v>
          </cell>
          <cell r="CA82">
            <v>0</v>
          </cell>
          <cell r="CB82">
            <v>0</v>
          </cell>
          <cell r="CC82">
            <v>2397980</v>
          </cell>
          <cell r="CD82">
            <v>15958179</v>
          </cell>
          <cell r="CE82">
            <v>612983</v>
          </cell>
          <cell r="CF82">
            <v>-96803</v>
          </cell>
          <cell r="CG82">
            <v>612983</v>
          </cell>
          <cell r="CH82">
            <v>612983</v>
          </cell>
          <cell r="CI82">
            <v>612983</v>
          </cell>
          <cell r="CJ82">
            <v>612983</v>
          </cell>
          <cell r="CK82">
            <v>0</v>
          </cell>
          <cell r="CL82">
            <v>0</v>
          </cell>
          <cell r="CM82">
            <v>0</v>
          </cell>
          <cell r="CN82">
            <v>0</v>
          </cell>
          <cell r="CO82">
            <v>0</v>
          </cell>
          <cell r="CP82">
            <v>-199</v>
          </cell>
          <cell r="CQ82">
            <v>6066545</v>
          </cell>
          <cell r="CR82">
            <v>5819958</v>
          </cell>
          <cell r="CS82">
            <v>5664157</v>
          </cell>
          <cell r="CT82">
            <v>5480063</v>
          </cell>
          <cell r="CU82">
            <v>5283943</v>
          </cell>
          <cell r="CV82">
            <v>-53821</v>
          </cell>
          <cell r="CW82">
            <v>0</v>
          </cell>
          <cell r="CX82">
            <v>0</v>
          </cell>
          <cell r="CY82">
            <v>0</v>
          </cell>
          <cell r="CZ82">
            <v>0</v>
          </cell>
          <cell r="DA82">
            <v>0</v>
          </cell>
          <cell r="DB82"/>
          <cell r="DC82">
            <v>0</v>
          </cell>
          <cell r="DD82">
            <v>0</v>
          </cell>
          <cell r="DE82">
            <v>0</v>
          </cell>
          <cell r="DF82">
            <v>0</v>
          </cell>
          <cell r="DG82">
            <v>0</v>
          </cell>
          <cell r="DH82">
            <v>0</v>
          </cell>
          <cell r="DI82">
            <v>0</v>
          </cell>
          <cell r="DJ82">
            <v>0</v>
          </cell>
          <cell r="DK82">
            <v>0</v>
          </cell>
          <cell r="DL82">
            <v>0</v>
          </cell>
          <cell r="DM82"/>
          <cell r="DN82"/>
          <cell r="DO82"/>
          <cell r="DP82"/>
        </row>
        <row r="83">
          <cell r="A83">
            <v>200</v>
          </cell>
          <cell r="B83" t="str">
            <v>Apeldoorn</v>
          </cell>
          <cell r="C83">
            <v>5</v>
          </cell>
          <cell r="D83">
            <v>285368</v>
          </cell>
          <cell r="E83">
            <v>142684</v>
          </cell>
          <cell r="F83">
            <v>0</v>
          </cell>
          <cell r="G83">
            <v>2315676</v>
          </cell>
          <cell r="H83">
            <v>-11069</v>
          </cell>
          <cell r="I83">
            <v>0</v>
          </cell>
          <cell r="J83"/>
          <cell r="K83">
            <v>7500</v>
          </cell>
          <cell r="L83">
            <v>690217</v>
          </cell>
          <cell r="M83">
            <v>708958</v>
          </cell>
          <cell r="N83">
            <v>0</v>
          </cell>
          <cell r="O83">
            <v>0</v>
          </cell>
          <cell r="P83">
            <v>150000</v>
          </cell>
          <cell r="Q83">
            <v>0</v>
          </cell>
          <cell r="R83">
            <v>0</v>
          </cell>
          <cell r="S83">
            <v>0</v>
          </cell>
          <cell r="T83">
            <v>0</v>
          </cell>
          <cell r="U83">
            <v>0</v>
          </cell>
          <cell r="V83">
            <v>39250</v>
          </cell>
          <cell r="W83">
            <v>608403</v>
          </cell>
          <cell r="X83">
            <v>0</v>
          </cell>
          <cell r="Y83"/>
          <cell r="Z83">
            <v>0</v>
          </cell>
          <cell r="AA83">
            <v>32000</v>
          </cell>
          <cell r="AB83">
            <v>0</v>
          </cell>
          <cell r="AC83"/>
          <cell r="AD83">
            <v>98757</v>
          </cell>
          <cell r="AE83">
            <v>0</v>
          </cell>
          <cell r="AF83">
            <v>0</v>
          </cell>
          <cell r="AG83">
            <v>0</v>
          </cell>
          <cell r="AH83">
            <v>0</v>
          </cell>
          <cell r="AI83">
            <v>0</v>
          </cell>
          <cell r="AJ83">
            <v>0</v>
          </cell>
          <cell r="AK83">
            <v>75177</v>
          </cell>
          <cell r="AL83"/>
          <cell r="AM83">
            <v>0</v>
          </cell>
          <cell r="AN83">
            <v>0</v>
          </cell>
          <cell r="AO83">
            <v>0</v>
          </cell>
          <cell r="AP83">
            <v>0</v>
          </cell>
          <cell r="AQ83">
            <v>0</v>
          </cell>
          <cell r="AR83">
            <v>0</v>
          </cell>
          <cell r="AS83">
            <v>0</v>
          </cell>
          <cell r="AT83">
            <v>0</v>
          </cell>
          <cell r="AU83">
            <v>2370</v>
          </cell>
          <cell r="AV83">
            <v>4214599.7848845199</v>
          </cell>
          <cell r="AW83">
            <v>115328</v>
          </cell>
          <cell r="AX83">
            <v>0</v>
          </cell>
          <cell r="AY83"/>
          <cell r="AZ83"/>
          <cell r="BA83">
            <v>0</v>
          </cell>
          <cell r="BB83"/>
          <cell r="BC83">
            <v>0</v>
          </cell>
          <cell r="BD83">
            <v>56182</v>
          </cell>
          <cell r="BE83"/>
          <cell r="BF83">
            <v>0</v>
          </cell>
          <cell r="BG83">
            <v>0</v>
          </cell>
          <cell r="BH83">
            <v>0</v>
          </cell>
          <cell r="BI83">
            <v>254690</v>
          </cell>
          <cell r="BJ83">
            <v>209647</v>
          </cell>
          <cell r="BK83">
            <v>209647</v>
          </cell>
          <cell r="BL83">
            <v>0</v>
          </cell>
          <cell r="BM83">
            <v>0</v>
          </cell>
          <cell r="BN83">
            <v>318010</v>
          </cell>
          <cell r="BO83">
            <v>179492</v>
          </cell>
          <cell r="BP83">
            <v>30046.6</v>
          </cell>
          <cell r="BQ83">
            <v>54127.906976744198</v>
          </cell>
          <cell r="BR83">
            <v>0</v>
          </cell>
          <cell r="BS83">
            <v>0</v>
          </cell>
          <cell r="BT83">
            <v>263422</v>
          </cell>
          <cell r="BU83"/>
          <cell r="BV83"/>
          <cell r="BW83"/>
          <cell r="BX83"/>
          <cell r="BY83">
            <v>3082575.28418059</v>
          </cell>
          <cell r="BZ83">
            <v>3572152.3143090298</v>
          </cell>
          <cell r="CA83">
            <v>3613975.4776868299</v>
          </cell>
          <cell r="CB83">
            <v>3732064.4095771099</v>
          </cell>
          <cell r="CC83">
            <v>13774521</v>
          </cell>
          <cell r="CD83">
            <v>133964678</v>
          </cell>
          <cell r="CE83">
            <v>10647278</v>
          </cell>
          <cell r="CF83">
            <v>0</v>
          </cell>
          <cell r="CG83">
            <v>10647278</v>
          </cell>
          <cell r="CH83">
            <v>10647278</v>
          </cell>
          <cell r="CI83">
            <v>10647278</v>
          </cell>
          <cell r="CJ83">
            <v>10647278</v>
          </cell>
          <cell r="CK83">
            <v>46747941</v>
          </cell>
          <cell r="CL83">
            <v>46724689</v>
          </cell>
          <cell r="CM83">
            <v>46724312</v>
          </cell>
          <cell r="CN83">
            <v>46723485</v>
          </cell>
          <cell r="CO83">
            <v>46724632</v>
          </cell>
          <cell r="CP83">
            <v>0</v>
          </cell>
          <cell r="CQ83">
            <v>21441492</v>
          </cell>
          <cell r="CR83">
            <v>20327426</v>
          </cell>
          <cell r="CS83">
            <v>19656054</v>
          </cell>
          <cell r="CT83">
            <v>19107452</v>
          </cell>
          <cell r="CU83">
            <v>18519197</v>
          </cell>
          <cell r="CV83">
            <v>-41270</v>
          </cell>
          <cell r="CW83">
            <v>0</v>
          </cell>
          <cell r="CX83">
            <v>0</v>
          </cell>
          <cell r="CY83">
            <v>0</v>
          </cell>
          <cell r="CZ83">
            <v>0</v>
          </cell>
          <cell r="DA83">
            <v>0</v>
          </cell>
          <cell r="DB83"/>
          <cell r="DC83">
            <v>0</v>
          </cell>
          <cell r="DD83">
            <v>0</v>
          </cell>
          <cell r="DE83">
            <v>0</v>
          </cell>
          <cell r="DF83">
            <v>0</v>
          </cell>
          <cell r="DG83">
            <v>0</v>
          </cell>
          <cell r="DH83">
            <v>0</v>
          </cell>
          <cell r="DI83">
            <v>0</v>
          </cell>
          <cell r="DJ83">
            <v>0</v>
          </cell>
          <cell r="DK83">
            <v>0</v>
          </cell>
          <cell r="DL83">
            <v>0</v>
          </cell>
          <cell r="DM83"/>
          <cell r="DN83"/>
          <cell r="DO83"/>
          <cell r="DP83"/>
        </row>
        <row r="84">
          <cell r="A84">
            <v>202</v>
          </cell>
          <cell r="B84" t="str">
            <v>Arnhem</v>
          </cell>
          <cell r="C84">
            <v>5</v>
          </cell>
          <cell r="D84">
            <v>784835</v>
          </cell>
          <cell r="E84">
            <v>392417</v>
          </cell>
          <cell r="F84">
            <v>0</v>
          </cell>
          <cell r="G84">
            <v>159048</v>
          </cell>
          <cell r="H84">
            <v>-329178</v>
          </cell>
          <cell r="I84">
            <v>-174161</v>
          </cell>
          <cell r="J84"/>
          <cell r="K84">
            <v>0</v>
          </cell>
          <cell r="L84">
            <v>1090547</v>
          </cell>
          <cell r="M84">
            <v>1160250</v>
          </cell>
          <cell r="N84">
            <v>0</v>
          </cell>
          <cell r="O84">
            <v>0</v>
          </cell>
          <cell r="P84">
            <v>374923</v>
          </cell>
          <cell r="Q84">
            <v>0</v>
          </cell>
          <cell r="R84">
            <v>0</v>
          </cell>
          <cell r="S84">
            <v>1002304</v>
          </cell>
          <cell r="T84">
            <v>833430</v>
          </cell>
          <cell r="U84">
            <v>954281</v>
          </cell>
          <cell r="V84">
            <v>12000</v>
          </cell>
          <cell r="W84">
            <v>501884</v>
          </cell>
          <cell r="X84">
            <v>685985</v>
          </cell>
          <cell r="Y84"/>
          <cell r="Z84">
            <v>0</v>
          </cell>
          <cell r="AA84">
            <v>0</v>
          </cell>
          <cell r="AB84">
            <v>0</v>
          </cell>
          <cell r="AC84"/>
          <cell r="AD84">
            <v>293340</v>
          </cell>
          <cell r="AE84">
            <v>0</v>
          </cell>
          <cell r="AF84">
            <v>0</v>
          </cell>
          <cell r="AG84">
            <v>0</v>
          </cell>
          <cell r="AH84">
            <v>0</v>
          </cell>
          <cell r="AI84">
            <v>0</v>
          </cell>
          <cell r="AJ84">
            <v>266850</v>
          </cell>
          <cell r="AK84">
            <v>565178</v>
          </cell>
          <cell r="AL84"/>
          <cell r="AM84">
            <v>0</v>
          </cell>
          <cell r="AN84">
            <v>0</v>
          </cell>
          <cell r="AO84">
            <v>0</v>
          </cell>
          <cell r="AP84">
            <v>0</v>
          </cell>
          <cell r="AQ84">
            <v>0</v>
          </cell>
          <cell r="AR84">
            <v>0</v>
          </cell>
          <cell r="AS84">
            <v>0</v>
          </cell>
          <cell r="AT84">
            <v>20000</v>
          </cell>
          <cell r="AU84">
            <v>7110</v>
          </cell>
          <cell r="AV84">
            <v>8526213.9108896591</v>
          </cell>
          <cell r="AW84">
            <v>110401</v>
          </cell>
          <cell r="AX84">
            <v>0</v>
          </cell>
          <cell r="AY84"/>
          <cell r="AZ84"/>
          <cell r="BA84">
            <v>0</v>
          </cell>
          <cell r="BB84"/>
          <cell r="BC84">
            <v>0</v>
          </cell>
          <cell r="BD84">
            <v>54656</v>
          </cell>
          <cell r="BE84"/>
          <cell r="BF84">
            <v>0</v>
          </cell>
          <cell r="BG84">
            <v>0</v>
          </cell>
          <cell r="BH84">
            <v>0</v>
          </cell>
          <cell r="BI84">
            <v>351923</v>
          </cell>
          <cell r="BJ84">
            <v>289685</v>
          </cell>
          <cell r="BK84">
            <v>289685</v>
          </cell>
          <cell r="BL84">
            <v>0</v>
          </cell>
          <cell r="BM84">
            <v>0</v>
          </cell>
          <cell r="BN84">
            <v>278740</v>
          </cell>
          <cell r="BO84">
            <v>226675</v>
          </cell>
          <cell r="BP84">
            <v>47442</v>
          </cell>
          <cell r="BQ84">
            <v>85465.1162790698</v>
          </cell>
          <cell r="BR84">
            <v>394500</v>
          </cell>
          <cell r="BS84">
            <v>0</v>
          </cell>
          <cell r="BT84">
            <v>303260</v>
          </cell>
          <cell r="BU84"/>
          <cell r="BV84"/>
          <cell r="BW84"/>
          <cell r="BX84"/>
          <cell r="BY84">
            <v>4417406.7447492098</v>
          </cell>
          <cell r="BZ84">
            <v>5119076.0780028403</v>
          </cell>
          <cell r="CA84">
            <v>5179017.6793360701</v>
          </cell>
          <cell r="CB84">
            <v>5348264.5536887003</v>
          </cell>
          <cell r="CC84">
            <v>11711732</v>
          </cell>
          <cell r="CD84">
            <v>177610861</v>
          </cell>
          <cell r="CE84">
            <v>6345203</v>
          </cell>
          <cell r="CF84">
            <v>-357419</v>
          </cell>
          <cell r="CG84">
            <v>6255203</v>
          </cell>
          <cell r="CH84">
            <v>6255203</v>
          </cell>
          <cell r="CI84">
            <v>6255203</v>
          </cell>
          <cell r="CJ84">
            <v>6255203</v>
          </cell>
          <cell r="CK84">
            <v>71047164</v>
          </cell>
          <cell r="CL84">
            <v>71012319</v>
          </cell>
          <cell r="CM84">
            <v>71011755</v>
          </cell>
          <cell r="CN84">
            <v>71010515</v>
          </cell>
          <cell r="CO84">
            <v>71012233</v>
          </cell>
          <cell r="CP84">
            <v>-8908</v>
          </cell>
          <cell r="CQ84">
            <v>30387268</v>
          </cell>
          <cell r="CR84">
            <v>29052129</v>
          </cell>
          <cell r="CS84">
            <v>28328290</v>
          </cell>
          <cell r="CT84">
            <v>27691609</v>
          </cell>
          <cell r="CU84">
            <v>27005210</v>
          </cell>
          <cell r="CV84">
            <v>377450</v>
          </cell>
          <cell r="CW84">
            <v>0</v>
          </cell>
          <cell r="CX84">
            <v>0</v>
          </cell>
          <cell r="CY84">
            <v>0</v>
          </cell>
          <cell r="CZ84">
            <v>0</v>
          </cell>
          <cell r="DA84">
            <v>0</v>
          </cell>
          <cell r="DB84"/>
          <cell r="DC84">
            <v>0</v>
          </cell>
          <cell r="DD84">
            <v>0</v>
          </cell>
          <cell r="DE84">
            <v>0</v>
          </cell>
          <cell r="DF84">
            <v>0</v>
          </cell>
          <cell r="DG84">
            <v>0</v>
          </cell>
          <cell r="DH84">
            <v>0</v>
          </cell>
          <cell r="DI84">
            <v>0</v>
          </cell>
          <cell r="DJ84">
            <v>0</v>
          </cell>
          <cell r="DK84">
            <v>0</v>
          </cell>
          <cell r="DL84">
            <v>0</v>
          </cell>
          <cell r="DM84"/>
          <cell r="DN84"/>
          <cell r="DO84"/>
          <cell r="DP84"/>
        </row>
        <row r="85">
          <cell r="A85">
            <v>203</v>
          </cell>
          <cell r="B85" t="str">
            <v>Barneveld</v>
          </cell>
          <cell r="C85">
            <v>5</v>
          </cell>
          <cell r="D85">
            <v>-62466</v>
          </cell>
          <cell r="E85">
            <v>-31233</v>
          </cell>
          <cell r="F85">
            <v>0</v>
          </cell>
          <cell r="G85">
            <v>0</v>
          </cell>
          <cell r="H85">
            <v>0</v>
          </cell>
          <cell r="I85">
            <v>0</v>
          </cell>
          <cell r="J85"/>
          <cell r="K85">
            <v>0</v>
          </cell>
          <cell r="L85">
            <v>174230</v>
          </cell>
          <cell r="M85">
            <v>163318</v>
          </cell>
          <cell r="N85">
            <v>0</v>
          </cell>
          <cell r="O85">
            <v>0</v>
          </cell>
          <cell r="P85">
            <v>0</v>
          </cell>
          <cell r="Q85">
            <v>0</v>
          </cell>
          <cell r="R85">
            <v>0</v>
          </cell>
          <cell r="S85">
            <v>0</v>
          </cell>
          <cell r="T85">
            <v>0</v>
          </cell>
          <cell r="U85">
            <v>0</v>
          </cell>
          <cell r="V85">
            <v>6000</v>
          </cell>
          <cell r="W85">
            <v>259106</v>
          </cell>
          <cell r="X85">
            <v>0</v>
          </cell>
          <cell r="Y85"/>
          <cell r="Z85">
            <v>0</v>
          </cell>
          <cell r="AA85">
            <v>0</v>
          </cell>
          <cell r="AB85">
            <v>0</v>
          </cell>
          <cell r="AC85"/>
          <cell r="AD85">
            <v>0</v>
          </cell>
          <cell r="AE85">
            <v>0</v>
          </cell>
          <cell r="AF85">
            <v>0</v>
          </cell>
          <cell r="AG85">
            <v>0</v>
          </cell>
          <cell r="AH85">
            <v>0</v>
          </cell>
          <cell r="AI85">
            <v>0</v>
          </cell>
          <cell r="AJ85">
            <v>0</v>
          </cell>
          <cell r="AK85">
            <v>0</v>
          </cell>
          <cell r="AL85"/>
          <cell r="AM85">
            <v>0</v>
          </cell>
          <cell r="AN85">
            <v>0</v>
          </cell>
          <cell r="AO85">
            <v>0</v>
          </cell>
          <cell r="AP85">
            <v>0</v>
          </cell>
          <cell r="AQ85">
            <v>0</v>
          </cell>
          <cell r="AR85">
            <v>0</v>
          </cell>
          <cell r="AS85">
            <v>0</v>
          </cell>
          <cell r="AT85">
            <v>0</v>
          </cell>
          <cell r="AU85">
            <v>2370</v>
          </cell>
          <cell r="AV85">
            <v>0</v>
          </cell>
          <cell r="AW85">
            <v>0</v>
          </cell>
          <cell r="AX85">
            <v>0</v>
          </cell>
          <cell r="AY85"/>
          <cell r="AZ85"/>
          <cell r="BA85">
            <v>0</v>
          </cell>
          <cell r="BB85"/>
          <cell r="BC85">
            <v>0</v>
          </cell>
          <cell r="BD85">
            <v>19790</v>
          </cell>
          <cell r="BE85"/>
          <cell r="BF85">
            <v>0</v>
          </cell>
          <cell r="BG85">
            <v>0</v>
          </cell>
          <cell r="BH85">
            <v>0</v>
          </cell>
          <cell r="BI85">
            <v>47145</v>
          </cell>
          <cell r="BJ85">
            <v>38807</v>
          </cell>
          <cell r="BK85">
            <v>38807</v>
          </cell>
          <cell r="BL85">
            <v>0</v>
          </cell>
          <cell r="BM85">
            <v>0</v>
          </cell>
          <cell r="BN85">
            <v>0</v>
          </cell>
          <cell r="BO85">
            <v>81720</v>
          </cell>
          <cell r="BP85">
            <v>7907</v>
          </cell>
          <cell r="BQ85">
            <v>14244.186046511601</v>
          </cell>
          <cell r="BR85">
            <v>0</v>
          </cell>
          <cell r="BS85">
            <v>0</v>
          </cell>
          <cell r="BT85">
            <v>107089</v>
          </cell>
          <cell r="BU85"/>
          <cell r="BV85"/>
          <cell r="BW85"/>
          <cell r="BX85"/>
          <cell r="BY85">
            <v>0</v>
          </cell>
          <cell r="BZ85">
            <v>0</v>
          </cell>
          <cell r="CA85">
            <v>0</v>
          </cell>
          <cell r="CB85">
            <v>0</v>
          </cell>
          <cell r="CC85">
            <v>3210223</v>
          </cell>
          <cell r="CD85">
            <v>24865353</v>
          </cell>
          <cell r="CE85">
            <v>4389899</v>
          </cell>
          <cell r="CF85">
            <v>0</v>
          </cell>
          <cell r="CG85">
            <v>4389899</v>
          </cell>
          <cell r="CH85">
            <v>4389899</v>
          </cell>
          <cell r="CI85">
            <v>4389899</v>
          </cell>
          <cell r="CJ85">
            <v>4389899</v>
          </cell>
          <cell r="CK85">
            <v>0</v>
          </cell>
          <cell r="CL85">
            <v>0</v>
          </cell>
          <cell r="CM85">
            <v>0</v>
          </cell>
          <cell r="CN85">
            <v>0</v>
          </cell>
          <cell r="CO85">
            <v>0</v>
          </cell>
          <cell r="CP85">
            <v>0</v>
          </cell>
          <cell r="CQ85">
            <v>2642194</v>
          </cell>
          <cell r="CR85">
            <v>2501792</v>
          </cell>
          <cell r="CS85">
            <v>2431931</v>
          </cell>
          <cell r="CT85">
            <v>2346414</v>
          </cell>
          <cell r="CU85">
            <v>2271010</v>
          </cell>
          <cell r="CV85">
            <v>-167542</v>
          </cell>
          <cell r="CW85">
            <v>0</v>
          </cell>
          <cell r="CX85">
            <v>0</v>
          </cell>
          <cell r="CY85">
            <v>0</v>
          </cell>
          <cell r="CZ85">
            <v>0</v>
          </cell>
          <cell r="DA85">
            <v>0</v>
          </cell>
          <cell r="DB85"/>
          <cell r="DC85">
            <v>0</v>
          </cell>
          <cell r="DD85">
            <v>0</v>
          </cell>
          <cell r="DE85">
            <v>0</v>
          </cell>
          <cell r="DF85">
            <v>0</v>
          </cell>
          <cell r="DG85">
            <v>0</v>
          </cell>
          <cell r="DH85">
            <v>0</v>
          </cell>
          <cell r="DI85">
            <v>0</v>
          </cell>
          <cell r="DJ85">
            <v>0</v>
          </cell>
          <cell r="DK85">
            <v>0</v>
          </cell>
          <cell r="DL85">
            <v>0</v>
          </cell>
          <cell r="DM85"/>
          <cell r="DN85"/>
          <cell r="DO85"/>
          <cell r="DP85"/>
        </row>
        <row r="86">
          <cell r="A86">
            <v>1945</v>
          </cell>
          <cell r="B86" t="str">
            <v>Berg en Dal</v>
          </cell>
          <cell r="C86">
            <v>5</v>
          </cell>
          <cell r="D86">
            <v>-40199</v>
          </cell>
          <cell r="E86">
            <v>-20099</v>
          </cell>
          <cell r="F86">
            <v>0</v>
          </cell>
          <cell r="G86">
            <v>0</v>
          </cell>
          <cell r="H86">
            <v>-40478</v>
          </cell>
          <cell r="I86">
            <v>-21254</v>
          </cell>
          <cell r="J86"/>
          <cell r="K86">
            <v>0</v>
          </cell>
          <cell r="L86">
            <v>108016</v>
          </cell>
          <cell r="M86">
            <v>107466</v>
          </cell>
          <cell r="N86">
            <v>0</v>
          </cell>
          <cell r="O86">
            <v>0</v>
          </cell>
          <cell r="P86">
            <v>0</v>
          </cell>
          <cell r="Q86">
            <v>0</v>
          </cell>
          <cell r="R86">
            <v>0</v>
          </cell>
          <cell r="S86">
            <v>0</v>
          </cell>
          <cell r="T86">
            <v>0</v>
          </cell>
          <cell r="U86">
            <v>0</v>
          </cell>
          <cell r="V86">
            <v>0</v>
          </cell>
          <cell r="W86">
            <v>130233</v>
          </cell>
          <cell r="X86">
            <v>0</v>
          </cell>
          <cell r="Y86"/>
          <cell r="Z86">
            <v>0</v>
          </cell>
          <cell r="AA86">
            <v>0</v>
          </cell>
          <cell r="AB86">
            <v>0</v>
          </cell>
          <cell r="AC86"/>
          <cell r="AD86">
            <v>26400</v>
          </cell>
          <cell r="AE86">
            <v>0</v>
          </cell>
          <cell r="AF86">
            <v>0</v>
          </cell>
          <cell r="AG86">
            <v>0</v>
          </cell>
          <cell r="AH86">
            <v>0</v>
          </cell>
          <cell r="AI86">
            <v>0</v>
          </cell>
          <cell r="AJ86">
            <v>0</v>
          </cell>
          <cell r="AK86">
            <v>0</v>
          </cell>
          <cell r="AL86"/>
          <cell r="AM86">
            <v>0</v>
          </cell>
          <cell r="AN86">
            <v>0</v>
          </cell>
          <cell r="AO86">
            <v>0</v>
          </cell>
          <cell r="AP86">
            <v>0</v>
          </cell>
          <cell r="AQ86">
            <v>0</v>
          </cell>
          <cell r="AR86">
            <v>0</v>
          </cell>
          <cell r="AS86">
            <v>0</v>
          </cell>
          <cell r="AT86">
            <v>0</v>
          </cell>
          <cell r="AU86">
            <v>2370</v>
          </cell>
          <cell r="AV86">
            <v>0</v>
          </cell>
          <cell r="AW86">
            <v>0</v>
          </cell>
          <cell r="AX86">
            <v>0</v>
          </cell>
          <cell r="AY86"/>
          <cell r="AZ86"/>
          <cell r="BA86">
            <v>0</v>
          </cell>
          <cell r="BB86"/>
          <cell r="BC86">
            <v>0</v>
          </cell>
          <cell r="BD86">
            <v>12203</v>
          </cell>
          <cell r="BE86"/>
          <cell r="BF86">
            <v>0</v>
          </cell>
          <cell r="BG86">
            <v>0</v>
          </cell>
          <cell r="BH86">
            <v>0</v>
          </cell>
          <cell r="BI86">
            <v>58582</v>
          </cell>
          <cell r="BJ86">
            <v>48222</v>
          </cell>
          <cell r="BK86">
            <v>48222</v>
          </cell>
          <cell r="BL86">
            <v>0</v>
          </cell>
          <cell r="BM86">
            <v>0</v>
          </cell>
          <cell r="BN86">
            <v>0</v>
          </cell>
          <cell r="BO86">
            <v>148847</v>
          </cell>
          <cell r="BP86">
            <v>1581.4</v>
          </cell>
          <cell r="BQ86">
            <v>2848.8372093023299</v>
          </cell>
          <cell r="BR86">
            <v>0</v>
          </cell>
          <cell r="BS86">
            <v>0</v>
          </cell>
          <cell r="BT86">
            <v>59050</v>
          </cell>
          <cell r="BU86"/>
          <cell r="BV86"/>
          <cell r="BW86"/>
          <cell r="BX86"/>
          <cell r="BY86">
            <v>0</v>
          </cell>
          <cell r="BZ86">
            <v>0</v>
          </cell>
          <cell r="CA86">
            <v>0</v>
          </cell>
          <cell r="CB86">
            <v>0</v>
          </cell>
          <cell r="CC86">
            <v>3371100</v>
          </cell>
          <cell r="CD86">
            <v>17838019</v>
          </cell>
          <cell r="CE86">
            <v>1247836</v>
          </cell>
          <cell r="CF86">
            <v>-15862</v>
          </cell>
          <cell r="CG86">
            <v>1247836</v>
          </cell>
          <cell r="CH86">
            <v>1247836</v>
          </cell>
          <cell r="CI86">
            <v>1247836</v>
          </cell>
          <cell r="CJ86">
            <v>1247836</v>
          </cell>
          <cell r="CK86">
            <v>0</v>
          </cell>
          <cell r="CL86">
            <v>0</v>
          </cell>
          <cell r="CM86">
            <v>0</v>
          </cell>
          <cell r="CN86">
            <v>0</v>
          </cell>
          <cell r="CO86">
            <v>0</v>
          </cell>
          <cell r="CP86">
            <v>-5318</v>
          </cell>
          <cell r="CQ86">
            <v>4312628</v>
          </cell>
          <cell r="CR86">
            <v>4049642</v>
          </cell>
          <cell r="CS86">
            <v>3906055</v>
          </cell>
          <cell r="CT86">
            <v>3786136</v>
          </cell>
          <cell r="CU86">
            <v>3690519</v>
          </cell>
          <cell r="CV86">
            <v>64130</v>
          </cell>
          <cell r="CW86">
            <v>0</v>
          </cell>
          <cell r="CX86">
            <v>0</v>
          </cell>
          <cell r="CY86">
            <v>0</v>
          </cell>
          <cell r="CZ86">
            <v>0</v>
          </cell>
          <cell r="DA86">
            <v>0</v>
          </cell>
          <cell r="DB86"/>
          <cell r="DC86">
            <v>0</v>
          </cell>
          <cell r="DD86">
            <v>0</v>
          </cell>
          <cell r="DE86">
            <v>0</v>
          </cell>
          <cell r="DF86">
            <v>0</v>
          </cell>
          <cell r="DG86">
            <v>0</v>
          </cell>
          <cell r="DH86">
            <v>0</v>
          </cell>
          <cell r="DI86">
            <v>0</v>
          </cell>
          <cell r="DJ86">
            <v>0</v>
          </cell>
          <cell r="DK86">
            <v>0</v>
          </cell>
          <cell r="DL86">
            <v>0</v>
          </cell>
          <cell r="DM86"/>
          <cell r="DN86"/>
          <cell r="DO86"/>
          <cell r="DP86"/>
        </row>
        <row r="87">
          <cell r="A87">
            <v>1859</v>
          </cell>
          <cell r="B87" t="str">
            <v>Berkelland</v>
          </cell>
          <cell r="C87">
            <v>5</v>
          </cell>
          <cell r="D87">
            <v>8596</v>
          </cell>
          <cell r="E87">
            <v>4298</v>
          </cell>
          <cell r="F87">
            <v>0</v>
          </cell>
          <cell r="G87">
            <v>0</v>
          </cell>
          <cell r="H87">
            <v>-24950</v>
          </cell>
          <cell r="I87">
            <v>0</v>
          </cell>
          <cell r="J87"/>
          <cell r="K87">
            <v>0</v>
          </cell>
          <cell r="L87">
            <v>131752</v>
          </cell>
          <cell r="M87">
            <v>131035</v>
          </cell>
          <cell r="N87">
            <v>0</v>
          </cell>
          <cell r="O87">
            <v>0</v>
          </cell>
          <cell r="P87">
            <v>0</v>
          </cell>
          <cell r="Q87">
            <v>0</v>
          </cell>
          <cell r="R87">
            <v>0</v>
          </cell>
          <cell r="S87">
            <v>0</v>
          </cell>
          <cell r="T87">
            <v>0</v>
          </cell>
          <cell r="U87">
            <v>0</v>
          </cell>
          <cell r="V87">
            <v>0</v>
          </cell>
          <cell r="W87">
            <v>184270</v>
          </cell>
          <cell r="X87">
            <v>0</v>
          </cell>
          <cell r="Y87"/>
          <cell r="Z87">
            <v>0</v>
          </cell>
          <cell r="AA87">
            <v>0</v>
          </cell>
          <cell r="AB87">
            <v>0</v>
          </cell>
          <cell r="AC87"/>
          <cell r="AD87">
            <v>64534</v>
          </cell>
          <cell r="AE87">
            <v>0</v>
          </cell>
          <cell r="AF87">
            <v>0</v>
          </cell>
          <cell r="AG87">
            <v>0</v>
          </cell>
          <cell r="AH87">
            <v>0</v>
          </cell>
          <cell r="AI87">
            <v>0</v>
          </cell>
          <cell r="AJ87">
            <v>0</v>
          </cell>
          <cell r="AK87">
            <v>0</v>
          </cell>
          <cell r="AL87"/>
          <cell r="AM87">
            <v>0</v>
          </cell>
          <cell r="AN87">
            <v>0</v>
          </cell>
          <cell r="AO87">
            <v>0</v>
          </cell>
          <cell r="AP87">
            <v>0</v>
          </cell>
          <cell r="AQ87">
            <v>0</v>
          </cell>
          <cell r="AR87">
            <v>0</v>
          </cell>
          <cell r="AS87">
            <v>0</v>
          </cell>
          <cell r="AT87">
            <v>0</v>
          </cell>
          <cell r="AU87">
            <v>0</v>
          </cell>
          <cell r="AV87">
            <v>0</v>
          </cell>
          <cell r="AW87">
            <v>0</v>
          </cell>
          <cell r="AX87">
            <v>0</v>
          </cell>
          <cell r="AY87"/>
          <cell r="AZ87"/>
          <cell r="BA87">
            <v>0</v>
          </cell>
          <cell r="BB87"/>
          <cell r="BC87">
            <v>0</v>
          </cell>
          <cell r="BD87">
            <v>15529</v>
          </cell>
          <cell r="BE87"/>
          <cell r="BF87">
            <v>0</v>
          </cell>
          <cell r="BG87">
            <v>0</v>
          </cell>
          <cell r="BH87">
            <v>0</v>
          </cell>
          <cell r="BI87">
            <v>62125</v>
          </cell>
          <cell r="BJ87">
            <v>51138</v>
          </cell>
          <cell r="BK87">
            <v>51138</v>
          </cell>
          <cell r="BL87">
            <v>0</v>
          </cell>
          <cell r="BM87">
            <v>11060</v>
          </cell>
          <cell r="BN87">
            <v>0</v>
          </cell>
          <cell r="BO87">
            <v>173168</v>
          </cell>
          <cell r="BP87">
            <v>4744.2</v>
          </cell>
          <cell r="BQ87">
            <v>8546.5116279069807</v>
          </cell>
          <cell r="BR87">
            <v>0</v>
          </cell>
          <cell r="BS87">
            <v>0</v>
          </cell>
          <cell r="BT87">
            <v>81055</v>
          </cell>
          <cell r="BU87"/>
          <cell r="BV87"/>
          <cell r="BW87"/>
          <cell r="BX87"/>
          <cell r="BY87">
            <v>0</v>
          </cell>
          <cell r="BZ87">
            <v>0</v>
          </cell>
          <cell r="CA87">
            <v>0</v>
          </cell>
          <cell r="CB87">
            <v>0</v>
          </cell>
          <cell r="CC87">
            <v>3928845</v>
          </cell>
          <cell r="CD87">
            <v>21907616</v>
          </cell>
          <cell r="CE87">
            <v>1303564</v>
          </cell>
          <cell r="CF87">
            <v>0</v>
          </cell>
          <cell r="CG87">
            <v>1303564</v>
          </cell>
          <cell r="CH87">
            <v>1303564</v>
          </cell>
          <cell r="CI87">
            <v>1303564</v>
          </cell>
          <cell r="CJ87">
            <v>1303564</v>
          </cell>
          <cell r="CK87">
            <v>0</v>
          </cell>
          <cell r="CL87">
            <v>0</v>
          </cell>
          <cell r="CM87">
            <v>0</v>
          </cell>
          <cell r="CN87">
            <v>0</v>
          </cell>
          <cell r="CO87">
            <v>0</v>
          </cell>
          <cell r="CP87">
            <v>0</v>
          </cell>
          <cell r="CQ87">
            <v>6440778</v>
          </cell>
          <cell r="CR87">
            <v>6079098</v>
          </cell>
          <cell r="CS87">
            <v>5854952</v>
          </cell>
          <cell r="CT87">
            <v>5692840</v>
          </cell>
          <cell r="CU87">
            <v>5491420</v>
          </cell>
          <cell r="CV87">
            <v>18692</v>
          </cell>
          <cell r="CW87">
            <v>0</v>
          </cell>
          <cell r="CX87">
            <v>0</v>
          </cell>
          <cell r="CY87">
            <v>0</v>
          </cell>
          <cell r="CZ87">
            <v>0</v>
          </cell>
          <cell r="DA87">
            <v>0</v>
          </cell>
          <cell r="DB87"/>
          <cell r="DC87">
            <v>0</v>
          </cell>
          <cell r="DD87">
            <v>0</v>
          </cell>
          <cell r="DE87">
            <v>0</v>
          </cell>
          <cell r="DF87">
            <v>0</v>
          </cell>
          <cell r="DG87">
            <v>0</v>
          </cell>
          <cell r="DH87">
            <v>0</v>
          </cell>
          <cell r="DI87">
            <v>0</v>
          </cell>
          <cell r="DJ87">
            <v>0</v>
          </cell>
          <cell r="DK87">
            <v>0</v>
          </cell>
          <cell r="DL87">
            <v>0</v>
          </cell>
          <cell r="DM87"/>
          <cell r="DN87"/>
          <cell r="DO87"/>
          <cell r="DP87"/>
        </row>
        <row r="88">
          <cell r="A88">
            <v>209</v>
          </cell>
          <cell r="B88" t="str">
            <v>Beuningen</v>
          </cell>
          <cell r="C88">
            <v>5</v>
          </cell>
          <cell r="D88">
            <v>5090</v>
          </cell>
          <cell r="E88">
            <v>2545</v>
          </cell>
          <cell r="F88">
            <v>0</v>
          </cell>
          <cell r="G88">
            <v>0</v>
          </cell>
          <cell r="H88">
            <v>0</v>
          </cell>
          <cell r="I88">
            <v>-3617</v>
          </cell>
          <cell r="J88"/>
          <cell r="K88">
            <v>0</v>
          </cell>
          <cell r="L88">
            <v>91522</v>
          </cell>
          <cell r="M88">
            <v>84516</v>
          </cell>
          <cell r="N88">
            <v>0</v>
          </cell>
          <cell r="O88">
            <v>0</v>
          </cell>
          <cell r="P88">
            <v>0</v>
          </cell>
          <cell r="Q88">
            <v>0</v>
          </cell>
          <cell r="R88">
            <v>0</v>
          </cell>
          <cell r="S88">
            <v>0</v>
          </cell>
          <cell r="T88">
            <v>0</v>
          </cell>
          <cell r="U88">
            <v>0</v>
          </cell>
          <cell r="V88">
            <v>0</v>
          </cell>
          <cell r="W88">
            <v>110795</v>
          </cell>
          <cell r="X88">
            <v>0</v>
          </cell>
          <cell r="Y88"/>
          <cell r="Z88">
            <v>0</v>
          </cell>
          <cell r="AA88">
            <v>0</v>
          </cell>
          <cell r="AB88">
            <v>0</v>
          </cell>
          <cell r="AC88"/>
          <cell r="AD88">
            <v>20000</v>
          </cell>
          <cell r="AE88">
            <v>0</v>
          </cell>
          <cell r="AF88">
            <v>0</v>
          </cell>
          <cell r="AG88">
            <v>0</v>
          </cell>
          <cell r="AH88">
            <v>0</v>
          </cell>
          <cell r="AI88">
            <v>0</v>
          </cell>
          <cell r="AJ88">
            <v>0</v>
          </cell>
          <cell r="AK88">
            <v>0</v>
          </cell>
          <cell r="AL88"/>
          <cell r="AM88">
            <v>0</v>
          </cell>
          <cell r="AN88">
            <v>0</v>
          </cell>
          <cell r="AO88">
            <v>0</v>
          </cell>
          <cell r="AP88">
            <v>0</v>
          </cell>
          <cell r="AQ88">
            <v>0</v>
          </cell>
          <cell r="AR88">
            <v>0</v>
          </cell>
          <cell r="AS88">
            <v>0</v>
          </cell>
          <cell r="AT88">
            <v>0</v>
          </cell>
          <cell r="AU88">
            <v>2370</v>
          </cell>
          <cell r="AV88">
            <v>0</v>
          </cell>
          <cell r="AW88">
            <v>0</v>
          </cell>
          <cell r="AX88">
            <v>0</v>
          </cell>
          <cell r="AY88"/>
          <cell r="AZ88"/>
          <cell r="BA88">
            <v>0</v>
          </cell>
          <cell r="BB88"/>
          <cell r="BC88">
            <v>0</v>
          </cell>
          <cell r="BD88">
            <v>8925</v>
          </cell>
          <cell r="BE88"/>
          <cell r="BF88">
            <v>0</v>
          </cell>
          <cell r="BG88">
            <v>0</v>
          </cell>
          <cell r="BH88">
            <v>0</v>
          </cell>
          <cell r="BI88">
            <v>29649</v>
          </cell>
          <cell r="BJ88">
            <v>24405</v>
          </cell>
          <cell r="BK88">
            <v>24405</v>
          </cell>
          <cell r="BL88">
            <v>0</v>
          </cell>
          <cell r="BM88">
            <v>0</v>
          </cell>
          <cell r="BN88">
            <v>0</v>
          </cell>
          <cell r="BO88">
            <v>129876</v>
          </cell>
          <cell r="BP88">
            <v>15814</v>
          </cell>
          <cell r="BQ88">
            <v>28488.372093023299</v>
          </cell>
          <cell r="BR88">
            <v>0</v>
          </cell>
          <cell r="BS88">
            <v>0</v>
          </cell>
          <cell r="BT88">
            <v>42717</v>
          </cell>
          <cell r="BU88"/>
          <cell r="BV88"/>
          <cell r="BW88"/>
          <cell r="BX88"/>
          <cell r="BY88">
            <v>0</v>
          </cell>
          <cell r="BZ88">
            <v>0</v>
          </cell>
          <cell r="CA88">
            <v>0</v>
          </cell>
          <cell r="CB88">
            <v>0</v>
          </cell>
          <cell r="CC88">
            <v>1695502</v>
          </cell>
          <cell r="CD88">
            <v>10966917</v>
          </cell>
          <cell r="CE88">
            <v>423290</v>
          </cell>
          <cell r="CF88">
            <v>0</v>
          </cell>
          <cell r="CG88">
            <v>423290</v>
          </cell>
          <cell r="CH88">
            <v>423290</v>
          </cell>
          <cell r="CI88">
            <v>423290</v>
          </cell>
          <cell r="CJ88">
            <v>423290</v>
          </cell>
          <cell r="CK88">
            <v>0</v>
          </cell>
          <cell r="CL88">
            <v>0</v>
          </cell>
          <cell r="CM88">
            <v>0</v>
          </cell>
          <cell r="CN88">
            <v>0</v>
          </cell>
          <cell r="CO88">
            <v>0</v>
          </cell>
          <cell r="CP88">
            <v>-1307</v>
          </cell>
          <cell r="CQ88">
            <v>2921972</v>
          </cell>
          <cell r="CR88">
            <v>2759705</v>
          </cell>
          <cell r="CS88">
            <v>2691796</v>
          </cell>
          <cell r="CT88">
            <v>2639177</v>
          </cell>
          <cell r="CU88">
            <v>2608898</v>
          </cell>
          <cell r="CV88">
            <v>31554</v>
          </cell>
          <cell r="CW88">
            <v>0</v>
          </cell>
          <cell r="CX88">
            <v>0</v>
          </cell>
          <cell r="CY88">
            <v>0</v>
          </cell>
          <cell r="CZ88">
            <v>0</v>
          </cell>
          <cell r="DA88">
            <v>0</v>
          </cell>
          <cell r="DB88"/>
          <cell r="DC88">
            <v>0</v>
          </cell>
          <cell r="DD88">
            <v>0</v>
          </cell>
          <cell r="DE88">
            <v>0</v>
          </cell>
          <cell r="DF88">
            <v>0</v>
          </cell>
          <cell r="DG88">
            <v>0</v>
          </cell>
          <cell r="DH88">
            <v>0</v>
          </cell>
          <cell r="DI88">
            <v>0</v>
          </cell>
          <cell r="DJ88">
            <v>0</v>
          </cell>
          <cell r="DK88">
            <v>0</v>
          </cell>
          <cell r="DL88">
            <v>0</v>
          </cell>
          <cell r="DM88"/>
          <cell r="DN88"/>
          <cell r="DO88"/>
          <cell r="DP88"/>
        </row>
        <row r="89">
          <cell r="A89">
            <v>1876</v>
          </cell>
          <cell r="B89" t="str">
            <v>Bronckhorst</v>
          </cell>
          <cell r="C89">
            <v>5</v>
          </cell>
          <cell r="D89">
            <v>-75761</v>
          </cell>
          <cell r="E89">
            <v>-37880</v>
          </cell>
          <cell r="F89">
            <v>0</v>
          </cell>
          <cell r="G89">
            <v>0</v>
          </cell>
          <cell r="H89">
            <v>-8056</v>
          </cell>
          <cell r="I89">
            <v>0</v>
          </cell>
          <cell r="J89"/>
          <cell r="K89">
            <v>0</v>
          </cell>
          <cell r="L89">
            <v>108633</v>
          </cell>
          <cell r="M89">
            <v>104990</v>
          </cell>
          <cell r="N89">
            <v>0</v>
          </cell>
          <cell r="O89">
            <v>0</v>
          </cell>
          <cell r="P89">
            <v>0</v>
          </cell>
          <cell r="Q89">
            <v>0</v>
          </cell>
          <cell r="R89">
            <v>0</v>
          </cell>
          <cell r="S89">
            <v>0</v>
          </cell>
          <cell r="T89">
            <v>0</v>
          </cell>
          <cell r="U89">
            <v>0</v>
          </cell>
          <cell r="V89">
            <v>3000</v>
          </cell>
          <cell r="W89">
            <v>135768</v>
          </cell>
          <cell r="X89">
            <v>0</v>
          </cell>
          <cell r="Y89"/>
          <cell r="Z89">
            <v>0</v>
          </cell>
          <cell r="AA89">
            <v>0</v>
          </cell>
          <cell r="AB89">
            <v>0</v>
          </cell>
          <cell r="AC89"/>
          <cell r="AD89">
            <v>0</v>
          </cell>
          <cell r="AE89">
            <v>0</v>
          </cell>
          <cell r="AF89">
            <v>0</v>
          </cell>
          <cell r="AG89">
            <v>0</v>
          </cell>
          <cell r="AH89">
            <v>0</v>
          </cell>
          <cell r="AI89">
            <v>0</v>
          </cell>
          <cell r="AJ89">
            <v>0</v>
          </cell>
          <cell r="AK89">
            <v>0</v>
          </cell>
          <cell r="AL89"/>
          <cell r="AM89">
            <v>0</v>
          </cell>
          <cell r="AN89">
            <v>0</v>
          </cell>
          <cell r="AO89">
            <v>0</v>
          </cell>
          <cell r="AP89">
            <v>0</v>
          </cell>
          <cell r="AQ89">
            <v>0</v>
          </cell>
          <cell r="AR89">
            <v>0</v>
          </cell>
          <cell r="AS89">
            <v>0</v>
          </cell>
          <cell r="AT89">
            <v>0</v>
          </cell>
          <cell r="AU89">
            <v>2370</v>
          </cell>
          <cell r="AV89">
            <v>0</v>
          </cell>
          <cell r="AW89">
            <v>0</v>
          </cell>
          <cell r="AX89">
            <v>0</v>
          </cell>
          <cell r="AY89"/>
          <cell r="AZ89"/>
          <cell r="BA89">
            <v>0</v>
          </cell>
          <cell r="BB89"/>
          <cell r="BC89">
            <v>0</v>
          </cell>
          <cell r="BD89">
            <v>12781</v>
          </cell>
          <cell r="BE89"/>
          <cell r="BF89">
            <v>0</v>
          </cell>
          <cell r="BG89">
            <v>0</v>
          </cell>
          <cell r="BH89">
            <v>0</v>
          </cell>
          <cell r="BI89">
            <v>45755</v>
          </cell>
          <cell r="BJ89">
            <v>37663</v>
          </cell>
          <cell r="BK89">
            <v>37663</v>
          </cell>
          <cell r="BL89">
            <v>0</v>
          </cell>
          <cell r="BM89">
            <v>0</v>
          </cell>
          <cell r="BN89">
            <v>0</v>
          </cell>
          <cell r="BO89">
            <v>128903</v>
          </cell>
          <cell r="BP89">
            <v>6325.6</v>
          </cell>
          <cell r="BQ89">
            <v>11395.3488372093</v>
          </cell>
          <cell r="BR89">
            <v>0</v>
          </cell>
          <cell r="BS89">
            <v>0</v>
          </cell>
          <cell r="BT89">
            <v>67913</v>
          </cell>
          <cell r="BU89"/>
          <cell r="BV89"/>
          <cell r="BW89"/>
          <cell r="BX89"/>
          <cell r="BY89">
            <v>0</v>
          </cell>
          <cell r="BZ89">
            <v>0</v>
          </cell>
          <cell r="CA89">
            <v>0</v>
          </cell>
          <cell r="CB89">
            <v>0</v>
          </cell>
          <cell r="CC89">
            <v>3162804</v>
          </cell>
          <cell r="CD89">
            <v>15439958</v>
          </cell>
          <cell r="CE89">
            <v>1441603</v>
          </cell>
          <cell r="CF89">
            <v>0</v>
          </cell>
          <cell r="CG89">
            <v>1441603</v>
          </cell>
          <cell r="CH89">
            <v>1441603</v>
          </cell>
          <cell r="CI89">
            <v>1441603</v>
          </cell>
          <cell r="CJ89">
            <v>1441603</v>
          </cell>
          <cell r="CK89">
            <v>0</v>
          </cell>
          <cell r="CL89">
            <v>0</v>
          </cell>
          <cell r="CM89">
            <v>0</v>
          </cell>
          <cell r="CN89">
            <v>0</v>
          </cell>
          <cell r="CO89">
            <v>0</v>
          </cell>
          <cell r="CP89">
            <v>0</v>
          </cell>
          <cell r="CQ89">
            <v>4001663</v>
          </cell>
          <cell r="CR89">
            <v>3817044</v>
          </cell>
          <cell r="CS89">
            <v>3738460</v>
          </cell>
          <cell r="CT89">
            <v>3631182</v>
          </cell>
          <cell r="CU89">
            <v>3561503</v>
          </cell>
          <cell r="CV89">
            <v>1146</v>
          </cell>
          <cell r="CW89">
            <v>0</v>
          </cell>
          <cell r="CX89">
            <v>0</v>
          </cell>
          <cell r="CY89">
            <v>0</v>
          </cell>
          <cell r="CZ89">
            <v>0</v>
          </cell>
          <cell r="DA89">
            <v>0</v>
          </cell>
          <cell r="DB89"/>
          <cell r="DC89">
            <v>0</v>
          </cell>
          <cell r="DD89">
            <v>0</v>
          </cell>
          <cell r="DE89">
            <v>0</v>
          </cell>
          <cell r="DF89">
            <v>0</v>
          </cell>
          <cell r="DG89">
            <v>0</v>
          </cell>
          <cell r="DH89">
            <v>0</v>
          </cell>
          <cell r="DI89">
            <v>0</v>
          </cell>
          <cell r="DJ89">
            <v>0</v>
          </cell>
          <cell r="DK89">
            <v>0</v>
          </cell>
          <cell r="DL89">
            <v>0</v>
          </cell>
          <cell r="DM89"/>
          <cell r="DN89"/>
          <cell r="DO89"/>
          <cell r="DP89"/>
        </row>
        <row r="90">
          <cell r="A90">
            <v>213</v>
          </cell>
          <cell r="B90" t="str">
            <v>Brummen</v>
          </cell>
          <cell r="C90">
            <v>5</v>
          </cell>
          <cell r="D90">
            <v>-15147</v>
          </cell>
          <cell r="E90">
            <v>-7573</v>
          </cell>
          <cell r="F90">
            <v>0</v>
          </cell>
          <cell r="G90">
            <v>0</v>
          </cell>
          <cell r="H90">
            <v>0</v>
          </cell>
          <cell r="I90">
            <v>0</v>
          </cell>
          <cell r="J90"/>
          <cell r="K90">
            <v>0</v>
          </cell>
          <cell r="L90">
            <v>69835</v>
          </cell>
          <cell r="M90">
            <v>71493</v>
          </cell>
          <cell r="N90">
            <v>0</v>
          </cell>
          <cell r="O90">
            <v>0</v>
          </cell>
          <cell r="P90">
            <v>0</v>
          </cell>
          <cell r="Q90">
            <v>0</v>
          </cell>
          <cell r="R90">
            <v>0</v>
          </cell>
          <cell r="S90">
            <v>0</v>
          </cell>
          <cell r="T90">
            <v>0</v>
          </cell>
          <cell r="U90">
            <v>0</v>
          </cell>
          <cell r="V90">
            <v>3000</v>
          </cell>
          <cell r="W90">
            <v>75966</v>
          </cell>
          <cell r="X90">
            <v>0</v>
          </cell>
          <cell r="Y90"/>
          <cell r="Z90">
            <v>0</v>
          </cell>
          <cell r="AA90">
            <v>0</v>
          </cell>
          <cell r="AB90">
            <v>0</v>
          </cell>
          <cell r="AC90"/>
          <cell r="AD90">
            <v>0</v>
          </cell>
          <cell r="AE90">
            <v>0</v>
          </cell>
          <cell r="AF90">
            <v>0</v>
          </cell>
          <cell r="AG90">
            <v>0</v>
          </cell>
          <cell r="AH90">
            <v>0</v>
          </cell>
          <cell r="AI90">
            <v>0</v>
          </cell>
          <cell r="AJ90">
            <v>0</v>
          </cell>
          <cell r="AK90">
            <v>0</v>
          </cell>
          <cell r="AL90"/>
          <cell r="AM90">
            <v>0</v>
          </cell>
          <cell r="AN90">
            <v>0</v>
          </cell>
          <cell r="AO90">
            <v>0</v>
          </cell>
          <cell r="AP90">
            <v>0</v>
          </cell>
          <cell r="AQ90">
            <v>0</v>
          </cell>
          <cell r="AR90">
            <v>0</v>
          </cell>
          <cell r="AS90">
            <v>0</v>
          </cell>
          <cell r="AT90">
            <v>0</v>
          </cell>
          <cell r="AU90">
            <v>2370</v>
          </cell>
          <cell r="AV90">
            <v>0</v>
          </cell>
          <cell r="AW90">
            <v>0</v>
          </cell>
          <cell r="AX90">
            <v>0</v>
          </cell>
          <cell r="AY90"/>
          <cell r="AZ90"/>
          <cell r="BA90">
            <v>0</v>
          </cell>
          <cell r="BB90"/>
          <cell r="BC90">
            <v>0</v>
          </cell>
          <cell r="BD90">
            <v>7317</v>
          </cell>
          <cell r="BE90"/>
          <cell r="BF90">
            <v>0</v>
          </cell>
          <cell r="BG90">
            <v>0</v>
          </cell>
          <cell r="BH90">
            <v>0</v>
          </cell>
          <cell r="BI90">
            <v>26126</v>
          </cell>
          <cell r="BJ90">
            <v>21505</v>
          </cell>
          <cell r="BK90">
            <v>21505</v>
          </cell>
          <cell r="BL90">
            <v>0</v>
          </cell>
          <cell r="BM90">
            <v>0</v>
          </cell>
          <cell r="BN90">
            <v>0</v>
          </cell>
          <cell r="BO90">
            <v>37941</v>
          </cell>
          <cell r="BP90">
            <v>12651.2</v>
          </cell>
          <cell r="BQ90">
            <v>22790.697674418599</v>
          </cell>
          <cell r="BR90">
            <v>0</v>
          </cell>
          <cell r="BS90">
            <v>0</v>
          </cell>
          <cell r="BT90">
            <v>34405</v>
          </cell>
          <cell r="BU90"/>
          <cell r="BV90"/>
          <cell r="BW90"/>
          <cell r="BX90"/>
          <cell r="BY90">
            <v>0</v>
          </cell>
          <cell r="BZ90">
            <v>0</v>
          </cell>
          <cell r="CA90">
            <v>0</v>
          </cell>
          <cell r="CB90">
            <v>0</v>
          </cell>
          <cell r="CC90">
            <v>1906973</v>
          </cell>
          <cell r="CD90">
            <v>9520917</v>
          </cell>
          <cell r="CE90">
            <v>548490</v>
          </cell>
          <cell r="CF90">
            <v>0</v>
          </cell>
          <cell r="CG90">
            <v>548490</v>
          </cell>
          <cell r="CH90">
            <v>548490</v>
          </cell>
          <cell r="CI90">
            <v>548490</v>
          </cell>
          <cell r="CJ90">
            <v>548490</v>
          </cell>
          <cell r="CK90">
            <v>0</v>
          </cell>
          <cell r="CL90">
            <v>0</v>
          </cell>
          <cell r="CM90">
            <v>0</v>
          </cell>
          <cell r="CN90">
            <v>0</v>
          </cell>
          <cell r="CO90">
            <v>0</v>
          </cell>
          <cell r="CP90">
            <v>0</v>
          </cell>
          <cell r="CQ90">
            <v>1972821</v>
          </cell>
          <cell r="CR90">
            <v>1890572</v>
          </cell>
          <cell r="CS90">
            <v>1870435</v>
          </cell>
          <cell r="CT90">
            <v>1830004</v>
          </cell>
          <cell r="CU90">
            <v>1803533</v>
          </cell>
          <cell r="CV90">
            <v>43401</v>
          </cell>
          <cell r="CW90">
            <v>0</v>
          </cell>
          <cell r="CX90">
            <v>0</v>
          </cell>
          <cell r="CY90">
            <v>0</v>
          </cell>
          <cell r="CZ90">
            <v>0</v>
          </cell>
          <cell r="DA90">
            <v>0</v>
          </cell>
          <cell r="DB90"/>
          <cell r="DC90">
            <v>0</v>
          </cell>
          <cell r="DD90">
            <v>0</v>
          </cell>
          <cell r="DE90">
            <v>0</v>
          </cell>
          <cell r="DF90">
            <v>0</v>
          </cell>
          <cell r="DG90">
            <v>0</v>
          </cell>
          <cell r="DH90">
            <v>0</v>
          </cell>
          <cell r="DI90">
            <v>0</v>
          </cell>
          <cell r="DJ90">
            <v>0</v>
          </cell>
          <cell r="DK90">
            <v>0</v>
          </cell>
          <cell r="DL90">
            <v>0</v>
          </cell>
          <cell r="DM90"/>
          <cell r="DN90"/>
          <cell r="DO90"/>
          <cell r="DP90"/>
        </row>
        <row r="91">
          <cell r="A91">
            <v>214</v>
          </cell>
          <cell r="B91" t="str">
            <v>Buren</v>
          </cell>
          <cell r="C91">
            <v>5</v>
          </cell>
          <cell r="D91">
            <v>-22404</v>
          </cell>
          <cell r="E91">
            <v>-11202</v>
          </cell>
          <cell r="F91">
            <v>0</v>
          </cell>
          <cell r="G91">
            <v>0</v>
          </cell>
          <cell r="H91">
            <v>-16341</v>
          </cell>
          <cell r="I91">
            <v>-6405</v>
          </cell>
          <cell r="J91"/>
          <cell r="K91">
            <v>0</v>
          </cell>
          <cell r="L91">
            <v>88100</v>
          </cell>
          <cell r="M91">
            <v>91277</v>
          </cell>
          <cell r="N91">
            <v>0</v>
          </cell>
          <cell r="O91">
            <v>0</v>
          </cell>
          <cell r="P91">
            <v>0</v>
          </cell>
          <cell r="Q91">
            <v>0</v>
          </cell>
          <cell r="R91">
            <v>0</v>
          </cell>
          <cell r="S91">
            <v>0</v>
          </cell>
          <cell r="T91">
            <v>0</v>
          </cell>
          <cell r="U91">
            <v>0</v>
          </cell>
          <cell r="V91">
            <v>4500</v>
          </cell>
          <cell r="W91">
            <v>80208</v>
          </cell>
          <cell r="X91">
            <v>0</v>
          </cell>
          <cell r="Y91"/>
          <cell r="Z91">
            <v>0</v>
          </cell>
          <cell r="AA91">
            <v>0</v>
          </cell>
          <cell r="AB91">
            <v>0</v>
          </cell>
          <cell r="AC91"/>
          <cell r="AD91">
            <v>0</v>
          </cell>
          <cell r="AE91">
            <v>0</v>
          </cell>
          <cell r="AF91">
            <v>0</v>
          </cell>
          <cell r="AG91">
            <v>0</v>
          </cell>
          <cell r="AH91">
            <v>0</v>
          </cell>
          <cell r="AI91">
            <v>0</v>
          </cell>
          <cell r="AJ91">
            <v>0</v>
          </cell>
          <cell r="AK91">
            <v>0</v>
          </cell>
          <cell r="AL91"/>
          <cell r="AM91">
            <v>0</v>
          </cell>
          <cell r="AN91">
            <v>0</v>
          </cell>
          <cell r="AO91">
            <v>0</v>
          </cell>
          <cell r="AP91">
            <v>0</v>
          </cell>
          <cell r="AQ91">
            <v>0</v>
          </cell>
          <cell r="AR91">
            <v>0</v>
          </cell>
          <cell r="AS91">
            <v>0</v>
          </cell>
          <cell r="AT91">
            <v>0</v>
          </cell>
          <cell r="AU91">
            <v>2370</v>
          </cell>
          <cell r="AV91">
            <v>0</v>
          </cell>
          <cell r="AW91">
            <v>0</v>
          </cell>
          <cell r="AX91">
            <v>0</v>
          </cell>
          <cell r="AY91"/>
          <cell r="AZ91"/>
          <cell r="BA91">
            <v>0</v>
          </cell>
          <cell r="BB91"/>
          <cell r="BC91">
            <v>0</v>
          </cell>
          <cell r="BD91">
            <v>9249</v>
          </cell>
          <cell r="BE91"/>
          <cell r="BF91">
            <v>0</v>
          </cell>
          <cell r="BG91">
            <v>0</v>
          </cell>
          <cell r="BH91">
            <v>0</v>
          </cell>
          <cell r="BI91">
            <v>26758</v>
          </cell>
          <cell r="BJ91">
            <v>22026</v>
          </cell>
          <cell r="BK91">
            <v>22026</v>
          </cell>
          <cell r="BL91">
            <v>0</v>
          </cell>
          <cell r="BM91">
            <v>0</v>
          </cell>
          <cell r="BN91">
            <v>0</v>
          </cell>
          <cell r="BO91">
            <v>158576</v>
          </cell>
          <cell r="BP91">
            <v>11069.8</v>
          </cell>
          <cell r="BQ91">
            <v>19941.8604651163</v>
          </cell>
          <cell r="BR91">
            <v>0</v>
          </cell>
          <cell r="BS91">
            <v>0</v>
          </cell>
          <cell r="BT91">
            <v>54791</v>
          </cell>
          <cell r="BU91"/>
          <cell r="BV91"/>
          <cell r="BW91"/>
          <cell r="BX91"/>
          <cell r="BY91">
            <v>0</v>
          </cell>
          <cell r="BZ91">
            <v>0</v>
          </cell>
          <cell r="CA91">
            <v>0</v>
          </cell>
          <cell r="CB91">
            <v>0</v>
          </cell>
          <cell r="CC91">
            <v>1578005</v>
          </cell>
          <cell r="CD91">
            <v>9412003</v>
          </cell>
          <cell r="CE91">
            <v>725954</v>
          </cell>
          <cell r="CF91">
            <v>0</v>
          </cell>
          <cell r="CG91">
            <v>725954</v>
          </cell>
          <cell r="CH91">
            <v>725954</v>
          </cell>
          <cell r="CI91">
            <v>725954</v>
          </cell>
          <cell r="CJ91">
            <v>725954</v>
          </cell>
          <cell r="CK91">
            <v>0</v>
          </cell>
          <cell r="CL91">
            <v>0</v>
          </cell>
          <cell r="CM91">
            <v>0</v>
          </cell>
          <cell r="CN91">
            <v>0</v>
          </cell>
          <cell r="CO91">
            <v>0</v>
          </cell>
          <cell r="CP91">
            <v>-2305</v>
          </cell>
          <cell r="CQ91">
            <v>2135917</v>
          </cell>
          <cell r="CR91">
            <v>2005229</v>
          </cell>
          <cell r="CS91">
            <v>1930770</v>
          </cell>
          <cell r="CT91">
            <v>1885238</v>
          </cell>
          <cell r="CU91">
            <v>1869674</v>
          </cell>
          <cell r="CV91">
            <v>-14478</v>
          </cell>
          <cell r="CW91">
            <v>0</v>
          </cell>
          <cell r="CX91">
            <v>0</v>
          </cell>
          <cell r="CY91">
            <v>0</v>
          </cell>
          <cell r="CZ91">
            <v>0</v>
          </cell>
          <cell r="DA91">
            <v>0</v>
          </cell>
          <cell r="DB91"/>
          <cell r="DC91">
            <v>0</v>
          </cell>
          <cell r="DD91">
            <v>0</v>
          </cell>
          <cell r="DE91">
            <v>0</v>
          </cell>
          <cell r="DF91">
            <v>0</v>
          </cell>
          <cell r="DG91">
            <v>0</v>
          </cell>
          <cell r="DH91">
            <v>0</v>
          </cell>
          <cell r="DI91">
            <v>0</v>
          </cell>
          <cell r="DJ91">
            <v>0</v>
          </cell>
          <cell r="DK91">
            <v>0</v>
          </cell>
          <cell r="DL91">
            <v>0</v>
          </cell>
          <cell r="DM91"/>
          <cell r="DN91"/>
          <cell r="DO91"/>
          <cell r="DP91"/>
        </row>
        <row r="92">
          <cell r="A92">
            <v>216</v>
          </cell>
          <cell r="B92" t="str">
            <v>Culemborg</v>
          </cell>
          <cell r="C92">
            <v>5</v>
          </cell>
          <cell r="D92">
            <v>75983</v>
          </cell>
          <cell r="E92">
            <v>37992</v>
          </cell>
          <cell r="F92">
            <v>0</v>
          </cell>
          <cell r="G92">
            <v>0</v>
          </cell>
          <cell r="H92">
            <v>-22499</v>
          </cell>
          <cell r="I92">
            <v>-3294</v>
          </cell>
          <cell r="J92"/>
          <cell r="K92">
            <v>0</v>
          </cell>
          <cell r="L92">
            <v>126539</v>
          </cell>
          <cell r="M92">
            <v>124274</v>
          </cell>
          <cell r="N92">
            <v>0</v>
          </cell>
          <cell r="O92">
            <v>0</v>
          </cell>
          <cell r="P92">
            <v>0</v>
          </cell>
          <cell r="Q92">
            <v>0</v>
          </cell>
          <cell r="R92">
            <v>0</v>
          </cell>
          <cell r="S92">
            <v>0</v>
          </cell>
          <cell r="T92">
            <v>0</v>
          </cell>
          <cell r="U92">
            <v>0</v>
          </cell>
          <cell r="V92">
            <v>24000</v>
          </cell>
          <cell r="W92">
            <v>92735</v>
          </cell>
          <cell r="X92">
            <v>0</v>
          </cell>
          <cell r="Y92"/>
          <cell r="Z92">
            <v>0</v>
          </cell>
          <cell r="AA92">
            <v>0</v>
          </cell>
          <cell r="AB92">
            <v>0</v>
          </cell>
          <cell r="AC92"/>
          <cell r="AD92">
            <v>39112</v>
          </cell>
          <cell r="AE92">
            <v>0</v>
          </cell>
          <cell r="AF92">
            <v>0</v>
          </cell>
          <cell r="AG92">
            <v>0</v>
          </cell>
          <cell r="AH92">
            <v>0</v>
          </cell>
          <cell r="AI92">
            <v>0</v>
          </cell>
          <cell r="AJ92">
            <v>0</v>
          </cell>
          <cell r="AK92">
            <v>0</v>
          </cell>
          <cell r="AL92"/>
          <cell r="AM92">
            <v>0</v>
          </cell>
          <cell r="AN92">
            <v>0</v>
          </cell>
          <cell r="AO92">
            <v>0</v>
          </cell>
          <cell r="AP92">
            <v>0</v>
          </cell>
          <cell r="AQ92">
            <v>0</v>
          </cell>
          <cell r="AR92">
            <v>0</v>
          </cell>
          <cell r="AS92">
            <v>0</v>
          </cell>
          <cell r="AT92">
            <v>0</v>
          </cell>
          <cell r="AU92">
            <v>0</v>
          </cell>
          <cell r="AV92">
            <v>0</v>
          </cell>
          <cell r="AW92">
            <v>0</v>
          </cell>
          <cell r="AX92">
            <v>0</v>
          </cell>
          <cell r="AY92"/>
          <cell r="AZ92"/>
          <cell r="BA92">
            <v>0</v>
          </cell>
          <cell r="BB92"/>
          <cell r="BC92">
            <v>39440</v>
          </cell>
          <cell r="BD92">
            <v>9781</v>
          </cell>
          <cell r="BE92"/>
          <cell r="BF92">
            <v>0</v>
          </cell>
          <cell r="BG92">
            <v>0</v>
          </cell>
          <cell r="BH92">
            <v>0</v>
          </cell>
          <cell r="BI92">
            <v>34903</v>
          </cell>
          <cell r="BJ92">
            <v>28731</v>
          </cell>
          <cell r="BK92">
            <v>28731</v>
          </cell>
          <cell r="BL92">
            <v>0</v>
          </cell>
          <cell r="BM92">
            <v>0</v>
          </cell>
          <cell r="BN92">
            <v>0</v>
          </cell>
          <cell r="BO92">
            <v>68586</v>
          </cell>
          <cell r="BP92">
            <v>4744.2</v>
          </cell>
          <cell r="BQ92">
            <v>8546.5116279069807</v>
          </cell>
          <cell r="BR92">
            <v>63000</v>
          </cell>
          <cell r="BS92">
            <v>0</v>
          </cell>
          <cell r="BT92">
            <v>46343</v>
          </cell>
          <cell r="BU92"/>
          <cell r="BV92"/>
          <cell r="BW92"/>
          <cell r="BX92"/>
          <cell r="BY92">
            <v>0</v>
          </cell>
          <cell r="BZ92">
            <v>0</v>
          </cell>
          <cell r="CA92">
            <v>0</v>
          </cell>
          <cell r="CB92">
            <v>0</v>
          </cell>
          <cell r="CC92">
            <v>1895784</v>
          </cell>
          <cell r="CD92">
            <v>12958017</v>
          </cell>
          <cell r="CE92">
            <v>393973</v>
          </cell>
          <cell r="CF92">
            <v>-7973</v>
          </cell>
          <cell r="CG92">
            <v>393973</v>
          </cell>
          <cell r="CH92">
            <v>393973</v>
          </cell>
          <cell r="CI92">
            <v>393973</v>
          </cell>
          <cell r="CJ92">
            <v>393973</v>
          </cell>
          <cell r="CK92">
            <v>0</v>
          </cell>
          <cell r="CL92">
            <v>0</v>
          </cell>
          <cell r="CM92">
            <v>0</v>
          </cell>
          <cell r="CN92">
            <v>0</v>
          </cell>
          <cell r="CO92">
            <v>0</v>
          </cell>
          <cell r="CP92">
            <v>0</v>
          </cell>
          <cell r="CQ92">
            <v>3491516</v>
          </cell>
          <cell r="CR92">
            <v>3342912</v>
          </cell>
          <cell r="CS92">
            <v>3282140</v>
          </cell>
          <cell r="CT92">
            <v>3252051</v>
          </cell>
          <cell r="CU92">
            <v>3199471</v>
          </cell>
          <cell r="CV92">
            <v>29122</v>
          </cell>
          <cell r="CW92">
            <v>0</v>
          </cell>
          <cell r="CX92">
            <v>0</v>
          </cell>
          <cell r="CY92">
            <v>0</v>
          </cell>
          <cell r="CZ92">
            <v>0</v>
          </cell>
          <cell r="DA92">
            <v>80000</v>
          </cell>
          <cell r="DB92"/>
          <cell r="DC92">
            <v>0</v>
          </cell>
          <cell r="DD92">
            <v>0</v>
          </cell>
          <cell r="DE92">
            <v>0</v>
          </cell>
          <cell r="DF92">
            <v>0</v>
          </cell>
          <cell r="DG92">
            <v>0</v>
          </cell>
          <cell r="DH92">
            <v>0</v>
          </cell>
          <cell r="DI92">
            <v>0</v>
          </cell>
          <cell r="DJ92">
            <v>0</v>
          </cell>
          <cell r="DK92">
            <v>0</v>
          </cell>
          <cell r="DL92">
            <v>0</v>
          </cell>
          <cell r="DM92"/>
          <cell r="DN92"/>
          <cell r="DO92"/>
          <cell r="DP92"/>
        </row>
        <row r="93">
          <cell r="A93">
            <v>221</v>
          </cell>
          <cell r="B93" t="str">
            <v>Doesburg</v>
          </cell>
          <cell r="C93">
            <v>5</v>
          </cell>
          <cell r="D93">
            <v>12666</v>
          </cell>
          <cell r="E93">
            <v>6333</v>
          </cell>
          <cell r="F93">
            <v>0</v>
          </cell>
          <cell r="G93">
            <v>0</v>
          </cell>
          <cell r="H93">
            <v>-2967</v>
          </cell>
          <cell r="I93">
            <v>0</v>
          </cell>
          <cell r="J93"/>
          <cell r="K93">
            <v>0</v>
          </cell>
          <cell r="L93">
            <v>73954</v>
          </cell>
          <cell r="M93">
            <v>77993</v>
          </cell>
          <cell r="N93">
            <v>0</v>
          </cell>
          <cell r="O93">
            <v>0</v>
          </cell>
          <cell r="P93">
            <v>0</v>
          </cell>
          <cell r="Q93">
            <v>0</v>
          </cell>
          <cell r="R93">
            <v>0</v>
          </cell>
          <cell r="S93">
            <v>0</v>
          </cell>
          <cell r="T93">
            <v>0</v>
          </cell>
          <cell r="U93">
            <v>0</v>
          </cell>
          <cell r="V93">
            <v>0</v>
          </cell>
          <cell r="W93">
            <v>35558</v>
          </cell>
          <cell r="X93">
            <v>0</v>
          </cell>
          <cell r="Y93"/>
          <cell r="Z93">
            <v>0</v>
          </cell>
          <cell r="AA93">
            <v>0</v>
          </cell>
          <cell r="AB93">
            <v>0</v>
          </cell>
          <cell r="AC93"/>
          <cell r="AD93">
            <v>34223</v>
          </cell>
          <cell r="AE93">
            <v>0</v>
          </cell>
          <cell r="AF93">
            <v>0</v>
          </cell>
          <cell r="AG93">
            <v>0</v>
          </cell>
          <cell r="AH93">
            <v>0</v>
          </cell>
          <cell r="AI93">
            <v>0</v>
          </cell>
          <cell r="AJ93">
            <v>0</v>
          </cell>
          <cell r="AK93">
            <v>0</v>
          </cell>
          <cell r="AL93"/>
          <cell r="AM93">
            <v>0</v>
          </cell>
          <cell r="AN93">
            <v>0</v>
          </cell>
          <cell r="AO93">
            <v>0</v>
          </cell>
          <cell r="AP93">
            <v>0</v>
          </cell>
          <cell r="AQ93">
            <v>0</v>
          </cell>
          <cell r="AR93">
            <v>0</v>
          </cell>
          <cell r="AS93">
            <v>0</v>
          </cell>
          <cell r="AT93">
            <v>0</v>
          </cell>
          <cell r="AU93">
            <v>0</v>
          </cell>
          <cell r="AV93">
            <v>0</v>
          </cell>
          <cell r="AW93">
            <v>0</v>
          </cell>
          <cell r="AX93">
            <v>0</v>
          </cell>
          <cell r="AY93"/>
          <cell r="AZ93"/>
          <cell r="BA93">
            <v>0</v>
          </cell>
          <cell r="BB93"/>
          <cell r="BC93">
            <v>0</v>
          </cell>
          <cell r="BD93">
            <v>3981</v>
          </cell>
          <cell r="BE93"/>
          <cell r="BF93">
            <v>0</v>
          </cell>
          <cell r="BG93">
            <v>0</v>
          </cell>
          <cell r="BH93">
            <v>0</v>
          </cell>
          <cell r="BI93">
            <v>23887</v>
          </cell>
          <cell r="BJ93">
            <v>19662</v>
          </cell>
          <cell r="BK93">
            <v>19662</v>
          </cell>
          <cell r="BL93">
            <v>0</v>
          </cell>
          <cell r="BM93">
            <v>0</v>
          </cell>
          <cell r="BN93">
            <v>0</v>
          </cell>
          <cell r="BO93">
            <v>20430</v>
          </cell>
          <cell r="BP93">
            <v>0</v>
          </cell>
          <cell r="BQ93">
            <v>0</v>
          </cell>
          <cell r="BR93">
            <v>0</v>
          </cell>
          <cell r="BS93">
            <v>0</v>
          </cell>
          <cell r="BT93">
            <v>19770</v>
          </cell>
          <cell r="BU93"/>
          <cell r="BV93"/>
          <cell r="BW93"/>
          <cell r="BX93"/>
          <cell r="BY93">
            <v>0</v>
          </cell>
          <cell r="BZ93">
            <v>0</v>
          </cell>
          <cell r="CA93">
            <v>0</v>
          </cell>
          <cell r="CB93">
            <v>0</v>
          </cell>
          <cell r="CC93">
            <v>1158498</v>
          </cell>
          <cell r="CD93">
            <v>7442844</v>
          </cell>
          <cell r="CE93">
            <v>200292</v>
          </cell>
          <cell r="CF93">
            <v>0</v>
          </cell>
          <cell r="CG93">
            <v>200292</v>
          </cell>
          <cell r="CH93">
            <v>200292</v>
          </cell>
          <cell r="CI93">
            <v>200292</v>
          </cell>
          <cell r="CJ93">
            <v>200292</v>
          </cell>
          <cell r="CK93">
            <v>0</v>
          </cell>
          <cell r="CL93">
            <v>0</v>
          </cell>
          <cell r="CM93">
            <v>0</v>
          </cell>
          <cell r="CN93">
            <v>0</v>
          </cell>
          <cell r="CO93">
            <v>0</v>
          </cell>
          <cell r="CP93">
            <v>0</v>
          </cell>
          <cell r="CQ93">
            <v>1660401</v>
          </cell>
          <cell r="CR93">
            <v>1506439</v>
          </cell>
          <cell r="CS93">
            <v>1441086</v>
          </cell>
          <cell r="CT93">
            <v>1396568</v>
          </cell>
          <cell r="CU93">
            <v>1354164</v>
          </cell>
          <cell r="CV93">
            <v>40206</v>
          </cell>
          <cell r="CW93">
            <v>0</v>
          </cell>
          <cell r="CX93">
            <v>0</v>
          </cell>
          <cell r="CY93">
            <v>0</v>
          </cell>
          <cell r="CZ93">
            <v>0</v>
          </cell>
          <cell r="DA93">
            <v>0</v>
          </cell>
          <cell r="DB93"/>
          <cell r="DC93">
            <v>0</v>
          </cell>
          <cell r="DD93">
            <v>0</v>
          </cell>
          <cell r="DE93">
            <v>0</v>
          </cell>
          <cell r="DF93">
            <v>0</v>
          </cell>
          <cell r="DG93">
            <v>0</v>
          </cell>
          <cell r="DH93">
            <v>0</v>
          </cell>
          <cell r="DI93">
            <v>0</v>
          </cell>
          <cell r="DJ93">
            <v>0</v>
          </cell>
          <cell r="DK93">
            <v>0</v>
          </cell>
          <cell r="DL93">
            <v>0</v>
          </cell>
          <cell r="DM93"/>
          <cell r="DN93"/>
          <cell r="DO93"/>
          <cell r="DP93"/>
        </row>
        <row r="94">
          <cell r="A94">
            <v>222</v>
          </cell>
          <cell r="B94" t="str">
            <v>Doetinchem</v>
          </cell>
          <cell r="C94">
            <v>5</v>
          </cell>
          <cell r="D94">
            <v>-19349</v>
          </cell>
          <cell r="E94">
            <v>-9674</v>
          </cell>
          <cell r="F94">
            <v>0</v>
          </cell>
          <cell r="G94">
            <v>0</v>
          </cell>
          <cell r="H94">
            <v>-15440</v>
          </cell>
          <cell r="I94">
            <v>0</v>
          </cell>
          <cell r="J94"/>
          <cell r="K94">
            <v>7500</v>
          </cell>
          <cell r="L94">
            <v>247309</v>
          </cell>
          <cell r="M94">
            <v>248406</v>
          </cell>
          <cell r="N94">
            <v>0</v>
          </cell>
          <cell r="O94">
            <v>0</v>
          </cell>
          <cell r="P94">
            <v>0</v>
          </cell>
          <cell r="Q94">
            <v>0</v>
          </cell>
          <cell r="R94">
            <v>1012240</v>
          </cell>
          <cell r="S94">
            <v>0</v>
          </cell>
          <cell r="T94">
            <v>0</v>
          </cell>
          <cell r="U94">
            <v>0</v>
          </cell>
          <cell r="V94">
            <v>3000</v>
          </cell>
          <cell r="W94">
            <v>226062</v>
          </cell>
          <cell r="X94">
            <v>0</v>
          </cell>
          <cell r="Y94"/>
          <cell r="Z94">
            <v>0</v>
          </cell>
          <cell r="AA94">
            <v>0</v>
          </cell>
          <cell r="AB94">
            <v>0</v>
          </cell>
          <cell r="AC94"/>
          <cell r="AD94">
            <v>68446</v>
          </cell>
          <cell r="AE94">
            <v>0</v>
          </cell>
          <cell r="AF94">
            <v>0</v>
          </cell>
          <cell r="AG94">
            <v>0</v>
          </cell>
          <cell r="AH94">
            <v>0</v>
          </cell>
          <cell r="AI94">
            <v>0</v>
          </cell>
          <cell r="AJ94">
            <v>0</v>
          </cell>
          <cell r="AK94">
            <v>0</v>
          </cell>
          <cell r="AL94"/>
          <cell r="AM94">
            <v>0</v>
          </cell>
          <cell r="AN94">
            <v>0</v>
          </cell>
          <cell r="AO94">
            <v>0</v>
          </cell>
          <cell r="AP94">
            <v>0</v>
          </cell>
          <cell r="AQ94">
            <v>0</v>
          </cell>
          <cell r="AR94">
            <v>0</v>
          </cell>
          <cell r="AS94">
            <v>0</v>
          </cell>
          <cell r="AT94">
            <v>0</v>
          </cell>
          <cell r="AU94">
            <v>4740</v>
          </cell>
          <cell r="AV94">
            <v>3846776.7189462199</v>
          </cell>
          <cell r="AW94">
            <v>63000</v>
          </cell>
          <cell r="AX94">
            <v>0</v>
          </cell>
          <cell r="AY94"/>
          <cell r="AZ94"/>
          <cell r="BA94">
            <v>0</v>
          </cell>
          <cell r="BB94"/>
          <cell r="BC94">
            <v>0</v>
          </cell>
          <cell r="BD94">
            <v>20033</v>
          </cell>
          <cell r="BE94"/>
          <cell r="BF94">
            <v>0</v>
          </cell>
          <cell r="BG94">
            <v>0</v>
          </cell>
          <cell r="BH94">
            <v>0</v>
          </cell>
          <cell r="BI94">
            <v>96881</v>
          </cell>
          <cell r="BJ94">
            <v>79747</v>
          </cell>
          <cell r="BK94">
            <v>79747</v>
          </cell>
          <cell r="BL94">
            <v>0</v>
          </cell>
          <cell r="BM94">
            <v>0</v>
          </cell>
          <cell r="BN94">
            <v>0</v>
          </cell>
          <cell r="BO94">
            <v>143983</v>
          </cell>
          <cell r="BP94">
            <v>17395.400000000001</v>
          </cell>
          <cell r="BQ94">
            <v>31337.209302325598</v>
          </cell>
          <cell r="BR94">
            <v>0</v>
          </cell>
          <cell r="BS94">
            <v>0</v>
          </cell>
          <cell r="BT94">
            <v>92387</v>
          </cell>
          <cell r="BU94"/>
          <cell r="BV94"/>
          <cell r="BW94"/>
          <cell r="BX94"/>
          <cell r="BY94">
            <v>0</v>
          </cell>
          <cell r="BZ94">
            <v>0</v>
          </cell>
          <cell r="CA94">
            <v>0</v>
          </cell>
          <cell r="CB94">
            <v>0</v>
          </cell>
          <cell r="CC94">
            <v>5176566</v>
          </cell>
          <cell r="CD94">
            <v>64928718</v>
          </cell>
          <cell r="CE94">
            <v>2369307</v>
          </cell>
          <cell r="CF94">
            <v>0</v>
          </cell>
          <cell r="CG94">
            <v>2369307</v>
          </cell>
          <cell r="CH94">
            <v>2369307</v>
          </cell>
          <cell r="CI94">
            <v>2369307</v>
          </cell>
          <cell r="CJ94">
            <v>2369307</v>
          </cell>
          <cell r="CK94">
            <v>32177189</v>
          </cell>
          <cell r="CL94">
            <v>32161039</v>
          </cell>
          <cell r="CM94">
            <v>32160778</v>
          </cell>
          <cell r="CN94">
            <v>32160203</v>
          </cell>
          <cell r="CO94">
            <v>32160999</v>
          </cell>
          <cell r="CP94">
            <v>0</v>
          </cell>
          <cell r="CQ94">
            <v>8740910</v>
          </cell>
          <cell r="CR94">
            <v>8350539</v>
          </cell>
          <cell r="CS94">
            <v>8112137</v>
          </cell>
          <cell r="CT94">
            <v>7915026</v>
          </cell>
          <cell r="CU94">
            <v>7694094</v>
          </cell>
          <cell r="CV94">
            <v>-28105</v>
          </cell>
          <cell r="CW94">
            <v>0</v>
          </cell>
          <cell r="CX94">
            <v>0</v>
          </cell>
          <cell r="CY94">
            <v>0</v>
          </cell>
          <cell r="CZ94">
            <v>0</v>
          </cell>
          <cell r="DA94">
            <v>0</v>
          </cell>
          <cell r="DB94"/>
          <cell r="DC94">
            <v>0</v>
          </cell>
          <cell r="DD94">
            <v>0</v>
          </cell>
          <cell r="DE94">
            <v>0</v>
          </cell>
          <cell r="DF94">
            <v>0</v>
          </cell>
          <cell r="DG94">
            <v>0</v>
          </cell>
          <cell r="DH94">
            <v>0</v>
          </cell>
          <cell r="DI94">
            <v>0</v>
          </cell>
          <cell r="DJ94">
            <v>0</v>
          </cell>
          <cell r="DK94">
            <v>0</v>
          </cell>
          <cell r="DL94">
            <v>0</v>
          </cell>
          <cell r="DM94"/>
          <cell r="DN94"/>
          <cell r="DO94"/>
          <cell r="DP94"/>
        </row>
        <row r="95">
          <cell r="A95">
            <v>225</v>
          </cell>
          <cell r="B95" t="str">
            <v>Druten</v>
          </cell>
          <cell r="C95">
            <v>5</v>
          </cell>
          <cell r="D95">
            <v>24245</v>
          </cell>
          <cell r="E95">
            <v>12123</v>
          </cell>
          <cell r="F95">
            <v>0</v>
          </cell>
          <cell r="G95">
            <v>0</v>
          </cell>
          <cell r="H95">
            <v>-26365</v>
          </cell>
          <cell r="I95">
            <v>-19031</v>
          </cell>
          <cell r="J95"/>
          <cell r="K95">
            <v>0</v>
          </cell>
          <cell r="L95">
            <v>73337</v>
          </cell>
          <cell r="M95">
            <v>67851</v>
          </cell>
          <cell r="N95">
            <v>0</v>
          </cell>
          <cell r="O95">
            <v>0</v>
          </cell>
          <cell r="P95">
            <v>0</v>
          </cell>
          <cell r="Q95">
            <v>0</v>
          </cell>
          <cell r="R95">
            <v>0</v>
          </cell>
          <cell r="S95">
            <v>0</v>
          </cell>
          <cell r="T95">
            <v>0</v>
          </cell>
          <cell r="U95">
            <v>0</v>
          </cell>
          <cell r="V95">
            <v>3000</v>
          </cell>
          <cell r="W95">
            <v>78723</v>
          </cell>
          <cell r="X95">
            <v>0</v>
          </cell>
          <cell r="Y95"/>
          <cell r="Z95">
            <v>0</v>
          </cell>
          <cell r="AA95">
            <v>0</v>
          </cell>
          <cell r="AB95">
            <v>0</v>
          </cell>
          <cell r="AC95"/>
          <cell r="AD95">
            <v>0</v>
          </cell>
          <cell r="AE95">
            <v>0</v>
          </cell>
          <cell r="AF95">
            <v>0</v>
          </cell>
          <cell r="AG95">
            <v>0</v>
          </cell>
          <cell r="AH95">
            <v>0</v>
          </cell>
          <cell r="AI95">
            <v>0</v>
          </cell>
          <cell r="AJ95">
            <v>0</v>
          </cell>
          <cell r="AK95">
            <v>0</v>
          </cell>
          <cell r="AL95"/>
          <cell r="AM95">
            <v>0</v>
          </cell>
          <cell r="AN95">
            <v>0</v>
          </cell>
          <cell r="AO95">
            <v>0</v>
          </cell>
          <cell r="AP95">
            <v>0</v>
          </cell>
          <cell r="AQ95">
            <v>0</v>
          </cell>
          <cell r="AR95">
            <v>0</v>
          </cell>
          <cell r="AS95">
            <v>0</v>
          </cell>
          <cell r="AT95">
            <v>0</v>
          </cell>
          <cell r="AU95">
            <v>0</v>
          </cell>
          <cell r="AV95">
            <v>0</v>
          </cell>
          <cell r="AW95">
            <v>0</v>
          </cell>
          <cell r="AX95">
            <v>0</v>
          </cell>
          <cell r="AY95"/>
          <cell r="AZ95"/>
          <cell r="BA95">
            <v>0</v>
          </cell>
          <cell r="BB95"/>
          <cell r="BC95">
            <v>0</v>
          </cell>
          <cell r="BD95">
            <v>6516</v>
          </cell>
          <cell r="BE95"/>
          <cell r="BF95">
            <v>0</v>
          </cell>
          <cell r="BG95">
            <v>0</v>
          </cell>
          <cell r="BH95">
            <v>0</v>
          </cell>
          <cell r="BI95">
            <v>24633</v>
          </cell>
          <cell r="BJ95">
            <v>20276</v>
          </cell>
          <cell r="BK95">
            <v>20276</v>
          </cell>
          <cell r="BL95">
            <v>0</v>
          </cell>
          <cell r="BM95">
            <v>0</v>
          </cell>
          <cell r="BN95">
            <v>0</v>
          </cell>
          <cell r="BO95">
            <v>152738</v>
          </cell>
          <cell r="BP95">
            <v>11069.8</v>
          </cell>
          <cell r="BQ95">
            <v>19941.8604651163</v>
          </cell>
          <cell r="BR95">
            <v>0</v>
          </cell>
          <cell r="BS95">
            <v>0</v>
          </cell>
          <cell r="BT95">
            <v>31459</v>
          </cell>
          <cell r="BU95"/>
          <cell r="BV95"/>
          <cell r="BW95"/>
          <cell r="BX95"/>
          <cell r="BY95">
            <v>0</v>
          </cell>
          <cell r="BZ95">
            <v>0</v>
          </cell>
          <cell r="CA95">
            <v>0</v>
          </cell>
          <cell r="CB95">
            <v>0</v>
          </cell>
          <cell r="CC95">
            <v>1472507</v>
          </cell>
          <cell r="CD95">
            <v>9311036</v>
          </cell>
          <cell r="CE95">
            <v>354866</v>
          </cell>
          <cell r="CF95">
            <v>-24208</v>
          </cell>
          <cell r="CG95">
            <v>354866</v>
          </cell>
          <cell r="CH95">
            <v>354866</v>
          </cell>
          <cell r="CI95">
            <v>354866</v>
          </cell>
          <cell r="CJ95">
            <v>354866</v>
          </cell>
          <cell r="CK95">
            <v>0</v>
          </cell>
          <cell r="CL95">
            <v>0</v>
          </cell>
          <cell r="CM95">
            <v>0</v>
          </cell>
          <cell r="CN95">
            <v>0</v>
          </cell>
          <cell r="CO95">
            <v>0</v>
          </cell>
          <cell r="CP95">
            <v>-3227</v>
          </cell>
          <cell r="CQ95">
            <v>2257909</v>
          </cell>
          <cell r="CR95">
            <v>2114704</v>
          </cell>
          <cell r="CS95">
            <v>2065738</v>
          </cell>
          <cell r="CT95">
            <v>2021576</v>
          </cell>
          <cell r="CU95">
            <v>1973231</v>
          </cell>
          <cell r="CV95">
            <v>-7285</v>
          </cell>
          <cell r="CW95">
            <v>0</v>
          </cell>
          <cell r="CX95">
            <v>0</v>
          </cell>
          <cell r="CY95">
            <v>0</v>
          </cell>
          <cell r="CZ95">
            <v>0</v>
          </cell>
          <cell r="DA95">
            <v>0</v>
          </cell>
          <cell r="DB95"/>
          <cell r="DC95">
            <v>0</v>
          </cell>
          <cell r="DD95">
            <v>0</v>
          </cell>
          <cell r="DE95">
            <v>0</v>
          </cell>
          <cell r="DF95">
            <v>0</v>
          </cell>
          <cell r="DG95">
            <v>0</v>
          </cell>
          <cell r="DH95">
            <v>0</v>
          </cell>
          <cell r="DI95">
            <v>0</v>
          </cell>
          <cell r="DJ95">
            <v>0</v>
          </cell>
          <cell r="DK95">
            <v>0</v>
          </cell>
          <cell r="DL95">
            <v>0</v>
          </cell>
          <cell r="DM95"/>
          <cell r="DN95"/>
          <cell r="DO95"/>
          <cell r="DP95"/>
        </row>
        <row r="96">
          <cell r="A96">
            <v>226</v>
          </cell>
          <cell r="B96" t="str">
            <v>Duiven</v>
          </cell>
          <cell r="C96">
            <v>5</v>
          </cell>
          <cell r="D96">
            <v>-10226</v>
          </cell>
          <cell r="E96">
            <v>-5113</v>
          </cell>
          <cell r="F96">
            <v>0</v>
          </cell>
          <cell r="G96">
            <v>0</v>
          </cell>
          <cell r="H96">
            <v>0</v>
          </cell>
          <cell r="I96">
            <v>-6788</v>
          </cell>
          <cell r="J96"/>
          <cell r="K96">
            <v>0</v>
          </cell>
          <cell r="L96">
            <v>98486</v>
          </cell>
          <cell r="M96">
            <v>95586</v>
          </cell>
          <cell r="N96">
            <v>0</v>
          </cell>
          <cell r="O96">
            <v>0</v>
          </cell>
          <cell r="P96">
            <v>0</v>
          </cell>
          <cell r="Q96">
            <v>0</v>
          </cell>
          <cell r="R96">
            <v>0</v>
          </cell>
          <cell r="S96">
            <v>0</v>
          </cell>
          <cell r="T96">
            <v>0</v>
          </cell>
          <cell r="U96">
            <v>0</v>
          </cell>
          <cell r="V96">
            <v>0</v>
          </cell>
          <cell r="W96">
            <v>72531</v>
          </cell>
          <cell r="X96">
            <v>0</v>
          </cell>
          <cell r="Y96"/>
          <cell r="Z96">
            <v>0</v>
          </cell>
          <cell r="AA96">
            <v>0</v>
          </cell>
          <cell r="AB96">
            <v>0</v>
          </cell>
          <cell r="AC96"/>
          <cell r="AD96">
            <v>0</v>
          </cell>
          <cell r="AE96">
            <v>0</v>
          </cell>
          <cell r="AF96">
            <v>0</v>
          </cell>
          <cell r="AG96">
            <v>0</v>
          </cell>
          <cell r="AH96">
            <v>0</v>
          </cell>
          <cell r="AI96">
            <v>0</v>
          </cell>
          <cell r="AJ96">
            <v>0</v>
          </cell>
          <cell r="AK96">
            <v>0</v>
          </cell>
          <cell r="AL96"/>
          <cell r="AM96">
            <v>0</v>
          </cell>
          <cell r="AN96">
            <v>0</v>
          </cell>
          <cell r="AO96">
            <v>0</v>
          </cell>
          <cell r="AP96">
            <v>0</v>
          </cell>
          <cell r="AQ96">
            <v>0</v>
          </cell>
          <cell r="AR96">
            <v>0</v>
          </cell>
          <cell r="AS96">
            <v>0</v>
          </cell>
          <cell r="AT96">
            <v>0</v>
          </cell>
          <cell r="AU96">
            <v>2370</v>
          </cell>
          <cell r="AV96">
            <v>0</v>
          </cell>
          <cell r="AW96">
            <v>0</v>
          </cell>
          <cell r="AX96">
            <v>0</v>
          </cell>
          <cell r="AY96"/>
          <cell r="AZ96"/>
          <cell r="BA96">
            <v>0</v>
          </cell>
          <cell r="BB96"/>
          <cell r="BC96">
            <v>0</v>
          </cell>
          <cell r="BD96">
            <v>8916</v>
          </cell>
          <cell r="BE96"/>
          <cell r="BF96">
            <v>0</v>
          </cell>
          <cell r="BG96">
            <v>0</v>
          </cell>
          <cell r="BH96">
            <v>0</v>
          </cell>
          <cell r="BI96">
            <v>30083</v>
          </cell>
          <cell r="BJ96">
            <v>24763</v>
          </cell>
          <cell r="BK96">
            <v>24763</v>
          </cell>
          <cell r="BL96">
            <v>0</v>
          </cell>
          <cell r="BM96">
            <v>0</v>
          </cell>
          <cell r="BN96">
            <v>0</v>
          </cell>
          <cell r="BO96">
            <v>63236</v>
          </cell>
          <cell r="BP96">
            <v>6325.6</v>
          </cell>
          <cell r="BQ96">
            <v>11395.3488372093</v>
          </cell>
          <cell r="BR96">
            <v>0</v>
          </cell>
          <cell r="BS96">
            <v>0</v>
          </cell>
          <cell r="BT96">
            <v>44503</v>
          </cell>
          <cell r="BU96"/>
          <cell r="BV96"/>
          <cell r="BW96"/>
          <cell r="BX96"/>
          <cell r="BY96">
            <v>0</v>
          </cell>
          <cell r="BZ96">
            <v>0</v>
          </cell>
          <cell r="CA96">
            <v>0</v>
          </cell>
          <cell r="CB96">
            <v>0</v>
          </cell>
          <cell r="CC96">
            <v>1782455</v>
          </cell>
          <cell r="CD96">
            <v>10826403</v>
          </cell>
          <cell r="CE96">
            <v>429827</v>
          </cell>
          <cell r="CF96">
            <v>0</v>
          </cell>
          <cell r="CG96">
            <v>429827</v>
          </cell>
          <cell r="CH96">
            <v>429827</v>
          </cell>
          <cell r="CI96">
            <v>429827</v>
          </cell>
          <cell r="CJ96">
            <v>429827</v>
          </cell>
          <cell r="CK96">
            <v>0</v>
          </cell>
          <cell r="CL96">
            <v>0</v>
          </cell>
          <cell r="CM96">
            <v>0</v>
          </cell>
          <cell r="CN96">
            <v>0</v>
          </cell>
          <cell r="CO96">
            <v>0</v>
          </cell>
          <cell r="CP96">
            <v>-2458</v>
          </cell>
          <cell r="CQ96">
            <v>1913392</v>
          </cell>
          <cell r="CR96">
            <v>1855875</v>
          </cell>
          <cell r="CS96">
            <v>1794151</v>
          </cell>
          <cell r="CT96">
            <v>1738140</v>
          </cell>
          <cell r="CU96">
            <v>1669932</v>
          </cell>
          <cell r="CV96">
            <v>69381</v>
          </cell>
          <cell r="CW96">
            <v>0</v>
          </cell>
          <cell r="CX96">
            <v>0</v>
          </cell>
          <cell r="CY96">
            <v>0</v>
          </cell>
          <cell r="CZ96">
            <v>0</v>
          </cell>
          <cell r="DA96">
            <v>0</v>
          </cell>
          <cell r="DB96"/>
          <cell r="DC96">
            <v>0</v>
          </cell>
          <cell r="DD96">
            <v>0</v>
          </cell>
          <cell r="DE96">
            <v>0</v>
          </cell>
          <cell r="DF96">
            <v>0</v>
          </cell>
          <cell r="DG96">
            <v>0</v>
          </cell>
          <cell r="DH96">
            <v>0</v>
          </cell>
          <cell r="DI96">
            <v>0</v>
          </cell>
          <cell r="DJ96">
            <v>0</v>
          </cell>
          <cell r="DK96">
            <v>0</v>
          </cell>
          <cell r="DL96">
            <v>0</v>
          </cell>
          <cell r="DM96"/>
          <cell r="DN96"/>
          <cell r="DO96"/>
          <cell r="DP96"/>
        </row>
        <row r="97">
          <cell r="A97">
            <v>228</v>
          </cell>
          <cell r="B97" t="str">
            <v>Ede</v>
          </cell>
          <cell r="C97">
            <v>5</v>
          </cell>
          <cell r="D97">
            <v>195036</v>
          </cell>
          <cell r="E97">
            <v>97518</v>
          </cell>
          <cell r="F97">
            <v>0</v>
          </cell>
          <cell r="G97">
            <v>999978</v>
          </cell>
          <cell r="H97">
            <v>-10723</v>
          </cell>
          <cell r="I97">
            <v>0</v>
          </cell>
          <cell r="J97"/>
          <cell r="K97">
            <v>0</v>
          </cell>
          <cell r="L97">
            <v>478641</v>
          </cell>
          <cell r="M97">
            <v>439674</v>
          </cell>
          <cell r="N97">
            <v>0</v>
          </cell>
          <cell r="O97">
            <v>0</v>
          </cell>
          <cell r="P97">
            <v>150000</v>
          </cell>
          <cell r="Q97">
            <v>0</v>
          </cell>
          <cell r="R97">
            <v>0</v>
          </cell>
          <cell r="S97">
            <v>0</v>
          </cell>
          <cell r="T97">
            <v>0</v>
          </cell>
          <cell r="U97">
            <v>0</v>
          </cell>
          <cell r="V97">
            <v>18000</v>
          </cell>
          <cell r="W97">
            <v>474088</v>
          </cell>
          <cell r="X97">
            <v>0</v>
          </cell>
          <cell r="Y97"/>
          <cell r="Z97">
            <v>0</v>
          </cell>
          <cell r="AA97">
            <v>0</v>
          </cell>
          <cell r="AB97">
            <v>0</v>
          </cell>
          <cell r="AC97"/>
          <cell r="AD97">
            <v>116358</v>
          </cell>
          <cell r="AE97">
            <v>0</v>
          </cell>
          <cell r="AF97">
            <v>0</v>
          </cell>
          <cell r="AG97">
            <v>0</v>
          </cell>
          <cell r="AH97">
            <v>0</v>
          </cell>
          <cell r="AI97">
            <v>0</v>
          </cell>
          <cell r="AJ97">
            <v>0</v>
          </cell>
          <cell r="AK97">
            <v>58600</v>
          </cell>
          <cell r="AL97"/>
          <cell r="AM97">
            <v>0</v>
          </cell>
          <cell r="AN97">
            <v>0</v>
          </cell>
          <cell r="AO97">
            <v>0</v>
          </cell>
          <cell r="AP97">
            <v>0</v>
          </cell>
          <cell r="AQ97">
            <v>0</v>
          </cell>
          <cell r="AR97">
            <v>0</v>
          </cell>
          <cell r="AS97">
            <v>0</v>
          </cell>
          <cell r="AT97">
            <v>0</v>
          </cell>
          <cell r="AU97">
            <v>18960</v>
          </cell>
          <cell r="AV97">
            <v>2282247.0085415202</v>
          </cell>
          <cell r="AW97">
            <v>117852</v>
          </cell>
          <cell r="AX97">
            <v>0</v>
          </cell>
          <cell r="AY97"/>
          <cell r="AZ97"/>
          <cell r="BA97">
            <v>0</v>
          </cell>
          <cell r="BB97"/>
          <cell r="BC97">
            <v>0</v>
          </cell>
          <cell r="BD97">
            <v>39815</v>
          </cell>
          <cell r="BE97"/>
          <cell r="BF97">
            <v>0</v>
          </cell>
          <cell r="BG97">
            <v>0</v>
          </cell>
          <cell r="BH97">
            <v>0</v>
          </cell>
          <cell r="BI97">
            <v>135324</v>
          </cell>
          <cell r="BJ97">
            <v>111392</v>
          </cell>
          <cell r="BK97">
            <v>111392</v>
          </cell>
          <cell r="BL97">
            <v>0</v>
          </cell>
          <cell r="BM97">
            <v>0</v>
          </cell>
          <cell r="BN97">
            <v>0</v>
          </cell>
          <cell r="BO97">
            <v>314719</v>
          </cell>
          <cell r="BP97">
            <v>45860.6</v>
          </cell>
          <cell r="BQ97">
            <v>82616.279069767406</v>
          </cell>
          <cell r="BR97">
            <v>0</v>
          </cell>
          <cell r="BS97">
            <v>0</v>
          </cell>
          <cell r="BT97">
            <v>200532</v>
          </cell>
          <cell r="BU97"/>
          <cell r="BV97"/>
          <cell r="BW97"/>
          <cell r="BX97"/>
          <cell r="BY97">
            <v>1375795.6280091901</v>
          </cell>
          <cell r="BZ97">
            <v>1594824.7405703799</v>
          </cell>
          <cell r="CA97">
            <v>1613535.7702866599</v>
          </cell>
          <cell r="CB97">
            <v>1666366.91301498</v>
          </cell>
          <cell r="CC97">
            <v>7827019</v>
          </cell>
          <cell r="CD97">
            <v>71427110</v>
          </cell>
          <cell r="CE97">
            <v>7002124</v>
          </cell>
          <cell r="CF97">
            <v>0</v>
          </cell>
          <cell r="CG97">
            <v>7002124</v>
          </cell>
          <cell r="CH97">
            <v>7002124</v>
          </cell>
          <cell r="CI97">
            <v>7002124</v>
          </cell>
          <cell r="CJ97">
            <v>7002124</v>
          </cell>
          <cell r="CK97">
            <v>21264386</v>
          </cell>
          <cell r="CL97">
            <v>21253924</v>
          </cell>
          <cell r="CM97">
            <v>21253754</v>
          </cell>
          <cell r="CN97">
            <v>21253382</v>
          </cell>
          <cell r="CO97">
            <v>21253898</v>
          </cell>
          <cell r="CP97">
            <v>0</v>
          </cell>
          <cell r="CQ97">
            <v>9317607</v>
          </cell>
          <cell r="CR97">
            <v>8875663</v>
          </cell>
          <cell r="CS97">
            <v>8633055</v>
          </cell>
          <cell r="CT97">
            <v>8480691</v>
          </cell>
          <cell r="CU97">
            <v>8214019</v>
          </cell>
          <cell r="CV97">
            <v>72812</v>
          </cell>
          <cell r="CW97">
            <v>0</v>
          </cell>
          <cell r="CX97">
            <v>0</v>
          </cell>
          <cell r="CY97">
            <v>0</v>
          </cell>
          <cell r="CZ97">
            <v>0</v>
          </cell>
          <cell r="DA97">
            <v>0</v>
          </cell>
          <cell r="DB97"/>
          <cell r="DC97">
            <v>0</v>
          </cell>
          <cell r="DD97">
            <v>0</v>
          </cell>
          <cell r="DE97">
            <v>0</v>
          </cell>
          <cell r="DF97">
            <v>0</v>
          </cell>
          <cell r="DG97">
            <v>0</v>
          </cell>
          <cell r="DH97">
            <v>0</v>
          </cell>
          <cell r="DI97">
            <v>0</v>
          </cell>
          <cell r="DJ97">
            <v>0</v>
          </cell>
          <cell r="DK97">
            <v>0</v>
          </cell>
          <cell r="DL97">
            <v>0</v>
          </cell>
          <cell r="DM97"/>
          <cell r="DN97"/>
          <cell r="DO97"/>
          <cell r="DP97"/>
        </row>
        <row r="98">
          <cell r="A98">
            <v>230</v>
          </cell>
          <cell r="B98" t="str">
            <v>Elburg</v>
          </cell>
          <cell r="C98">
            <v>5</v>
          </cell>
          <cell r="D98">
            <v>-30844</v>
          </cell>
          <cell r="E98">
            <v>-15422</v>
          </cell>
          <cell r="F98">
            <v>0</v>
          </cell>
          <cell r="G98">
            <v>0</v>
          </cell>
          <cell r="H98">
            <v>-7115</v>
          </cell>
          <cell r="I98">
            <v>-2730</v>
          </cell>
          <cell r="J98"/>
          <cell r="K98">
            <v>0</v>
          </cell>
          <cell r="L98">
            <v>80142</v>
          </cell>
          <cell r="M98">
            <v>68137</v>
          </cell>
          <cell r="N98">
            <v>0</v>
          </cell>
          <cell r="O98">
            <v>0</v>
          </cell>
          <cell r="P98">
            <v>0</v>
          </cell>
          <cell r="Q98">
            <v>0</v>
          </cell>
          <cell r="R98">
            <v>0</v>
          </cell>
          <cell r="S98">
            <v>0</v>
          </cell>
          <cell r="T98">
            <v>0</v>
          </cell>
          <cell r="U98">
            <v>0</v>
          </cell>
          <cell r="V98">
            <v>0</v>
          </cell>
          <cell r="W98">
            <v>99910</v>
          </cell>
          <cell r="X98">
            <v>0</v>
          </cell>
          <cell r="Y98"/>
          <cell r="Z98">
            <v>0</v>
          </cell>
          <cell r="AA98">
            <v>0</v>
          </cell>
          <cell r="AB98">
            <v>0</v>
          </cell>
          <cell r="AC98"/>
          <cell r="AD98">
            <v>0</v>
          </cell>
          <cell r="AE98">
            <v>0</v>
          </cell>
          <cell r="AF98">
            <v>0</v>
          </cell>
          <cell r="AG98">
            <v>0</v>
          </cell>
          <cell r="AH98">
            <v>0</v>
          </cell>
          <cell r="AI98">
            <v>0</v>
          </cell>
          <cell r="AJ98">
            <v>0</v>
          </cell>
          <cell r="AK98">
            <v>0</v>
          </cell>
          <cell r="AL98"/>
          <cell r="AM98">
            <v>0</v>
          </cell>
          <cell r="AN98">
            <v>0</v>
          </cell>
          <cell r="AO98">
            <v>0</v>
          </cell>
          <cell r="AP98">
            <v>0</v>
          </cell>
          <cell r="AQ98">
            <v>0</v>
          </cell>
          <cell r="AR98">
            <v>0</v>
          </cell>
          <cell r="AS98">
            <v>0</v>
          </cell>
          <cell r="AT98">
            <v>0</v>
          </cell>
          <cell r="AU98">
            <v>2370</v>
          </cell>
          <cell r="AV98">
            <v>0</v>
          </cell>
          <cell r="AW98">
            <v>0</v>
          </cell>
          <cell r="AX98">
            <v>0</v>
          </cell>
          <cell r="AY98"/>
          <cell r="AZ98"/>
          <cell r="BA98">
            <v>0</v>
          </cell>
          <cell r="BB98"/>
          <cell r="BC98">
            <v>0</v>
          </cell>
          <cell r="BD98">
            <v>8083</v>
          </cell>
          <cell r="BE98"/>
          <cell r="BF98">
            <v>0</v>
          </cell>
          <cell r="BG98">
            <v>0</v>
          </cell>
          <cell r="BH98">
            <v>0</v>
          </cell>
          <cell r="BI98">
            <v>24964</v>
          </cell>
          <cell r="BJ98">
            <v>20549</v>
          </cell>
          <cell r="BK98">
            <v>20549</v>
          </cell>
          <cell r="BL98">
            <v>0</v>
          </cell>
          <cell r="BM98">
            <v>0</v>
          </cell>
          <cell r="BN98">
            <v>0</v>
          </cell>
          <cell r="BO98">
            <v>27240</v>
          </cell>
          <cell r="BP98">
            <v>9488.4</v>
          </cell>
          <cell r="BQ98">
            <v>17093.023255814001</v>
          </cell>
          <cell r="BR98">
            <v>0</v>
          </cell>
          <cell r="BS98">
            <v>0</v>
          </cell>
          <cell r="BT98">
            <v>40500</v>
          </cell>
          <cell r="BU98"/>
          <cell r="BV98"/>
          <cell r="BW98"/>
          <cell r="BX98"/>
          <cell r="BY98">
            <v>0</v>
          </cell>
          <cell r="BZ98">
            <v>0</v>
          </cell>
          <cell r="CA98">
            <v>0</v>
          </cell>
          <cell r="CB98">
            <v>0</v>
          </cell>
          <cell r="CC98">
            <v>1647279</v>
          </cell>
          <cell r="CD98">
            <v>11711379</v>
          </cell>
          <cell r="CE98">
            <v>626235</v>
          </cell>
          <cell r="CF98">
            <v>-6544</v>
          </cell>
          <cell r="CG98">
            <v>626235</v>
          </cell>
          <cell r="CH98">
            <v>626235</v>
          </cell>
          <cell r="CI98">
            <v>626235</v>
          </cell>
          <cell r="CJ98">
            <v>626235</v>
          </cell>
          <cell r="CK98">
            <v>0</v>
          </cell>
          <cell r="CL98">
            <v>0</v>
          </cell>
          <cell r="CM98">
            <v>0</v>
          </cell>
          <cell r="CN98">
            <v>0</v>
          </cell>
          <cell r="CO98">
            <v>0</v>
          </cell>
          <cell r="CP98">
            <v>0</v>
          </cell>
          <cell r="CQ98">
            <v>3241037</v>
          </cell>
          <cell r="CR98">
            <v>3079177</v>
          </cell>
          <cell r="CS98">
            <v>3000269</v>
          </cell>
          <cell r="CT98">
            <v>2953251</v>
          </cell>
          <cell r="CU98">
            <v>2886321</v>
          </cell>
          <cell r="CV98">
            <v>-33907</v>
          </cell>
          <cell r="CW98">
            <v>0</v>
          </cell>
          <cell r="CX98">
            <v>0</v>
          </cell>
          <cell r="CY98">
            <v>0</v>
          </cell>
          <cell r="CZ98">
            <v>0</v>
          </cell>
          <cell r="DA98">
            <v>0</v>
          </cell>
          <cell r="DB98"/>
          <cell r="DC98">
            <v>0</v>
          </cell>
          <cell r="DD98">
            <v>0</v>
          </cell>
          <cell r="DE98">
            <v>0</v>
          </cell>
          <cell r="DF98">
            <v>0</v>
          </cell>
          <cell r="DG98">
            <v>0</v>
          </cell>
          <cell r="DH98">
            <v>0</v>
          </cell>
          <cell r="DI98">
            <v>0</v>
          </cell>
          <cell r="DJ98">
            <v>0</v>
          </cell>
          <cell r="DK98">
            <v>0</v>
          </cell>
          <cell r="DL98">
            <v>0</v>
          </cell>
          <cell r="DM98"/>
          <cell r="DN98"/>
          <cell r="DO98"/>
          <cell r="DP98"/>
        </row>
        <row r="99">
          <cell r="A99">
            <v>232</v>
          </cell>
          <cell r="B99" t="str">
            <v>Epe</v>
          </cell>
          <cell r="C99">
            <v>5</v>
          </cell>
          <cell r="D99">
            <v>-52374</v>
          </cell>
          <cell r="E99">
            <v>-26187</v>
          </cell>
          <cell r="F99">
            <v>0</v>
          </cell>
          <cell r="G99">
            <v>0</v>
          </cell>
          <cell r="H99">
            <v>-19604</v>
          </cell>
          <cell r="I99">
            <v>-8471</v>
          </cell>
          <cell r="J99"/>
          <cell r="K99">
            <v>0</v>
          </cell>
          <cell r="L99">
            <v>113408</v>
          </cell>
          <cell r="M99">
            <v>114275</v>
          </cell>
          <cell r="N99">
            <v>0</v>
          </cell>
          <cell r="O99">
            <v>0</v>
          </cell>
          <cell r="P99">
            <v>0</v>
          </cell>
          <cell r="Q99">
            <v>0</v>
          </cell>
          <cell r="R99">
            <v>0</v>
          </cell>
          <cell r="S99">
            <v>0</v>
          </cell>
          <cell r="T99">
            <v>0</v>
          </cell>
          <cell r="U99">
            <v>0</v>
          </cell>
          <cell r="V99">
            <v>3000</v>
          </cell>
          <cell r="W99">
            <v>125374</v>
          </cell>
          <cell r="X99">
            <v>0</v>
          </cell>
          <cell r="Y99"/>
          <cell r="Z99">
            <v>0</v>
          </cell>
          <cell r="AA99">
            <v>0</v>
          </cell>
          <cell r="AB99">
            <v>0</v>
          </cell>
          <cell r="AC99"/>
          <cell r="AD99">
            <v>24445</v>
          </cell>
          <cell r="AE99">
            <v>0</v>
          </cell>
          <cell r="AF99">
            <v>0</v>
          </cell>
          <cell r="AG99">
            <v>0</v>
          </cell>
          <cell r="AH99">
            <v>0</v>
          </cell>
          <cell r="AI99">
            <v>0</v>
          </cell>
          <cell r="AJ99">
            <v>0</v>
          </cell>
          <cell r="AK99">
            <v>0</v>
          </cell>
          <cell r="AL99"/>
          <cell r="AM99">
            <v>0</v>
          </cell>
          <cell r="AN99">
            <v>0</v>
          </cell>
          <cell r="AO99">
            <v>0</v>
          </cell>
          <cell r="AP99">
            <v>0</v>
          </cell>
          <cell r="AQ99">
            <v>0</v>
          </cell>
          <cell r="AR99">
            <v>0</v>
          </cell>
          <cell r="AS99">
            <v>0</v>
          </cell>
          <cell r="AT99">
            <v>0</v>
          </cell>
          <cell r="AU99">
            <v>7110</v>
          </cell>
          <cell r="AV99">
            <v>0</v>
          </cell>
          <cell r="AW99">
            <v>0</v>
          </cell>
          <cell r="AX99">
            <v>0</v>
          </cell>
          <cell r="AY99"/>
          <cell r="AZ99"/>
          <cell r="BA99">
            <v>0</v>
          </cell>
          <cell r="BB99"/>
          <cell r="BC99">
            <v>0</v>
          </cell>
          <cell r="BD99">
            <v>11422</v>
          </cell>
          <cell r="BE99"/>
          <cell r="BF99">
            <v>0</v>
          </cell>
          <cell r="BG99">
            <v>0</v>
          </cell>
          <cell r="BH99">
            <v>0</v>
          </cell>
          <cell r="BI99">
            <v>43820</v>
          </cell>
          <cell r="BJ99">
            <v>36070</v>
          </cell>
          <cell r="BK99">
            <v>36070</v>
          </cell>
          <cell r="BL99">
            <v>0</v>
          </cell>
          <cell r="BM99">
            <v>0</v>
          </cell>
          <cell r="BN99">
            <v>0</v>
          </cell>
          <cell r="BO99">
            <v>72964</v>
          </cell>
          <cell r="BP99">
            <v>9488.4</v>
          </cell>
          <cell r="BQ99">
            <v>17093.023255814001</v>
          </cell>
          <cell r="BR99">
            <v>0</v>
          </cell>
          <cell r="BS99">
            <v>0</v>
          </cell>
          <cell r="BT99">
            <v>53794</v>
          </cell>
          <cell r="BU99"/>
          <cell r="BV99"/>
          <cell r="BW99"/>
          <cell r="BX99"/>
          <cell r="BY99">
            <v>0</v>
          </cell>
          <cell r="BZ99">
            <v>0</v>
          </cell>
          <cell r="CA99">
            <v>0</v>
          </cell>
          <cell r="CB99">
            <v>0</v>
          </cell>
          <cell r="CC99">
            <v>2998318</v>
          </cell>
          <cell r="CD99">
            <v>15937451</v>
          </cell>
          <cell r="CE99">
            <v>808183</v>
          </cell>
          <cell r="CF99">
            <v>-20569</v>
          </cell>
          <cell r="CG99">
            <v>808183</v>
          </cell>
          <cell r="CH99">
            <v>808183</v>
          </cell>
          <cell r="CI99">
            <v>808183</v>
          </cell>
          <cell r="CJ99">
            <v>808183</v>
          </cell>
          <cell r="CK99">
            <v>0</v>
          </cell>
          <cell r="CL99">
            <v>0</v>
          </cell>
          <cell r="CM99">
            <v>0</v>
          </cell>
          <cell r="CN99">
            <v>0</v>
          </cell>
          <cell r="CO99">
            <v>0</v>
          </cell>
          <cell r="CP99">
            <v>0</v>
          </cell>
          <cell r="CQ99">
            <v>4496062</v>
          </cell>
          <cell r="CR99">
            <v>4179718</v>
          </cell>
          <cell r="CS99">
            <v>4068670</v>
          </cell>
          <cell r="CT99">
            <v>3928972</v>
          </cell>
          <cell r="CU99">
            <v>3736013</v>
          </cell>
          <cell r="CV99">
            <v>6781</v>
          </cell>
          <cell r="CW99">
            <v>0</v>
          </cell>
          <cell r="CX99">
            <v>0</v>
          </cell>
          <cell r="CY99">
            <v>0</v>
          </cell>
          <cell r="CZ99">
            <v>0</v>
          </cell>
          <cell r="DA99">
            <v>0</v>
          </cell>
          <cell r="DB99"/>
          <cell r="DC99">
            <v>0</v>
          </cell>
          <cell r="DD99">
            <v>0</v>
          </cell>
          <cell r="DE99">
            <v>0</v>
          </cell>
          <cell r="DF99">
            <v>0</v>
          </cell>
          <cell r="DG99">
            <v>0</v>
          </cell>
          <cell r="DH99">
            <v>0</v>
          </cell>
          <cell r="DI99">
            <v>0</v>
          </cell>
          <cell r="DJ99">
            <v>0</v>
          </cell>
          <cell r="DK99">
            <v>0</v>
          </cell>
          <cell r="DL99">
            <v>0</v>
          </cell>
          <cell r="DM99"/>
          <cell r="DN99"/>
          <cell r="DO99"/>
          <cell r="DP99"/>
        </row>
        <row r="100">
          <cell r="A100">
            <v>233</v>
          </cell>
          <cell r="B100" t="str">
            <v>Ermelo</v>
          </cell>
          <cell r="C100">
            <v>5</v>
          </cell>
          <cell r="D100">
            <v>-21960</v>
          </cell>
          <cell r="E100">
            <v>-10980</v>
          </cell>
          <cell r="F100">
            <v>0</v>
          </cell>
          <cell r="G100">
            <v>0</v>
          </cell>
          <cell r="H100">
            <v>-15101</v>
          </cell>
          <cell r="I100">
            <v>-10170</v>
          </cell>
          <cell r="J100"/>
          <cell r="K100">
            <v>0</v>
          </cell>
          <cell r="L100">
            <v>80918</v>
          </cell>
          <cell r="M100">
            <v>66494</v>
          </cell>
          <cell r="N100">
            <v>0</v>
          </cell>
          <cell r="O100">
            <v>0</v>
          </cell>
          <cell r="P100">
            <v>0</v>
          </cell>
          <cell r="Q100">
            <v>0</v>
          </cell>
          <cell r="R100">
            <v>0</v>
          </cell>
          <cell r="S100">
            <v>0</v>
          </cell>
          <cell r="T100">
            <v>0</v>
          </cell>
          <cell r="U100">
            <v>0</v>
          </cell>
          <cell r="V100">
            <v>9000</v>
          </cell>
          <cell r="W100">
            <v>94755</v>
          </cell>
          <cell r="X100">
            <v>0</v>
          </cell>
          <cell r="Y100"/>
          <cell r="Z100">
            <v>0</v>
          </cell>
          <cell r="AA100">
            <v>0</v>
          </cell>
          <cell r="AB100">
            <v>0</v>
          </cell>
          <cell r="AC100"/>
          <cell r="AD100">
            <v>0</v>
          </cell>
          <cell r="AE100">
            <v>0</v>
          </cell>
          <cell r="AF100">
            <v>0</v>
          </cell>
          <cell r="AG100">
            <v>0</v>
          </cell>
          <cell r="AH100">
            <v>0</v>
          </cell>
          <cell r="AI100">
            <v>0</v>
          </cell>
          <cell r="AJ100">
            <v>0</v>
          </cell>
          <cell r="AK100">
            <v>0</v>
          </cell>
          <cell r="AL100"/>
          <cell r="AM100">
            <v>0</v>
          </cell>
          <cell r="AN100">
            <v>0</v>
          </cell>
          <cell r="AO100">
            <v>0</v>
          </cell>
          <cell r="AP100">
            <v>0</v>
          </cell>
          <cell r="AQ100">
            <v>0</v>
          </cell>
          <cell r="AR100">
            <v>0</v>
          </cell>
          <cell r="AS100">
            <v>0</v>
          </cell>
          <cell r="AT100">
            <v>0</v>
          </cell>
          <cell r="AU100">
            <v>9480</v>
          </cell>
          <cell r="AV100">
            <v>0</v>
          </cell>
          <cell r="AW100">
            <v>0</v>
          </cell>
          <cell r="AX100">
            <v>0</v>
          </cell>
          <cell r="AY100"/>
          <cell r="AZ100"/>
          <cell r="BA100">
            <v>0</v>
          </cell>
          <cell r="BB100"/>
          <cell r="BC100">
            <v>0</v>
          </cell>
          <cell r="BD100">
            <v>9334</v>
          </cell>
          <cell r="BE100"/>
          <cell r="BF100">
            <v>0</v>
          </cell>
          <cell r="BG100">
            <v>0</v>
          </cell>
          <cell r="BH100">
            <v>0</v>
          </cell>
          <cell r="BI100">
            <v>30489</v>
          </cell>
          <cell r="BJ100">
            <v>25097</v>
          </cell>
          <cell r="BK100">
            <v>25097</v>
          </cell>
          <cell r="BL100">
            <v>0</v>
          </cell>
          <cell r="BM100">
            <v>0</v>
          </cell>
          <cell r="BN100">
            <v>0</v>
          </cell>
          <cell r="BO100">
            <v>53994</v>
          </cell>
          <cell r="BP100">
            <v>9488.4</v>
          </cell>
          <cell r="BQ100">
            <v>17093.023255814001</v>
          </cell>
          <cell r="BR100">
            <v>0</v>
          </cell>
          <cell r="BS100">
            <v>0</v>
          </cell>
          <cell r="BT100">
            <v>42848</v>
          </cell>
          <cell r="BU100"/>
          <cell r="BV100"/>
          <cell r="BW100"/>
          <cell r="BX100"/>
          <cell r="BY100">
            <v>0</v>
          </cell>
          <cell r="BZ100">
            <v>0</v>
          </cell>
          <cell r="CA100">
            <v>0</v>
          </cell>
          <cell r="CB100">
            <v>0</v>
          </cell>
          <cell r="CC100">
            <v>2472437</v>
          </cell>
          <cell r="CD100">
            <v>18354432</v>
          </cell>
          <cell r="CE100">
            <v>4755455</v>
          </cell>
          <cell r="CF100">
            <v>0</v>
          </cell>
          <cell r="CG100">
            <v>4755455</v>
          </cell>
          <cell r="CH100">
            <v>4755455</v>
          </cell>
          <cell r="CI100">
            <v>4755455</v>
          </cell>
          <cell r="CJ100">
            <v>4755455</v>
          </cell>
          <cell r="CK100">
            <v>0</v>
          </cell>
          <cell r="CL100">
            <v>0</v>
          </cell>
          <cell r="CM100">
            <v>0</v>
          </cell>
          <cell r="CN100">
            <v>0</v>
          </cell>
          <cell r="CO100">
            <v>0</v>
          </cell>
          <cell r="CP100">
            <v>-3653</v>
          </cell>
          <cell r="CQ100">
            <v>3383897</v>
          </cell>
          <cell r="CR100">
            <v>3249810</v>
          </cell>
          <cell r="CS100">
            <v>3180970</v>
          </cell>
          <cell r="CT100">
            <v>3136308</v>
          </cell>
          <cell r="CU100">
            <v>3041763</v>
          </cell>
          <cell r="CV100">
            <v>25655</v>
          </cell>
          <cell r="CW100">
            <v>0</v>
          </cell>
          <cell r="CX100">
            <v>0</v>
          </cell>
          <cell r="CY100">
            <v>0</v>
          </cell>
          <cell r="CZ100">
            <v>0</v>
          </cell>
          <cell r="DA100">
            <v>0</v>
          </cell>
          <cell r="DB100"/>
          <cell r="DC100">
            <v>0</v>
          </cell>
          <cell r="DD100">
            <v>0</v>
          </cell>
          <cell r="DE100">
            <v>0</v>
          </cell>
          <cell r="DF100">
            <v>0</v>
          </cell>
          <cell r="DG100">
            <v>0</v>
          </cell>
          <cell r="DH100">
            <v>0</v>
          </cell>
          <cell r="DI100">
            <v>0</v>
          </cell>
          <cell r="DJ100">
            <v>0</v>
          </cell>
          <cell r="DK100">
            <v>0</v>
          </cell>
          <cell r="DL100">
            <v>0</v>
          </cell>
          <cell r="DM100"/>
          <cell r="DN100"/>
          <cell r="DO100"/>
          <cell r="DP100"/>
        </row>
        <row r="101">
          <cell r="A101">
            <v>236</v>
          </cell>
          <cell r="B101" t="str">
            <v>Geldermalsen</v>
          </cell>
          <cell r="C101">
            <v>5</v>
          </cell>
          <cell r="D101">
            <v>-12763</v>
          </cell>
          <cell r="E101">
            <v>-6381</v>
          </cell>
          <cell r="F101">
            <v>0</v>
          </cell>
          <cell r="G101">
            <v>0</v>
          </cell>
          <cell r="H101">
            <v>-11250</v>
          </cell>
          <cell r="I101">
            <v>-4304</v>
          </cell>
          <cell r="J101"/>
          <cell r="K101">
            <v>0</v>
          </cell>
          <cell r="L101">
            <v>84519</v>
          </cell>
          <cell r="M101">
            <v>78564</v>
          </cell>
          <cell r="N101">
            <v>0</v>
          </cell>
          <cell r="O101">
            <v>0</v>
          </cell>
          <cell r="P101">
            <v>0</v>
          </cell>
          <cell r="Q101">
            <v>0</v>
          </cell>
          <cell r="R101">
            <v>0</v>
          </cell>
          <cell r="S101">
            <v>0</v>
          </cell>
          <cell r="T101">
            <v>0</v>
          </cell>
          <cell r="U101">
            <v>0</v>
          </cell>
          <cell r="V101">
            <v>18000</v>
          </cell>
          <cell r="W101">
            <v>88088</v>
          </cell>
          <cell r="X101">
            <v>0</v>
          </cell>
          <cell r="Y101"/>
          <cell r="Z101">
            <v>0</v>
          </cell>
          <cell r="AA101">
            <v>0</v>
          </cell>
          <cell r="AB101">
            <v>0</v>
          </cell>
          <cell r="AC101"/>
          <cell r="AD101">
            <v>0</v>
          </cell>
          <cell r="AE101">
            <v>0</v>
          </cell>
          <cell r="AF101">
            <v>0</v>
          </cell>
          <cell r="AG101">
            <v>0</v>
          </cell>
          <cell r="AH101">
            <v>0</v>
          </cell>
          <cell r="AI101">
            <v>0</v>
          </cell>
          <cell r="AJ101">
            <v>0</v>
          </cell>
          <cell r="AK101">
            <v>0</v>
          </cell>
          <cell r="AL101"/>
          <cell r="AM101">
            <v>0</v>
          </cell>
          <cell r="AN101">
            <v>0</v>
          </cell>
          <cell r="AO101">
            <v>0</v>
          </cell>
          <cell r="AP101">
            <v>0</v>
          </cell>
          <cell r="AQ101">
            <v>0</v>
          </cell>
          <cell r="AR101">
            <v>0</v>
          </cell>
          <cell r="AS101">
            <v>0</v>
          </cell>
          <cell r="AT101">
            <v>0</v>
          </cell>
          <cell r="AU101">
            <v>0</v>
          </cell>
          <cell r="AV101">
            <v>0</v>
          </cell>
          <cell r="AW101">
            <v>0</v>
          </cell>
          <cell r="AX101">
            <v>0</v>
          </cell>
          <cell r="AY101"/>
          <cell r="AZ101"/>
          <cell r="BA101">
            <v>0</v>
          </cell>
          <cell r="BB101"/>
          <cell r="BC101">
            <v>0</v>
          </cell>
          <cell r="BD101">
            <v>46645</v>
          </cell>
          <cell r="BE101"/>
          <cell r="BF101">
            <v>0</v>
          </cell>
          <cell r="BG101">
            <v>0</v>
          </cell>
          <cell r="BH101">
            <v>0</v>
          </cell>
          <cell r="BI101">
            <v>24859</v>
          </cell>
          <cell r="BJ101">
            <v>20463</v>
          </cell>
          <cell r="BK101">
            <v>20463</v>
          </cell>
          <cell r="BL101">
            <v>0</v>
          </cell>
          <cell r="BM101">
            <v>0</v>
          </cell>
          <cell r="BN101">
            <v>0</v>
          </cell>
          <cell r="BO101">
            <v>67127</v>
          </cell>
          <cell r="BP101">
            <v>20558.2</v>
          </cell>
          <cell r="BQ101">
            <v>37034.8837209302</v>
          </cell>
          <cell r="BR101">
            <v>0</v>
          </cell>
          <cell r="BS101">
            <v>0</v>
          </cell>
          <cell r="BT101">
            <v>45393</v>
          </cell>
          <cell r="BU101"/>
          <cell r="BV101"/>
          <cell r="BW101"/>
          <cell r="BX101"/>
          <cell r="BY101">
            <v>0</v>
          </cell>
          <cell r="BZ101">
            <v>0</v>
          </cell>
          <cell r="CA101">
            <v>0</v>
          </cell>
          <cell r="CB101">
            <v>0</v>
          </cell>
          <cell r="CC101">
            <v>1692793</v>
          </cell>
          <cell r="CD101">
            <v>9523106</v>
          </cell>
          <cell r="CE101">
            <v>427456</v>
          </cell>
          <cell r="CF101">
            <v>0</v>
          </cell>
          <cell r="CG101">
            <v>427456</v>
          </cell>
          <cell r="CH101">
            <v>427456</v>
          </cell>
          <cell r="CI101">
            <v>427456</v>
          </cell>
          <cell r="CJ101">
            <v>427456</v>
          </cell>
          <cell r="CK101">
            <v>0</v>
          </cell>
          <cell r="CL101">
            <v>0</v>
          </cell>
          <cell r="CM101">
            <v>0</v>
          </cell>
          <cell r="CN101">
            <v>0</v>
          </cell>
          <cell r="CO101">
            <v>0</v>
          </cell>
          <cell r="CP101">
            <v>-1553</v>
          </cell>
          <cell r="CQ101">
            <v>2236981</v>
          </cell>
          <cell r="CR101">
            <v>2142898</v>
          </cell>
          <cell r="CS101">
            <v>2101952</v>
          </cell>
          <cell r="CT101">
            <v>2012349</v>
          </cell>
          <cell r="CU101">
            <v>2008039</v>
          </cell>
          <cell r="CV101">
            <v>-26395</v>
          </cell>
          <cell r="CW101">
            <v>0</v>
          </cell>
          <cell r="CX101">
            <v>0</v>
          </cell>
          <cell r="CY101">
            <v>0</v>
          </cell>
          <cell r="CZ101">
            <v>0</v>
          </cell>
          <cell r="DA101">
            <v>0</v>
          </cell>
          <cell r="DB101"/>
          <cell r="DC101">
            <v>0</v>
          </cell>
          <cell r="DD101">
            <v>0</v>
          </cell>
          <cell r="DE101">
            <v>0</v>
          </cell>
          <cell r="DF101">
            <v>0</v>
          </cell>
          <cell r="DG101">
            <v>0</v>
          </cell>
          <cell r="DH101">
            <v>0</v>
          </cell>
          <cell r="DI101">
            <v>0</v>
          </cell>
          <cell r="DJ101">
            <v>0</v>
          </cell>
          <cell r="DK101">
            <v>0</v>
          </cell>
          <cell r="DL101">
            <v>0</v>
          </cell>
          <cell r="DM101"/>
          <cell r="DN101"/>
          <cell r="DO101"/>
          <cell r="DP101"/>
        </row>
        <row r="102">
          <cell r="A102">
            <v>243</v>
          </cell>
          <cell r="B102" t="str">
            <v>Harderwijk</v>
          </cell>
          <cell r="C102">
            <v>5</v>
          </cell>
          <cell r="D102">
            <v>-24162</v>
          </cell>
          <cell r="E102">
            <v>-12081</v>
          </cell>
          <cell r="F102">
            <v>0</v>
          </cell>
          <cell r="G102">
            <v>903020</v>
          </cell>
          <cell r="H102">
            <v>-22304</v>
          </cell>
          <cell r="I102">
            <v>-16414</v>
          </cell>
          <cell r="J102"/>
          <cell r="K102">
            <v>0</v>
          </cell>
          <cell r="L102">
            <v>219037</v>
          </cell>
          <cell r="M102">
            <v>214004</v>
          </cell>
          <cell r="N102">
            <v>0</v>
          </cell>
          <cell r="O102">
            <v>0</v>
          </cell>
          <cell r="P102">
            <v>0</v>
          </cell>
          <cell r="Q102">
            <v>0</v>
          </cell>
          <cell r="R102">
            <v>0</v>
          </cell>
          <cell r="S102">
            <v>0</v>
          </cell>
          <cell r="T102">
            <v>0</v>
          </cell>
          <cell r="U102">
            <v>0</v>
          </cell>
          <cell r="V102">
            <v>3000</v>
          </cell>
          <cell r="W102">
            <v>180383</v>
          </cell>
          <cell r="X102">
            <v>0</v>
          </cell>
          <cell r="Y102"/>
          <cell r="Z102">
            <v>0</v>
          </cell>
          <cell r="AA102">
            <v>0</v>
          </cell>
          <cell r="AB102">
            <v>0</v>
          </cell>
          <cell r="AC102"/>
          <cell r="AD102">
            <v>30311</v>
          </cell>
          <cell r="AE102">
            <v>0</v>
          </cell>
          <cell r="AF102">
            <v>0</v>
          </cell>
          <cell r="AG102">
            <v>0</v>
          </cell>
          <cell r="AH102">
            <v>0</v>
          </cell>
          <cell r="AI102">
            <v>0</v>
          </cell>
          <cell r="AJ102">
            <v>0</v>
          </cell>
          <cell r="AK102">
            <v>0</v>
          </cell>
          <cell r="AL102"/>
          <cell r="AM102">
            <v>0</v>
          </cell>
          <cell r="AN102">
            <v>0</v>
          </cell>
          <cell r="AO102">
            <v>0</v>
          </cell>
          <cell r="AP102">
            <v>0</v>
          </cell>
          <cell r="AQ102">
            <v>0</v>
          </cell>
          <cell r="AR102">
            <v>0</v>
          </cell>
          <cell r="AS102">
            <v>0</v>
          </cell>
          <cell r="AT102">
            <v>0</v>
          </cell>
          <cell r="AU102">
            <v>2370</v>
          </cell>
          <cell r="AV102">
            <v>0</v>
          </cell>
          <cell r="AW102">
            <v>0</v>
          </cell>
          <cell r="AX102">
            <v>0</v>
          </cell>
          <cell r="AY102"/>
          <cell r="AZ102"/>
          <cell r="BA102">
            <v>0</v>
          </cell>
          <cell r="BB102"/>
          <cell r="BC102">
            <v>0</v>
          </cell>
          <cell r="BD102">
            <v>16271</v>
          </cell>
          <cell r="BE102"/>
          <cell r="BF102">
            <v>0</v>
          </cell>
          <cell r="BG102">
            <v>0</v>
          </cell>
          <cell r="BH102">
            <v>0</v>
          </cell>
          <cell r="BI102">
            <v>62021</v>
          </cell>
          <cell r="BJ102">
            <v>51052</v>
          </cell>
          <cell r="BK102">
            <v>51052</v>
          </cell>
          <cell r="BL102">
            <v>0</v>
          </cell>
          <cell r="BM102">
            <v>0</v>
          </cell>
          <cell r="BN102">
            <v>0</v>
          </cell>
          <cell r="BO102">
            <v>175114</v>
          </cell>
          <cell r="BP102">
            <v>20558.2</v>
          </cell>
          <cell r="BQ102">
            <v>37034.8837209302</v>
          </cell>
          <cell r="BR102">
            <v>0</v>
          </cell>
          <cell r="BS102">
            <v>0</v>
          </cell>
          <cell r="BT102">
            <v>74728</v>
          </cell>
          <cell r="BU102"/>
          <cell r="BV102"/>
          <cell r="BW102"/>
          <cell r="BX102"/>
          <cell r="BY102">
            <v>0</v>
          </cell>
          <cell r="BZ102">
            <v>0</v>
          </cell>
          <cell r="CA102">
            <v>0</v>
          </cell>
          <cell r="CB102">
            <v>0</v>
          </cell>
          <cell r="CC102">
            <v>3479219</v>
          </cell>
          <cell r="CD102">
            <v>22338643</v>
          </cell>
          <cell r="CE102">
            <v>1150359</v>
          </cell>
          <cell r="CF102">
            <v>-39649</v>
          </cell>
          <cell r="CG102">
            <v>1150359</v>
          </cell>
          <cell r="CH102">
            <v>1150359</v>
          </cell>
          <cell r="CI102">
            <v>1150359</v>
          </cell>
          <cell r="CJ102">
            <v>1150359</v>
          </cell>
          <cell r="CK102">
            <v>0</v>
          </cell>
          <cell r="CL102">
            <v>0</v>
          </cell>
          <cell r="CM102">
            <v>0</v>
          </cell>
          <cell r="CN102">
            <v>0</v>
          </cell>
          <cell r="CO102">
            <v>0</v>
          </cell>
          <cell r="CP102">
            <v>0</v>
          </cell>
          <cell r="CQ102">
            <v>4839167</v>
          </cell>
          <cell r="CR102">
            <v>4628604</v>
          </cell>
          <cell r="CS102">
            <v>4503175</v>
          </cell>
          <cell r="CT102">
            <v>4475561</v>
          </cell>
          <cell r="CU102">
            <v>4447218</v>
          </cell>
          <cell r="CV102">
            <v>-15156</v>
          </cell>
          <cell r="CW102">
            <v>0</v>
          </cell>
          <cell r="CX102">
            <v>0</v>
          </cell>
          <cell r="CY102">
            <v>0</v>
          </cell>
          <cell r="CZ102">
            <v>0</v>
          </cell>
          <cell r="DA102">
            <v>0</v>
          </cell>
          <cell r="DB102"/>
          <cell r="DC102">
            <v>0</v>
          </cell>
          <cell r="DD102">
            <v>0</v>
          </cell>
          <cell r="DE102">
            <v>0</v>
          </cell>
          <cell r="DF102">
            <v>0</v>
          </cell>
          <cell r="DG102">
            <v>0</v>
          </cell>
          <cell r="DH102">
            <v>0</v>
          </cell>
          <cell r="DI102">
            <v>0</v>
          </cell>
          <cell r="DJ102">
            <v>0</v>
          </cell>
          <cell r="DK102">
            <v>0</v>
          </cell>
          <cell r="DL102">
            <v>0</v>
          </cell>
          <cell r="DM102"/>
          <cell r="DN102"/>
          <cell r="DO102"/>
          <cell r="DP102"/>
        </row>
        <row r="103">
          <cell r="A103">
            <v>244</v>
          </cell>
          <cell r="B103" t="str">
            <v>Hattem</v>
          </cell>
          <cell r="C103">
            <v>5</v>
          </cell>
          <cell r="D103">
            <v>-290</v>
          </cell>
          <cell r="E103">
            <v>-145</v>
          </cell>
          <cell r="F103">
            <v>0</v>
          </cell>
          <cell r="G103">
            <v>0</v>
          </cell>
          <cell r="H103">
            <v>0</v>
          </cell>
          <cell r="I103">
            <v>0</v>
          </cell>
          <cell r="J103"/>
          <cell r="K103">
            <v>0</v>
          </cell>
          <cell r="L103">
            <v>39295</v>
          </cell>
          <cell r="M103">
            <v>32140</v>
          </cell>
          <cell r="N103">
            <v>0</v>
          </cell>
          <cell r="O103">
            <v>0</v>
          </cell>
          <cell r="P103">
            <v>0</v>
          </cell>
          <cell r="Q103">
            <v>0</v>
          </cell>
          <cell r="R103">
            <v>0</v>
          </cell>
          <cell r="S103">
            <v>0</v>
          </cell>
          <cell r="T103">
            <v>0</v>
          </cell>
          <cell r="U103">
            <v>0</v>
          </cell>
          <cell r="V103">
            <v>0</v>
          </cell>
          <cell r="W103">
            <v>49178</v>
          </cell>
          <cell r="X103">
            <v>0</v>
          </cell>
          <cell r="Y103"/>
          <cell r="Z103">
            <v>0</v>
          </cell>
          <cell r="AA103">
            <v>0</v>
          </cell>
          <cell r="AB103">
            <v>0</v>
          </cell>
          <cell r="AC103"/>
          <cell r="AD103">
            <v>0</v>
          </cell>
          <cell r="AE103">
            <v>0</v>
          </cell>
          <cell r="AF103">
            <v>0</v>
          </cell>
          <cell r="AG103">
            <v>0</v>
          </cell>
          <cell r="AH103">
            <v>0</v>
          </cell>
          <cell r="AI103">
            <v>0</v>
          </cell>
          <cell r="AJ103">
            <v>0</v>
          </cell>
          <cell r="AK103">
            <v>0</v>
          </cell>
          <cell r="AL103"/>
          <cell r="AM103">
            <v>0</v>
          </cell>
          <cell r="AN103">
            <v>0</v>
          </cell>
          <cell r="AO103">
            <v>0</v>
          </cell>
          <cell r="AP103">
            <v>0</v>
          </cell>
          <cell r="AQ103">
            <v>0</v>
          </cell>
          <cell r="AR103">
            <v>0</v>
          </cell>
          <cell r="AS103">
            <v>0</v>
          </cell>
          <cell r="AT103">
            <v>0</v>
          </cell>
          <cell r="AU103">
            <v>0</v>
          </cell>
          <cell r="AV103">
            <v>0</v>
          </cell>
          <cell r="AW103">
            <v>0</v>
          </cell>
          <cell r="AX103">
            <v>0</v>
          </cell>
          <cell r="AY103"/>
          <cell r="AZ103"/>
          <cell r="BA103">
            <v>0</v>
          </cell>
          <cell r="BB103"/>
          <cell r="BC103">
            <v>0</v>
          </cell>
          <cell r="BD103">
            <v>4226</v>
          </cell>
          <cell r="BE103"/>
          <cell r="BF103">
            <v>0</v>
          </cell>
          <cell r="BG103">
            <v>0</v>
          </cell>
          <cell r="BH103">
            <v>0</v>
          </cell>
          <cell r="BI103">
            <v>13389</v>
          </cell>
          <cell r="BJ103">
            <v>11021</v>
          </cell>
          <cell r="BK103">
            <v>11021</v>
          </cell>
          <cell r="BL103">
            <v>0</v>
          </cell>
          <cell r="BM103">
            <v>0</v>
          </cell>
          <cell r="BN103">
            <v>0</v>
          </cell>
          <cell r="BO103">
            <v>43779</v>
          </cell>
          <cell r="BP103">
            <v>0</v>
          </cell>
          <cell r="BQ103">
            <v>0</v>
          </cell>
          <cell r="BR103">
            <v>0</v>
          </cell>
          <cell r="BS103">
            <v>0</v>
          </cell>
          <cell r="BT103">
            <v>18372</v>
          </cell>
          <cell r="BU103"/>
          <cell r="BV103"/>
          <cell r="BW103"/>
          <cell r="BX103"/>
          <cell r="BY103">
            <v>0</v>
          </cell>
          <cell r="BZ103">
            <v>0</v>
          </cell>
          <cell r="CA103">
            <v>0</v>
          </cell>
          <cell r="CB103">
            <v>0</v>
          </cell>
          <cell r="CC103">
            <v>891485</v>
          </cell>
          <cell r="CD103">
            <v>4522743</v>
          </cell>
          <cell r="CE103">
            <v>303981</v>
          </cell>
          <cell r="CF103">
            <v>0</v>
          </cell>
          <cell r="CG103">
            <v>303981</v>
          </cell>
          <cell r="CH103">
            <v>303981</v>
          </cell>
          <cell r="CI103">
            <v>303981</v>
          </cell>
          <cell r="CJ103">
            <v>303981</v>
          </cell>
          <cell r="CK103">
            <v>0</v>
          </cell>
          <cell r="CL103">
            <v>0</v>
          </cell>
          <cell r="CM103">
            <v>0</v>
          </cell>
          <cell r="CN103">
            <v>0</v>
          </cell>
          <cell r="CO103">
            <v>0</v>
          </cell>
          <cell r="CP103">
            <v>0</v>
          </cell>
          <cell r="CQ103">
            <v>826267</v>
          </cell>
          <cell r="CR103">
            <v>764433</v>
          </cell>
          <cell r="CS103">
            <v>716843</v>
          </cell>
          <cell r="CT103">
            <v>693543</v>
          </cell>
          <cell r="CU103">
            <v>668172</v>
          </cell>
          <cell r="CV103">
            <v>-27501</v>
          </cell>
          <cell r="CW103">
            <v>0</v>
          </cell>
          <cell r="CX103">
            <v>0</v>
          </cell>
          <cell r="CY103">
            <v>0</v>
          </cell>
          <cell r="CZ103">
            <v>0</v>
          </cell>
          <cell r="DA103">
            <v>0</v>
          </cell>
          <cell r="DB103"/>
          <cell r="DC103">
            <v>0</v>
          </cell>
          <cell r="DD103">
            <v>0</v>
          </cell>
          <cell r="DE103">
            <v>0</v>
          </cell>
          <cell r="DF103">
            <v>0</v>
          </cell>
          <cell r="DG103">
            <v>0</v>
          </cell>
          <cell r="DH103">
            <v>0</v>
          </cell>
          <cell r="DI103">
            <v>0</v>
          </cell>
          <cell r="DJ103">
            <v>0</v>
          </cell>
          <cell r="DK103">
            <v>0</v>
          </cell>
          <cell r="DL103">
            <v>0</v>
          </cell>
          <cell r="DM103"/>
          <cell r="DN103"/>
          <cell r="DO103"/>
          <cell r="DP103"/>
        </row>
        <row r="104">
          <cell r="A104">
            <v>246</v>
          </cell>
          <cell r="B104" t="str">
            <v>Heerde</v>
          </cell>
          <cell r="C104">
            <v>5</v>
          </cell>
          <cell r="D104">
            <v>-44366</v>
          </cell>
          <cell r="E104">
            <v>-22183</v>
          </cell>
          <cell r="F104">
            <v>0</v>
          </cell>
          <cell r="G104">
            <v>0</v>
          </cell>
          <cell r="H104">
            <v>-9882</v>
          </cell>
          <cell r="I104">
            <v>-2655</v>
          </cell>
          <cell r="J104"/>
          <cell r="K104">
            <v>0</v>
          </cell>
          <cell r="L104">
            <v>55212</v>
          </cell>
          <cell r="M104">
            <v>43163</v>
          </cell>
          <cell r="N104">
            <v>0</v>
          </cell>
          <cell r="O104">
            <v>0</v>
          </cell>
          <cell r="P104">
            <v>0</v>
          </cell>
          <cell r="Q104">
            <v>0</v>
          </cell>
          <cell r="R104">
            <v>0</v>
          </cell>
          <cell r="S104">
            <v>0</v>
          </cell>
          <cell r="T104">
            <v>0</v>
          </cell>
          <cell r="U104">
            <v>0</v>
          </cell>
          <cell r="V104">
            <v>0</v>
          </cell>
          <cell r="W104">
            <v>72697</v>
          </cell>
          <cell r="X104">
            <v>0</v>
          </cell>
          <cell r="Y104"/>
          <cell r="Z104">
            <v>0</v>
          </cell>
          <cell r="AA104">
            <v>0</v>
          </cell>
          <cell r="AB104">
            <v>0</v>
          </cell>
          <cell r="AC104"/>
          <cell r="AD104">
            <v>0</v>
          </cell>
          <cell r="AE104">
            <v>0</v>
          </cell>
          <cell r="AF104">
            <v>0</v>
          </cell>
          <cell r="AG104">
            <v>0</v>
          </cell>
          <cell r="AH104">
            <v>0</v>
          </cell>
          <cell r="AI104">
            <v>0</v>
          </cell>
          <cell r="AJ104">
            <v>0</v>
          </cell>
          <cell r="AK104">
            <v>0</v>
          </cell>
          <cell r="AL104"/>
          <cell r="AM104">
            <v>0</v>
          </cell>
          <cell r="AN104">
            <v>0</v>
          </cell>
          <cell r="AO104">
            <v>0</v>
          </cell>
          <cell r="AP104">
            <v>0</v>
          </cell>
          <cell r="AQ104">
            <v>0</v>
          </cell>
          <cell r="AR104">
            <v>0</v>
          </cell>
          <cell r="AS104">
            <v>0</v>
          </cell>
          <cell r="AT104">
            <v>0</v>
          </cell>
          <cell r="AU104">
            <v>0</v>
          </cell>
          <cell r="AV104">
            <v>0</v>
          </cell>
          <cell r="AW104">
            <v>0</v>
          </cell>
          <cell r="AX104">
            <v>0</v>
          </cell>
          <cell r="AY104"/>
          <cell r="AZ104"/>
          <cell r="BA104">
            <v>0</v>
          </cell>
          <cell r="BB104"/>
          <cell r="BC104">
            <v>0</v>
          </cell>
          <cell r="BD104">
            <v>6516</v>
          </cell>
          <cell r="BE104"/>
          <cell r="BF104">
            <v>0</v>
          </cell>
          <cell r="BG104">
            <v>0</v>
          </cell>
          <cell r="BH104">
            <v>0</v>
          </cell>
          <cell r="BI104">
            <v>22553</v>
          </cell>
          <cell r="BJ104">
            <v>18565</v>
          </cell>
          <cell r="BK104">
            <v>18565</v>
          </cell>
          <cell r="BL104">
            <v>0</v>
          </cell>
          <cell r="BM104">
            <v>0</v>
          </cell>
          <cell r="BN104">
            <v>0</v>
          </cell>
          <cell r="BO104">
            <v>56912</v>
          </cell>
          <cell r="BP104">
            <v>0</v>
          </cell>
          <cell r="BQ104">
            <v>0</v>
          </cell>
          <cell r="BR104">
            <v>0</v>
          </cell>
          <cell r="BS104">
            <v>0</v>
          </cell>
          <cell r="BT104">
            <v>31238</v>
          </cell>
          <cell r="BU104"/>
          <cell r="BV104"/>
          <cell r="BW104"/>
          <cell r="BX104"/>
          <cell r="BY104">
            <v>0</v>
          </cell>
          <cell r="BZ104">
            <v>0</v>
          </cell>
          <cell r="CA104">
            <v>0</v>
          </cell>
          <cell r="CB104">
            <v>0</v>
          </cell>
          <cell r="CC104">
            <v>1534606</v>
          </cell>
          <cell r="CD104">
            <v>10409783</v>
          </cell>
          <cell r="CE104">
            <v>2953525</v>
          </cell>
          <cell r="CF104">
            <v>-6412</v>
          </cell>
          <cell r="CG104">
            <v>2953525</v>
          </cell>
          <cell r="CH104">
            <v>2953525</v>
          </cell>
          <cell r="CI104">
            <v>2953525</v>
          </cell>
          <cell r="CJ104">
            <v>2953525</v>
          </cell>
          <cell r="CK104">
            <v>0</v>
          </cell>
          <cell r="CL104">
            <v>0</v>
          </cell>
          <cell r="CM104">
            <v>0</v>
          </cell>
          <cell r="CN104">
            <v>0</v>
          </cell>
          <cell r="CO104">
            <v>0</v>
          </cell>
          <cell r="CP104">
            <v>0</v>
          </cell>
          <cell r="CQ104">
            <v>2167424</v>
          </cell>
          <cell r="CR104">
            <v>2085310</v>
          </cell>
          <cell r="CS104">
            <v>2032863</v>
          </cell>
          <cell r="CT104">
            <v>1979083</v>
          </cell>
          <cell r="CU104">
            <v>1877901</v>
          </cell>
          <cell r="CV104">
            <v>-33863</v>
          </cell>
          <cell r="CW104">
            <v>0</v>
          </cell>
          <cell r="CX104">
            <v>0</v>
          </cell>
          <cell r="CY104">
            <v>0</v>
          </cell>
          <cell r="CZ104">
            <v>0</v>
          </cell>
          <cell r="DA104">
            <v>0</v>
          </cell>
          <cell r="DB104"/>
          <cell r="DC104">
            <v>0</v>
          </cell>
          <cell r="DD104">
            <v>0</v>
          </cell>
          <cell r="DE104">
            <v>0</v>
          </cell>
          <cell r="DF104">
            <v>0</v>
          </cell>
          <cell r="DG104">
            <v>0</v>
          </cell>
          <cell r="DH104">
            <v>0</v>
          </cell>
          <cell r="DI104">
            <v>0</v>
          </cell>
          <cell r="DJ104">
            <v>0</v>
          </cell>
          <cell r="DK104">
            <v>0</v>
          </cell>
          <cell r="DL104">
            <v>0</v>
          </cell>
          <cell r="DM104"/>
          <cell r="DN104"/>
          <cell r="DO104"/>
          <cell r="DP104"/>
        </row>
        <row r="105">
          <cell r="A105">
            <v>252</v>
          </cell>
          <cell r="B105" t="str">
            <v>Heumen</v>
          </cell>
          <cell r="C105">
            <v>5</v>
          </cell>
          <cell r="D105">
            <v>-41253</v>
          </cell>
          <cell r="E105">
            <v>-20626</v>
          </cell>
          <cell r="F105">
            <v>0</v>
          </cell>
          <cell r="G105">
            <v>0</v>
          </cell>
          <cell r="H105">
            <v>0</v>
          </cell>
          <cell r="I105">
            <v>0</v>
          </cell>
          <cell r="J105"/>
          <cell r="K105">
            <v>0</v>
          </cell>
          <cell r="L105">
            <v>50059</v>
          </cell>
          <cell r="M105">
            <v>40472</v>
          </cell>
          <cell r="N105">
            <v>0</v>
          </cell>
          <cell r="O105">
            <v>0</v>
          </cell>
          <cell r="P105">
            <v>0</v>
          </cell>
          <cell r="Q105">
            <v>0</v>
          </cell>
          <cell r="R105">
            <v>0</v>
          </cell>
          <cell r="S105">
            <v>0</v>
          </cell>
          <cell r="T105">
            <v>0</v>
          </cell>
          <cell r="U105">
            <v>0</v>
          </cell>
          <cell r="V105">
            <v>0</v>
          </cell>
          <cell r="W105">
            <v>0</v>
          </cell>
          <cell r="X105">
            <v>0</v>
          </cell>
          <cell r="Y105"/>
          <cell r="Z105">
            <v>0</v>
          </cell>
          <cell r="AA105">
            <v>0</v>
          </cell>
          <cell r="AB105">
            <v>0</v>
          </cell>
          <cell r="AC105"/>
          <cell r="AD105">
            <v>0</v>
          </cell>
          <cell r="AE105">
            <v>0</v>
          </cell>
          <cell r="AF105">
            <v>0</v>
          </cell>
          <cell r="AG105">
            <v>0</v>
          </cell>
          <cell r="AH105">
            <v>0</v>
          </cell>
          <cell r="AI105">
            <v>0</v>
          </cell>
          <cell r="AJ105">
            <v>0</v>
          </cell>
          <cell r="AK105">
            <v>0</v>
          </cell>
          <cell r="AL105"/>
          <cell r="AM105">
            <v>0</v>
          </cell>
          <cell r="AN105">
            <v>0</v>
          </cell>
          <cell r="AO105">
            <v>0</v>
          </cell>
          <cell r="AP105">
            <v>0</v>
          </cell>
          <cell r="AQ105">
            <v>0</v>
          </cell>
          <cell r="AR105">
            <v>0</v>
          </cell>
          <cell r="AS105">
            <v>0</v>
          </cell>
          <cell r="AT105">
            <v>0</v>
          </cell>
          <cell r="AU105">
            <v>0</v>
          </cell>
          <cell r="AV105">
            <v>0</v>
          </cell>
          <cell r="AW105">
            <v>0</v>
          </cell>
          <cell r="AX105">
            <v>0</v>
          </cell>
          <cell r="AY105"/>
          <cell r="AZ105"/>
          <cell r="BA105">
            <v>0</v>
          </cell>
          <cell r="BB105"/>
          <cell r="BC105">
            <v>0</v>
          </cell>
          <cell r="BD105">
            <v>5783</v>
          </cell>
          <cell r="BE105"/>
          <cell r="BF105">
            <v>0</v>
          </cell>
          <cell r="BG105">
            <v>0</v>
          </cell>
          <cell r="BH105">
            <v>0</v>
          </cell>
          <cell r="BI105">
            <v>17245</v>
          </cell>
          <cell r="BJ105">
            <v>14196</v>
          </cell>
          <cell r="BK105">
            <v>14196</v>
          </cell>
          <cell r="BL105">
            <v>0</v>
          </cell>
          <cell r="BM105">
            <v>0</v>
          </cell>
          <cell r="BN105">
            <v>0</v>
          </cell>
          <cell r="BO105">
            <v>90476</v>
          </cell>
          <cell r="BP105">
            <v>0</v>
          </cell>
          <cell r="BQ105">
            <v>0</v>
          </cell>
          <cell r="BR105">
            <v>0</v>
          </cell>
          <cell r="BS105">
            <v>0</v>
          </cell>
          <cell r="BT105">
            <v>27327</v>
          </cell>
          <cell r="BU105"/>
          <cell r="BV105"/>
          <cell r="BW105"/>
          <cell r="BX105"/>
          <cell r="BY105">
            <v>0</v>
          </cell>
          <cell r="BZ105">
            <v>0</v>
          </cell>
          <cell r="CA105">
            <v>0</v>
          </cell>
          <cell r="CB105">
            <v>0</v>
          </cell>
          <cell r="CC105">
            <v>1177268</v>
          </cell>
          <cell r="CD105">
            <v>6524976</v>
          </cell>
          <cell r="CE105">
            <v>215248</v>
          </cell>
          <cell r="CF105">
            <v>0</v>
          </cell>
          <cell r="CG105">
            <v>215248</v>
          </cell>
          <cell r="CH105">
            <v>215248</v>
          </cell>
          <cell r="CI105">
            <v>215248</v>
          </cell>
          <cell r="CJ105">
            <v>215248</v>
          </cell>
          <cell r="CK105">
            <v>0</v>
          </cell>
          <cell r="CL105">
            <v>0</v>
          </cell>
          <cell r="CM105">
            <v>0</v>
          </cell>
          <cell r="CN105">
            <v>0</v>
          </cell>
          <cell r="CO105">
            <v>0</v>
          </cell>
          <cell r="CP105">
            <v>0</v>
          </cell>
          <cell r="CQ105">
            <v>1457500</v>
          </cell>
          <cell r="CR105">
            <v>1383720</v>
          </cell>
          <cell r="CS105">
            <v>1374124</v>
          </cell>
          <cell r="CT105">
            <v>1305397</v>
          </cell>
          <cell r="CU105">
            <v>1250454</v>
          </cell>
          <cell r="CV105">
            <v>50463</v>
          </cell>
          <cell r="CW105">
            <v>0</v>
          </cell>
          <cell r="CX105">
            <v>0</v>
          </cell>
          <cell r="CY105">
            <v>0</v>
          </cell>
          <cell r="CZ105">
            <v>0</v>
          </cell>
          <cell r="DA105">
            <v>0</v>
          </cell>
          <cell r="DB105"/>
          <cell r="DC105">
            <v>0</v>
          </cell>
          <cell r="DD105">
            <v>0</v>
          </cell>
          <cell r="DE105">
            <v>0</v>
          </cell>
          <cell r="DF105">
            <v>0</v>
          </cell>
          <cell r="DG105">
            <v>0</v>
          </cell>
          <cell r="DH105">
            <v>0</v>
          </cell>
          <cell r="DI105">
            <v>0</v>
          </cell>
          <cell r="DJ105">
            <v>0</v>
          </cell>
          <cell r="DK105">
            <v>0</v>
          </cell>
          <cell r="DL105">
            <v>0</v>
          </cell>
          <cell r="DM105"/>
          <cell r="DN105"/>
          <cell r="DO105"/>
          <cell r="DP105"/>
        </row>
        <row r="106">
          <cell r="A106">
            <v>733</v>
          </cell>
          <cell r="B106" t="str">
            <v>Lingewaal</v>
          </cell>
          <cell r="C106">
            <v>5</v>
          </cell>
          <cell r="D106">
            <v>-13162</v>
          </cell>
          <cell r="E106">
            <v>-6581</v>
          </cell>
          <cell r="F106">
            <v>0</v>
          </cell>
          <cell r="G106">
            <v>0</v>
          </cell>
          <cell r="H106">
            <v>-20824</v>
          </cell>
          <cell r="I106">
            <v>-17989</v>
          </cell>
          <cell r="J106"/>
          <cell r="K106">
            <v>0</v>
          </cell>
          <cell r="L106">
            <v>34321</v>
          </cell>
          <cell r="M106">
            <v>31759</v>
          </cell>
          <cell r="N106">
            <v>0</v>
          </cell>
          <cell r="O106">
            <v>0</v>
          </cell>
          <cell r="P106">
            <v>0</v>
          </cell>
          <cell r="Q106">
            <v>0</v>
          </cell>
          <cell r="R106">
            <v>0</v>
          </cell>
          <cell r="S106">
            <v>0</v>
          </cell>
          <cell r="T106">
            <v>0</v>
          </cell>
          <cell r="U106">
            <v>0</v>
          </cell>
          <cell r="V106">
            <v>3000</v>
          </cell>
          <cell r="W106">
            <v>47428</v>
          </cell>
          <cell r="X106">
            <v>0</v>
          </cell>
          <cell r="Y106"/>
          <cell r="Z106">
            <v>0</v>
          </cell>
          <cell r="AA106">
            <v>0</v>
          </cell>
          <cell r="AB106">
            <v>0</v>
          </cell>
          <cell r="AC106"/>
          <cell r="AD106">
            <v>0</v>
          </cell>
          <cell r="AE106">
            <v>0</v>
          </cell>
          <cell r="AF106">
            <v>0</v>
          </cell>
          <cell r="AG106">
            <v>0</v>
          </cell>
          <cell r="AH106">
            <v>0</v>
          </cell>
          <cell r="AI106">
            <v>0</v>
          </cell>
          <cell r="AJ106">
            <v>0</v>
          </cell>
          <cell r="AK106">
            <v>0</v>
          </cell>
          <cell r="AL106"/>
          <cell r="AM106">
            <v>0</v>
          </cell>
          <cell r="AN106">
            <v>0</v>
          </cell>
          <cell r="AO106">
            <v>0</v>
          </cell>
          <cell r="AP106">
            <v>0</v>
          </cell>
          <cell r="AQ106">
            <v>0</v>
          </cell>
          <cell r="AR106">
            <v>0</v>
          </cell>
          <cell r="AS106">
            <v>0</v>
          </cell>
          <cell r="AT106">
            <v>0</v>
          </cell>
          <cell r="AU106">
            <v>0</v>
          </cell>
          <cell r="AV106">
            <v>0</v>
          </cell>
          <cell r="AW106">
            <v>0</v>
          </cell>
          <cell r="AX106">
            <v>0</v>
          </cell>
          <cell r="AY106"/>
          <cell r="AZ106"/>
          <cell r="BA106">
            <v>0</v>
          </cell>
          <cell r="BB106"/>
          <cell r="BC106">
            <v>0</v>
          </cell>
          <cell r="BD106">
            <v>19576</v>
          </cell>
          <cell r="BE106"/>
          <cell r="BF106">
            <v>0</v>
          </cell>
          <cell r="BG106">
            <v>0</v>
          </cell>
          <cell r="BH106">
            <v>0</v>
          </cell>
          <cell r="BI106">
            <v>11324</v>
          </cell>
          <cell r="BJ106">
            <v>9321</v>
          </cell>
          <cell r="BK106">
            <v>9321</v>
          </cell>
          <cell r="BL106">
            <v>0</v>
          </cell>
          <cell r="BM106">
            <v>0</v>
          </cell>
          <cell r="BN106">
            <v>0</v>
          </cell>
          <cell r="BO106">
            <v>32591</v>
          </cell>
          <cell r="BP106">
            <v>0</v>
          </cell>
          <cell r="BQ106">
            <v>0</v>
          </cell>
          <cell r="BR106">
            <v>0</v>
          </cell>
          <cell r="BS106">
            <v>0</v>
          </cell>
          <cell r="BT106">
            <v>22388</v>
          </cell>
          <cell r="BU106"/>
          <cell r="BV106"/>
          <cell r="BW106"/>
          <cell r="BX106"/>
          <cell r="BY106">
            <v>0</v>
          </cell>
          <cell r="BZ106">
            <v>0</v>
          </cell>
          <cell r="CA106">
            <v>0</v>
          </cell>
          <cell r="CB106">
            <v>0</v>
          </cell>
          <cell r="CC106">
            <v>712294</v>
          </cell>
          <cell r="CD106">
            <v>3444537</v>
          </cell>
          <cell r="CE106">
            <v>129711</v>
          </cell>
          <cell r="CF106">
            <v>-24292</v>
          </cell>
          <cell r="CG106">
            <v>129711</v>
          </cell>
          <cell r="CH106">
            <v>129711</v>
          </cell>
          <cell r="CI106">
            <v>129711</v>
          </cell>
          <cell r="CJ106">
            <v>129711</v>
          </cell>
          <cell r="CK106">
            <v>0</v>
          </cell>
          <cell r="CL106">
            <v>0</v>
          </cell>
          <cell r="CM106">
            <v>0</v>
          </cell>
          <cell r="CN106">
            <v>0</v>
          </cell>
          <cell r="CO106">
            <v>0</v>
          </cell>
          <cell r="CP106">
            <v>-2858</v>
          </cell>
          <cell r="CQ106">
            <v>465662</v>
          </cell>
          <cell r="CR106">
            <v>458106</v>
          </cell>
          <cell r="CS106">
            <v>451000</v>
          </cell>
          <cell r="CT106">
            <v>455543</v>
          </cell>
          <cell r="CU106">
            <v>460963</v>
          </cell>
          <cell r="CV106">
            <v>-3605</v>
          </cell>
          <cell r="CW106">
            <v>0</v>
          </cell>
          <cell r="CX106">
            <v>0</v>
          </cell>
          <cell r="CY106">
            <v>0</v>
          </cell>
          <cell r="CZ106">
            <v>0</v>
          </cell>
          <cell r="DA106">
            <v>0</v>
          </cell>
          <cell r="DB106"/>
          <cell r="DC106">
            <v>0</v>
          </cell>
          <cell r="DD106">
            <v>0</v>
          </cell>
          <cell r="DE106">
            <v>0</v>
          </cell>
          <cell r="DF106">
            <v>0</v>
          </cell>
          <cell r="DG106">
            <v>0</v>
          </cell>
          <cell r="DH106">
            <v>0</v>
          </cell>
          <cell r="DI106">
            <v>0</v>
          </cell>
          <cell r="DJ106">
            <v>0</v>
          </cell>
          <cell r="DK106">
            <v>0</v>
          </cell>
          <cell r="DL106">
            <v>0</v>
          </cell>
          <cell r="DM106"/>
          <cell r="DN106"/>
          <cell r="DO106"/>
          <cell r="DP106"/>
        </row>
        <row r="107">
          <cell r="A107">
            <v>1705</v>
          </cell>
          <cell r="B107" t="str">
            <v>Lingewaard</v>
          </cell>
          <cell r="C107">
            <v>5</v>
          </cell>
          <cell r="D107">
            <v>-21960</v>
          </cell>
          <cell r="E107">
            <v>-10980</v>
          </cell>
          <cell r="F107">
            <v>0</v>
          </cell>
          <cell r="G107">
            <v>420503</v>
          </cell>
          <cell r="H107">
            <v>-44059</v>
          </cell>
          <cell r="I107">
            <v>-47650</v>
          </cell>
          <cell r="J107"/>
          <cell r="K107">
            <v>0</v>
          </cell>
          <cell r="L107">
            <v>142814</v>
          </cell>
          <cell r="M107">
            <v>120084</v>
          </cell>
          <cell r="N107">
            <v>0</v>
          </cell>
          <cell r="O107">
            <v>0</v>
          </cell>
          <cell r="P107">
            <v>0</v>
          </cell>
          <cell r="Q107">
            <v>0</v>
          </cell>
          <cell r="R107">
            <v>0</v>
          </cell>
          <cell r="S107">
            <v>0</v>
          </cell>
          <cell r="T107">
            <v>0</v>
          </cell>
          <cell r="U107">
            <v>0</v>
          </cell>
          <cell r="V107">
            <v>0</v>
          </cell>
          <cell r="W107">
            <v>186992</v>
          </cell>
          <cell r="X107">
            <v>0</v>
          </cell>
          <cell r="Y107"/>
          <cell r="Z107">
            <v>0</v>
          </cell>
          <cell r="AA107">
            <v>0</v>
          </cell>
          <cell r="AB107">
            <v>0</v>
          </cell>
          <cell r="AC107"/>
          <cell r="AD107">
            <v>0</v>
          </cell>
          <cell r="AE107">
            <v>0</v>
          </cell>
          <cell r="AF107">
            <v>0</v>
          </cell>
          <cell r="AG107">
            <v>0</v>
          </cell>
          <cell r="AH107">
            <v>0</v>
          </cell>
          <cell r="AI107">
            <v>0</v>
          </cell>
          <cell r="AJ107">
            <v>0</v>
          </cell>
          <cell r="AK107">
            <v>0</v>
          </cell>
          <cell r="AL107"/>
          <cell r="AM107">
            <v>0</v>
          </cell>
          <cell r="AN107">
            <v>0</v>
          </cell>
          <cell r="AO107">
            <v>0</v>
          </cell>
          <cell r="AP107">
            <v>0</v>
          </cell>
          <cell r="AQ107">
            <v>0</v>
          </cell>
          <cell r="AR107">
            <v>0</v>
          </cell>
          <cell r="AS107">
            <v>0</v>
          </cell>
          <cell r="AT107">
            <v>0</v>
          </cell>
          <cell r="AU107">
            <v>4740</v>
          </cell>
          <cell r="AV107">
            <v>0</v>
          </cell>
          <cell r="AW107">
            <v>0</v>
          </cell>
          <cell r="AX107">
            <v>0</v>
          </cell>
          <cell r="AY107"/>
          <cell r="AZ107"/>
          <cell r="BA107">
            <v>0</v>
          </cell>
          <cell r="BB107"/>
          <cell r="BC107">
            <v>0</v>
          </cell>
          <cell r="BD107">
            <v>16212</v>
          </cell>
          <cell r="BE107"/>
          <cell r="BF107">
            <v>0</v>
          </cell>
          <cell r="BG107">
            <v>0</v>
          </cell>
          <cell r="BH107">
            <v>0</v>
          </cell>
          <cell r="BI107">
            <v>57171</v>
          </cell>
          <cell r="BJ107">
            <v>47061</v>
          </cell>
          <cell r="BK107">
            <v>47061</v>
          </cell>
          <cell r="BL107">
            <v>0</v>
          </cell>
          <cell r="BM107">
            <v>0</v>
          </cell>
          <cell r="BN107">
            <v>0</v>
          </cell>
          <cell r="BO107">
            <v>160035</v>
          </cell>
          <cell r="BP107">
            <v>6325.6</v>
          </cell>
          <cell r="BQ107">
            <v>11395.3488372093</v>
          </cell>
          <cell r="BR107">
            <v>0</v>
          </cell>
          <cell r="BS107">
            <v>0</v>
          </cell>
          <cell r="BT107">
            <v>68419</v>
          </cell>
          <cell r="BU107"/>
          <cell r="BV107"/>
          <cell r="BW107"/>
          <cell r="BX107"/>
          <cell r="BY107">
            <v>0</v>
          </cell>
          <cell r="BZ107">
            <v>0</v>
          </cell>
          <cell r="CA107">
            <v>0</v>
          </cell>
          <cell r="CB107">
            <v>0</v>
          </cell>
          <cell r="CC107">
            <v>3386067</v>
          </cell>
          <cell r="CD107">
            <v>19542911</v>
          </cell>
          <cell r="CE107">
            <v>967407</v>
          </cell>
          <cell r="CF107">
            <v>-76729</v>
          </cell>
          <cell r="CG107">
            <v>967407</v>
          </cell>
          <cell r="CH107">
            <v>967407</v>
          </cell>
          <cell r="CI107">
            <v>967407</v>
          </cell>
          <cell r="CJ107">
            <v>967407</v>
          </cell>
          <cell r="CK107">
            <v>0</v>
          </cell>
          <cell r="CL107">
            <v>0</v>
          </cell>
          <cell r="CM107">
            <v>0</v>
          </cell>
          <cell r="CN107">
            <v>0</v>
          </cell>
          <cell r="CO107">
            <v>0</v>
          </cell>
          <cell r="CP107">
            <v>-5745</v>
          </cell>
          <cell r="CQ107">
            <v>4409984</v>
          </cell>
          <cell r="CR107">
            <v>4102496</v>
          </cell>
          <cell r="CS107">
            <v>3896761</v>
          </cell>
          <cell r="CT107">
            <v>3742754</v>
          </cell>
          <cell r="CU107">
            <v>3660824</v>
          </cell>
          <cell r="CV107">
            <v>42392</v>
          </cell>
          <cell r="CW107">
            <v>0</v>
          </cell>
          <cell r="CX107">
            <v>0</v>
          </cell>
          <cell r="CY107">
            <v>0</v>
          </cell>
          <cell r="CZ107">
            <v>0</v>
          </cell>
          <cell r="DA107">
            <v>0</v>
          </cell>
          <cell r="DB107"/>
          <cell r="DC107">
            <v>0</v>
          </cell>
          <cell r="DD107">
            <v>0</v>
          </cell>
          <cell r="DE107">
            <v>0</v>
          </cell>
          <cell r="DF107">
            <v>0</v>
          </cell>
          <cell r="DG107">
            <v>0</v>
          </cell>
          <cell r="DH107">
            <v>0</v>
          </cell>
          <cell r="DI107">
            <v>0</v>
          </cell>
          <cell r="DJ107">
            <v>0</v>
          </cell>
          <cell r="DK107">
            <v>0</v>
          </cell>
          <cell r="DL107">
            <v>0</v>
          </cell>
          <cell r="DM107"/>
          <cell r="DN107"/>
          <cell r="DO107"/>
          <cell r="DP107"/>
        </row>
        <row r="108">
          <cell r="A108">
            <v>262</v>
          </cell>
          <cell r="B108" t="str">
            <v>Lochem</v>
          </cell>
          <cell r="C108">
            <v>5</v>
          </cell>
          <cell r="D108">
            <v>-42949</v>
          </cell>
          <cell r="E108">
            <v>-21474</v>
          </cell>
          <cell r="F108">
            <v>0</v>
          </cell>
          <cell r="G108">
            <v>357207</v>
          </cell>
          <cell r="H108">
            <v>-22526</v>
          </cell>
          <cell r="I108">
            <v>0</v>
          </cell>
          <cell r="J108"/>
          <cell r="K108">
            <v>0</v>
          </cell>
          <cell r="L108">
            <v>109230</v>
          </cell>
          <cell r="M108">
            <v>104800</v>
          </cell>
          <cell r="N108">
            <v>0</v>
          </cell>
          <cell r="O108">
            <v>0</v>
          </cell>
          <cell r="P108">
            <v>0</v>
          </cell>
          <cell r="Q108">
            <v>0</v>
          </cell>
          <cell r="R108">
            <v>0</v>
          </cell>
          <cell r="S108">
            <v>0</v>
          </cell>
          <cell r="T108">
            <v>0</v>
          </cell>
          <cell r="U108">
            <v>0</v>
          </cell>
          <cell r="V108">
            <v>0</v>
          </cell>
          <cell r="W108">
            <v>125957</v>
          </cell>
          <cell r="X108">
            <v>0</v>
          </cell>
          <cell r="Y108"/>
          <cell r="Z108">
            <v>0</v>
          </cell>
          <cell r="AA108">
            <v>0</v>
          </cell>
          <cell r="AB108">
            <v>0</v>
          </cell>
          <cell r="AC108"/>
          <cell r="AD108">
            <v>0</v>
          </cell>
          <cell r="AE108">
            <v>0</v>
          </cell>
          <cell r="AF108">
            <v>0</v>
          </cell>
          <cell r="AG108">
            <v>0</v>
          </cell>
          <cell r="AH108">
            <v>0</v>
          </cell>
          <cell r="AI108">
            <v>0</v>
          </cell>
          <cell r="AJ108">
            <v>0</v>
          </cell>
          <cell r="AK108">
            <v>0</v>
          </cell>
          <cell r="AL108"/>
          <cell r="AM108">
            <v>0</v>
          </cell>
          <cell r="AN108">
            <v>0</v>
          </cell>
          <cell r="AO108">
            <v>0</v>
          </cell>
          <cell r="AP108">
            <v>0</v>
          </cell>
          <cell r="AQ108">
            <v>0</v>
          </cell>
          <cell r="AR108">
            <v>0</v>
          </cell>
          <cell r="AS108">
            <v>0</v>
          </cell>
          <cell r="AT108">
            <v>0</v>
          </cell>
          <cell r="AU108">
            <v>7110</v>
          </cell>
          <cell r="AV108">
            <v>0</v>
          </cell>
          <cell r="AW108">
            <v>0</v>
          </cell>
          <cell r="AX108">
            <v>0</v>
          </cell>
          <cell r="AY108"/>
          <cell r="AZ108"/>
          <cell r="BA108">
            <v>0</v>
          </cell>
          <cell r="BB108"/>
          <cell r="BC108">
            <v>0</v>
          </cell>
          <cell r="BD108">
            <v>11775</v>
          </cell>
          <cell r="BE108"/>
          <cell r="BF108">
            <v>0</v>
          </cell>
          <cell r="BG108">
            <v>0</v>
          </cell>
          <cell r="BH108">
            <v>0</v>
          </cell>
          <cell r="BI108">
            <v>40216</v>
          </cell>
          <cell r="BJ108">
            <v>33104</v>
          </cell>
          <cell r="BK108">
            <v>33104</v>
          </cell>
          <cell r="BL108">
            <v>0</v>
          </cell>
          <cell r="BM108">
            <v>0</v>
          </cell>
          <cell r="BN108">
            <v>0</v>
          </cell>
          <cell r="BO108">
            <v>123066</v>
          </cell>
          <cell r="BP108">
            <v>15814</v>
          </cell>
          <cell r="BQ108">
            <v>28488.372093023299</v>
          </cell>
          <cell r="BR108">
            <v>0</v>
          </cell>
          <cell r="BS108">
            <v>0</v>
          </cell>
          <cell r="BT108">
            <v>59472</v>
          </cell>
          <cell r="BU108"/>
          <cell r="BV108"/>
          <cell r="BW108"/>
          <cell r="BX108"/>
          <cell r="BY108">
            <v>0</v>
          </cell>
          <cell r="BZ108">
            <v>0</v>
          </cell>
          <cell r="CA108">
            <v>0</v>
          </cell>
          <cell r="CB108">
            <v>0</v>
          </cell>
          <cell r="CC108">
            <v>2859570</v>
          </cell>
          <cell r="CD108">
            <v>14759615</v>
          </cell>
          <cell r="CE108">
            <v>3699593</v>
          </cell>
          <cell r="CF108">
            <v>0</v>
          </cell>
          <cell r="CG108">
            <v>3699593</v>
          </cell>
          <cell r="CH108">
            <v>3699593</v>
          </cell>
          <cell r="CI108">
            <v>3699593</v>
          </cell>
          <cell r="CJ108">
            <v>3699593</v>
          </cell>
          <cell r="CK108">
            <v>0</v>
          </cell>
          <cell r="CL108">
            <v>0</v>
          </cell>
          <cell r="CM108">
            <v>0</v>
          </cell>
          <cell r="CN108">
            <v>0</v>
          </cell>
          <cell r="CO108">
            <v>0</v>
          </cell>
          <cell r="CP108">
            <v>0</v>
          </cell>
          <cell r="CQ108">
            <v>2455284</v>
          </cell>
          <cell r="CR108">
            <v>2366585</v>
          </cell>
          <cell r="CS108">
            <v>2342287</v>
          </cell>
          <cell r="CT108">
            <v>2325838</v>
          </cell>
          <cell r="CU108">
            <v>2281662</v>
          </cell>
          <cell r="CV108">
            <v>41117</v>
          </cell>
          <cell r="CW108">
            <v>0</v>
          </cell>
          <cell r="CX108">
            <v>0</v>
          </cell>
          <cell r="CY108">
            <v>0</v>
          </cell>
          <cell r="CZ108">
            <v>0</v>
          </cell>
          <cell r="DA108">
            <v>0</v>
          </cell>
          <cell r="DB108"/>
          <cell r="DC108">
            <v>0</v>
          </cell>
          <cell r="DD108">
            <v>0</v>
          </cell>
          <cell r="DE108">
            <v>0</v>
          </cell>
          <cell r="DF108">
            <v>0</v>
          </cell>
          <cell r="DG108">
            <v>0</v>
          </cell>
          <cell r="DH108">
            <v>0</v>
          </cell>
          <cell r="DI108">
            <v>0</v>
          </cell>
          <cell r="DJ108">
            <v>0</v>
          </cell>
          <cell r="DK108">
            <v>0</v>
          </cell>
          <cell r="DL108">
            <v>0</v>
          </cell>
          <cell r="DM108"/>
          <cell r="DN108"/>
          <cell r="DO108"/>
          <cell r="DP108"/>
        </row>
        <row r="109">
          <cell r="A109">
            <v>263</v>
          </cell>
          <cell r="B109" t="str">
            <v>Maasdriel</v>
          </cell>
          <cell r="C109">
            <v>5</v>
          </cell>
          <cell r="D109">
            <v>-7698</v>
          </cell>
          <cell r="E109">
            <v>-3849</v>
          </cell>
          <cell r="F109">
            <v>0</v>
          </cell>
          <cell r="G109">
            <v>24320</v>
          </cell>
          <cell r="H109">
            <v>0</v>
          </cell>
          <cell r="I109">
            <v>-4448</v>
          </cell>
          <cell r="J109"/>
          <cell r="K109">
            <v>0</v>
          </cell>
          <cell r="L109">
            <v>78968</v>
          </cell>
          <cell r="M109">
            <v>74660</v>
          </cell>
          <cell r="N109">
            <v>0</v>
          </cell>
          <cell r="O109">
            <v>0</v>
          </cell>
          <cell r="P109">
            <v>0</v>
          </cell>
          <cell r="Q109">
            <v>0</v>
          </cell>
          <cell r="R109">
            <v>0</v>
          </cell>
          <cell r="S109">
            <v>0</v>
          </cell>
          <cell r="T109">
            <v>0</v>
          </cell>
          <cell r="U109">
            <v>0</v>
          </cell>
          <cell r="V109">
            <v>0</v>
          </cell>
          <cell r="W109">
            <v>58186</v>
          </cell>
          <cell r="X109">
            <v>0</v>
          </cell>
          <cell r="Y109"/>
          <cell r="Z109">
            <v>0</v>
          </cell>
          <cell r="AA109">
            <v>0</v>
          </cell>
          <cell r="AB109">
            <v>0</v>
          </cell>
          <cell r="AC109"/>
          <cell r="AD109">
            <v>0</v>
          </cell>
          <cell r="AE109">
            <v>0</v>
          </cell>
          <cell r="AF109">
            <v>0</v>
          </cell>
          <cell r="AG109">
            <v>0</v>
          </cell>
          <cell r="AH109">
            <v>0</v>
          </cell>
          <cell r="AI109">
            <v>0</v>
          </cell>
          <cell r="AJ109">
            <v>0</v>
          </cell>
          <cell r="AK109">
            <v>0</v>
          </cell>
          <cell r="AL109"/>
          <cell r="AM109">
            <v>0</v>
          </cell>
          <cell r="AN109">
            <v>0</v>
          </cell>
          <cell r="AO109">
            <v>0</v>
          </cell>
          <cell r="AP109">
            <v>0</v>
          </cell>
          <cell r="AQ109">
            <v>0</v>
          </cell>
          <cell r="AR109">
            <v>0</v>
          </cell>
          <cell r="AS109">
            <v>0</v>
          </cell>
          <cell r="AT109">
            <v>0</v>
          </cell>
          <cell r="AU109">
            <v>4740</v>
          </cell>
          <cell r="AV109">
            <v>0</v>
          </cell>
          <cell r="AW109">
            <v>0</v>
          </cell>
          <cell r="AX109">
            <v>0</v>
          </cell>
          <cell r="AY109"/>
          <cell r="AZ109"/>
          <cell r="BA109">
            <v>0</v>
          </cell>
          <cell r="BB109"/>
          <cell r="BC109">
            <v>0</v>
          </cell>
          <cell r="BD109">
            <v>8513</v>
          </cell>
          <cell r="BE109"/>
          <cell r="BF109">
            <v>0</v>
          </cell>
          <cell r="BG109">
            <v>0</v>
          </cell>
          <cell r="BH109">
            <v>0</v>
          </cell>
          <cell r="BI109">
            <v>27595</v>
          </cell>
          <cell r="BJ109">
            <v>22715</v>
          </cell>
          <cell r="BK109">
            <v>22715</v>
          </cell>
          <cell r="BL109">
            <v>0</v>
          </cell>
          <cell r="BM109">
            <v>0</v>
          </cell>
          <cell r="BN109">
            <v>0</v>
          </cell>
          <cell r="BO109">
            <v>62749</v>
          </cell>
          <cell r="BP109">
            <v>25302.400000000001</v>
          </cell>
          <cell r="BQ109">
            <v>45581.395348837199</v>
          </cell>
          <cell r="BR109">
            <v>0</v>
          </cell>
          <cell r="BS109">
            <v>0</v>
          </cell>
          <cell r="BT109">
            <v>44993</v>
          </cell>
          <cell r="BU109"/>
          <cell r="BV109"/>
          <cell r="BW109"/>
          <cell r="BX109"/>
          <cell r="BY109">
            <v>0</v>
          </cell>
          <cell r="BZ109">
            <v>0</v>
          </cell>
          <cell r="CA109">
            <v>0</v>
          </cell>
          <cell r="CB109">
            <v>0</v>
          </cell>
          <cell r="CC109">
            <v>1559784</v>
          </cell>
          <cell r="CD109">
            <v>8780332</v>
          </cell>
          <cell r="CE109">
            <v>490605</v>
          </cell>
          <cell r="CF109">
            <v>0</v>
          </cell>
          <cell r="CG109">
            <v>490605</v>
          </cell>
          <cell r="CH109">
            <v>490605</v>
          </cell>
          <cell r="CI109">
            <v>490605</v>
          </cell>
          <cell r="CJ109">
            <v>490605</v>
          </cell>
          <cell r="CK109">
            <v>0</v>
          </cell>
          <cell r="CL109">
            <v>0</v>
          </cell>
          <cell r="CM109">
            <v>0</v>
          </cell>
          <cell r="CN109">
            <v>0</v>
          </cell>
          <cell r="CO109">
            <v>0</v>
          </cell>
          <cell r="CP109">
            <v>-1605</v>
          </cell>
          <cell r="CQ109">
            <v>2092201</v>
          </cell>
          <cell r="CR109">
            <v>1993134</v>
          </cell>
          <cell r="CS109">
            <v>1927536</v>
          </cell>
          <cell r="CT109">
            <v>1891286</v>
          </cell>
          <cell r="CU109">
            <v>1860076</v>
          </cell>
          <cell r="CV109">
            <v>-21568</v>
          </cell>
          <cell r="CW109">
            <v>0</v>
          </cell>
          <cell r="CX109">
            <v>0</v>
          </cell>
          <cell r="CY109">
            <v>0</v>
          </cell>
          <cell r="CZ109">
            <v>0</v>
          </cell>
          <cell r="DA109">
            <v>0</v>
          </cell>
          <cell r="DB109"/>
          <cell r="DC109">
            <v>0</v>
          </cell>
          <cell r="DD109">
            <v>0</v>
          </cell>
          <cell r="DE109">
            <v>0</v>
          </cell>
          <cell r="DF109">
            <v>0</v>
          </cell>
          <cell r="DG109">
            <v>0</v>
          </cell>
          <cell r="DH109">
            <v>0</v>
          </cell>
          <cell r="DI109">
            <v>0</v>
          </cell>
          <cell r="DJ109">
            <v>0</v>
          </cell>
          <cell r="DK109">
            <v>0</v>
          </cell>
          <cell r="DL109">
            <v>0</v>
          </cell>
          <cell r="DM109"/>
          <cell r="DN109"/>
          <cell r="DO109"/>
          <cell r="DP109"/>
        </row>
        <row r="110">
          <cell r="A110">
            <v>1955</v>
          </cell>
          <cell r="B110" t="str">
            <v>Montferland</v>
          </cell>
          <cell r="C110">
            <v>5</v>
          </cell>
          <cell r="D110">
            <v>-60758</v>
          </cell>
          <cell r="E110">
            <v>-30379</v>
          </cell>
          <cell r="F110">
            <v>0</v>
          </cell>
          <cell r="G110">
            <v>0</v>
          </cell>
          <cell r="H110">
            <v>0</v>
          </cell>
          <cell r="I110">
            <v>0</v>
          </cell>
          <cell r="J110"/>
          <cell r="K110">
            <v>0</v>
          </cell>
          <cell r="L110">
            <v>147709</v>
          </cell>
          <cell r="M110">
            <v>127988</v>
          </cell>
          <cell r="N110">
            <v>0</v>
          </cell>
          <cell r="O110">
            <v>0</v>
          </cell>
          <cell r="P110">
            <v>0</v>
          </cell>
          <cell r="Q110">
            <v>0</v>
          </cell>
          <cell r="R110">
            <v>0</v>
          </cell>
          <cell r="S110">
            <v>0</v>
          </cell>
          <cell r="T110">
            <v>0</v>
          </cell>
          <cell r="U110">
            <v>0</v>
          </cell>
          <cell r="V110">
            <v>0</v>
          </cell>
          <cell r="W110">
            <v>139952</v>
          </cell>
          <cell r="X110">
            <v>0</v>
          </cell>
          <cell r="Y110"/>
          <cell r="Z110">
            <v>0</v>
          </cell>
          <cell r="AA110">
            <v>0</v>
          </cell>
          <cell r="AB110">
            <v>0</v>
          </cell>
          <cell r="AC110"/>
          <cell r="AD110">
            <v>38134</v>
          </cell>
          <cell r="AE110">
            <v>0</v>
          </cell>
          <cell r="AF110">
            <v>0</v>
          </cell>
          <cell r="AG110">
            <v>0</v>
          </cell>
          <cell r="AH110">
            <v>0</v>
          </cell>
          <cell r="AI110">
            <v>0</v>
          </cell>
          <cell r="AJ110">
            <v>0</v>
          </cell>
          <cell r="AK110">
            <v>0</v>
          </cell>
          <cell r="AL110"/>
          <cell r="AM110">
            <v>0</v>
          </cell>
          <cell r="AN110">
            <v>0</v>
          </cell>
          <cell r="AO110">
            <v>0</v>
          </cell>
          <cell r="AP110">
            <v>0</v>
          </cell>
          <cell r="AQ110">
            <v>0</v>
          </cell>
          <cell r="AR110">
            <v>0</v>
          </cell>
          <cell r="AS110">
            <v>0</v>
          </cell>
          <cell r="AT110">
            <v>0</v>
          </cell>
          <cell r="AU110">
            <v>0</v>
          </cell>
          <cell r="AV110">
            <v>0</v>
          </cell>
          <cell r="AW110">
            <v>0</v>
          </cell>
          <cell r="AX110">
            <v>0</v>
          </cell>
          <cell r="AY110"/>
          <cell r="AZ110"/>
          <cell r="BA110">
            <v>0</v>
          </cell>
          <cell r="BB110"/>
          <cell r="BC110">
            <v>0</v>
          </cell>
          <cell r="BD110">
            <v>12397</v>
          </cell>
          <cell r="BE110"/>
          <cell r="BF110">
            <v>0</v>
          </cell>
          <cell r="BG110">
            <v>0</v>
          </cell>
          <cell r="BH110">
            <v>0</v>
          </cell>
          <cell r="BI110">
            <v>54963</v>
          </cell>
          <cell r="BJ110">
            <v>45243</v>
          </cell>
          <cell r="BK110">
            <v>45243</v>
          </cell>
          <cell r="BL110">
            <v>0</v>
          </cell>
          <cell r="BM110">
            <v>0</v>
          </cell>
          <cell r="BN110">
            <v>0</v>
          </cell>
          <cell r="BO110">
            <v>22376</v>
          </cell>
          <cell r="BP110">
            <v>7907</v>
          </cell>
          <cell r="BQ110">
            <v>14244.186046511601</v>
          </cell>
          <cell r="BR110">
            <v>0</v>
          </cell>
          <cell r="BS110">
            <v>0</v>
          </cell>
          <cell r="BT110">
            <v>57678</v>
          </cell>
          <cell r="BU110"/>
          <cell r="BV110"/>
          <cell r="BW110"/>
          <cell r="BX110"/>
          <cell r="BY110">
            <v>0</v>
          </cell>
          <cell r="BZ110">
            <v>0</v>
          </cell>
          <cell r="CA110">
            <v>0</v>
          </cell>
          <cell r="CB110">
            <v>0</v>
          </cell>
          <cell r="CC110">
            <v>3222604</v>
          </cell>
          <cell r="CD110">
            <v>18603050</v>
          </cell>
          <cell r="CE110">
            <v>553229</v>
          </cell>
          <cell r="CF110">
            <v>0</v>
          </cell>
          <cell r="CG110">
            <v>553229</v>
          </cell>
          <cell r="CH110">
            <v>553229</v>
          </cell>
          <cell r="CI110">
            <v>553229</v>
          </cell>
          <cell r="CJ110">
            <v>553229</v>
          </cell>
          <cell r="CK110">
            <v>0</v>
          </cell>
          <cell r="CL110">
            <v>0</v>
          </cell>
          <cell r="CM110">
            <v>0</v>
          </cell>
          <cell r="CN110">
            <v>0</v>
          </cell>
          <cell r="CO110">
            <v>0</v>
          </cell>
          <cell r="CP110">
            <v>0</v>
          </cell>
          <cell r="CQ110">
            <v>4987435</v>
          </cell>
          <cell r="CR110">
            <v>4768695</v>
          </cell>
          <cell r="CS110">
            <v>4569716</v>
          </cell>
          <cell r="CT110">
            <v>4469644</v>
          </cell>
          <cell r="CU110">
            <v>4381510</v>
          </cell>
          <cell r="CV110">
            <v>56133</v>
          </cell>
          <cell r="CW110">
            <v>0</v>
          </cell>
          <cell r="CX110">
            <v>0</v>
          </cell>
          <cell r="CY110">
            <v>0</v>
          </cell>
          <cell r="CZ110">
            <v>0</v>
          </cell>
          <cell r="DA110">
            <v>0</v>
          </cell>
          <cell r="DB110"/>
          <cell r="DC110">
            <v>0</v>
          </cell>
          <cell r="DD110">
            <v>0</v>
          </cell>
          <cell r="DE110">
            <v>0</v>
          </cell>
          <cell r="DF110">
            <v>0</v>
          </cell>
          <cell r="DG110">
            <v>0</v>
          </cell>
          <cell r="DH110">
            <v>0</v>
          </cell>
          <cell r="DI110">
            <v>0</v>
          </cell>
          <cell r="DJ110">
            <v>0</v>
          </cell>
          <cell r="DK110">
            <v>0</v>
          </cell>
          <cell r="DL110">
            <v>0</v>
          </cell>
          <cell r="DM110"/>
          <cell r="DN110"/>
          <cell r="DO110"/>
          <cell r="DP110"/>
        </row>
        <row r="111">
          <cell r="A111">
            <v>1740</v>
          </cell>
          <cell r="B111" t="str">
            <v>Neder-Betuwe</v>
          </cell>
          <cell r="C111">
            <v>5</v>
          </cell>
          <cell r="D111">
            <v>36482</v>
          </cell>
          <cell r="E111">
            <v>18241</v>
          </cell>
          <cell r="F111">
            <v>0</v>
          </cell>
          <cell r="G111">
            <v>267003</v>
          </cell>
          <cell r="H111">
            <v>-28635</v>
          </cell>
          <cell r="I111">
            <v>-14126</v>
          </cell>
          <cell r="J111"/>
          <cell r="K111">
            <v>0</v>
          </cell>
          <cell r="L111">
            <v>80520</v>
          </cell>
          <cell r="M111">
            <v>75993</v>
          </cell>
          <cell r="N111">
            <v>0</v>
          </cell>
          <cell r="O111">
            <v>0</v>
          </cell>
          <cell r="P111">
            <v>0</v>
          </cell>
          <cell r="Q111">
            <v>0</v>
          </cell>
          <cell r="R111">
            <v>0</v>
          </cell>
          <cell r="S111">
            <v>0</v>
          </cell>
          <cell r="T111">
            <v>0</v>
          </cell>
          <cell r="U111">
            <v>0</v>
          </cell>
          <cell r="V111">
            <v>3000</v>
          </cell>
          <cell r="W111">
            <v>116627</v>
          </cell>
          <cell r="X111">
            <v>0</v>
          </cell>
          <cell r="Y111"/>
          <cell r="Z111">
            <v>0</v>
          </cell>
          <cell r="AA111">
            <v>0</v>
          </cell>
          <cell r="AB111">
            <v>0</v>
          </cell>
          <cell r="AC111"/>
          <cell r="AD111">
            <v>0</v>
          </cell>
          <cell r="AE111">
            <v>0</v>
          </cell>
          <cell r="AF111">
            <v>0</v>
          </cell>
          <cell r="AG111">
            <v>0</v>
          </cell>
          <cell r="AH111">
            <v>0</v>
          </cell>
          <cell r="AI111">
            <v>0</v>
          </cell>
          <cell r="AJ111">
            <v>0</v>
          </cell>
          <cell r="AK111">
            <v>0</v>
          </cell>
          <cell r="AL111"/>
          <cell r="AM111">
            <v>0</v>
          </cell>
          <cell r="AN111">
            <v>0</v>
          </cell>
          <cell r="AO111">
            <v>0</v>
          </cell>
          <cell r="AP111">
            <v>0</v>
          </cell>
          <cell r="AQ111">
            <v>0</v>
          </cell>
          <cell r="AR111">
            <v>0</v>
          </cell>
          <cell r="AS111">
            <v>0</v>
          </cell>
          <cell r="AT111">
            <v>0</v>
          </cell>
          <cell r="AU111">
            <v>4740</v>
          </cell>
          <cell r="AV111">
            <v>0</v>
          </cell>
          <cell r="AW111">
            <v>0</v>
          </cell>
          <cell r="AX111">
            <v>0</v>
          </cell>
          <cell r="AY111"/>
          <cell r="AZ111"/>
          <cell r="BA111">
            <v>0</v>
          </cell>
          <cell r="BB111"/>
          <cell r="BC111">
            <v>0</v>
          </cell>
          <cell r="BD111">
            <v>8180</v>
          </cell>
          <cell r="BE111"/>
          <cell r="BF111">
            <v>0</v>
          </cell>
          <cell r="BG111">
            <v>0</v>
          </cell>
          <cell r="BH111">
            <v>0</v>
          </cell>
          <cell r="BI111">
            <v>24045</v>
          </cell>
          <cell r="BJ111">
            <v>19793</v>
          </cell>
          <cell r="BK111">
            <v>19793</v>
          </cell>
          <cell r="BL111">
            <v>0</v>
          </cell>
          <cell r="BM111">
            <v>0</v>
          </cell>
          <cell r="BN111">
            <v>0</v>
          </cell>
          <cell r="BO111">
            <v>119661</v>
          </cell>
          <cell r="BP111">
            <v>6325.6</v>
          </cell>
          <cell r="BQ111">
            <v>11395.3488372093</v>
          </cell>
          <cell r="BR111">
            <v>0</v>
          </cell>
          <cell r="BS111">
            <v>0</v>
          </cell>
          <cell r="BT111">
            <v>47525</v>
          </cell>
          <cell r="BU111"/>
          <cell r="BV111"/>
          <cell r="BW111"/>
          <cell r="BX111"/>
          <cell r="BY111">
            <v>0</v>
          </cell>
          <cell r="BZ111">
            <v>0</v>
          </cell>
          <cell r="CA111">
            <v>0</v>
          </cell>
          <cell r="CB111">
            <v>0</v>
          </cell>
          <cell r="CC111">
            <v>1615479</v>
          </cell>
          <cell r="CD111">
            <v>9578405</v>
          </cell>
          <cell r="CE111">
            <v>755917</v>
          </cell>
          <cell r="CF111">
            <v>-33896</v>
          </cell>
          <cell r="CG111">
            <v>755917</v>
          </cell>
          <cell r="CH111">
            <v>755917</v>
          </cell>
          <cell r="CI111">
            <v>755917</v>
          </cell>
          <cell r="CJ111">
            <v>755917</v>
          </cell>
          <cell r="CK111">
            <v>0</v>
          </cell>
          <cell r="CL111">
            <v>0</v>
          </cell>
          <cell r="CM111">
            <v>0</v>
          </cell>
          <cell r="CN111">
            <v>0</v>
          </cell>
          <cell r="CO111">
            <v>0</v>
          </cell>
          <cell r="CP111">
            <v>0</v>
          </cell>
          <cell r="CQ111">
            <v>1343227</v>
          </cell>
          <cell r="CR111">
            <v>1243165</v>
          </cell>
          <cell r="CS111">
            <v>1224647</v>
          </cell>
          <cell r="CT111">
            <v>1183502</v>
          </cell>
          <cell r="CU111">
            <v>1159619</v>
          </cell>
          <cell r="CV111">
            <v>25983</v>
          </cell>
          <cell r="CW111">
            <v>0</v>
          </cell>
          <cell r="CX111">
            <v>0</v>
          </cell>
          <cell r="CY111">
            <v>0</v>
          </cell>
          <cell r="CZ111">
            <v>0</v>
          </cell>
          <cell r="DA111">
            <v>0</v>
          </cell>
          <cell r="DB111"/>
          <cell r="DC111">
            <v>0</v>
          </cell>
          <cell r="DD111">
            <v>0</v>
          </cell>
          <cell r="DE111">
            <v>0</v>
          </cell>
          <cell r="DF111">
            <v>0</v>
          </cell>
          <cell r="DG111">
            <v>0</v>
          </cell>
          <cell r="DH111">
            <v>0</v>
          </cell>
          <cell r="DI111">
            <v>0</v>
          </cell>
          <cell r="DJ111">
            <v>0</v>
          </cell>
          <cell r="DK111">
            <v>0</v>
          </cell>
          <cell r="DL111">
            <v>0</v>
          </cell>
          <cell r="DM111"/>
          <cell r="DN111"/>
          <cell r="DO111"/>
          <cell r="DP111"/>
        </row>
        <row r="112">
          <cell r="A112">
            <v>304</v>
          </cell>
          <cell r="B112" t="str">
            <v>Neerijnen</v>
          </cell>
          <cell r="C112">
            <v>5</v>
          </cell>
          <cell r="D112">
            <v>-3950</v>
          </cell>
          <cell r="E112">
            <v>-1975</v>
          </cell>
          <cell r="F112">
            <v>0</v>
          </cell>
          <cell r="G112">
            <v>0</v>
          </cell>
          <cell r="H112">
            <v>-6131</v>
          </cell>
          <cell r="I112">
            <v>-246</v>
          </cell>
          <cell r="J112"/>
          <cell r="K112">
            <v>0</v>
          </cell>
          <cell r="L112">
            <v>39554</v>
          </cell>
          <cell r="M112">
            <v>43329</v>
          </cell>
          <cell r="N112">
            <v>0</v>
          </cell>
          <cell r="O112">
            <v>0</v>
          </cell>
          <cell r="P112">
            <v>0</v>
          </cell>
          <cell r="Q112">
            <v>0</v>
          </cell>
          <cell r="R112">
            <v>0</v>
          </cell>
          <cell r="S112">
            <v>0</v>
          </cell>
          <cell r="T112">
            <v>0</v>
          </cell>
          <cell r="U112">
            <v>0</v>
          </cell>
          <cell r="V112">
            <v>0</v>
          </cell>
          <cell r="W112">
            <v>40205</v>
          </cell>
          <cell r="X112">
            <v>0</v>
          </cell>
          <cell r="Y112"/>
          <cell r="Z112">
            <v>0</v>
          </cell>
          <cell r="AA112">
            <v>0</v>
          </cell>
          <cell r="AB112">
            <v>0</v>
          </cell>
          <cell r="AC112"/>
          <cell r="AD112">
            <v>0</v>
          </cell>
          <cell r="AE112">
            <v>0</v>
          </cell>
          <cell r="AF112">
            <v>0</v>
          </cell>
          <cell r="AG112">
            <v>0</v>
          </cell>
          <cell r="AH112">
            <v>0</v>
          </cell>
          <cell r="AI112">
            <v>0</v>
          </cell>
          <cell r="AJ112">
            <v>0</v>
          </cell>
          <cell r="AK112">
            <v>0</v>
          </cell>
          <cell r="AL112"/>
          <cell r="AM112">
            <v>0</v>
          </cell>
          <cell r="AN112">
            <v>0</v>
          </cell>
          <cell r="AO112">
            <v>0</v>
          </cell>
          <cell r="AP112">
            <v>0</v>
          </cell>
          <cell r="AQ112">
            <v>0</v>
          </cell>
          <cell r="AR112">
            <v>0</v>
          </cell>
          <cell r="AS112">
            <v>0</v>
          </cell>
          <cell r="AT112">
            <v>0</v>
          </cell>
          <cell r="AU112">
            <v>0</v>
          </cell>
          <cell r="AV112">
            <v>0</v>
          </cell>
          <cell r="AW112">
            <v>0</v>
          </cell>
          <cell r="AX112">
            <v>0</v>
          </cell>
          <cell r="AY112"/>
          <cell r="AZ112"/>
          <cell r="BA112">
            <v>0</v>
          </cell>
          <cell r="BB112"/>
          <cell r="BC112">
            <v>0</v>
          </cell>
          <cell r="BD112">
            <v>21657</v>
          </cell>
          <cell r="BE112"/>
          <cell r="BF112">
            <v>0</v>
          </cell>
          <cell r="BG112">
            <v>0</v>
          </cell>
          <cell r="BH112">
            <v>0</v>
          </cell>
          <cell r="BI112">
            <v>11113</v>
          </cell>
          <cell r="BJ112">
            <v>9147</v>
          </cell>
          <cell r="BK112">
            <v>9147</v>
          </cell>
          <cell r="BL112">
            <v>0</v>
          </cell>
          <cell r="BM112">
            <v>0</v>
          </cell>
          <cell r="BN112">
            <v>0</v>
          </cell>
          <cell r="BO112">
            <v>35023</v>
          </cell>
          <cell r="BP112">
            <v>1581.4</v>
          </cell>
          <cell r="BQ112">
            <v>2848.8372093023299</v>
          </cell>
          <cell r="BR112">
            <v>0</v>
          </cell>
          <cell r="BS112">
            <v>0</v>
          </cell>
          <cell r="BT112">
            <v>27968</v>
          </cell>
          <cell r="BU112"/>
          <cell r="BV112"/>
          <cell r="BW112"/>
          <cell r="BX112"/>
          <cell r="BY112">
            <v>0</v>
          </cell>
          <cell r="BZ112">
            <v>0</v>
          </cell>
          <cell r="CA112">
            <v>0</v>
          </cell>
          <cell r="CB112">
            <v>0</v>
          </cell>
          <cell r="CC112">
            <v>706829</v>
          </cell>
          <cell r="CD112">
            <v>4351557</v>
          </cell>
          <cell r="CE112">
            <v>111467</v>
          </cell>
          <cell r="CF112">
            <v>0</v>
          </cell>
          <cell r="CG112">
            <v>111467</v>
          </cell>
          <cell r="CH112">
            <v>111467</v>
          </cell>
          <cell r="CI112">
            <v>111467</v>
          </cell>
          <cell r="CJ112">
            <v>111467</v>
          </cell>
          <cell r="CK112">
            <v>0</v>
          </cell>
          <cell r="CL112">
            <v>0</v>
          </cell>
          <cell r="CM112">
            <v>0</v>
          </cell>
          <cell r="CN112">
            <v>0</v>
          </cell>
          <cell r="CO112">
            <v>0</v>
          </cell>
          <cell r="CP112">
            <v>-89</v>
          </cell>
          <cell r="CQ112">
            <v>1020614</v>
          </cell>
          <cell r="CR112">
            <v>965500</v>
          </cell>
          <cell r="CS112">
            <v>935243</v>
          </cell>
          <cell r="CT112">
            <v>926617</v>
          </cell>
          <cell r="CU112">
            <v>913948</v>
          </cell>
          <cell r="CV112">
            <v>-25787</v>
          </cell>
          <cell r="CW112">
            <v>0</v>
          </cell>
          <cell r="CX112">
            <v>0</v>
          </cell>
          <cell r="CY112">
            <v>0</v>
          </cell>
          <cell r="CZ112">
            <v>0</v>
          </cell>
          <cell r="DA112">
            <v>0</v>
          </cell>
          <cell r="DB112"/>
          <cell r="DC112">
            <v>0</v>
          </cell>
          <cell r="DD112">
            <v>0</v>
          </cell>
          <cell r="DE112">
            <v>0</v>
          </cell>
          <cell r="DF112">
            <v>0</v>
          </cell>
          <cell r="DG112">
            <v>0</v>
          </cell>
          <cell r="DH112">
            <v>0</v>
          </cell>
          <cell r="DI112">
            <v>0</v>
          </cell>
          <cell r="DJ112">
            <v>0</v>
          </cell>
          <cell r="DK112">
            <v>0</v>
          </cell>
          <cell r="DL112">
            <v>0</v>
          </cell>
          <cell r="DM112"/>
          <cell r="DN112"/>
          <cell r="DO112"/>
          <cell r="DP112"/>
        </row>
        <row r="113">
          <cell r="A113">
            <v>267</v>
          </cell>
          <cell r="B113" t="str">
            <v>Nijkerk</v>
          </cell>
          <cell r="C113">
            <v>5</v>
          </cell>
          <cell r="D113">
            <v>-32291</v>
          </cell>
          <cell r="E113">
            <v>-16145</v>
          </cell>
          <cell r="F113">
            <v>0</v>
          </cell>
          <cell r="G113">
            <v>0</v>
          </cell>
          <cell r="H113">
            <v>0</v>
          </cell>
          <cell r="I113">
            <v>0</v>
          </cell>
          <cell r="J113"/>
          <cell r="K113">
            <v>0</v>
          </cell>
          <cell r="L113">
            <v>125823</v>
          </cell>
          <cell r="M113">
            <v>132035</v>
          </cell>
          <cell r="N113">
            <v>0</v>
          </cell>
          <cell r="O113">
            <v>0</v>
          </cell>
          <cell r="P113">
            <v>0</v>
          </cell>
          <cell r="Q113">
            <v>0</v>
          </cell>
          <cell r="R113">
            <v>0</v>
          </cell>
          <cell r="S113">
            <v>0</v>
          </cell>
          <cell r="T113">
            <v>0</v>
          </cell>
          <cell r="U113">
            <v>0</v>
          </cell>
          <cell r="V113">
            <v>3000</v>
          </cell>
          <cell r="W113">
            <v>171247</v>
          </cell>
          <cell r="X113">
            <v>0</v>
          </cell>
          <cell r="Y113"/>
          <cell r="Z113">
            <v>0</v>
          </cell>
          <cell r="AA113">
            <v>0</v>
          </cell>
          <cell r="AB113">
            <v>0</v>
          </cell>
          <cell r="AC113"/>
          <cell r="AD113">
            <v>0</v>
          </cell>
          <cell r="AE113">
            <v>0</v>
          </cell>
          <cell r="AF113">
            <v>0</v>
          </cell>
          <cell r="AG113">
            <v>0</v>
          </cell>
          <cell r="AH113">
            <v>0</v>
          </cell>
          <cell r="AI113">
            <v>0</v>
          </cell>
          <cell r="AJ113">
            <v>0</v>
          </cell>
          <cell r="AK113">
            <v>0</v>
          </cell>
          <cell r="AL113"/>
          <cell r="AM113">
            <v>0</v>
          </cell>
          <cell r="AN113">
            <v>0</v>
          </cell>
          <cell r="AO113">
            <v>0</v>
          </cell>
          <cell r="AP113">
            <v>0</v>
          </cell>
          <cell r="AQ113">
            <v>0</v>
          </cell>
          <cell r="AR113">
            <v>0</v>
          </cell>
          <cell r="AS113">
            <v>0</v>
          </cell>
          <cell r="AT113">
            <v>0</v>
          </cell>
          <cell r="AU113">
            <v>0</v>
          </cell>
          <cell r="AV113">
            <v>0</v>
          </cell>
          <cell r="AW113">
            <v>0</v>
          </cell>
          <cell r="AX113">
            <v>0</v>
          </cell>
          <cell r="AY113"/>
          <cell r="AZ113"/>
          <cell r="BA113">
            <v>0</v>
          </cell>
          <cell r="BB113"/>
          <cell r="BC113">
            <v>0</v>
          </cell>
          <cell r="BD113">
            <v>14665</v>
          </cell>
          <cell r="BE113"/>
          <cell r="BF113">
            <v>0</v>
          </cell>
          <cell r="BG113">
            <v>0</v>
          </cell>
          <cell r="BH113">
            <v>0</v>
          </cell>
          <cell r="BI113">
            <v>44947</v>
          </cell>
          <cell r="BJ113">
            <v>36998</v>
          </cell>
          <cell r="BK113">
            <v>36998</v>
          </cell>
          <cell r="BL113">
            <v>0</v>
          </cell>
          <cell r="BM113">
            <v>0</v>
          </cell>
          <cell r="BN113">
            <v>0</v>
          </cell>
          <cell r="BO113">
            <v>142523</v>
          </cell>
          <cell r="BP113">
            <v>23721</v>
          </cell>
          <cell r="BQ113">
            <v>42732.5581395349</v>
          </cell>
          <cell r="BR113">
            <v>0</v>
          </cell>
          <cell r="BS113">
            <v>0</v>
          </cell>
          <cell r="BT113">
            <v>67873</v>
          </cell>
          <cell r="BU113"/>
          <cell r="BV113"/>
          <cell r="BW113"/>
          <cell r="BX113"/>
          <cell r="BY113">
            <v>0</v>
          </cell>
          <cell r="BZ113">
            <v>0</v>
          </cell>
          <cell r="CA113">
            <v>0</v>
          </cell>
          <cell r="CB113">
            <v>0</v>
          </cell>
          <cell r="CC113">
            <v>2693901</v>
          </cell>
          <cell r="CD113">
            <v>14593397</v>
          </cell>
          <cell r="CE113">
            <v>1277094</v>
          </cell>
          <cell r="CF113">
            <v>0</v>
          </cell>
          <cell r="CG113">
            <v>1277094</v>
          </cell>
          <cell r="CH113">
            <v>1277094</v>
          </cell>
          <cell r="CI113">
            <v>1277094</v>
          </cell>
          <cell r="CJ113">
            <v>1277094</v>
          </cell>
          <cell r="CK113">
            <v>0</v>
          </cell>
          <cell r="CL113">
            <v>0</v>
          </cell>
          <cell r="CM113">
            <v>0</v>
          </cell>
          <cell r="CN113">
            <v>0</v>
          </cell>
          <cell r="CO113">
            <v>0</v>
          </cell>
          <cell r="CP113">
            <v>0</v>
          </cell>
          <cell r="CQ113">
            <v>1905687</v>
          </cell>
          <cell r="CR113">
            <v>1848796</v>
          </cell>
          <cell r="CS113">
            <v>1834425</v>
          </cell>
          <cell r="CT113">
            <v>1838481</v>
          </cell>
          <cell r="CU113">
            <v>1793955</v>
          </cell>
          <cell r="CV113">
            <v>-31866</v>
          </cell>
          <cell r="CW113">
            <v>0</v>
          </cell>
          <cell r="CX113">
            <v>0</v>
          </cell>
          <cell r="CY113">
            <v>0</v>
          </cell>
          <cell r="CZ113">
            <v>0</v>
          </cell>
          <cell r="DA113">
            <v>0</v>
          </cell>
          <cell r="DB113"/>
          <cell r="DC113">
            <v>0</v>
          </cell>
          <cell r="DD113">
            <v>0</v>
          </cell>
          <cell r="DE113">
            <v>0</v>
          </cell>
          <cell r="DF113">
            <v>0</v>
          </cell>
          <cell r="DG113">
            <v>0</v>
          </cell>
          <cell r="DH113">
            <v>0</v>
          </cell>
          <cell r="DI113">
            <v>0</v>
          </cell>
          <cell r="DJ113">
            <v>0</v>
          </cell>
          <cell r="DK113">
            <v>0</v>
          </cell>
          <cell r="DL113">
            <v>0</v>
          </cell>
          <cell r="DM113"/>
          <cell r="DN113"/>
          <cell r="DO113"/>
          <cell r="DP113"/>
        </row>
        <row r="114">
          <cell r="A114">
            <v>268</v>
          </cell>
          <cell r="B114" t="str">
            <v>Nijmegen</v>
          </cell>
          <cell r="C114">
            <v>5</v>
          </cell>
          <cell r="D114">
            <v>865114</v>
          </cell>
          <cell r="E114">
            <v>432557</v>
          </cell>
          <cell r="F114">
            <v>0</v>
          </cell>
          <cell r="G114">
            <v>137208</v>
          </cell>
          <cell r="H114">
            <v>-137754</v>
          </cell>
          <cell r="I114">
            <v>-59299</v>
          </cell>
          <cell r="J114"/>
          <cell r="K114">
            <v>7500</v>
          </cell>
          <cell r="L114">
            <v>939018</v>
          </cell>
          <cell r="M114">
            <v>972481</v>
          </cell>
          <cell r="N114">
            <v>0</v>
          </cell>
          <cell r="O114">
            <v>0</v>
          </cell>
          <cell r="P114">
            <v>150000</v>
          </cell>
          <cell r="Q114">
            <v>0</v>
          </cell>
          <cell r="R114">
            <v>0</v>
          </cell>
          <cell r="S114">
            <v>1164076</v>
          </cell>
          <cell r="T114">
            <v>1164076</v>
          </cell>
          <cell r="U114">
            <v>1164076</v>
          </cell>
          <cell r="V114">
            <v>12000</v>
          </cell>
          <cell r="W114">
            <v>523654</v>
          </cell>
          <cell r="X114">
            <v>0</v>
          </cell>
          <cell r="Y114"/>
          <cell r="Z114">
            <v>0</v>
          </cell>
          <cell r="AA114">
            <v>36000</v>
          </cell>
          <cell r="AB114">
            <v>0</v>
          </cell>
          <cell r="AC114"/>
          <cell r="AD114">
            <v>386231</v>
          </cell>
          <cell r="AE114">
            <v>0</v>
          </cell>
          <cell r="AF114">
            <v>0</v>
          </cell>
          <cell r="AG114">
            <v>0</v>
          </cell>
          <cell r="AH114">
            <v>0</v>
          </cell>
          <cell r="AI114">
            <v>0</v>
          </cell>
          <cell r="AJ114">
            <v>0</v>
          </cell>
          <cell r="AK114">
            <v>605273</v>
          </cell>
          <cell r="AL114"/>
          <cell r="AM114">
            <v>0</v>
          </cell>
          <cell r="AN114">
            <v>0</v>
          </cell>
          <cell r="AO114">
            <v>0</v>
          </cell>
          <cell r="AP114">
            <v>0</v>
          </cell>
          <cell r="AQ114">
            <v>0</v>
          </cell>
          <cell r="AR114">
            <v>0</v>
          </cell>
          <cell r="AS114">
            <v>0</v>
          </cell>
          <cell r="AT114">
            <v>20000</v>
          </cell>
          <cell r="AU114">
            <v>21330</v>
          </cell>
          <cell r="AV114">
            <v>10249480.083199199</v>
          </cell>
          <cell r="AW114">
            <v>80000</v>
          </cell>
          <cell r="AX114">
            <v>0</v>
          </cell>
          <cell r="AY114"/>
          <cell r="AZ114"/>
          <cell r="BA114">
            <v>0</v>
          </cell>
          <cell r="BB114"/>
          <cell r="BC114">
            <v>0</v>
          </cell>
          <cell r="BD114">
            <v>60924</v>
          </cell>
          <cell r="BE114"/>
          <cell r="BF114">
            <v>0</v>
          </cell>
          <cell r="BG114">
            <v>0</v>
          </cell>
          <cell r="BH114">
            <v>0</v>
          </cell>
          <cell r="BI114">
            <v>363163</v>
          </cell>
          <cell r="BJ114">
            <v>298937</v>
          </cell>
          <cell r="BK114">
            <v>298937</v>
          </cell>
          <cell r="BL114">
            <v>0</v>
          </cell>
          <cell r="BM114">
            <v>0</v>
          </cell>
          <cell r="BN114">
            <v>218680</v>
          </cell>
          <cell r="BO114">
            <v>410545</v>
          </cell>
          <cell r="BP114">
            <v>71163</v>
          </cell>
          <cell r="BQ114">
            <v>128197.67441860501</v>
          </cell>
          <cell r="BR114">
            <v>35000</v>
          </cell>
          <cell r="BS114">
            <v>0</v>
          </cell>
          <cell r="BT114">
            <v>311853</v>
          </cell>
          <cell r="BU114"/>
          <cell r="BV114"/>
          <cell r="BW114"/>
          <cell r="BX114"/>
          <cell r="BY114">
            <v>3282160.1947428901</v>
          </cell>
          <cell r="BZ114">
            <v>3804762.2534568999</v>
          </cell>
          <cell r="CA114">
            <v>3849406.6504324698</v>
          </cell>
          <cell r="CB114">
            <v>3975461.4183634799</v>
          </cell>
          <cell r="CC114">
            <v>12578255</v>
          </cell>
          <cell r="CD114">
            <v>155289463</v>
          </cell>
          <cell r="CE114">
            <v>6559063</v>
          </cell>
          <cell r="CF114">
            <v>0</v>
          </cell>
          <cell r="CG114">
            <v>6559063</v>
          </cell>
          <cell r="CH114">
            <v>6559063</v>
          </cell>
          <cell r="CI114">
            <v>6559063</v>
          </cell>
          <cell r="CJ114">
            <v>6559063</v>
          </cell>
          <cell r="CK114">
            <v>60271430</v>
          </cell>
          <cell r="CL114">
            <v>60242746</v>
          </cell>
          <cell r="CM114">
            <v>60242282</v>
          </cell>
          <cell r="CN114">
            <v>60241262</v>
          </cell>
          <cell r="CO114">
            <v>60242676</v>
          </cell>
          <cell r="CP114">
            <v>-21122</v>
          </cell>
          <cell r="CQ114">
            <v>23820168</v>
          </cell>
          <cell r="CR114">
            <v>22753894</v>
          </cell>
          <cell r="CS114">
            <v>22199688</v>
          </cell>
          <cell r="CT114">
            <v>21737064</v>
          </cell>
          <cell r="CU114">
            <v>21180542</v>
          </cell>
          <cell r="CV114">
            <v>682803</v>
          </cell>
          <cell r="CW114">
            <v>0</v>
          </cell>
          <cell r="CX114">
            <v>0</v>
          </cell>
          <cell r="CY114">
            <v>0</v>
          </cell>
          <cell r="CZ114">
            <v>0</v>
          </cell>
          <cell r="DA114">
            <v>0</v>
          </cell>
          <cell r="DB114"/>
          <cell r="DC114">
            <v>0</v>
          </cell>
          <cell r="DD114">
            <v>0</v>
          </cell>
          <cell r="DE114">
            <v>0</v>
          </cell>
          <cell r="DF114">
            <v>0</v>
          </cell>
          <cell r="DG114">
            <v>0</v>
          </cell>
          <cell r="DH114">
            <v>0</v>
          </cell>
          <cell r="DI114">
            <v>0</v>
          </cell>
          <cell r="DJ114">
            <v>0</v>
          </cell>
          <cell r="DK114">
            <v>0</v>
          </cell>
          <cell r="DL114">
            <v>0</v>
          </cell>
          <cell r="DM114"/>
          <cell r="DN114"/>
          <cell r="DO114"/>
          <cell r="DP114"/>
        </row>
        <row r="115">
          <cell r="A115">
            <v>302</v>
          </cell>
          <cell r="B115" t="str">
            <v>Nunspeet</v>
          </cell>
          <cell r="C115">
            <v>5</v>
          </cell>
          <cell r="D115">
            <v>-51813</v>
          </cell>
          <cell r="E115">
            <v>-25906</v>
          </cell>
          <cell r="F115">
            <v>0</v>
          </cell>
          <cell r="G115">
            <v>0</v>
          </cell>
          <cell r="H115">
            <v>-10321</v>
          </cell>
          <cell r="I115">
            <v>-1918</v>
          </cell>
          <cell r="J115"/>
          <cell r="K115">
            <v>0</v>
          </cell>
          <cell r="L115">
            <v>78789</v>
          </cell>
          <cell r="M115">
            <v>68565</v>
          </cell>
          <cell r="N115">
            <v>0</v>
          </cell>
          <cell r="O115">
            <v>0</v>
          </cell>
          <cell r="P115">
            <v>0</v>
          </cell>
          <cell r="Q115">
            <v>0</v>
          </cell>
          <cell r="R115">
            <v>0</v>
          </cell>
          <cell r="S115">
            <v>0</v>
          </cell>
          <cell r="T115">
            <v>0</v>
          </cell>
          <cell r="U115">
            <v>0</v>
          </cell>
          <cell r="V115">
            <v>9000</v>
          </cell>
          <cell r="W115">
            <v>121681</v>
          </cell>
          <cell r="X115">
            <v>0</v>
          </cell>
          <cell r="Y115"/>
          <cell r="Z115">
            <v>0</v>
          </cell>
          <cell r="AA115">
            <v>0</v>
          </cell>
          <cell r="AB115">
            <v>0</v>
          </cell>
          <cell r="AC115"/>
          <cell r="AD115">
            <v>0</v>
          </cell>
          <cell r="AE115">
            <v>0</v>
          </cell>
          <cell r="AF115">
            <v>0</v>
          </cell>
          <cell r="AG115">
            <v>0</v>
          </cell>
          <cell r="AH115">
            <v>0</v>
          </cell>
          <cell r="AI115">
            <v>0</v>
          </cell>
          <cell r="AJ115">
            <v>0</v>
          </cell>
          <cell r="AK115">
            <v>0</v>
          </cell>
          <cell r="AL115"/>
          <cell r="AM115">
            <v>0</v>
          </cell>
          <cell r="AN115">
            <v>0</v>
          </cell>
          <cell r="AO115">
            <v>0</v>
          </cell>
          <cell r="AP115">
            <v>0</v>
          </cell>
          <cell r="AQ115">
            <v>0</v>
          </cell>
          <cell r="AR115">
            <v>0</v>
          </cell>
          <cell r="AS115">
            <v>0</v>
          </cell>
          <cell r="AT115">
            <v>0</v>
          </cell>
          <cell r="AU115">
            <v>0</v>
          </cell>
          <cell r="AV115">
            <v>0</v>
          </cell>
          <cell r="AW115">
            <v>0</v>
          </cell>
          <cell r="AX115">
            <v>0</v>
          </cell>
          <cell r="AY115"/>
          <cell r="AZ115"/>
          <cell r="BA115">
            <v>0</v>
          </cell>
          <cell r="BB115"/>
          <cell r="BC115">
            <v>0</v>
          </cell>
          <cell r="BD115">
            <v>9440</v>
          </cell>
          <cell r="BE115"/>
          <cell r="BF115">
            <v>0</v>
          </cell>
          <cell r="BG115">
            <v>0</v>
          </cell>
          <cell r="BH115">
            <v>0</v>
          </cell>
          <cell r="BI115">
            <v>29638</v>
          </cell>
          <cell r="BJ115">
            <v>24397</v>
          </cell>
          <cell r="BK115">
            <v>24397</v>
          </cell>
          <cell r="BL115">
            <v>0</v>
          </cell>
          <cell r="BM115">
            <v>0</v>
          </cell>
          <cell r="BN115">
            <v>0</v>
          </cell>
          <cell r="BO115">
            <v>74423</v>
          </cell>
          <cell r="BP115">
            <v>7907</v>
          </cell>
          <cell r="BQ115">
            <v>14244.186046511601</v>
          </cell>
          <cell r="BR115">
            <v>0</v>
          </cell>
          <cell r="BS115">
            <v>0</v>
          </cell>
          <cell r="BT115">
            <v>52909</v>
          </cell>
          <cell r="BU115"/>
          <cell r="BV115"/>
          <cell r="BW115"/>
          <cell r="BX115"/>
          <cell r="BY115">
            <v>0</v>
          </cell>
          <cell r="BZ115">
            <v>0</v>
          </cell>
          <cell r="CA115">
            <v>0</v>
          </cell>
          <cell r="CB115">
            <v>0</v>
          </cell>
          <cell r="CC115">
            <v>2073654</v>
          </cell>
          <cell r="CD115">
            <v>13001996</v>
          </cell>
          <cell r="CE115">
            <v>806509</v>
          </cell>
          <cell r="CF115">
            <v>-4626</v>
          </cell>
          <cell r="CG115">
            <v>806509</v>
          </cell>
          <cell r="CH115">
            <v>806509</v>
          </cell>
          <cell r="CI115">
            <v>806509</v>
          </cell>
          <cell r="CJ115">
            <v>806509</v>
          </cell>
          <cell r="CK115">
            <v>0</v>
          </cell>
          <cell r="CL115">
            <v>0</v>
          </cell>
          <cell r="CM115">
            <v>0</v>
          </cell>
          <cell r="CN115">
            <v>0</v>
          </cell>
          <cell r="CO115">
            <v>0</v>
          </cell>
          <cell r="CP115">
            <v>0</v>
          </cell>
          <cell r="CQ115">
            <v>3677728</v>
          </cell>
          <cell r="CR115">
            <v>3460231</v>
          </cell>
          <cell r="CS115">
            <v>3360096</v>
          </cell>
          <cell r="CT115">
            <v>3303303</v>
          </cell>
          <cell r="CU115">
            <v>3219564</v>
          </cell>
          <cell r="CV115">
            <v>-36075</v>
          </cell>
          <cell r="CW115">
            <v>0</v>
          </cell>
          <cell r="CX115">
            <v>0</v>
          </cell>
          <cell r="CY115">
            <v>0</v>
          </cell>
          <cell r="CZ115">
            <v>0</v>
          </cell>
          <cell r="DA115">
            <v>0</v>
          </cell>
          <cell r="DB115"/>
          <cell r="DC115">
            <v>0</v>
          </cell>
          <cell r="DD115">
            <v>0</v>
          </cell>
          <cell r="DE115">
            <v>0</v>
          </cell>
          <cell r="DF115">
            <v>0</v>
          </cell>
          <cell r="DG115">
            <v>0</v>
          </cell>
          <cell r="DH115">
            <v>0</v>
          </cell>
          <cell r="DI115">
            <v>0</v>
          </cell>
          <cell r="DJ115">
            <v>0</v>
          </cell>
          <cell r="DK115">
            <v>0</v>
          </cell>
          <cell r="DL115">
            <v>0</v>
          </cell>
          <cell r="DM115"/>
          <cell r="DN115"/>
          <cell r="DO115"/>
          <cell r="DP115"/>
        </row>
        <row r="116">
          <cell r="A116">
            <v>269</v>
          </cell>
          <cell r="B116" t="str">
            <v>Oldebroek</v>
          </cell>
          <cell r="C116">
            <v>5</v>
          </cell>
          <cell r="D116">
            <v>-3685</v>
          </cell>
          <cell r="E116">
            <v>-1842</v>
          </cell>
          <cell r="F116">
            <v>0</v>
          </cell>
          <cell r="G116">
            <v>0</v>
          </cell>
          <cell r="H116">
            <v>0</v>
          </cell>
          <cell r="I116">
            <v>0</v>
          </cell>
          <cell r="J116"/>
          <cell r="K116">
            <v>0</v>
          </cell>
          <cell r="L116">
            <v>63926</v>
          </cell>
          <cell r="M116">
            <v>63137</v>
          </cell>
          <cell r="N116">
            <v>0</v>
          </cell>
          <cell r="O116">
            <v>0</v>
          </cell>
          <cell r="P116">
            <v>0</v>
          </cell>
          <cell r="Q116">
            <v>0</v>
          </cell>
          <cell r="R116">
            <v>0</v>
          </cell>
          <cell r="S116">
            <v>0</v>
          </cell>
          <cell r="T116">
            <v>0</v>
          </cell>
          <cell r="U116">
            <v>0</v>
          </cell>
          <cell r="V116">
            <v>0</v>
          </cell>
          <cell r="W116">
            <v>90108</v>
          </cell>
          <cell r="X116">
            <v>0</v>
          </cell>
          <cell r="Y116"/>
          <cell r="Z116">
            <v>0</v>
          </cell>
          <cell r="AA116">
            <v>0</v>
          </cell>
          <cell r="AB116">
            <v>0</v>
          </cell>
          <cell r="AC116"/>
          <cell r="AD116">
            <v>0</v>
          </cell>
          <cell r="AE116">
            <v>0</v>
          </cell>
          <cell r="AF116">
            <v>0</v>
          </cell>
          <cell r="AG116">
            <v>0</v>
          </cell>
          <cell r="AH116">
            <v>0</v>
          </cell>
          <cell r="AI116">
            <v>0</v>
          </cell>
          <cell r="AJ116">
            <v>0</v>
          </cell>
          <cell r="AK116">
            <v>0</v>
          </cell>
          <cell r="AL116"/>
          <cell r="AM116">
            <v>0</v>
          </cell>
          <cell r="AN116">
            <v>0</v>
          </cell>
          <cell r="AO116">
            <v>0</v>
          </cell>
          <cell r="AP116">
            <v>0</v>
          </cell>
          <cell r="AQ116">
            <v>0</v>
          </cell>
          <cell r="AR116">
            <v>0</v>
          </cell>
          <cell r="AS116">
            <v>0</v>
          </cell>
          <cell r="AT116">
            <v>0</v>
          </cell>
          <cell r="AU116">
            <v>0</v>
          </cell>
          <cell r="AV116">
            <v>0</v>
          </cell>
          <cell r="AW116">
            <v>0</v>
          </cell>
          <cell r="AX116">
            <v>0</v>
          </cell>
          <cell r="AY116"/>
          <cell r="AZ116"/>
          <cell r="BA116">
            <v>0</v>
          </cell>
          <cell r="BB116"/>
          <cell r="BC116">
            <v>0</v>
          </cell>
          <cell r="BD116">
            <v>8164</v>
          </cell>
          <cell r="BE116"/>
          <cell r="BF116">
            <v>0</v>
          </cell>
          <cell r="BG116">
            <v>0</v>
          </cell>
          <cell r="BH116">
            <v>0</v>
          </cell>
          <cell r="BI116">
            <v>23825</v>
          </cell>
          <cell r="BJ116">
            <v>19612</v>
          </cell>
          <cell r="BK116">
            <v>19612</v>
          </cell>
          <cell r="BL116">
            <v>0</v>
          </cell>
          <cell r="BM116">
            <v>0</v>
          </cell>
          <cell r="BN116">
            <v>0</v>
          </cell>
          <cell r="BO116">
            <v>32104</v>
          </cell>
          <cell r="BP116">
            <v>1581.4</v>
          </cell>
          <cell r="BQ116">
            <v>2848.8372093023299</v>
          </cell>
          <cell r="BR116">
            <v>0</v>
          </cell>
          <cell r="BS116">
            <v>0</v>
          </cell>
          <cell r="BT116">
            <v>42458</v>
          </cell>
          <cell r="BU116"/>
          <cell r="BV116"/>
          <cell r="BW116"/>
          <cell r="BX116"/>
          <cell r="BY116">
            <v>0</v>
          </cell>
          <cell r="BZ116">
            <v>0</v>
          </cell>
          <cell r="CA116">
            <v>0</v>
          </cell>
          <cell r="CB116">
            <v>0</v>
          </cell>
          <cell r="CC116">
            <v>1665736</v>
          </cell>
          <cell r="CD116">
            <v>9710448</v>
          </cell>
          <cell r="CE116">
            <v>803364</v>
          </cell>
          <cell r="CF116">
            <v>0</v>
          </cell>
          <cell r="CG116">
            <v>803364</v>
          </cell>
          <cell r="CH116">
            <v>803364</v>
          </cell>
          <cell r="CI116">
            <v>803364</v>
          </cell>
          <cell r="CJ116">
            <v>803364</v>
          </cell>
          <cell r="CK116">
            <v>0</v>
          </cell>
          <cell r="CL116">
            <v>0</v>
          </cell>
          <cell r="CM116">
            <v>0</v>
          </cell>
          <cell r="CN116">
            <v>0</v>
          </cell>
          <cell r="CO116">
            <v>0</v>
          </cell>
          <cell r="CP116">
            <v>0</v>
          </cell>
          <cell r="CQ116">
            <v>2175220</v>
          </cell>
          <cell r="CR116">
            <v>2080163</v>
          </cell>
          <cell r="CS116">
            <v>2051212</v>
          </cell>
          <cell r="CT116">
            <v>1968530</v>
          </cell>
          <cell r="CU116">
            <v>1873587</v>
          </cell>
          <cell r="CV116">
            <v>-58799</v>
          </cell>
          <cell r="CW116">
            <v>0</v>
          </cell>
          <cell r="CX116">
            <v>0</v>
          </cell>
          <cell r="CY116">
            <v>0</v>
          </cell>
          <cell r="CZ116">
            <v>0</v>
          </cell>
          <cell r="DA116">
            <v>0</v>
          </cell>
          <cell r="DB116"/>
          <cell r="DC116">
            <v>0</v>
          </cell>
          <cell r="DD116">
            <v>0</v>
          </cell>
          <cell r="DE116">
            <v>0</v>
          </cell>
          <cell r="DF116">
            <v>0</v>
          </cell>
          <cell r="DG116">
            <v>0</v>
          </cell>
          <cell r="DH116">
            <v>0</v>
          </cell>
          <cell r="DI116">
            <v>0</v>
          </cell>
          <cell r="DJ116">
            <v>0</v>
          </cell>
          <cell r="DK116">
            <v>0</v>
          </cell>
          <cell r="DL116">
            <v>0</v>
          </cell>
          <cell r="DM116"/>
          <cell r="DN116"/>
          <cell r="DO116"/>
          <cell r="DP116"/>
        </row>
        <row r="117">
          <cell r="A117">
            <v>1586</v>
          </cell>
          <cell r="B117" t="str">
            <v>Oost Gelre</v>
          </cell>
          <cell r="C117">
            <v>5</v>
          </cell>
          <cell r="D117">
            <v>-6710</v>
          </cell>
          <cell r="E117">
            <v>-3355</v>
          </cell>
          <cell r="F117">
            <v>0</v>
          </cell>
          <cell r="G117">
            <v>0</v>
          </cell>
          <cell r="H117">
            <v>-22118</v>
          </cell>
          <cell r="I117">
            <v>-8472</v>
          </cell>
          <cell r="J117"/>
          <cell r="K117">
            <v>0</v>
          </cell>
          <cell r="L117">
            <v>78789</v>
          </cell>
          <cell r="M117">
            <v>74279</v>
          </cell>
          <cell r="N117">
            <v>0</v>
          </cell>
          <cell r="O117">
            <v>0</v>
          </cell>
          <cell r="P117">
            <v>0</v>
          </cell>
          <cell r="Q117">
            <v>0</v>
          </cell>
          <cell r="R117">
            <v>0</v>
          </cell>
          <cell r="S117">
            <v>0</v>
          </cell>
          <cell r="T117">
            <v>0</v>
          </cell>
          <cell r="U117">
            <v>0</v>
          </cell>
          <cell r="V117">
            <v>0</v>
          </cell>
          <cell r="W117">
            <v>129067</v>
          </cell>
          <cell r="X117">
            <v>0</v>
          </cell>
          <cell r="Y117"/>
          <cell r="Z117">
            <v>0</v>
          </cell>
          <cell r="AA117">
            <v>0</v>
          </cell>
          <cell r="AB117">
            <v>0</v>
          </cell>
          <cell r="AC117"/>
          <cell r="AD117">
            <v>0</v>
          </cell>
          <cell r="AE117">
            <v>0</v>
          </cell>
          <cell r="AF117">
            <v>0</v>
          </cell>
          <cell r="AG117">
            <v>0</v>
          </cell>
          <cell r="AH117">
            <v>0</v>
          </cell>
          <cell r="AI117">
            <v>0</v>
          </cell>
          <cell r="AJ117">
            <v>0</v>
          </cell>
          <cell r="AK117">
            <v>0</v>
          </cell>
          <cell r="AL117"/>
          <cell r="AM117">
            <v>0</v>
          </cell>
          <cell r="AN117">
            <v>0</v>
          </cell>
          <cell r="AO117">
            <v>0</v>
          </cell>
          <cell r="AP117">
            <v>0</v>
          </cell>
          <cell r="AQ117">
            <v>0</v>
          </cell>
          <cell r="AR117">
            <v>0</v>
          </cell>
          <cell r="AS117">
            <v>0</v>
          </cell>
          <cell r="AT117">
            <v>0</v>
          </cell>
          <cell r="AU117">
            <v>0</v>
          </cell>
          <cell r="AV117">
            <v>0</v>
          </cell>
          <cell r="AW117">
            <v>0</v>
          </cell>
          <cell r="AX117">
            <v>0</v>
          </cell>
          <cell r="AY117"/>
          <cell r="AZ117"/>
          <cell r="BA117">
            <v>0</v>
          </cell>
          <cell r="BB117"/>
          <cell r="BC117">
            <v>0</v>
          </cell>
          <cell r="BD117">
            <v>10403</v>
          </cell>
          <cell r="BE117"/>
          <cell r="BF117">
            <v>0</v>
          </cell>
          <cell r="BG117">
            <v>0</v>
          </cell>
          <cell r="BH117">
            <v>0</v>
          </cell>
          <cell r="BI117">
            <v>41062</v>
          </cell>
          <cell r="BJ117">
            <v>33800</v>
          </cell>
          <cell r="BK117">
            <v>33800</v>
          </cell>
          <cell r="BL117">
            <v>0</v>
          </cell>
          <cell r="BM117">
            <v>0</v>
          </cell>
          <cell r="BN117">
            <v>0</v>
          </cell>
          <cell r="BO117">
            <v>125985</v>
          </cell>
          <cell r="BP117">
            <v>0</v>
          </cell>
          <cell r="BQ117">
            <v>0</v>
          </cell>
          <cell r="BR117">
            <v>0</v>
          </cell>
          <cell r="BS117">
            <v>0</v>
          </cell>
          <cell r="BT117">
            <v>48142</v>
          </cell>
          <cell r="BU117"/>
          <cell r="BV117"/>
          <cell r="BW117"/>
          <cell r="BX117"/>
          <cell r="BY117">
            <v>0</v>
          </cell>
          <cell r="BZ117">
            <v>0</v>
          </cell>
          <cell r="CA117">
            <v>0</v>
          </cell>
          <cell r="CB117">
            <v>0</v>
          </cell>
          <cell r="CC117">
            <v>2289463</v>
          </cell>
          <cell r="CD117">
            <v>20180370</v>
          </cell>
          <cell r="CE117">
            <v>5127286</v>
          </cell>
          <cell r="CF117">
            <v>-20600</v>
          </cell>
          <cell r="CG117">
            <v>5127286</v>
          </cell>
          <cell r="CH117">
            <v>5127286</v>
          </cell>
          <cell r="CI117">
            <v>5127286</v>
          </cell>
          <cell r="CJ117">
            <v>5127286</v>
          </cell>
          <cell r="CK117">
            <v>0</v>
          </cell>
          <cell r="CL117">
            <v>0</v>
          </cell>
          <cell r="CM117">
            <v>0</v>
          </cell>
          <cell r="CN117">
            <v>0</v>
          </cell>
          <cell r="CO117">
            <v>0</v>
          </cell>
          <cell r="CP117">
            <v>0</v>
          </cell>
          <cell r="CQ117">
            <v>6253956</v>
          </cell>
          <cell r="CR117">
            <v>5861300</v>
          </cell>
          <cell r="CS117">
            <v>5621234</v>
          </cell>
          <cell r="CT117">
            <v>5377186</v>
          </cell>
          <cell r="CU117">
            <v>5230925</v>
          </cell>
          <cell r="CV117">
            <v>372</v>
          </cell>
          <cell r="CW117">
            <v>0</v>
          </cell>
          <cell r="CX117">
            <v>0</v>
          </cell>
          <cell r="CY117">
            <v>0</v>
          </cell>
          <cell r="CZ117">
            <v>0</v>
          </cell>
          <cell r="DA117">
            <v>0</v>
          </cell>
          <cell r="DB117"/>
          <cell r="DC117">
            <v>0</v>
          </cell>
          <cell r="DD117">
            <v>0</v>
          </cell>
          <cell r="DE117">
            <v>0</v>
          </cell>
          <cell r="DF117">
            <v>0</v>
          </cell>
          <cell r="DG117">
            <v>0</v>
          </cell>
          <cell r="DH117">
            <v>0</v>
          </cell>
          <cell r="DI117">
            <v>0</v>
          </cell>
          <cell r="DJ117">
            <v>0</v>
          </cell>
          <cell r="DK117">
            <v>0</v>
          </cell>
          <cell r="DL117">
            <v>0</v>
          </cell>
          <cell r="DM117"/>
          <cell r="DN117"/>
          <cell r="DO117"/>
          <cell r="DP117"/>
        </row>
        <row r="118">
          <cell r="A118">
            <v>1509</v>
          </cell>
          <cell r="B118" t="str">
            <v>Oude IJsselstreek</v>
          </cell>
          <cell r="C118">
            <v>5</v>
          </cell>
          <cell r="D118">
            <v>-42575</v>
          </cell>
          <cell r="E118">
            <v>-21287</v>
          </cell>
          <cell r="F118">
            <v>0</v>
          </cell>
          <cell r="G118">
            <v>0</v>
          </cell>
          <cell r="H118">
            <v>-55661</v>
          </cell>
          <cell r="I118">
            <v>-15787</v>
          </cell>
          <cell r="J118"/>
          <cell r="K118">
            <v>0</v>
          </cell>
          <cell r="L118">
            <v>163924</v>
          </cell>
          <cell r="M118">
            <v>166818</v>
          </cell>
          <cell r="N118">
            <v>0</v>
          </cell>
          <cell r="O118">
            <v>0</v>
          </cell>
          <cell r="P118">
            <v>0</v>
          </cell>
          <cell r="Q118">
            <v>0</v>
          </cell>
          <cell r="R118">
            <v>0</v>
          </cell>
          <cell r="S118">
            <v>0</v>
          </cell>
          <cell r="T118">
            <v>0</v>
          </cell>
          <cell r="U118">
            <v>0</v>
          </cell>
          <cell r="V118">
            <v>3000</v>
          </cell>
          <cell r="W118">
            <v>121222</v>
          </cell>
          <cell r="X118">
            <v>0</v>
          </cell>
          <cell r="Y118"/>
          <cell r="Z118">
            <v>0</v>
          </cell>
          <cell r="AA118">
            <v>0</v>
          </cell>
          <cell r="AB118">
            <v>0</v>
          </cell>
          <cell r="AC118"/>
          <cell r="AD118">
            <v>78224</v>
          </cell>
          <cell r="AE118">
            <v>0</v>
          </cell>
          <cell r="AF118">
            <v>0</v>
          </cell>
          <cell r="AG118">
            <v>0</v>
          </cell>
          <cell r="AH118">
            <v>0</v>
          </cell>
          <cell r="AI118">
            <v>0</v>
          </cell>
          <cell r="AJ118">
            <v>0</v>
          </cell>
          <cell r="AK118">
            <v>0</v>
          </cell>
          <cell r="AL118"/>
          <cell r="AM118">
            <v>0</v>
          </cell>
          <cell r="AN118">
            <v>0</v>
          </cell>
          <cell r="AO118">
            <v>0</v>
          </cell>
          <cell r="AP118">
            <v>0</v>
          </cell>
          <cell r="AQ118">
            <v>0</v>
          </cell>
          <cell r="AR118">
            <v>0</v>
          </cell>
          <cell r="AS118">
            <v>0</v>
          </cell>
          <cell r="AT118">
            <v>0</v>
          </cell>
          <cell r="AU118">
            <v>7110</v>
          </cell>
          <cell r="AV118">
            <v>0</v>
          </cell>
          <cell r="AW118">
            <v>0</v>
          </cell>
          <cell r="AX118">
            <v>0</v>
          </cell>
          <cell r="AY118"/>
          <cell r="AZ118"/>
          <cell r="BA118">
            <v>0</v>
          </cell>
          <cell r="BB118"/>
          <cell r="BC118">
            <v>0</v>
          </cell>
          <cell r="BD118">
            <v>13890</v>
          </cell>
          <cell r="BE118"/>
          <cell r="BF118">
            <v>0</v>
          </cell>
          <cell r="BG118">
            <v>0</v>
          </cell>
          <cell r="BH118">
            <v>0</v>
          </cell>
          <cell r="BI118">
            <v>68647</v>
          </cell>
          <cell r="BJ118">
            <v>56506</v>
          </cell>
          <cell r="BK118">
            <v>56506</v>
          </cell>
          <cell r="BL118">
            <v>0</v>
          </cell>
          <cell r="BM118">
            <v>0</v>
          </cell>
          <cell r="BN118">
            <v>0</v>
          </cell>
          <cell r="BO118">
            <v>130363</v>
          </cell>
          <cell r="BP118">
            <v>11069.8</v>
          </cell>
          <cell r="BQ118">
            <v>19941.8604651163</v>
          </cell>
          <cell r="BR118">
            <v>0</v>
          </cell>
          <cell r="BS118">
            <v>0</v>
          </cell>
          <cell r="BT118">
            <v>66730</v>
          </cell>
          <cell r="BU118"/>
          <cell r="BV118"/>
          <cell r="BW118"/>
          <cell r="BX118"/>
          <cell r="BY118">
            <v>0</v>
          </cell>
          <cell r="BZ118">
            <v>0</v>
          </cell>
          <cell r="CA118">
            <v>0</v>
          </cell>
          <cell r="CB118">
            <v>0</v>
          </cell>
          <cell r="CC118">
            <v>3697783</v>
          </cell>
          <cell r="CD118">
            <v>20724176</v>
          </cell>
          <cell r="CE118">
            <v>1395317</v>
          </cell>
          <cell r="CF118">
            <v>-20597</v>
          </cell>
          <cell r="CG118">
            <v>1395317</v>
          </cell>
          <cell r="CH118">
            <v>1395317</v>
          </cell>
          <cell r="CI118">
            <v>1395317</v>
          </cell>
          <cell r="CJ118">
            <v>1395317</v>
          </cell>
          <cell r="CK118">
            <v>0</v>
          </cell>
          <cell r="CL118">
            <v>0</v>
          </cell>
          <cell r="CM118">
            <v>0</v>
          </cell>
          <cell r="CN118">
            <v>0</v>
          </cell>
          <cell r="CO118">
            <v>0</v>
          </cell>
          <cell r="CP118">
            <v>-2631</v>
          </cell>
          <cell r="CQ118">
            <v>4927646</v>
          </cell>
          <cell r="CR118">
            <v>4663093</v>
          </cell>
          <cell r="CS118">
            <v>4470618</v>
          </cell>
          <cell r="CT118">
            <v>4373718</v>
          </cell>
          <cell r="CU118">
            <v>4276968</v>
          </cell>
          <cell r="CV118">
            <v>10792</v>
          </cell>
          <cell r="CW118">
            <v>0</v>
          </cell>
          <cell r="CX118">
            <v>0</v>
          </cell>
          <cell r="CY118">
            <v>0</v>
          </cell>
          <cell r="CZ118">
            <v>0</v>
          </cell>
          <cell r="DA118">
            <v>0</v>
          </cell>
          <cell r="DB118"/>
          <cell r="DC118">
            <v>0</v>
          </cell>
          <cell r="DD118">
            <v>0</v>
          </cell>
          <cell r="DE118">
            <v>0</v>
          </cell>
          <cell r="DF118">
            <v>0</v>
          </cell>
          <cell r="DG118">
            <v>0</v>
          </cell>
          <cell r="DH118">
            <v>0</v>
          </cell>
          <cell r="DI118">
            <v>0</v>
          </cell>
          <cell r="DJ118">
            <v>0</v>
          </cell>
          <cell r="DK118">
            <v>0</v>
          </cell>
          <cell r="DL118">
            <v>0</v>
          </cell>
          <cell r="DM118"/>
          <cell r="DN118"/>
          <cell r="DO118"/>
          <cell r="DP118"/>
        </row>
        <row r="119">
          <cell r="A119">
            <v>1734</v>
          </cell>
          <cell r="B119" t="str">
            <v>Overbetuwe</v>
          </cell>
          <cell r="C119">
            <v>5</v>
          </cell>
          <cell r="D119">
            <v>-57400</v>
          </cell>
          <cell r="E119">
            <v>-28700</v>
          </cell>
          <cell r="F119">
            <v>0</v>
          </cell>
          <cell r="G119">
            <v>402821</v>
          </cell>
          <cell r="H119">
            <v>-71297</v>
          </cell>
          <cell r="I119">
            <v>-54173</v>
          </cell>
          <cell r="J119"/>
          <cell r="K119">
            <v>0</v>
          </cell>
          <cell r="L119">
            <v>171306</v>
          </cell>
          <cell r="M119">
            <v>157485</v>
          </cell>
          <cell r="N119">
            <v>0</v>
          </cell>
          <cell r="O119">
            <v>0</v>
          </cell>
          <cell r="P119">
            <v>0</v>
          </cell>
          <cell r="Q119">
            <v>0</v>
          </cell>
          <cell r="R119">
            <v>0</v>
          </cell>
          <cell r="S119">
            <v>0</v>
          </cell>
          <cell r="T119">
            <v>0</v>
          </cell>
          <cell r="U119">
            <v>0</v>
          </cell>
          <cell r="V119">
            <v>0</v>
          </cell>
          <cell r="W119">
            <v>195933</v>
          </cell>
          <cell r="X119">
            <v>0</v>
          </cell>
          <cell r="Y119"/>
          <cell r="Z119">
            <v>0</v>
          </cell>
          <cell r="AA119">
            <v>0</v>
          </cell>
          <cell r="AB119">
            <v>0</v>
          </cell>
          <cell r="AC119"/>
          <cell r="AD119">
            <v>0</v>
          </cell>
          <cell r="AE119">
            <v>0</v>
          </cell>
          <cell r="AF119">
            <v>0</v>
          </cell>
          <cell r="AG119">
            <v>0</v>
          </cell>
          <cell r="AH119">
            <v>0</v>
          </cell>
          <cell r="AI119">
            <v>0</v>
          </cell>
          <cell r="AJ119">
            <v>0</v>
          </cell>
          <cell r="AK119">
            <v>0</v>
          </cell>
          <cell r="AL119"/>
          <cell r="AM119">
            <v>0</v>
          </cell>
          <cell r="AN119">
            <v>0</v>
          </cell>
          <cell r="AO119">
            <v>0</v>
          </cell>
          <cell r="AP119">
            <v>0</v>
          </cell>
          <cell r="AQ119">
            <v>0</v>
          </cell>
          <cell r="AR119">
            <v>0</v>
          </cell>
          <cell r="AS119">
            <v>0</v>
          </cell>
          <cell r="AT119">
            <v>0</v>
          </cell>
          <cell r="AU119">
            <v>9480</v>
          </cell>
          <cell r="AV119">
            <v>0</v>
          </cell>
          <cell r="AW119">
            <v>0</v>
          </cell>
          <cell r="AX119">
            <v>0</v>
          </cell>
          <cell r="AY119"/>
          <cell r="AZ119"/>
          <cell r="BA119">
            <v>0</v>
          </cell>
          <cell r="BB119"/>
          <cell r="BC119">
            <v>0</v>
          </cell>
          <cell r="BD119">
            <v>16637</v>
          </cell>
          <cell r="BE119"/>
          <cell r="BF119">
            <v>0</v>
          </cell>
          <cell r="BG119">
            <v>0</v>
          </cell>
          <cell r="BH119">
            <v>0</v>
          </cell>
          <cell r="BI119">
            <v>48456</v>
          </cell>
          <cell r="BJ119">
            <v>39886</v>
          </cell>
          <cell r="BK119">
            <v>39886</v>
          </cell>
          <cell r="BL119">
            <v>0</v>
          </cell>
          <cell r="BM119">
            <v>0</v>
          </cell>
          <cell r="BN119">
            <v>0</v>
          </cell>
          <cell r="BO119">
            <v>121121</v>
          </cell>
          <cell r="BP119">
            <v>53767.6</v>
          </cell>
          <cell r="BQ119">
            <v>96860.465116279098</v>
          </cell>
          <cell r="BR119">
            <v>0</v>
          </cell>
          <cell r="BS119">
            <v>0</v>
          </cell>
          <cell r="BT119">
            <v>82006</v>
          </cell>
          <cell r="BU119"/>
          <cell r="BV119"/>
          <cell r="BW119"/>
          <cell r="BX119"/>
          <cell r="BY119">
            <v>0</v>
          </cell>
          <cell r="BZ119">
            <v>0</v>
          </cell>
          <cell r="CA119">
            <v>0</v>
          </cell>
          <cell r="CB119">
            <v>0</v>
          </cell>
          <cell r="CC119">
            <v>3019909</v>
          </cell>
          <cell r="CD119">
            <v>21991745</v>
          </cell>
          <cell r="CE119">
            <v>3977396</v>
          </cell>
          <cell r="CF119">
            <v>-89008</v>
          </cell>
          <cell r="CG119">
            <v>3977396</v>
          </cell>
          <cell r="CH119">
            <v>3977396</v>
          </cell>
          <cell r="CI119">
            <v>3977396</v>
          </cell>
          <cell r="CJ119">
            <v>3977396</v>
          </cell>
          <cell r="CK119">
            <v>0</v>
          </cell>
          <cell r="CL119">
            <v>0</v>
          </cell>
          <cell r="CM119">
            <v>0</v>
          </cell>
          <cell r="CN119">
            <v>0</v>
          </cell>
          <cell r="CO119">
            <v>0</v>
          </cell>
          <cell r="CP119">
            <v>-6201</v>
          </cell>
          <cell r="CQ119">
            <v>3842243</v>
          </cell>
          <cell r="CR119">
            <v>3636323</v>
          </cell>
          <cell r="CS119">
            <v>3538319</v>
          </cell>
          <cell r="CT119">
            <v>3454953</v>
          </cell>
          <cell r="CU119">
            <v>3413748</v>
          </cell>
          <cell r="CV119">
            <v>32591</v>
          </cell>
          <cell r="CW119">
            <v>0</v>
          </cell>
          <cell r="CX119">
            <v>0</v>
          </cell>
          <cell r="CY119">
            <v>0</v>
          </cell>
          <cell r="CZ119">
            <v>0</v>
          </cell>
          <cell r="DA119">
            <v>0</v>
          </cell>
          <cell r="DB119"/>
          <cell r="DC119">
            <v>0</v>
          </cell>
          <cell r="DD119">
            <v>0</v>
          </cell>
          <cell r="DE119">
            <v>0</v>
          </cell>
          <cell r="DF119">
            <v>0</v>
          </cell>
          <cell r="DG119">
            <v>0</v>
          </cell>
          <cell r="DH119">
            <v>0</v>
          </cell>
          <cell r="DI119">
            <v>0</v>
          </cell>
          <cell r="DJ119">
            <v>0</v>
          </cell>
          <cell r="DK119">
            <v>0</v>
          </cell>
          <cell r="DL119">
            <v>0</v>
          </cell>
          <cell r="DM119"/>
          <cell r="DN119"/>
          <cell r="DO119"/>
          <cell r="DP119"/>
        </row>
        <row r="120">
          <cell r="A120">
            <v>273</v>
          </cell>
          <cell r="B120" t="str">
            <v>Putten</v>
          </cell>
          <cell r="C120">
            <v>5</v>
          </cell>
          <cell r="D120">
            <v>-44520</v>
          </cell>
          <cell r="E120">
            <v>-22260</v>
          </cell>
          <cell r="F120">
            <v>0</v>
          </cell>
          <cell r="G120">
            <v>0</v>
          </cell>
          <cell r="H120">
            <v>-2783</v>
          </cell>
          <cell r="I120">
            <v>0</v>
          </cell>
          <cell r="J120"/>
          <cell r="K120">
            <v>0</v>
          </cell>
          <cell r="L120">
            <v>92079</v>
          </cell>
          <cell r="M120">
            <v>86659</v>
          </cell>
          <cell r="N120">
            <v>0</v>
          </cell>
          <cell r="O120">
            <v>0</v>
          </cell>
          <cell r="P120">
            <v>0</v>
          </cell>
          <cell r="Q120">
            <v>0</v>
          </cell>
          <cell r="R120">
            <v>0</v>
          </cell>
          <cell r="S120">
            <v>0</v>
          </cell>
          <cell r="T120">
            <v>0</v>
          </cell>
          <cell r="U120">
            <v>0</v>
          </cell>
          <cell r="V120">
            <v>0</v>
          </cell>
          <cell r="W120">
            <v>103409</v>
          </cell>
          <cell r="X120">
            <v>0</v>
          </cell>
          <cell r="Y120"/>
          <cell r="Z120">
            <v>0</v>
          </cell>
          <cell r="AA120">
            <v>0</v>
          </cell>
          <cell r="AB120">
            <v>0</v>
          </cell>
          <cell r="AC120"/>
          <cell r="AD120">
            <v>0</v>
          </cell>
          <cell r="AE120">
            <v>0</v>
          </cell>
          <cell r="AF120">
            <v>0</v>
          </cell>
          <cell r="AG120">
            <v>0</v>
          </cell>
          <cell r="AH120">
            <v>0</v>
          </cell>
          <cell r="AI120">
            <v>0</v>
          </cell>
          <cell r="AJ120">
            <v>0</v>
          </cell>
          <cell r="AK120">
            <v>0</v>
          </cell>
          <cell r="AL120"/>
          <cell r="AM120">
            <v>0</v>
          </cell>
          <cell r="AN120">
            <v>0</v>
          </cell>
          <cell r="AO120">
            <v>0</v>
          </cell>
          <cell r="AP120">
            <v>0</v>
          </cell>
          <cell r="AQ120">
            <v>0</v>
          </cell>
          <cell r="AR120">
            <v>0</v>
          </cell>
          <cell r="AS120">
            <v>0</v>
          </cell>
          <cell r="AT120">
            <v>0</v>
          </cell>
          <cell r="AU120">
            <v>4740</v>
          </cell>
          <cell r="AV120">
            <v>0</v>
          </cell>
          <cell r="AW120">
            <v>0</v>
          </cell>
          <cell r="AX120">
            <v>0</v>
          </cell>
          <cell r="AY120"/>
          <cell r="AZ120"/>
          <cell r="BA120">
            <v>0</v>
          </cell>
          <cell r="BB120"/>
          <cell r="BC120">
            <v>0</v>
          </cell>
          <cell r="BD120">
            <v>8575</v>
          </cell>
          <cell r="BE120"/>
          <cell r="BF120">
            <v>0</v>
          </cell>
          <cell r="BG120">
            <v>0</v>
          </cell>
          <cell r="BH120">
            <v>0</v>
          </cell>
          <cell r="BI120">
            <v>25145</v>
          </cell>
          <cell r="BJ120">
            <v>20698</v>
          </cell>
          <cell r="BK120">
            <v>20698</v>
          </cell>
          <cell r="BL120">
            <v>0</v>
          </cell>
          <cell r="BM120">
            <v>0</v>
          </cell>
          <cell r="BN120">
            <v>0</v>
          </cell>
          <cell r="BO120">
            <v>121121</v>
          </cell>
          <cell r="BP120">
            <v>11069.8</v>
          </cell>
          <cell r="BQ120">
            <v>19941.8604651163</v>
          </cell>
          <cell r="BR120">
            <v>0</v>
          </cell>
          <cell r="BS120">
            <v>0</v>
          </cell>
          <cell r="BT120">
            <v>39991</v>
          </cell>
          <cell r="BU120"/>
          <cell r="BV120"/>
          <cell r="BW120"/>
          <cell r="BX120"/>
          <cell r="BY120">
            <v>0</v>
          </cell>
          <cell r="BZ120">
            <v>0</v>
          </cell>
          <cell r="CA120">
            <v>0</v>
          </cell>
          <cell r="CB120">
            <v>0</v>
          </cell>
          <cell r="CC120">
            <v>1801772</v>
          </cell>
          <cell r="CD120">
            <v>10113050</v>
          </cell>
          <cell r="CE120">
            <v>845310</v>
          </cell>
          <cell r="CF120">
            <v>0</v>
          </cell>
          <cell r="CG120">
            <v>845310</v>
          </cell>
          <cell r="CH120">
            <v>845310</v>
          </cell>
          <cell r="CI120">
            <v>845310</v>
          </cell>
          <cell r="CJ120">
            <v>845310</v>
          </cell>
          <cell r="CK120">
            <v>0</v>
          </cell>
          <cell r="CL120">
            <v>0</v>
          </cell>
          <cell r="CM120">
            <v>0</v>
          </cell>
          <cell r="CN120">
            <v>0</v>
          </cell>
          <cell r="CO120">
            <v>0</v>
          </cell>
          <cell r="CP120">
            <v>0</v>
          </cell>
          <cell r="CQ120">
            <v>2047672</v>
          </cell>
          <cell r="CR120">
            <v>1941550</v>
          </cell>
          <cell r="CS120">
            <v>1907961</v>
          </cell>
          <cell r="CT120">
            <v>1848771</v>
          </cell>
          <cell r="CU120">
            <v>1787716</v>
          </cell>
          <cell r="CV120">
            <v>-20962</v>
          </cell>
          <cell r="CW120">
            <v>0</v>
          </cell>
          <cell r="CX120">
            <v>0</v>
          </cell>
          <cell r="CY120">
            <v>0</v>
          </cell>
          <cell r="CZ120">
            <v>0</v>
          </cell>
          <cell r="DA120">
            <v>0</v>
          </cell>
          <cell r="DB120"/>
          <cell r="DC120">
            <v>0</v>
          </cell>
          <cell r="DD120">
            <v>0</v>
          </cell>
          <cell r="DE120">
            <v>0</v>
          </cell>
          <cell r="DF120">
            <v>0</v>
          </cell>
          <cell r="DG120">
            <v>0</v>
          </cell>
          <cell r="DH120">
            <v>0</v>
          </cell>
          <cell r="DI120">
            <v>0</v>
          </cell>
          <cell r="DJ120">
            <v>0</v>
          </cell>
          <cell r="DK120">
            <v>0</v>
          </cell>
          <cell r="DL120">
            <v>0</v>
          </cell>
          <cell r="DM120"/>
          <cell r="DN120"/>
          <cell r="DO120"/>
          <cell r="DP120"/>
        </row>
        <row r="121">
          <cell r="A121">
            <v>274</v>
          </cell>
          <cell r="B121" t="str">
            <v>Renkum</v>
          </cell>
          <cell r="C121">
            <v>5</v>
          </cell>
          <cell r="D121">
            <v>114642</v>
          </cell>
          <cell r="E121">
            <v>57321</v>
          </cell>
          <cell r="F121">
            <v>0</v>
          </cell>
          <cell r="G121">
            <v>166285</v>
          </cell>
          <cell r="H121">
            <v>0</v>
          </cell>
          <cell r="I121">
            <v>0</v>
          </cell>
          <cell r="J121"/>
          <cell r="K121">
            <v>0</v>
          </cell>
          <cell r="L121">
            <v>124789</v>
          </cell>
          <cell r="M121">
            <v>117322</v>
          </cell>
          <cell r="N121">
            <v>0</v>
          </cell>
          <cell r="O121">
            <v>0</v>
          </cell>
          <cell r="P121">
            <v>0</v>
          </cell>
          <cell r="Q121">
            <v>0</v>
          </cell>
          <cell r="R121">
            <v>0</v>
          </cell>
          <cell r="S121">
            <v>0</v>
          </cell>
          <cell r="T121">
            <v>0</v>
          </cell>
          <cell r="U121">
            <v>0</v>
          </cell>
          <cell r="V121">
            <v>3000</v>
          </cell>
          <cell r="W121">
            <v>103847</v>
          </cell>
          <cell r="X121">
            <v>0</v>
          </cell>
          <cell r="Y121"/>
          <cell r="Z121">
            <v>0</v>
          </cell>
          <cell r="AA121">
            <v>0</v>
          </cell>
          <cell r="AB121">
            <v>0</v>
          </cell>
          <cell r="AC121"/>
          <cell r="AD121">
            <v>0</v>
          </cell>
          <cell r="AE121">
            <v>0</v>
          </cell>
          <cell r="AF121">
            <v>0</v>
          </cell>
          <cell r="AG121">
            <v>0</v>
          </cell>
          <cell r="AH121">
            <v>0</v>
          </cell>
          <cell r="AI121">
            <v>0</v>
          </cell>
          <cell r="AJ121">
            <v>0</v>
          </cell>
          <cell r="AK121">
            <v>0</v>
          </cell>
          <cell r="AL121"/>
          <cell r="AM121">
            <v>0</v>
          </cell>
          <cell r="AN121">
            <v>0</v>
          </cell>
          <cell r="AO121">
            <v>0</v>
          </cell>
          <cell r="AP121">
            <v>0</v>
          </cell>
          <cell r="AQ121">
            <v>0</v>
          </cell>
          <cell r="AR121">
            <v>0</v>
          </cell>
          <cell r="AS121">
            <v>0</v>
          </cell>
          <cell r="AT121">
            <v>0</v>
          </cell>
          <cell r="AU121">
            <v>7110</v>
          </cell>
          <cell r="AV121">
            <v>0</v>
          </cell>
          <cell r="AW121">
            <v>0</v>
          </cell>
          <cell r="AX121">
            <v>0</v>
          </cell>
          <cell r="AY121"/>
          <cell r="AZ121"/>
          <cell r="BA121">
            <v>0</v>
          </cell>
          <cell r="BB121"/>
          <cell r="BC121">
            <v>0</v>
          </cell>
          <cell r="BD121">
            <v>11019</v>
          </cell>
          <cell r="BE121"/>
          <cell r="BF121">
            <v>0</v>
          </cell>
          <cell r="BG121">
            <v>0</v>
          </cell>
          <cell r="BH121">
            <v>0</v>
          </cell>
          <cell r="BI121">
            <v>45738</v>
          </cell>
          <cell r="BJ121">
            <v>37649</v>
          </cell>
          <cell r="BK121">
            <v>37649</v>
          </cell>
          <cell r="BL121">
            <v>0</v>
          </cell>
          <cell r="BM121">
            <v>0</v>
          </cell>
          <cell r="BN121">
            <v>0</v>
          </cell>
          <cell r="BO121">
            <v>65668</v>
          </cell>
          <cell r="BP121">
            <v>12651.2</v>
          </cell>
          <cell r="BQ121">
            <v>22790.697674418599</v>
          </cell>
          <cell r="BR121">
            <v>0</v>
          </cell>
          <cell r="BS121">
            <v>0</v>
          </cell>
          <cell r="BT121">
            <v>48346</v>
          </cell>
          <cell r="BU121"/>
          <cell r="BV121"/>
          <cell r="BW121"/>
          <cell r="BX121"/>
          <cell r="BY121">
            <v>0</v>
          </cell>
          <cell r="BZ121">
            <v>0</v>
          </cell>
          <cell r="CA121">
            <v>0</v>
          </cell>
          <cell r="CB121">
            <v>0</v>
          </cell>
          <cell r="CC121">
            <v>2881763</v>
          </cell>
          <cell r="CD121">
            <v>17697148</v>
          </cell>
          <cell r="CE121">
            <v>3501769</v>
          </cell>
          <cell r="CF121">
            <v>2334027</v>
          </cell>
          <cell r="CG121">
            <v>3501769</v>
          </cell>
          <cell r="CH121">
            <v>3501769</v>
          </cell>
          <cell r="CI121">
            <v>3501769</v>
          </cell>
          <cell r="CJ121">
            <v>3501769</v>
          </cell>
          <cell r="CK121">
            <v>0</v>
          </cell>
          <cell r="CL121">
            <v>0</v>
          </cell>
          <cell r="CM121">
            <v>0</v>
          </cell>
          <cell r="CN121">
            <v>0</v>
          </cell>
          <cell r="CO121">
            <v>0</v>
          </cell>
          <cell r="CP121">
            <v>-2331</v>
          </cell>
          <cell r="CQ121">
            <v>2353234</v>
          </cell>
          <cell r="CR121">
            <v>2293983</v>
          </cell>
          <cell r="CS121">
            <v>2237113</v>
          </cell>
          <cell r="CT121">
            <v>2221388</v>
          </cell>
          <cell r="CU121">
            <v>2178216</v>
          </cell>
          <cell r="CV121">
            <v>5051</v>
          </cell>
          <cell r="CW121">
            <v>0</v>
          </cell>
          <cell r="CX121">
            <v>0</v>
          </cell>
          <cell r="CY121">
            <v>0</v>
          </cell>
          <cell r="CZ121">
            <v>0</v>
          </cell>
          <cell r="DA121">
            <v>0</v>
          </cell>
          <cell r="DB121"/>
          <cell r="DC121">
            <v>0</v>
          </cell>
          <cell r="DD121">
            <v>0</v>
          </cell>
          <cell r="DE121">
            <v>0</v>
          </cell>
          <cell r="DF121">
            <v>0</v>
          </cell>
          <cell r="DG121">
            <v>0</v>
          </cell>
          <cell r="DH121">
            <v>0</v>
          </cell>
          <cell r="DI121">
            <v>0</v>
          </cell>
          <cell r="DJ121">
            <v>0</v>
          </cell>
          <cell r="DK121">
            <v>0</v>
          </cell>
          <cell r="DL121">
            <v>0</v>
          </cell>
          <cell r="DM121"/>
          <cell r="DN121"/>
          <cell r="DO121"/>
          <cell r="DP121"/>
        </row>
        <row r="122">
          <cell r="A122">
            <v>275</v>
          </cell>
          <cell r="B122" t="str">
            <v>Rheden</v>
          </cell>
          <cell r="C122">
            <v>5</v>
          </cell>
          <cell r="D122">
            <v>83772</v>
          </cell>
          <cell r="E122">
            <v>41886</v>
          </cell>
          <cell r="F122">
            <v>0</v>
          </cell>
          <cell r="G122">
            <v>281770</v>
          </cell>
          <cell r="H122">
            <v>-24078</v>
          </cell>
          <cell r="I122">
            <v>-13103</v>
          </cell>
          <cell r="J122"/>
          <cell r="K122">
            <v>0</v>
          </cell>
          <cell r="L122">
            <v>223672</v>
          </cell>
          <cell r="M122">
            <v>219980</v>
          </cell>
          <cell r="N122">
            <v>0</v>
          </cell>
          <cell r="O122">
            <v>0</v>
          </cell>
          <cell r="P122">
            <v>0</v>
          </cell>
          <cell r="Q122">
            <v>0</v>
          </cell>
          <cell r="R122">
            <v>0</v>
          </cell>
          <cell r="S122">
            <v>0</v>
          </cell>
          <cell r="T122">
            <v>0</v>
          </cell>
          <cell r="U122">
            <v>0</v>
          </cell>
          <cell r="V122">
            <v>3000</v>
          </cell>
          <cell r="W122">
            <v>152587</v>
          </cell>
          <cell r="X122">
            <v>0</v>
          </cell>
          <cell r="Y122"/>
          <cell r="Z122">
            <v>0</v>
          </cell>
          <cell r="AA122">
            <v>0</v>
          </cell>
          <cell r="AB122">
            <v>0</v>
          </cell>
          <cell r="AC122"/>
          <cell r="AD122">
            <v>53779</v>
          </cell>
          <cell r="AE122">
            <v>0</v>
          </cell>
          <cell r="AF122">
            <v>0</v>
          </cell>
          <cell r="AG122">
            <v>0</v>
          </cell>
          <cell r="AH122">
            <v>0</v>
          </cell>
          <cell r="AI122">
            <v>0</v>
          </cell>
          <cell r="AJ122">
            <v>0</v>
          </cell>
          <cell r="AK122">
            <v>0</v>
          </cell>
          <cell r="AL122"/>
          <cell r="AM122">
            <v>0</v>
          </cell>
          <cell r="AN122">
            <v>0</v>
          </cell>
          <cell r="AO122">
            <v>0</v>
          </cell>
          <cell r="AP122">
            <v>0</v>
          </cell>
          <cell r="AQ122">
            <v>0</v>
          </cell>
          <cell r="AR122">
            <v>0</v>
          </cell>
          <cell r="AS122">
            <v>0</v>
          </cell>
          <cell r="AT122">
            <v>0</v>
          </cell>
          <cell r="AU122">
            <v>7110</v>
          </cell>
          <cell r="AV122">
            <v>0</v>
          </cell>
          <cell r="AW122">
            <v>0</v>
          </cell>
          <cell r="AX122">
            <v>0</v>
          </cell>
          <cell r="AY122"/>
          <cell r="AZ122"/>
          <cell r="BA122">
            <v>0</v>
          </cell>
          <cell r="BB122"/>
          <cell r="BC122">
            <v>0</v>
          </cell>
          <cell r="BD122">
            <v>15321</v>
          </cell>
          <cell r="BE122"/>
          <cell r="BF122">
            <v>0</v>
          </cell>
          <cell r="BG122">
            <v>0</v>
          </cell>
          <cell r="BH122">
            <v>0</v>
          </cell>
          <cell r="BI122">
            <v>85992</v>
          </cell>
          <cell r="BJ122">
            <v>70784</v>
          </cell>
          <cell r="BK122">
            <v>70784</v>
          </cell>
          <cell r="BL122">
            <v>0</v>
          </cell>
          <cell r="BM122">
            <v>0</v>
          </cell>
          <cell r="BN122">
            <v>0</v>
          </cell>
          <cell r="BO122">
            <v>106041</v>
          </cell>
          <cell r="BP122">
            <v>25302.400000000001</v>
          </cell>
          <cell r="BQ122">
            <v>45581.395348837199</v>
          </cell>
          <cell r="BR122">
            <v>0</v>
          </cell>
          <cell r="BS122">
            <v>0</v>
          </cell>
          <cell r="BT122">
            <v>70368</v>
          </cell>
          <cell r="BU122"/>
          <cell r="BV122"/>
          <cell r="BW122"/>
          <cell r="BX122"/>
          <cell r="BY122">
            <v>0</v>
          </cell>
          <cell r="BZ122">
            <v>0</v>
          </cell>
          <cell r="CA122">
            <v>0</v>
          </cell>
          <cell r="CB122">
            <v>0</v>
          </cell>
          <cell r="CC122">
            <v>4568936</v>
          </cell>
          <cell r="CD122">
            <v>25199559</v>
          </cell>
          <cell r="CE122">
            <v>1523462</v>
          </cell>
          <cell r="CF122">
            <v>-25224</v>
          </cell>
          <cell r="CG122">
            <v>1523462</v>
          </cell>
          <cell r="CH122">
            <v>1523462</v>
          </cell>
          <cell r="CI122">
            <v>1523462</v>
          </cell>
          <cell r="CJ122">
            <v>1523462</v>
          </cell>
          <cell r="CK122">
            <v>0</v>
          </cell>
          <cell r="CL122">
            <v>0</v>
          </cell>
          <cell r="CM122">
            <v>0</v>
          </cell>
          <cell r="CN122">
            <v>0</v>
          </cell>
          <cell r="CO122">
            <v>0</v>
          </cell>
          <cell r="CP122">
            <v>-967</v>
          </cell>
          <cell r="CQ122">
            <v>6393081</v>
          </cell>
          <cell r="CR122">
            <v>6125532</v>
          </cell>
          <cell r="CS122">
            <v>5989029</v>
          </cell>
          <cell r="CT122">
            <v>5886827</v>
          </cell>
          <cell r="CU122">
            <v>5739111</v>
          </cell>
          <cell r="CV122">
            <v>81667</v>
          </cell>
          <cell r="CW122">
            <v>0</v>
          </cell>
          <cell r="CX122">
            <v>0</v>
          </cell>
          <cell r="CY122">
            <v>0</v>
          </cell>
          <cell r="CZ122">
            <v>0</v>
          </cell>
          <cell r="DA122">
            <v>0</v>
          </cell>
          <cell r="DB122"/>
          <cell r="DC122">
            <v>0</v>
          </cell>
          <cell r="DD122">
            <v>0</v>
          </cell>
          <cell r="DE122">
            <v>0</v>
          </cell>
          <cell r="DF122">
            <v>0</v>
          </cell>
          <cell r="DG122">
            <v>0</v>
          </cell>
          <cell r="DH122">
            <v>0</v>
          </cell>
          <cell r="DI122">
            <v>0</v>
          </cell>
          <cell r="DJ122">
            <v>0</v>
          </cell>
          <cell r="DK122">
            <v>0</v>
          </cell>
          <cell r="DL122">
            <v>0</v>
          </cell>
          <cell r="DM122"/>
          <cell r="DN122"/>
          <cell r="DO122"/>
          <cell r="DP122"/>
        </row>
        <row r="123">
          <cell r="A123">
            <v>277</v>
          </cell>
          <cell r="B123" t="str">
            <v>Rozendaal</v>
          </cell>
          <cell r="C123">
            <v>5</v>
          </cell>
          <cell r="D123">
            <v>-306</v>
          </cell>
          <cell r="E123">
            <v>-153</v>
          </cell>
          <cell r="F123">
            <v>0</v>
          </cell>
          <cell r="G123">
            <v>217633</v>
          </cell>
          <cell r="H123">
            <v>48425</v>
          </cell>
          <cell r="I123">
            <v>72172</v>
          </cell>
          <cell r="J123"/>
          <cell r="K123">
            <v>0</v>
          </cell>
          <cell r="L123">
            <v>1253</v>
          </cell>
          <cell r="M123">
            <v>1071</v>
          </cell>
          <cell r="N123">
            <v>0</v>
          </cell>
          <cell r="O123">
            <v>0</v>
          </cell>
          <cell r="P123">
            <v>0</v>
          </cell>
          <cell r="Q123">
            <v>0</v>
          </cell>
          <cell r="R123">
            <v>0</v>
          </cell>
          <cell r="S123">
            <v>0</v>
          </cell>
          <cell r="T123">
            <v>0</v>
          </cell>
          <cell r="U123">
            <v>0</v>
          </cell>
          <cell r="V123">
            <v>0</v>
          </cell>
          <cell r="W123">
            <v>0</v>
          </cell>
          <cell r="X123">
            <v>0</v>
          </cell>
          <cell r="Y123"/>
          <cell r="Z123">
            <v>0</v>
          </cell>
          <cell r="AA123">
            <v>0</v>
          </cell>
          <cell r="AB123">
            <v>0</v>
          </cell>
          <cell r="AC123"/>
          <cell r="AD123">
            <v>0</v>
          </cell>
          <cell r="AE123">
            <v>0</v>
          </cell>
          <cell r="AF123">
            <v>0</v>
          </cell>
          <cell r="AG123">
            <v>0</v>
          </cell>
          <cell r="AH123">
            <v>0</v>
          </cell>
          <cell r="AI123">
            <v>0</v>
          </cell>
          <cell r="AJ123">
            <v>0</v>
          </cell>
          <cell r="AK123">
            <v>0</v>
          </cell>
          <cell r="AL123"/>
          <cell r="AM123">
            <v>0</v>
          </cell>
          <cell r="AN123">
            <v>0</v>
          </cell>
          <cell r="AO123">
            <v>0</v>
          </cell>
          <cell r="AP123">
            <v>0</v>
          </cell>
          <cell r="AQ123">
            <v>0</v>
          </cell>
          <cell r="AR123">
            <v>0</v>
          </cell>
          <cell r="AS123">
            <v>0</v>
          </cell>
          <cell r="AT123">
            <v>0</v>
          </cell>
          <cell r="AU123">
            <v>0</v>
          </cell>
          <cell r="AV123">
            <v>0</v>
          </cell>
          <cell r="AW123">
            <v>0</v>
          </cell>
          <cell r="AX123">
            <v>0</v>
          </cell>
          <cell r="AY123"/>
          <cell r="AZ123"/>
          <cell r="BA123">
            <v>0</v>
          </cell>
          <cell r="BB123"/>
          <cell r="BC123">
            <v>0</v>
          </cell>
          <cell r="BD123">
            <v>526</v>
          </cell>
          <cell r="BE123"/>
          <cell r="BF123">
            <v>0</v>
          </cell>
          <cell r="BG123">
            <v>0</v>
          </cell>
          <cell r="BH123">
            <v>0</v>
          </cell>
          <cell r="BI123">
            <v>570</v>
          </cell>
          <cell r="BJ123">
            <v>470</v>
          </cell>
          <cell r="BK123">
            <v>470</v>
          </cell>
          <cell r="BL123">
            <v>0</v>
          </cell>
          <cell r="BM123">
            <v>0</v>
          </cell>
          <cell r="BN123">
            <v>0</v>
          </cell>
          <cell r="BO123">
            <v>0</v>
          </cell>
          <cell r="BP123">
            <v>0</v>
          </cell>
          <cell r="BQ123">
            <v>0</v>
          </cell>
          <cell r="BR123">
            <v>0</v>
          </cell>
          <cell r="BS123">
            <v>0</v>
          </cell>
          <cell r="BT123">
            <v>2839</v>
          </cell>
          <cell r="BU123"/>
          <cell r="BV123"/>
          <cell r="BW123"/>
          <cell r="BX123"/>
          <cell r="BY123">
            <v>0</v>
          </cell>
          <cell r="BZ123">
            <v>0</v>
          </cell>
          <cell r="CA123">
            <v>0</v>
          </cell>
          <cell r="CB123">
            <v>0</v>
          </cell>
          <cell r="CC123">
            <v>73778</v>
          </cell>
          <cell r="CD123">
            <v>233014</v>
          </cell>
          <cell r="CE123">
            <v>44898</v>
          </cell>
          <cell r="CF123">
            <v>0</v>
          </cell>
          <cell r="CG123">
            <v>44898</v>
          </cell>
          <cell r="CH123">
            <v>44898</v>
          </cell>
          <cell r="CI123">
            <v>44898</v>
          </cell>
          <cell r="CJ123">
            <v>44898</v>
          </cell>
          <cell r="CK123">
            <v>0</v>
          </cell>
          <cell r="CL123">
            <v>0</v>
          </cell>
          <cell r="CM123">
            <v>0</v>
          </cell>
          <cell r="CN123">
            <v>0</v>
          </cell>
          <cell r="CO123">
            <v>0</v>
          </cell>
          <cell r="CP123">
            <v>0</v>
          </cell>
          <cell r="CQ123">
            <v>28733</v>
          </cell>
          <cell r="CR123">
            <v>28173</v>
          </cell>
          <cell r="CS123">
            <v>26857</v>
          </cell>
          <cell r="CT123">
            <v>26803</v>
          </cell>
          <cell r="CU123">
            <v>26813</v>
          </cell>
          <cell r="CV123">
            <v>-449</v>
          </cell>
          <cell r="CW123">
            <v>0</v>
          </cell>
          <cell r="CX123">
            <v>0</v>
          </cell>
          <cell r="CY123">
            <v>0</v>
          </cell>
          <cell r="CZ123">
            <v>0</v>
          </cell>
          <cell r="DA123">
            <v>0</v>
          </cell>
          <cell r="DB123"/>
          <cell r="DC123">
            <v>0</v>
          </cell>
          <cell r="DD123">
            <v>0</v>
          </cell>
          <cell r="DE123">
            <v>0</v>
          </cell>
          <cell r="DF123">
            <v>0</v>
          </cell>
          <cell r="DG123">
            <v>0</v>
          </cell>
          <cell r="DH123">
            <v>0</v>
          </cell>
          <cell r="DI123">
            <v>0</v>
          </cell>
          <cell r="DJ123">
            <v>0</v>
          </cell>
          <cell r="DK123">
            <v>0</v>
          </cell>
          <cell r="DL123">
            <v>0</v>
          </cell>
          <cell r="DM123"/>
          <cell r="DN123"/>
          <cell r="DO123"/>
          <cell r="DP123"/>
        </row>
        <row r="124">
          <cell r="A124">
            <v>279</v>
          </cell>
          <cell r="B124" t="str">
            <v>Scherpenzeel</v>
          </cell>
          <cell r="C124">
            <v>5</v>
          </cell>
          <cell r="D124">
            <v>-3606</v>
          </cell>
          <cell r="E124">
            <v>-1803</v>
          </cell>
          <cell r="F124">
            <v>0</v>
          </cell>
          <cell r="G124">
            <v>0</v>
          </cell>
          <cell r="H124">
            <v>-4813</v>
          </cell>
          <cell r="I124">
            <v>-3892</v>
          </cell>
          <cell r="J124"/>
          <cell r="K124">
            <v>0</v>
          </cell>
          <cell r="L124">
            <v>26541</v>
          </cell>
          <cell r="M124">
            <v>24641</v>
          </cell>
          <cell r="N124">
            <v>0</v>
          </cell>
          <cell r="O124">
            <v>0</v>
          </cell>
          <cell r="P124">
            <v>0</v>
          </cell>
          <cell r="Q124">
            <v>0</v>
          </cell>
          <cell r="R124">
            <v>0</v>
          </cell>
          <cell r="S124">
            <v>0</v>
          </cell>
          <cell r="T124">
            <v>0</v>
          </cell>
          <cell r="U124">
            <v>0</v>
          </cell>
          <cell r="V124">
            <v>6000</v>
          </cell>
          <cell r="W124">
            <v>25052</v>
          </cell>
          <cell r="X124">
            <v>0</v>
          </cell>
          <cell r="Y124"/>
          <cell r="Z124">
            <v>0</v>
          </cell>
          <cell r="AA124">
            <v>0</v>
          </cell>
          <cell r="AB124">
            <v>0</v>
          </cell>
          <cell r="AC124"/>
          <cell r="AD124">
            <v>0</v>
          </cell>
          <cell r="AE124">
            <v>0</v>
          </cell>
          <cell r="AF124">
            <v>0</v>
          </cell>
          <cell r="AG124">
            <v>0</v>
          </cell>
          <cell r="AH124">
            <v>0</v>
          </cell>
          <cell r="AI124">
            <v>0</v>
          </cell>
          <cell r="AJ124">
            <v>0</v>
          </cell>
          <cell r="AK124">
            <v>0</v>
          </cell>
          <cell r="AL124"/>
          <cell r="AM124">
            <v>0</v>
          </cell>
          <cell r="AN124">
            <v>0</v>
          </cell>
          <cell r="AO124">
            <v>0</v>
          </cell>
          <cell r="AP124">
            <v>0</v>
          </cell>
          <cell r="AQ124">
            <v>0</v>
          </cell>
          <cell r="AR124">
            <v>0</v>
          </cell>
          <cell r="AS124">
            <v>0</v>
          </cell>
          <cell r="AT124">
            <v>0</v>
          </cell>
          <cell r="AU124">
            <v>0</v>
          </cell>
          <cell r="AV124">
            <v>0</v>
          </cell>
          <cell r="AW124">
            <v>0</v>
          </cell>
          <cell r="AX124">
            <v>0</v>
          </cell>
          <cell r="AY124"/>
          <cell r="AZ124"/>
          <cell r="BA124">
            <v>0</v>
          </cell>
          <cell r="BB124"/>
          <cell r="BC124">
            <v>0</v>
          </cell>
          <cell r="BD124">
            <v>3406</v>
          </cell>
          <cell r="BE124"/>
          <cell r="BF124">
            <v>0</v>
          </cell>
          <cell r="BG124">
            <v>0</v>
          </cell>
          <cell r="BH124">
            <v>0</v>
          </cell>
          <cell r="BI124">
            <v>10748</v>
          </cell>
          <cell r="BJ124">
            <v>8847</v>
          </cell>
          <cell r="BK124">
            <v>8847</v>
          </cell>
          <cell r="BL124">
            <v>0</v>
          </cell>
          <cell r="BM124">
            <v>0</v>
          </cell>
          <cell r="BN124">
            <v>0</v>
          </cell>
          <cell r="BO124">
            <v>9242</v>
          </cell>
          <cell r="BP124">
            <v>45860.6</v>
          </cell>
          <cell r="BQ124">
            <v>82616.279069767406</v>
          </cell>
          <cell r="BR124">
            <v>0</v>
          </cell>
          <cell r="BS124">
            <v>0</v>
          </cell>
          <cell r="BT124">
            <v>16219</v>
          </cell>
          <cell r="BU124"/>
          <cell r="BV124"/>
          <cell r="BW124"/>
          <cell r="BX124"/>
          <cell r="BY124">
            <v>0</v>
          </cell>
          <cell r="BZ124">
            <v>0</v>
          </cell>
          <cell r="CA124">
            <v>0</v>
          </cell>
          <cell r="CB124">
            <v>0</v>
          </cell>
          <cell r="CC124">
            <v>639989</v>
          </cell>
          <cell r="CD124">
            <v>3164083</v>
          </cell>
          <cell r="CE124">
            <v>74777</v>
          </cell>
          <cell r="CF124">
            <v>0</v>
          </cell>
          <cell r="CG124">
            <v>74777</v>
          </cell>
          <cell r="CH124">
            <v>74777</v>
          </cell>
          <cell r="CI124">
            <v>74777</v>
          </cell>
          <cell r="CJ124">
            <v>74777</v>
          </cell>
          <cell r="CK124">
            <v>0</v>
          </cell>
          <cell r="CL124">
            <v>0</v>
          </cell>
          <cell r="CM124">
            <v>0</v>
          </cell>
          <cell r="CN124">
            <v>0</v>
          </cell>
          <cell r="CO124">
            <v>0</v>
          </cell>
          <cell r="CP124">
            <v>-1402</v>
          </cell>
          <cell r="CQ124">
            <v>181525</v>
          </cell>
          <cell r="CR124">
            <v>181849</v>
          </cell>
          <cell r="CS124">
            <v>183131</v>
          </cell>
          <cell r="CT124">
            <v>186965</v>
          </cell>
          <cell r="CU124">
            <v>190561</v>
          </cell>
          <cell r="CV124">
            <v>18289</v>
          </cell>
          <cell r="CW124">
            <v>0</v>
          </cell>
          <cell r="CX124">
            <v>0</v>
          </cell>
          <cell r="CY124">
            <v>0</v>
          </cell>
          <cell r="CZ124">
            <v>0</v>
          </cell>
          <cell r="DA124">
            <v>0</v>
          </cell>
          <cell r="DB124"/>
          <cell r="DC124">
            <v>0</v>
          </cell>
          <cell r="DD124">
            <v>0</v>
          </cell>
          <cell r="DE124">
            <v>0</v>
          </cell>
          <cell r="DF124">
            <v>0</v>
          </cell>
          <cell r="DG124">
            <v>0</v>
          </cell>
          <cell r="DH124">
            <v>0</v>
          </cell>
          <cell r="DI124">
            <v>0</v>
          </cell>
          <cell r="DJ124">
            <v>0</v>
          </cell>
          <cell r="DK124">
            <v>0</v>
          </cell>
          <cell r="DL124">
            <v>0</v>
          </cell>
          <cell r="DM124"/>
          <cell r="DN124"/>
          <cell r="DO124"/>
          <cell r="DP124"/>
        </row>
        <row r="125">
          <cell r="A125">
            <v>281</v>
          </cell>
          <cell r="B125" t="str">
            <v>Tiel</v>
          </cell>
          <cell r="C125">
            <v>5</v>
          </cell>
          <cell r="D125">
            <v>-15621</v>
          </cell>
          <cell r="E125">
            <v>-7810</v>
          </cell>
          <cell r="F125">
            <v>0</v>
          </cell>
          <cell r="G125">
            <v>0</v>
          </cell>
          <cell r="H125">
            <v>-50425</v>
          </cell>
          <cell r="I125">
            <v>-14450</v>
          </cell>
          <cell r="J125"/>
          <cell r="K125">
            <v>0</v>
          </cell>
          <cell r="L125">
            <v>278387</v>
          </cell>
          <cell r="M125">
            <v>265118</v>
          </cell>
          <cell r="N125">
            <v>0</v>
          </cell>
          <cell r="O125">
            <v>0</v>
          </cell>
          <cell r="P125">
            <v>0</v>
          </cell>
          <cell r="Q125">
            <v>0</v>
          </cell>
          <cell r="R125">
            <v>0</v>
          </cell>
          <cell r="S125">
            <v>0</v>
          </cell>
          <cell r="T125">
            <v>0</v>
          </cell>
          <cell r="U125">
            <v>0</v>
          </cell>
          <cell r="V125">
            <v>32250</v>
          </cell>
          <cell r="W125">
            <v>161629</v>
          </cell>
          <cell r="X125">
            <v>0</v>
          </cell>
          <cell r="Y125"/>
          <cell r="Z125">
            <v>0</v>
          </cell>
          <cell r="AA125">
            <v>34000</v>
          </cell>
          <cell r="AB125">
            <v>0</v>
          </cell>
          <cell r="AC125"/>
          <cell r="AD125">
            <v>20000</v>
          </cell>
          <cell r="AE125">
            <v>0</v>
          </cell>
          <cell r="AF125">
            <v>0</v>
          </cell>
          <cell r="AG125">
            <v>0</v>
          </cell>
          <cell r="AH125">
            <v>0</v>
          </cell>
          <cell r="AI125">
            <v>0</v>
          </cell>
          <cell r="AJ125">
            <v>0</v>
          </cell>
          <cell r="AK125">
            <v>0</v>
          </cell>
          <cell r="AL125"/>
          <cell r="AM125">
            <v>0</v>
          </cell>
          <cell r="AN125">
            <v>0</v>
          </cell>
          <cell r="AO125">
            <v>0</v>
          </cell>
          <cell r="AP125">
            <v>0</v>
          </cell>
          <cell r="AQ125">
            <v>0</v>
          </cell>
          <cell r="AR125">
            <v>0</v>
          </cell>
          <cell r="AS125">
            <v>0</v>
          </cell>
          <cell r="AT125">
            <v>0</v>
          </cell>
          <cell r="AU125">
            <v>9480</v>
          </cell>
          <cell r="AV125">
            <v>0</v>
          </cell>
          <cell r="AW125">
            <v>80000</v>
          </cell>
          <cell r="AX125">
            <v>0</v>
          </cell>
          <cell r="AY125"/>
          <cell r="AZ125"/>
          <cell r="BA125">
            <v>0</v>
          </cell>
          <cell r="BB125"/>
          <cell r="BC125">
            <v>0</v>
          </cell>
          <cell r="BD125">
            <v>14564</v>
          </cell>
          <cell r="BE125"/>
          <cell r="BF125">
            <v>0</v>
          </cell>
          <cell r="BG125">
            <v>0</v>
          </cell>
          <cell r="BH125">
            <v>0</v>
          </cell>
          <cell r="BI125">
            <v>66456</v>
          </cell>
          <cell r="BJ125">
            <v>54703</v>
          </cell>
          <cell r="BK125">
            <v>54703</v>
          </cell>
          <cell r="BL125">
            <v>0</v>
          </cell>
          <cell r="BM125">
            <v>0</v>
          </cell>
          <cell r="BN125">
            <v>0</v>
          </cell>
          <cell r="BO125">
            <v>286020</v>
          </cell>
          <cell r="BP125">
            <v>17395.400000000001</v>
          </cell>
          <cell r="BQ125">
            <v>31337.209302325598</v>
          </cell>
          <cell r="BR125">
            <v>0</v>
          </cell>
          <cell r="BS125">
            <v>0</v>
          </cell>
          <cell r="BT125">
            <v>75994</v>
          </cell>
          <cell r="BU125"/>
          <cell r="BV125"/>
          <cell r="BW125"/>
          <cell r="BX125"/>
          <cell r="BY125">
            <v>0</v>
          </cell>
          <cell r="BZ125">
            <v>0</v>
          </cell>
          <cell r="CA125">
            <v>0</v>
          </cell>
          <cell r="CB125">
            <v>0</v>
          </cell>
          <cell r="CC125">
            <v>3158206</v>
          </cell>
          <cell r="CD125">
            <v>26869478</v>
          </cell>
          <cell r="CE125">
            <v>1362270</v>
          </cell>
          <cell r="CF125">
            <v>0</v>
          </cell>
          <cell r="CG125">
            <v>1362270</v>
          </cell>
          <cell r="CH125">
            <v>1362270</v>
          </cell>
          <cell r="CI125">
            <v>1362270</v>
          </cell>
          <cell r="CJ125">
            <v>1362270</v>
          </cell>
          <cell r="CK125">
            <v>0</v>
          </cell>
          <cell r="CL125">
            <v>0</v>
          </cell>
          <cell r="CM125">
            <v>0</v>
          </cell>
          <cell r="CN125">
            <v>0</v>
          </cell>
          <cell r="CO125">
            <v>0</v>
          </cell>
          <cell r="CP125">
            <v>-5243</v>
          </cell>
          <cell r="CQ125">
            <v>8344269</v>
          </cell>
          <cell r="CR125">
            <v>8056128</v>
          </cell>
          <cell r="CS125">
            <v>7891053</v>
          </cell>
          <cell r="CT125">
            <v>7782633</v>
          </cell>
          <cell r="CU125">
            <v>7681902</v>
          </cell>
          <cell r="CV125">
            <v>-82112</v>
          </cell>
          <cell r="CW125">
            <v>0</v>
          </cell>
          <cell r="CX125">
            <v>0</v>
          </cell>
          <cell r="CY125">
            <v>0</v>
          </cell>
          <cell r="CZ125">
            <v>0</v>
          </cell>
          <cell r="DA125">
            <v>0</v>
          </cell>
          <cell r="DB125"/>
          <cell r="DC125">
            <v>0</v>
          </cell>
          <cell r="DD125">
            <v>0</v>
          </cell>
          <cell r="DE125">
            <v>0</v>
          </cell>
          <cell r="DF125">
            <v>0</v>
          </cell>
          <cell r="DG125">
            <v>0</v>
          </cell>
          <cell r="DH125">
            <v>0</v>
          </cell>
          <cell r="DI125">
            <v>0</v>
          </cell>
          <cell r="DJ125">
            <v>0</v>
          </cell>
          <cell r="DK125">
            <v>0</v>
          </cell>
          <cell r="DL125">
            <v>0</v>
          </cell>
          <cell r="DM125"/>
          <cell r="DN125"/>
          <cell r="DO125"/>
          <cell r="DP125"/>
        </row>
        <row r="126">
          <cell r="A126">
            <v>285</v>
          </cell>
          <cell r="B126" t="str">
            <v>Voorst</v>
          </cell>
          <cell r="C126">
            <v>5</v>
          </cell>
          <cell r="D126">
            <v>-54210</v>
          </cell>
          <cell r="E126">
            <v>-27105</v>
          </cell>
          <cell r="F126">
            <v>0</v>
          </cell>
          <cell r="G126">
            <v>390313</v>
          </cell>
          <cell r="H126">
            <v>-40299</v>
          </cell>
          <cell r="I126">
            <v>-23677</v>
          </cell>
          <cell r="J126"/>
          <cell r="K126">
            <v>0</v>
          </cell>
          <cell r="L126">
            <v>57301</v>
          </cell>
          <cell r="M126">
            <v>56780</v>
          </cell>
          <cell r="N126">
            <v>0</v>
          </cell>
          <cell r="O126">
            <v>0</v>
          </cell>
          <cell r="P126">
            <v>0</v>
          </cell>
          <cell r="Q126">
            <v>0</v>
          </cell>
          <cell r="R126">
            <v>0</v>
          </cell>
          <cell r="S126">
            <v>0</v>
          </cell>
          <cell r="T126">
            <v>0</v>
          </cell>
          <cell r="U126">
            <v>0</v>
          </cell>
          <cell r="V126">
            <v>3000</v>
          </cell>
          <cell r="W126">
            <v>91746</v>
          </cell>
          <cell r="X126">
            <v>0</v>
          </cell>
          <cell r="Y126"/>
          <cell r="Z126">
            <v>0</v>
          </cell>
          <cell r="AA126">
            <v>0</v>
          </cell>
          <cell r="AB126">
            <v>30000</v>
          </cell>
          <cell r="AC126"/>
          <cell r="AD126">
            <v>0</v>
          </cell>
          <cell r="AE126">
            <v>0</v>
          </cell>
          <cell r="AF126">
            <v>0</v>
          </cell>
          <cell r="AG126">
            <v>0</v>
          </cell>
          <cell r="AH126">
            <v>0</v>
          </cell>
          <cell r="AI126">
            <v>0</v>
          </cell>
          <cell r="AJ126">
            <v>0</v>
          </cell>
          <cell r="AK126">
            <v>0</v>
          </cell>
          <cell r="AL126"/>
          <cell r="AM126">
            <v>0</v>
          </cell>
          <cell r="AN126">
            <v>0</v>
          </cell>
          <cell r="AO126">
            <v>0</v>
          </cell>
          <cell r="AP126">
            <v>0</v>
          </cell>
          <cell r="AQ126">
            <v>0</v>
          </cell>
          <cell r="AR126">
            <v>0</v>
          </cell>
          <cell r="AS126">
            <v>0</v>
          </cell>
          <cell r="AT126">
            <v>0</v>
          </cell>
          <cell r="AU126">
            <v>0</v>
          </cell>
          <cell r="AV126">
            <v>0</v>
          </cell>
          <cell r="AW126">
            <v>0</v>
          </cell>
          <cell r="AX126">
            <v>0</v>
          </cell>
          <cell r="AY126"/>
          <cell r="AZ126"/>
          <cell r="BA126">
            <v>0</v>
          </cell>
          <cell r="BB126"/>
          <cell r="BC126">
            <v>0</v>
          </cell>
          <cell r="BD126">
            <v>8495</v>
          </cell>
          <cell r="BE126"/>
          <cell r="BF126">
            <v>0</v>
          </cell>
          <cell r="BG126">
            <v>0</v>
          </cell>
          <cell r="BH126">
            <v>0</v>
          </cell>
          <cell r="BI126">
            <v>28260</v>
          </cell>
          <cell r="BJ126">
            <v>23262</v>
          </cell>
          <cell r="BK126">
            <v>23262</v>
          </cell>
          <cell r="BL126">
            <v>0</v>
          </cell>
          <cell r="BM126">
            <v>0</v>
          </cell>
          <cell r="BN126">
            <v>0</v>
          </cell>
          <cell r="BO126">
            <v>67613</v>
          </cell>
          <cell r="BP126">
            <v>-6325.6</v>
          </cell>
          <cell r="BQ126">
            <v>-11395.3488372093</v>
          </cell>
          <cell r="BR126">
            <v>0</v>
          </cell>
          <cell r="BS126">
            <v>0</v>
          </cell>
          <cell r="BT126">
            <v>47055</v>
          </cell>
          <cell r="BU126"/>
          <cell r="BV126"/>
          <cell r="BW126"/>
          <cell r="BX126"/>
          <cell r="BY126">
            <v>0</v>
          </cell>
          <cell r="BZ126">
            <v>0</v>
          </cell>
          <cell r="CA126">
            <v>0</v>
          </cell>
          <cell r="CB126">
            <v>0</v>
          </cell>
          <cell r="CC126">
            <v>2056525</v>
          </cell>
          <cell r="CD126">
            <v>13181923</v>
          </cell>
          <cell r="CE126">
            <v>4831502</v>
          </cell>
          <cell r="CF126">
            <v>-52202</v>
          </cell>
          <cell r="CG126">
            <v>4831502</v>
          </cell>
          <cell r="CH126">
            <v>4831502</v>
          </cell>
          <cell r="CI126">
            <v>4831502</v>
          </cell>
          <cell r="CJ126">
            <v>4831502</v>
          </cell>
          <cell r="CK126">
            <v>0</v>
          </cell>
          <cell r="CL126">
            <v>0</v>
          </cell>
          <cell r="CM126">
            <v>0</v>
          </cell>
          <cell r="CN126">
            <v>0</v>
          </cell>
          <cell r="CO126">
            <v>0</v>
          </cell>
          <cell r="CP126">
            <v>-702</v>
          </cell>
          <cell r="CQ126">
            <v>1862254</v>
          </cell>
          <cell r="CR126">
            <v>1810179</v>
          </cell>
          <cell r="CS126">
            <v>1785338</v>
          </cell>
          <cell r="CT126">
            <v>1749655</v>
          </cell>
          <cell r="CU126">
            <v>1736020</v>
          </cell>
          <cell r="CV126">
            <v>-37827</v>
          </cell>
          <cell r="CW126">
            <v>0</v>
          </cell>
          <cell r="CX126">
            <v>0</v>
          </cell>
          <cell r="CY126">
            <v>0</v>
          </cell>
          <cell r="CZ126">
            <v>0</v>
          </cell>
          <cell r="DA126">
            <v>0</v>
          </cell>
          <cell r="DB126"/>
          <cell r="DC126">
            <v>0</v>
          </cell>
          <cell r="DD126">
            <v>0</v>
          </cell>
          <cell r="DE126">
            <v>0</v>
          </cell>
          <cell r="DF126">
            <v>0</v>
          </cell>
          <cell r="DG126">
            <v>0</v>
          </cell>
          <cell r="DH126">
            <v>0</v>
          </cell>
          <cell r="DI126">
            <v>0</v>
          </cell>
          <cell r="DJ126">
            <v>0</v>
          </cell>
          <cell r="DK126">
            <v>0</v>
          </cell>
          <cell r="DL126">
            <v>0</v>
          </cell>
          <cell r="DM126"/>
          <cell r="DN126"/>
          <cell r="DO126"/>
          <cell r="DP126"/>
        </row>
        <row r="127">
          <cell r="A127">
            <v>289</v>
          </cell>
          <cell r="B127" t="str">
            <v>Wageningen</v>
          </cell>
          <cell r="C127">
            <v>5</v>
          </cell>
          <cell r="D127">
            <v>66724</v>
          </cell>
          <cell r="E127">
            <v>33362</v>
          </cell>
          <cell r="F127">
            <v>0</v>
          </cell>
          <cell r="G127">
            <v>0</v>
          </cell>
          <cell r="H127">
            <v>0</v>
          </cell>
          <cell r="I127">
            <v>0</v>
          </cell>
          <cell r="J127"/>
          <cell r="K127">
            <v>0</v>
          </cell>
          <cell r="L127">
            <v>127017</v>
          </cell>
          <cell r="M127">
            <v>135702</v>
          </cell>
          <cell r="N127">
            <v>0</v>
          </cell>
          <cell r="O127">
            <v>0</v>
          </cell>
          <cell r="P127">
            <v>0</v>
          </cell>
          <cell r="Q127">
            <v>0</v>
          </cell>
          <cell r="R127">
            <v>0</v>
          </cell>
          <cell r="S127">
            <v>0</v>
          </cell>
          <cell r="T127">
            <v>0</v>
          </cell>
          <cell r="U127">
            <v>0</v>
          </cell>
          <cell r="V127">
            <v>7750</v>
          </cell>
          <cell r="W127">
            <v>82229</v>
          </cell>
          <cell r="X127">
            <v>0</v>
          </cell>
          <cell r="Y127"/>
          <cell r="Z127">
            <v>0</v>
          </cell>
          <cell r="AA127">
            <v>0</v>
          </cell>
          <cell r="AB127">
            <v>0</v>
          </cell>
          <cell r="AC127"/>
          <cell r="AD127">
            <v>70401</v>
          </cell>
          <cell r="AE127">
            <v>0</v>
          </cell>
          <cell r="AF127">
            <v>0</v>
          </cell>
          <cell r="AG127">
            <v>0</v>
          </cell>
          <cell r="AH127">
            <v>0</v>
          </cell>
          <cell r="AI127">
            <v>0</v>
          </cell>
          <cell r="AJ127">
            <v>0</v>
          </cell>
          <cell r="AK127">
            <v>0</v>
          </cell>
          <cell r="AL127"/>
          <cell r="AM127">
            <v>0</v>
          </cell>
          <cell r="AN127">
            <v>0</v>
          </cell>
          <cell r="AO127">
            <v>0</v>
          </cell>
          <cell r="AP127">
            <v>0</v>
          </cell>
          <cell r="AQ127">
            <v>0</v>
          </cell>
          <cell r="AR127">
            <v>0</v>
          </cell>
          <cell r="AS127">
            <v>0</v>
          </cell>
          <cell r="AT127">
            <v>0</v>
          </cell>
          <cell r="AU127">
            <v>2370</v>
          </cell>
          <cell r="AV127">
            <v>0</v>
          </cell>
          <cell r="AW127">
            <v>0</v>
          </cell>
          <cell r="AX127">
            <v>0</v>
          </cell>
          <cell r="AY127"/>
          <cell r="AZ127"/>
          <cell r="BA127">
            <v>0</v>
          </cell>
          <cell r="BB127"/>
          <cell r="BC127">
            <v>0</v>
          </cell>
          <cell r="BD127">
            <v>13500</v>
          </cell>
          <cell r="BE127"/>
          <cell r="BF127">
            <v>0</v>
          </cell>
          <cell r="BG127">
            <v>0</v>
          </cell>
          <cell r="BH127">
            <v>0</v>
          </cell>
          <cell r="BI127">
            <v>52415</v>
          </cell>
          <cell r="BJ127">
            <v>43145</v>
          </cell>
          <cell r="BK127">
            <v>43145</v>
          </cell>
          <cell r="BL127">
            <v>0</v>
          </cell>
          <cell r="BM127">
            <v>0</v>
          </cell>
          <cell r="BN127">
            <v>0</v>
          </cell>
          <cell r="BO127">
            <v>23835</v>
          </cell>
          <cell r="BP127">
            <v>22139.599999999999</v>
          </cell>
          <cell r="BQ127">
            <v>39883.720930232601</v>
          </cell>
          <cell r="BR127">
            <v>0</v>
          </cell>
          <cell r="BS127">
            <v>0</v>
          </cell>
          <cell r="BT127">
            <v>52936</v>
          </cell>
          <cell r="BU127"/>
          <cell r="BV127"/>
          <cell r="BW127"/>
          <cell r="BX127"/>
          <cell r="BY127">
            <v>0</v>
          </cell>
          <cell r="BZ127">
            <v>0</v>
          </cell>
          <cell r="CA127">
            <v>0</v>
          </cell>
          <cell r="CB127">
            <v>0</v>
          </cell>
          <cell r="CC127">
            <v>2114332</v>
          </cell>
          <cell r="CD127">
            <v>13671985</v>
          </cell>
          <cell r="CE127">
            <v>625292</v>
          </cell>
          <cell r="CF127">
            <v>0</v>
          </cell>
          <cell r="CG127">
            <v>625292</v>
          </cell>
          <cell r="CH127">
            <v>625292</v>
          </cell>
          <cell r="CI127">
            <v>625292</v>
          </cell>
          <cell r="CJ127">
            <v>625292</v>
          </cell>
          <cell r="CK127">
            <v>0</v>
          </cell>
          <cell r="CL127">
            <v>0</v>
          </cell>
          <cell r="CM127">
            <v>0</v>
          </cell>
          <cell r="CN127">
            <v>0</v>
          </cell>
          <cell r="CO127">
            <v>0</v>
          </cell>
          <cell r="CP127">
            <v>0</v>
          </cell>
          <cell r="CQ127">
            <v>3630383</v>
          </cell>
          <cell r="CR127">
            <v>3434450</v>
          </cell>
          <cell r="CS127">
            <v>3357237</v>
          </cell>
          <cell r="CT127">
            <v>3281033</v>
          </cell>
          <cell r="CU127">
            <v>3189909</v>
          </cell>
          <cell r="CV127">
            <v>261308</v>
          </cell>
          <cell r="CW127">
            <v>0</v>
          </cell>
          <cell r="CX127">
            <v>0</v>
          </cell>
          <cell r="CY127">
            <v>0</v>
          </cell>
          <cell r="CZ127">
            <v>0</v>
          </cell>
          <cell r="DA127">
            <v>0</v>
          </cell>
          <cell r="DB127"/>
          <cell r="DC127">
            <v>0</v>
          </cell>
          <cell r="DD127">
            <v>0</v>
          </cell>
          <cell r="DE127">
            <v>0</v>
          </cell>
          <cell r="DF127">
            <v>0</v>
          </cell>
          <cell r="DG127">
            <v>0</v>
          </cell>
          <cell r="DH127">
            <v>0</v>
          </cell>
          <cell r="DI127">
            <v>0</v>
          </cell>
          <cell r="DJ127">
            <v>0</v>
          </cell>
          <cell r="DK127">
            <v>0</v>
          </cell>
          <cell r="DL127">
            <v>0</v>
          </cell>
          <cell r="DM127"/>
          <cell r="DN127"/>
          <cell r="DO127"/>
          <cell r="DP127"/>
        </row>
        <row r="128">
          <cell r="A128">
            <v>668</v>
          </cell>
          <cell r="B128" t="str">
            <v>West Maas en Waal</v>
          </cell>
          <cell r="C128">
            <v>5</v>
          </cell>
          <cell r="D128">
            <v>4138</v>
          </cell>
          <cell r="E128">
            <v>2069</v>
          </cell>
          <cell r="F128">
            <v>0</v>
          </cell>
          <cell r="G128">
            <v>0</v>
          </cell>
          <cell r="H128">
            <v>-26649</v>
          </cell>
          <cell r="I128">
            <v>-10884</v>
          </cell>
          <cell r="J128"/>
          <cell r="K128">
            <v>0</v>
          </cell>
          <cell r="L128">
            <v>55152</v>
          </cell>
          <cell r="M128">
            <v>53138</v>
          </cell>
          <cell r="N128">
            <v>0</v>
          </cell>
          <cell r="O128">
            <v>0</v>
          </cell>
          <cell r="P128">
            <v>0</v>
          </cell>
          <cell r="Q128">
            <v>0</v>
          </cell>
          <cell r="R128">
            <v>0</v>
          </cell>
          <cell r="S128">
            <v>0</v>
          </cell>
          <cell r="T128">
            <v>0</v>
          </cell>
          <cell r="U128">
            <v>0</v>
          </cell>
          <cell r="V128">
            <v>12000</v>
          </cell>
          <cell r="W128">
            <v>73475</v>
          </cell>
          <cell r="X128">
            <v>0</v>
          </cell>
          <cell r="Y128"/>
          <cell r="Z128">
            <v>0</v>
          </cell>
          <cell r="AA128">
            <v>0</v>
          </cell>
          <cell r="AB128">
            <v>0</v>
          </cell>
          <cell r="AC128"/>
          <cell r="AD128">
            <v>0</v>
          </cell>
          <cell r="AE128">
            <v>0</v>
          </cell>
          <cell r="AF128">
            <v>0</v>
          </cell>
          <cell r="AG128">
            <v>0</v>
          </cell>
          <cell r="AH128">
            <v>0</v>
          </cell>
          <cell r="AI128">
            <v>0</v>
          </cell>
          <cell r="AJ128">
            <v>0</v>
          </cell>
          <cell r="AK128">
            <v>0</v>
          </cell>
          <cell r="AL128"/>
          <cell r="AM128">
            <v>0</v>
          </cell>
          <cell r="AN128">
            <v>0</v>
          </cell>
          <cell r="AO128">
            <v>0</v>
          </cell>
          <cell r="AP128">
            <v>0</v>
          </cell>
          <cell r="AQ128">
            <v>0</v>
          </cell>
          <cell r="AR128">
            <v>0</v>
          </cell>
          <cell r="AS128">
            <v>0</v>
          </cell>
          <cell r="AT128">
            <v>0</v>
          </cell>
          <cell r="AU128">
            <v>0</v>
          </cell>
          <cell r="AV128">
            <v>0</v>
          </cell>
          <cell r="AW128">
            <v>0</v>
          </cell>
          <cell r="AX128">
            <v>0</v>
          </cell>
          <cell r="AY128"/>
          <cell r="AZ128"/>
          <cell r="BA128">
            <v>0</v>
          </cell>
          <cell r="BB128"/>
          <cell r="BC128">
            <v>0</v>
          </cell>
          <cell r="BD128">
            <v>6606</v>
          </cell>
          <cell r="BE128"/>
          <cell r="BF128">
            <v>0</v>
          </cell>
          <cell r="BG128">
            <v>0</v>
          </cell>
          <cell r="BH128">
            <v>0</v>
          </cell>
          <cell r="BI128">
            <v>26523</v>
          </cell>
          <cell r="BJ128">
            <v>21832</v>
          </cell>
          <cell r="BK128">
            <v>21832</v>
          </cell>
          <cell r="BL128">
            <v>0</v>
          </cell>
          <cell r="BM128">
            <v>0</v>
          </cell>
          <cell r="BN128">
            <v>0</v>
          </cell>
          <cell r="BO128">
            <v>140091</v>
          </cell>
          <cell r="BP128">
            <v>0</v>
          </cell>
          <cell r="BQ128">
            <v>0</v>
          </cell>
          <cell r="BR128">
            <v>0</v>
          </cell>
          <cell r="BS128">
            <v>0</v>
          </cell>
          <cell r="BT128">
            <v>35516</v>
          </cell>
          <cell r="BU128"/>
          <cell r="BV128"/>
          <cell r="BW128"/>
          <cell r="BX128"/>
          <cell r="BY128">
            <v>0</v>
          </cell>
          <cell r="BZ128">
            <v>0</v>
          </cell>
          <cell r="CA128">
            <v>0</v>
          </cell>
          <cell r="CB128">
            <v>0</v>
          </cell>
          <cell r="CC128">
            <v>1405374</v>
          </cell>
          <cell r="CD128">
            <v>6616963</v>
          </cell>
          <cell r="CE128">
            <v>567653</v>
          </cell>
          <cell r="CF128">
            <v>-4258</v>
          </cell>
          <cell r="CG128">
            <v>567653</v>
          </cell>
          <cell r="CH128">
            <v>567653</v>
          </cell>
          <cell r="CI128">
            <v>567653</v>
          </cell>
          <cell r="CJ128">
            <v>567653</v>
          </cell>
          <cell r="CK128">
            <v>0</v>
          </cell>
          <cell r="CL128">
            <v>0</v>
          </cell>
          <cell r="CM128">
            <v>0</v>
          </cell>
          <cell r="CN128">
            <v>0</v>
          </cell>
          <cell r="CO128">
            <v>0</v>
          </cell>
          <cell r="CP128">
            <v>-3264</v>
          </cell>
          <cell r="CQ128">
            <v>1243465</v>
          </cell>
          <cell r="CR128">
            <v>1178928</v>
          </cell>
          <cell r="CS128">
            <v>1114582</v>
          </cell>
          <cell r="CT128">
            <v>1061470</v>
          </cell>
          <cell r="CU128">
            <v>1047336</v>
          </cell>
          <cell r="CV128">
            <v>40003</v>
          </cell>
          <cell r="CW128">
            <v>0</v>
          </cell>
          <cell r="CX128">
            <v>0</v>
          </cell>
          <cell r="CY128">
            <v>0</v>
          </cell>
          <cell r="CZ128">
            <v>0</v>
          </cell>
          <cell r="DA128">
            <v>0</v>
          </cell>
          <cell r="DB128"/>
          <cell r="DC128">
            <v>0</v>
          </cell>
          <cell r="DD128">
            <v>0</v>
          </cell>
          <cell r="DE128">
            <v>0</v>
          </cell>
          <cell r="DF128">
            <v>0</v>
          </cell>
          <cell r="DG128">
            <v>0</v>
          </cell>
          <cell r="DH128">
            <v>0</v>
          </cell>
          <cell r="DI128">
            <v>0</v>
          </cell>
          <cell r="DJ128">
            <v>0</v>
          </cell>
          <cell r="DK128">
            <v>0</v>
          </cell>
          <cell r="DL128">
            <v>0</v>
          </cell>
          <cell r="DM128"/>
          <cell r="DN128"/>
          <cell r="DO128"/>
          <cell r="DP128"/>
        </row>
        <row r="129">
          <cell r="A129">
            <v>293</v>
          </cell>
          <cell r="B129" t="str">
            <v>Westervoort</v>
          </cell>
          <cell r="C129">
            <v>5</v>
          </cell>
          <cell r="D129">
            <v>6</v>
          </cell>
          <cell r="E129">
            <v>3</v>
          </cell>
          <cell r="F129">
            <v>0</v>
          </cell>
          <cell r="G129">
            <v>0</v>
          </cell>
          <cell r="H129">
            <v>-20628</v>
          </cell>
          <cell r="I129">
            <v>-8891</v>
          </cell>
          <cell r="J129"/>
          <cell r="K129">
            <v>0</v>
          </cell>
          <cell r="L129">
            <v>93591</v>
          </cell>
          <cell r="M129">
            <v>92658</v>
          </cell>
          <cell r="N129">
            <v>0</v>
          </cell>
          <cell r="O129">
            <v>0</v>
          </cell>
          <cell r="P129">
            <v>0</v>
          </cell>
          <cell r="Q129">
            <v>0</v>
          </cell>
          <cell r="R129">
            <v>0</v>
          </cell>
          <cell r="S129">
            <v>0</v>
          </cell>
          <cell r="T129">
            <v>0</v>
          </cell>
          <cell r="U129">
            <v>0</v>
          </cell>
          <cell r="V129">
            <v>0</v>
          </cell>
          <cell r="W129">
            <v>49701</v>
          </cell>
          <cell r="X129">
            <v>0</v>
          </cell>
          <cell r="Y129"/>
          <cell r="Z129">
            <v>0</v>
          </cell>
          <cell r="AA129">
            <v>0</v>
          </cell>
          <cell r="AB129">
            <v>0</v>
          </cell>
          <cell r="AC129"/>
          <cell r="AD129">
            <v>0</v>
          </cell>
          <cell r="AE129">
            <v>0</v>
          </cell>
          <cell r="AF129">
            <v>0</v>
          </cell>
          <cell r="AG129">
            <v>0</v>
          </cell>
          <cell r="AH129">
            <v>0</v>
          </cell>
          <cell r="AI129">
            <v>0</v>
          </cell>
          <cell r="AJ129">
            <v>0</v>
          </cell>
          <cell r="AK129">
            <v>0</v>
          </cell>
          <cell r="AL129"/>
          <cell r="AM129">
            <v>0</v>
          </cell>
          <cell r="AN129">
            <v>0</v>
          </cell>
          <cell r="AO129">
            <v>0</v>
          </cell>
          <cell r="AP129">
            <v>0</v>
          </cell>
          <cell r="AQ129">
            <v>0</v>
          </cell>
          <cell r="AR129">
            <v>0</v>
          </cell>
          <cell r="AS129">
            <v>0</v>
          </cell>
          <cell r="AT129">
            <v>0</v>
          </cell>
          <cell r="AU129">
            <v>0</v>
          </cell>
          <cell r="AV129">
            <v>0</v>
          </cell>
          <cell r="AW129">
            <v>0</v>
          </cell>
          <cell r="AX129">
            <v>0</v>
          </cell>
          <cell r="AY129"/>
          <cell r="AZ129"/>
          <cell r="BA129">
            <v>0</v>
          </cell>
          <cell r="BB129"/>
          <cell r="BC129">
            <v>0</v>
          </cell>
          <cell r="BD129">
            <v>5262</v>
          </cell>
          <cell r="BE129"/>
          <cell r="BF129">
            <v>0</v>
          </cell>
          <cell r="BG129">
            <v>0</v>
          </cell>
          <cell r="BH129">
            <v>0</v>
          </cell>
          <cell r="BI129">
            <v>23370</v>
          </cell>
          <cell r="BJ129">
            <v>19237</v>
          </cell>
          <cell r="BK129">
            <v>19237</v>
          </cell>
          <cell r="BL129">
            <v>0</v>
          </cell>
          <cell r="BM129">
            <v>0</v>
          </cell>
          <cell r="BN129">
            <v>0</v>
          </cell>
          <cell r="BO129">
            <v>44265</v>
          </cell>
          <cell r="BP129">
            <v>18976.8</v>
          </cell>
          <cell r="BQ129">
            <v>34186.046511627901</v>
          </cell>
          <cell r="BR129">
            <v>0</v>
          </cell>
          <cell r="BS129">
            <v>0</v>
          </cell>
          <cell r="BT129">
            <v>24716</v>
          </cell>
          <cell r="BU129"/>
          <cell r="BV129"/>
          <cell r="BW129"/>
          <cell r="BX129"/>
          <cell r="BY129">
            <v>0</v>
          </cell>
          <cell r="BZ129">
            <v>0</v>
          </cell>
          <cell r="CA129">
            <v>0</v>
          </cell>
          <cell r="CB129">
            <v>0</v>
          </cell>
          <cell r="CC129">
            <v>1132617</v>
          </cell>
          <cell r="CD129">
            <v>9256754</v>
          </cell>
          <cell r="CE129">
            <v>474132</v>
          </cell>
          <cell r="CF129">
            <v>-5250</v>
          </cell>
          <cell r="CG129">
            <v>474132</v>
          </cell>
          <cell r="CH129">
            <v>474132</v>
          </cell>
          <cell r="CI129">
            <v>474132</v>
          </cell>
          <cell r="CJ129">
            <v>474132</v>
          </cell>
          <cell r="CK129">
            <v>0</v>
          </cell>
          <cell r="CL129">
            <v>0</v>
          </cell>
          <cell r="CM129">
            <v>0</v>
          </cell>
          <cell r="CN129">
            <v>0</v>
          </cell>
          <cell r="CO129">
            <v>0</v>
          </cell>
          <cell r="CP129">
            <v>-2459</v>
          </cell>
          <cell r="CQ129">
            <v>2389924</v>
          </cell>
          <cell r="CR129">
            <v>2313757</v>
          </cell>
          <cell r="CS129">
            <v>2287447</v>
          </cell>
          <cell r="CT129">
            <v>2250401</v>
          </cell>
          <cell r="CU129">
            <v>2212268</v>
          </cell>
          <cell r="CV129">
            <v>-29403</v>
          </cell>
          <cell r="CW129">
            <v>0</v>
          </cell>
          <cell r="CX129">
            <v>0</v>
          </cell>
          <cell r="CY129">
            <v>0</v>
          </cell>
          <cell r="CZ129">
            <v>0</v>
          </cell>
          <cell r="DA129">
            <v>0</v>
          </cell>
          <cell r="DB129"/>
          <cell r="DC129">
            <v>0</v>
          </cell>
          <cell r="DD129">
            <v>0</v>
          </cell>
          <cell r="DE129">
            <v>0</v>
          </cell>
          <cell r="DF129">
            <v>0</v>
          </cell>
          <cell r="DG129">
            <v>0</v>
          </cell>
          <cell r="DH129">
            <v>0</v>
          </cell>
          <cell r="DI129">
            <v>0</v>
          </cell>
          <cell r="DJ129">
            <v>0</v>
          </cell>
          <cell r="DK129">
            <v>0</v>
          </cell>
          <cell r="DL129">
            <v>0</v>
          </cell>
          <cell r="DM129"/>
          <cell r="DN129"/>
          <cell r="DO129"/>
          <cell r="DP129"/>
        </row>
        <row r="130">
          <cell r="A130">
            <v>296</v>
          </cell>
          <cell r="B130" t="str">
            <v>Wijchen</v>
          </cell>
          <cell r="C130">
            <v>5</v>
          </cell>
          <cell r="D130">
            <v>-9448</v>
          </cell>
          <cell r="E130">
            <v>-4724</v>
          </cell>
          <cell r="F130">
            <v>0</v>
          </cell>
          <cell r="G130">
            <v>0</v>
          </cell>
          <cell r="H130">
            <v>-29657</v>
          </cell>
          <cell r="I130">
            <v>-13369</v>
          </cell>
          <cell r="J130"/>
          <cell r="K130">
            <v>0</v>
          </cell>
          <cell r="L130">
            <v>160661</v>
          </cell>
          <cell r="M130">
            <v>151772</v>
          </cell>
          <cell r="N130">
            <v>0</v>
          </cell>
          <cell r="O130">
            <v>0</v>
          </cell>
          <cell r="P130">
            <v>0</v>
          </cell>
          <cell r="Q130">
            <v>0</v>
          </cell>
          <cell r="R130">
            <v>0</v>
          </cell>
          <cell r="S130">
            <v>0</v>
          </cell>
          <cell r="T130">
            <v>0</v>
          </cell>
          <cell r="U130">
            <v>0</v>
          </cell>
          <cell r="V130">
            <v>0</v>
          </cell>
          <cell r="W130">
            <v>169498</v>
          </cell>
          <cell r="X130">
            <v>0</v>
          </cell>
          <cell r="Y130"/>
          <cell r="Z130">
            <v>0</v>
          </cell>
          <cell r="AA130">
            <v>0</v>
          </cell>
          <cell r="AB130">
            <v>0</v>
          </cell>
          <cell r="AC130"/>
          <cell r="AD130">
            <v>0</v>
          </cell>
          <cell r="AE130">
            <v>0</v>
          </cell>
          <cell r="AF130">
            <v>0</v>
          </cell>
          <cell r="AG130">
            <v>0</v>
          </cell>
          <cell r="AH130">
            <v>0</v>
          </cell>
          <cell r="AI130">
            <v>0</v>
          </cell>
          <cell r="AJ130">
            <v>0</v>
          </cell>
          <cell r="AK130">
            <v>0</v>
          </cell>
          <cell r="AL130"/>
          <cell r="AM130">
            <v>0</v>
          </cell>
          <cell r="AN130">
            <v>0</v>
          </cell>
          <cell r="AO130">
            <v>0</v>
          </cell>
          <cell r="AP130">
            <v>0</v>
          </cell>
          <cell r="AQ130">
            <v>0</v>
          </cell>
          <cell r="AR130">
            <v>0</v>
          </cell>
          <cell r="AS130">
            <v>0</v>
          </cell>
          <cell r="AT130">
            <v>0</v>
          </cell>
          <cell r="AU130">
            <v>7110</v>
          </cell>
          <cell r="AV130">
            <v>0</v>
          </cell>
          <cell r="AW130">
            <v>0</v>
          </cell>
          <cell r="AX130">
            <v>0</v>
          </cell>
          <cell r="AY130"/>
          <cell r="AZ130"/>
          <cell r="BA130">
            <v>0</v>
          </cell>
          <cell r="BB130"/>
          <cell r="BC130">
            <v>0</v>
          </cell>
          <cell r="BD130">
            <v>14349</v>
          </cell>
          <cell r="BE130"/>
          <cell r="BF130">
            <v>0</v>
          </cell>
          <cell r="BG130">
            <v>0</v>
          </cell>
          <cell r="BH130">
            <v>0</v>
          </cell>
          <cell r="BI130">
            <v>55618</v>
          </cell>
          <cell r="BJ130">
            <v>45782</v>
          </cell>
          <cell r="BK130">
            <v>45782</v>
          </cell>
          <cell r="BL130">
            <v>0</v>
          </cell>
          <cell r="BM130">
            <v>0</v>
          </cell>
          <cell r="BN130">
            <v>0</v>
          </cell>
          <cell r="BO130">
            <v>145928</v>
          </cell>
          <cell r="BP130">
            <v>11069.8</v>
          </cell>
          <cell r="BQ130">
            <v>19941.8604651163</v>
          </cell>
          <cell r="BR130">
            <v>0</v>
          </cell>
          <cell r="BS130">
            <v>0</v>
          </cell>
          <cell r="BT130">
            <v>68037</v>
          </cell>
          <cell r="BU130"/>
          <cell r="BV130"/>
          <cell r="BW130"/>
          <cell r="BX130"/>
          <cell r="BY130">
            <v>0</v>
          </cell>
          <cell r="BZ130">
            <v>0</v>
          </cell>
          <cell r="CA130">
            <v>0</v>
          </cell>
          <cell r="CB130">
            <v>0</v>
          </cell>
          <cell r="CC130">
            <v>3003033</v>
          </cell>
          <cell r="CD130">
            <v>18311080</v>
          </cell>
          <cell r="CE130">
            <v>618396</v>
          </cell>
          <cell r="CF130">
            <v>0</v>
          </cell>
          <cell r="CG130">
            <v>618396</v>
          </cell>
          <cell r="CH130">
            <v>618396</v>
          </cell>
          <cell r="CI130">
            <v>618396</v>
          </cell>
          <cell r="CJ130">
            <v>618396</v>
          </cell>
          <cell r="CK130">
            <v>0</v>
          </cell>
          <cell r="CL130">
            <v>0</v>
          </cell>
          <cell r="CM130">
            <v>0</v>
          </cell>
          <cell r="CN130">
            <v>0</v>
          </cell>
          <cell r="CO130">
            <v>0</v>
          </cell>
          <cell r="CP130">
            <v>-4848</v>
          </cell>
          <cell r="CQ130">
            <v>4537535</v>
          </cell>
          <cell r="CR130">
            <v>4221686</v>
          </cell>
          <cell r="CS130">
            <v>4121490</v>
          </cell>
          <cell r="CT130">
            <v>3997361</v>
          </cell>
          <cell r="CU130">
            <v>3868469</v>
          </cell>
          <cell r="CV130">
            <v>39919</v>
          </cell>
          <cell r="CW130">
            <v>0</v>
          </cell>
          <cell r="CX130">
            <v>0</v>
          </cell>
          <cell r="CY130">
            <v>0</v>
          </cell>
          <cell r="CZ130">
            <v>0</v>
          </cell>
          <cell r="DA130">
            <v>0</v>
          </cell>
          <cell r="DB130"/>
          <cell r="DC130">
            <v>0</v>
          </cell>
          <cell r="DD130">
            <v>0</v>
          </cell>
          <cell r="DE130">
            <v>0</v>
          </cell>
          <cell r="DF130">
            <v>0</v>
          </cell>
          <cell r="DG130">
            <v>0</v>
          </cell>
          <cell r="DH130">
            <v>0</v>
          </cell>
          <cell r="DI130">
            <v>0</v>
          </cell>
          <cell r="DJ130">
            <v>0</v>
          </cell>
          <cell r="DK130">
            <v>0</v>
          </cell>
          <cell r="DL130">
            <v>0</v>
          </cell>
          <cell r="DM130"/>
          <cell r="DN130"/>
          <cell r="DO130"/>
          <cell r="DP130"/>
        </row>
        <row r="131">
          <cell r="A131">
            <v>294</v>
          </cell>
          <cell r="B131" t="str">
            <v>Winterswijk</v>
          </cell>
          <cell r="C131">
            <v>5</v>
          </cell>
          <cell r="D131">
            <v>-10937</v>
          </cell>
          <cell r="E131">
            <v>-5468</v>
          </cell>
          <cell r="F131">
            <v>0</v>
          </cell>
          <cell r="G131">
            <v>0</v>
          </cell>
          <cell r="H131">
            <v>-28591</v>
          </cell>
          <cell r="I131">
            <v>-27708</v>
          </cell>
          <cell r="J131"/>
          <cell r="K131">
            <v>0</v>
          </cell>
          <cell r="L131">
            <v>129245</v>
          </cell>
          <cell r="M131">
            <v>129321</v>
          </cell>
          <cell r="N131">
            <v>0</v>
          </cell>
          <cell r="O131">
            <v>0</v>
          </cell>
          <cell r="P131">
            <v>0</v>
          </cell>
          <cell r="Q131">
            <v>0</v>
          </cell>
          <cell r="R131">
            <v>0</v>
          </cell>
          <cell r="S131">
            <v>0</v>
          </cell>
          <cell r="T131">
            <v>0</v>
          </cell>
          <cell r="U131">
            <v>0</v>
          </cell>
          <cell r="V131">
            <v>6000</v>
          </cell>
          <cell r="W131">
            <v>105261</v>
          </cell>
          <cell r="X131">
            <v>0</v>
          </cell>
          <cell r="Y131"/>
          <cell r="Z131">
            <v>0</v>
          </cell>
          <cell r="AA131">
            <v>0</v>
          </cell>
          <cell r="AB131">
            <v>0</v>
          </cell>
          <cell r="AC131"/>
          <cell r="AD131">
            <v>85068</v>
          </cell>
          <cell r="AE131">
            <v>0</v>
          </cell>
          <cell r="AF131">
            <v>0</v>
          </cell>
          <cell r="AG131">
            <v>0</v>
          </cell>
          <cell r="AH131">
            <v>0</v>
          </cell>
          <cell r="AI131">
            <v>0</v>
          </cell>
          <cell r="AJ131">
            <v>0</v>
          </cell>
          <cell r="AK131">
            <v>0</v>
          </cell>
          <cell r="AL131"/>
          <cell r="AM131">
            <v>0</v>
          </cell>
          <cell r="AN131">
            <v>0</v>
          </cell>
          <cell r="AO131">
            <v>0</v>
          </cell>
          <cell r="AP131">
            <v>0</v>
          </cell>
          <cell r="AQ131">
            <v>0</v>
          </cell>
          <cell r="AR131">
            <v>0</v>
          </cell>
          <cell r="AS131">
            <v>0</v>
          </cell>
          <cell r="AT131">
            <v>0</v>
          </cell>
          <cell r="AU131">
            <v>11850</v>
          </cell>
          <cell r="AV131">
            <v>0</v>
          </cell>
          <cell r="AW131">
            <v>0</v>
          </cell>
          <cell r="AX131">
            <v>0</v>
          </cell>
          <cell r="AY131"/>
          <cell r="AZ131"/>
          <cell r="BA131">
            <v>0</v>
          </cell>
          <cell r="BB131"/>
          <cell r="BC131">
            <v>0</v>
          </cell>
          <cell r="BD131">
            <v>10149</v>
          </cell>
          <cell r="BE131"/>
          <cell r="BF131">
            <v>0</v>
          </cell>
          <cell r="BG131">
            <v>0</v>
          </cell>
          <cell r="BH131">
            <v>0</v>
          </cell>
          <cell r="BI131">
            <v>52439</v>
          </cell>
          <cell r="BJ131">
            <v>43165</v>
          </cell>
          <cell r="BK131">
            <v>43165</v>
          </cell>
          <cell r="BL131">
            <v>0</v>
          </cell>
          <cell r="BM131">
            <v>0</v>
          </cell>
          <cell r="BN131">
            <v>0</v>
          </cell>
          <cell r="BO131">
            <v>230567</v>
          </cell>
          <cell r="BP131">
            <v>0</v>
          </cell>
          <cell r="BQ131">
            <v>0</v>
          </cell>
          <cell r="BR131">
            <v>0</v>
          </cell>
          <cell r="BS131">
            <v>0</v>
          </cell>
          <cell r="BT131">
            <v>51310</v>
          </cell>
          <cell r="BU131"/>
          <cell r="BV131"/>
          <cell r="BW131"/>
          <cell r="BX131"/>
          <cell r="BY131">
            <v>0</v>
          </cell>
          <cell r="BZ131">
            <v>0</v>
          </cell>
          <cell r="CA131">
            <v>0</v>
          </cell>
          <cell r="CB131">
            <v>0</v>
          </cell>
          <cell r="CC131">
            <v>2692047</v>
          </cell>
          <cell r="CD131">
            <v>18015202</v>
          </cell>
          <cell r="CE131">
            <v>335122</v>
          </cell>
          <cell r="CF131">
            <v>-66773</v>
          </cell>
          <cell r="CG131">
            <v>335122</v>
          </cell>
          <cell r="CH131">
            <v>335122</v>
          </cell>
          <cell r="CI131">
            <v>335122</v>
          </cell>
          <cell r="CJ131">
            <v>335122</v>
          </cell>
          <cell r="CK131">
            <v>0</v>
          </cell>
          <cell r="CL131">
            <v>0</v>
          </cell>
          <cell r="CM131">
            <v>0</v>
          </cell>
          <cell r="CN131">
            <v>0</v>
          </cell>
          <cell r="CO131">
            <v>0</v>
          </cell>
          <cell r="CP131">
            <v>0</v>
          </cell>
          <cell r="CQ131">
            <v>6386587</v>
          </cell>
          <cell r="CR131">
            <v>6145230</v>
          </cell>
          <cell r="CS131">
            <v>6021445</v>
          </cell>
          <cell r="CT131">
            <v>5805545</v>
          </cell>
          <cell r="CU131">
            <v>5554004</v>
          </cell>
          <cell r="CV131">
            <v>115338</v>
          </cell>
          <cell r="CW131">
            <v>0</v>
          </cell>
          <cell r="CX131">
            <v>0</v>
          </cell>
          <cell r="CY131">
            <v>0</v>
          </cell>
          <cell r="CZ131">
            <v>0</v>
          </cell>
          <cell r="DA131">
            <v>0</v>
          </cell>
          <cell r="DB131"/>
          <cell r="DC131">
            <v>0</v>
          </cell>
          <cell r="DD131">
            <v>0</v>
          </cell>
          <cell r="DE131">
            <v>0</v>
          </cell>
          <cell r="DF131">
            <v>0</v>
          </cell>
          <cell r="DG131">
            <v>0</v>
          </cell>
          <cell r="DH131">
            <v>0</v>
          </cell>
          <cell r="DI131">
            <v>0</v>
          </cell>
          <cell r="DJ131">
            <v>0</v>
          </cell>
          <cell r="DK131">
            <v>0</v>
          </cell>
          <cell r="DL131">
            <v>0</v>
          </cell>
          <cell r="DM131"/>
          <cell r="DN131"/>
          <cell r="DO131"/>
          <cell r="DP131"/>
        </row>
        <row r="132">
          <cell r="A132">
            <v>297</v>
          </cell>
          <cell r="B132" t="str">
            <v>Zaltbommel</v>
          </cell>
          <cell r="C132">
            <v>5</v>
          </cell>
          <cell r="D132">
            <v>-3426</v>
          </cell>
          <cell r="E132">
            <v>-1713</v>
          </cell>
          <cell r="F132">
            <v>0</v>
          </cell>
          <cell r="G132">
            <v>8958</v>
          </cell>
          <cell r="H132">
            <v>-55308</v>
          </cell>
          <cell r="I132">
            <v>-37636</v>
          </cell>
          <cell r="J132"/>
          <cell r="K132">
            <v>0</v>
          </cell>
          <cell r="L132">
            <v>96994</v>
          </cell>
          <cell r="M132">
            <v>95943</v>
          </cell>
          <cell r="N132">
            <v>0</v>
          </cell>
          <cell r="O132">
            <v>0</v>
          </cell>
          <cell r="P132">
            <v>0</v>
          </cell>
          <cell r="Q132">
            <v>0</v>
          </cell>
          <cell r="R132">
            <v>0</v>
          </cell>
          <cell r="S132">
            <v>0</v>
          </cell>
          <cell r="T132">
            <v>0</v>
          </cell>
          <cell r="U132">
            <v>0</v>
          </cell>
          <cell r="V132">
            <v>6000</v>
          </cell>
          <cell r="W132">
            <v>110312</v>
          </cell>
          <cell r="X132">
            <v>0</v>
          </cell>
          <cell r="Y132"/>
          <cell r="Z132">
            <v>0</v>
          </cell>
          <cell r="AA132">
            <v>0</v>
          </cell>
          <cell r="AB132">
            <v>0</v>
          </cell>
          <cell r="AC132"/>
          <cell r="AD132">
            <v>0</v>
          </cell>
          <cell r="AE132">
            <v>0</v>
          </cell>
          <cell r="AF132">
            <v>0</v>
          </cell>
          <cell r="AG132">
            <v>0</v>
          </cell>
          <cell r="AH132">
            <v>0</v>
          </cell>
          <cell r="AI132">
            <v>0</v>
          </cell>
          <cell r="AJ132">
            <v>0</v>
          </cell>
          <cell r="AK132">
            <v>0</v>
          </cell>
          <cell r="AL132"/>
          <cell r="AM132">
            <v>0</v>
          </cell>
          <cell r="AN132">
            <v>0</v>
          </cell>
          <cell r="AO132">
            <v>0</v>
          </cell>
          <cell r="AP132">
            <v>0</v>
          </cell>
          <cell r="AQ132">
            <v>0</v>
          </cell>
          <cell r="AR132">
            <v>0</v>
          </cell>
          <cell r="AS132">
            <v>0</v>
          </cell>
          <cell r="AT132">
            <v>0</v>
          </cell>
          <cell r="AU132">
            <v>0</v>
          </cell>
          <cell r="AV132">
            <v>0</v>
          </cell>
          <cell r="AW132">
            <v>0</v>
          </cell>
          <cell r="AX132">
            <v>0</v>
          </cell>
          <cell r="AY132"/>
          <cell r="AZ132"/>
          <cell r="BA132">
            <v>0</v>
          </cell>
          <cell r="BB132"/>
          <cell r="BC132">
            <v>0</v>
          </cell>
          <cell r="BD132">
            <v>9734</v>
          </cell>
          <cell r="BE132"/>
          <cell r="BF132">
            <v>0</v>
          </cell>
          <cell r="BG132">
            <v>0</v>
          </cell>
          <cell r="BH132">
            <v>0</v>
          </cell>
          <cell r="BI132">
            <v>30078</v>
          </cell>
          <cell r="BJ132">
            <v>24759</v>
          </cell>
          <cell r="BK132">
            <v>24759</v>
          </cell>
          <cell r="BL132">
            <v>0</v>
          </cell>
          <cell r="BM132">
            <v>0</v>
          </cell>
          <cell r="BN132">
            <v>0</v>
          </cell>
          <cell r="BO132">
            <v>220352</v>
          </cell>
          <cell r="BP132">
            <v>-4744.2</v>
          </cell>
          <cell r="BQ132">
            <v>-8546.5116279069807</v>
          </cell>
          <cell r="BR132">
            <v>0</v>
          </cell>
          <cell r="BS132">
            <v>0</v>
          </cell>
          <cell r="BT132">
            <v>52481</v>
          </cell>
          <cell r="BU132"/>
          <cell r="BV132"/>
          <cell r="BW132"/>
          <cell r="BX132"/>
          <cell r="BY132">
            <v>0</v>
          </cell>
          <cell r="BZ132">
            <v>0</v>
          </cell>
          <cell r="CA132">
            <v>0</v>
          </cell>
          <cell r="CB132">
            <v>0</v>
          </cell>
          <cell r="CC132">
            <v>1738510</v>
          </cell>
          <cell r="CD132">
            <v>12092450</v>
          </cell>
          <cell r="CE132">
            <v>847833</v>
          </cell>
          <cell r="CF132">
            <v>-76985</v>
          </cell>
          <cell r="CG132">
            <v>847833</v>
          </cell>
          <cell r="CH132">
            <v>847833</v>
          </cell>
          <cell r="CI132">
            <v>847833</v>
          </cell>
          <cell r="CJ132">
            <v>847833</v>
          </cell>
          <cell r="CK132">
            <v>0</v>
          </cell>
          <cell r="CL132">
            <v>0</v>
          </cell>
          <cell r="CM132">
            <v>0</v>
          </cell>
          <cell r="CN132">
            <v>0</v>
          </cell>
          <cell r="CO132">
            <v>0</v>
          </cell>
          <cell r="CP132">
            <v>-2007</v>
          </cell>
          <cell r="CQ132">
            <v>3130630</v>
          </cell>
          <cell r="CR132">
            <v>2989865</v>
          </cell>
          <cell r="CS132">
            <v>2891439</v>
          </cell>
          <cell r="CT132">
            <v>2818154</v>
          </cell>
          <cell r="CU132">
            <v>2719678</v>
          </cell>
          <cell r="CV132">
            <v>-42369</v>
          </cell>
          <cell r="CW132">
            <v>0</v>
          </cell>
          <cell r="CX132">
            <v>0</v>
          </cell>
          <cell r="CY132">
            <v>0</v>
          </cell>
          <cell r="CZ132">
            <v>0</v>
          </cell>
          <cell r="DA132">
            <v>0</v>
          </cell>
          <cell r="DB132"/>
          <cell r="DC132">
            <v>0</v>
          </cell>
          <cell r="DD132">
            <v>0</v>
          </cell>
          <cell r="DE132">
            <v>0</v>
          </cell>
          <cell r="DF132">
            <v>0</v>
          </cell>
          <cell r="DG132">
            <v>0</v>
          </cell>
          <cell r="DH132">
            <v>0</v>
          </cell>
          <cell r="DI132">
            <v>0</v>
          </cell>
          <cell r="DJ132">
            <v>0</v>
          </cell>
          <cell r="DK132">
            <v>0</v>
          </cell>
          <cell r="DL132">
            <v>0</v>
          </cell>
          <cell r="DM132"/>
          <cell r="DN132"/>
          <cell r="DO132"/>
          <cell r="DP132"/>
        </row>
        <row r="133">
          <cell r="A133">
            <v>299</v>
          </cell>
          <cell r="B133" t="str">
            <v>Zevenaar</v>
          </cell>
          <cell r="C133">
            <v>5</v>
          </cell>
          <cell r="D133">
            <v>-24110</v>
          </cell>
          <cell r="E133">
            <v>-12054</v>
          </cell>
          <cell r="F133">
            <v>0</v>
          </cell>
          <cell r="G133">
            <v>0</v>
          </cell>
          <cell r="H133">
            <v>-14096</v>
          </cell>
          <cell r="I133">
            <v>-3130</v>
          </cell>
          <cell r="J133"/>
          <cell r="K133">
            <v>0</v>
          </cell>
          <cell r="L133">
            <v>189133</v>
          </cell>
          <cell r="M133">
            <v>176912</v>
          </cell>
          <cell r="N133">
            <v>0</v>
          </cell>
          <cell r="O133">
            <v>0</v>
          </cell>
          <cell r="P133">
            <v>0</v>
          </cell>
          <cell r="Q133">
            <v>0</v>
          </cell>
          <cell r="R133">
            <v>0</v>
          </cell>
          <cell r="S133">
            <v>0</v>
          </cell>
          <cell r="T133">
            <v>0</v>
          </cell>
          <cell r="U133">
            <v>0</v>
          </cell>
          <cell r="V133">
            <v>0</v>
          </cell>
          <cell r="W133">
            <v>163472</v>
          </cell>
          <cell r="X133">
            <v>0</v>
          </cell>
          <cell r="Y133"/>
          <cell r="Z133">
            <v>0</v>
          </cell>
          <cell r="AA133">
            <v>0</v>
          </cell>
          <cell r="AB133">
            <v>0</v>
          </cell>
          <cell r="AC133"/>
          <cell r="AD133">
            <v>0</v>
          </cell>
          <cell r="AE133">
            <v>0</v>
          </cell>
          <cell r="AF133">
            <v>0</v>
          </cell>
          <cell r="AG133">
            <v>0</v>
          </cell>
          <cell r="AH133">
            <v>0</v>
          </cell>
          <cell r="AI133">
            <v>0</v>
          </cell>
          <cell r="AJ133">
            <v>0</v>
          </cell>
          <cell r="AK133">
            <v>0</v>
          </cell>
          <cell r="AL133"/>
          <cell r="AM133">
            <v>0</v>
          </cell>
          <cell r="AN133">
            <v>0</v>
          </cell>
          <cell r="AO133">
            <v>0</v>
          </cell>
          <cell r="AP133">
            <v>0</v>
          </cell>
          <cell r="AQ133">
            <v>0</v>
          </cell>
          <cell r="AR133">
            <v>0</v>
          </cell>
          <cell r="AS133">
            <v>0</v>
          </cell>
          <cell r="AT133">
            <v>0</v>
          </cell>
          <cell r="AU133">
            <v>0</v>
          </cell>
          <cell r="AV133">
            <v>0</v>
          </cell>
          <cell r="AW133">
            <v>0</v>
          </cell>
          <cell r="AX133">
            <v>0</v>
          </cell>
          <cell r="AY133"/>
          <cell r="AZ133"/>
          <cell r="BA133">
            <v>0</v>
          </cell>
          <cell r="BB133"/>
          <cell r="BC133">
            <v>0</v>
          </cell>
          <cell r="BD133">
            <v>75846</v>
          </cell>
          <cell r="BE133"/>
          <cell r="BF133">
            <v>0</v>
          </cell>
          <cell r="BG133">
            <v>0</v>
          </cell>
          <cell r="BH133">
            <v>0</v>
          </cell>
          <cell r="BI133">
            <v>72013</v>
          </cell>
          <cell r="BJ133">
            <v>59277</v>
          </cell>
          <cell r="BK133">
            <v>59277</v>
          </cell>
          <cell r="BL133">
            <v>0</v>
          </cell>
          <cell r="BM133">
            <v>0</v>
          </cell>
          <cell r="BN133">
            <v>0</v>
          </cell>
          <cell r="BO133">
            <v>133767</v>
          </cell>
          <cell r="BP133">
            <v>79070</v>
          </cell>
          <cell r="BQ133">
            <v>142441.86046511601</v>
          </cell>
          <cell r="BR133">
            <v>0</v>
          </cell>
          <cell r="BS133">
            <v>0</v>
          </cell>
          <cell r="BT133">
            <v>74448</v>
          </cell>
          <cell r="BU133"/>
          <cell r="BV133"/>
          <cell r="BW133"/>
          <cell r="BX133"/>
          <cell r="BY133">
            <v>0</v>
          </cell>
          <cell r="BZ133">
            <v>0</v>
          </cell>
          <cell r="CA133">
            <v>0</v>
          </cell>
          <cell r="CB133">
            <v>0</v>
          </cell>
          <cell r="CC133">
            <v>3948348</v>
          </cell>
          <cell r="CD133">
            <v>21545508</v>
          </cell>
          <cell r="CE133">
            <v>1256137</v>
          </cell>
          <cell r="CF133">
            <v>-7572</v>
          </cell>
          <cell r="CG133">
            <v>1256137</v>
          </cell>
          <cell r="CH133">
            <v>1256137</v>
          </cell>
          <cell r="CI133">
            <v>1256137</v>
          </cell>
          <cell r="CJ133">
            <v>1256137</v>
          </cell>
          <cell r="CK133">
            <v>0</v>
          </cell>
          <cell r="CL133">
            <v>0</v>
          </cell>
          <cell r="CM133">
            <v>0</v>
          </cell>
          <cell r="CN133">
            <v>0</v>
          </cell>
          <cell r="CO133">
            <v>0</v>
          </cell>
          <cell r="CP133">
            <v>0</v>
          </cell>
          <cell r="CQ133">
            <v>4699489</v>
          </cell>
          <cell r="CR133">
            <v>4444220</v>
          </cell>
          <cell r="CS133">
            <v>4367579</v>
          </cell>
          <cell r="CT133">
            <v>4259233</v>
          </cell>
          <cell r="CU133">
            <v>4192426</v>
          </cell>
          <cell r="CV133">
            <v>50659</v>
          </cell>
          <cell r="CW133">
            <v>0</v>
          </cell>
          <cell r="CX133">
            <v>0</v>
          </cell>
          <cell r="CY133">
            <v>0</v>
          </cell>
          <cell r="CZ133">
            <v>0</v>
          </cell>
          <cell r="DA133">
            <v>0</v>
          </cell>
          <cell r="DB133"/>
          <cell r="DC133">
            <v>0</v>
          </cell>
          <cell r="DD133">
            <v>0</v>
          </cell>
          <cell r="DE133">
            <v>0</v>
          </cell>
          <cell r="DF133">
            <v>0</v>
          </cell>
          <cell r="DG133">
            <v>0</v>
          </cell>
          <cell r="DH133">
            <v>0</v>
          </cell>
          <cell r="DI133">
            <v>0</v>
          </cell>
          <cell r="DJ133">
            <v>0</v>
          </cell>
          <cell r="DK133">
            <v>0</v>
          </cell>
          <cell r="DL133">
            <v>0</v>
          </cell>
          <cell r="DM133"/>
          <cell r="DN133"/>
          <cell r="DO133"/>
          <cell r="DP133"/>
        </row>
        <row r="134">
          <cell r="A134">
            <v>301</v>
          </cell>
          <cell r="B134" t="str">
            <v>Zutphen</v>
          </cell>
          <cell r="C134">
            <v>5</v>
          </cell>
          <cell r="D134">
            <v>-36157</v>
          </cell>
          <cell r="E134">
            <v>-18079</v>
          </cell>
          <cell r="F134">
            <v>0</v>
          </cell>
          <cell r="G134">
            <v>144778</v>
          </cell>
          <cell r="H134">
            <v>0</v>
          </cell>
          <cell r="I134">
            <v>-5600</v>
          </cell>
          <cell r="J134"/>
          <cell r="K134">
            <v>0</v>
          </cell>
          <cell r="L134">
            <v>291080</v>
          </cell>
          <cell r="M134">
            <v>294830</v>
          </cell>
          <cell r="N134">
            <v>0</v>
          </cell>
          <cell r="O134">
            <v>0</v>
          </cell>
          <cell r="P134">
            <v>0</v>
          </cell>
          <cell r="Q134">
            <v>0</v>
          </cell>
          <cell r="R134">
            <v>0</v>
          </cell>
          <cell r="S134">
            <v>0</v>
          </cell>
          <cell r="T134">
            <v>0</v>
          </cell>
          <cell r="U134">
            <v>0</v>
          </cell>
          <cell r="V134">
            <v>3000</v>
          </cell>
          <cell r="W134">
            <v>191657</v>
          </cell>
          <cell r="X134">
            <v>0</v>
          </cell>
          <cell r="Y134"/>
          <cell r="Z134">
            <v>0</v>
          </cell>
          <cell r="AA134">
            <v>0</v>
          </cell>
          <cell r="AB134">
            <v>50000</v>
          </cell>
          <cell r="AC134"/>
          <cell r="AD134">
            <v>49867</v>
          </cell>
          <cell r="AE134">
            <v>0</v>
          </cell>
          <cell r="AF134">
            <v>0</v>
          </cell>
          <cell r="AG134">
            <v>0</v>
          </cell>
          <cell r="AH134">
            <v>0</v>
          </cell>
          <cell r="AI134">
            <v>148777</v>
          </cell>
          <cell r="AJ134">
            <v>0</v>
          </cell>
          <cell r="AK134">
            <v>0</v>
          </cell>
          <cell r="AL134"/>
          <cell r="AM134">
            <v>0</v>
          </cell>
          <cell r="AN134">
            <v>0</v>
          </cell>
          <cell r="AO134">
            <v>0</v>
          </cell>
          <cell r="AP134">
            <v>0</v>
          </cell>
          <cell r="AQ134">
            <v>0</v>
          </cell>
          <cell r="AR134">
            <v>0</v>
          </cell>
          <cell r="AS134">
            <v>0</v>
          </cell>
          <cell r="AT134">
            <v>0</v>
          </cell>
          <cell r="AU134">
            <v>2370</v>
          </cell>
          <cell r="AV134">
            <v>0</v>
          </cell>
          <cell r="AW134">
            <v>0</v>
          </cell>
          <cell r="AX134">
            <v>0</v>
          </cell>
          <cell r="AY134"/>
          <cell r="AZ134"/>
          <cell r="BA134">
            <v>0</v>
          </cell>
          <cell r="BB134"/>
          <cell r="BC134">
            <v>0</v>
          </cell>
          <cell r="BD134">
            <v>16618</v>
          </cell>
          <cell r="BE134"/>
          <cell r="BF134">
            <v>0</v>
          </cell>
          <cell r="BG134">
            <v>0</v>
          </cell>
          <cell r="BH134">
            <v>0</v>
          </cell>
          <cell r="BI134">
            <v>90705</v>
          </cell>
          <cell r="BJ134">
            <v>74664</v>
          </cell>
          <cell r="BK134">
            <v>74664</v>
          </cell>
          <cell r="BL134">
            <v>0</v>
          </cell>
          <cell r="BM134">
            <v>0</v>
          </cell>
          <cell r="BN134">
            <v>0</v>
          </cell>
          <cell r="BO134">
            <v>124039</v>
          </cell>
          <cell r="BP134">
            <v>28465.200000000001</v>
          </cell>
          <cell r="BQ134">
            <v>51279.069767441899</v>
          </cell>
          <cell r="BR134">
            <v>0</v>
          </cell>
          <cell r="BS134">
            <v>0</v>
          </cell>
          <cell r="BT134">
            <v>82255</v>
          </cell>
          <cell r="BU134"/>
          <cell r="BV134"/>
          <cell r="BW134"/>
          <cell r="BX134"/>
          <cell r="BY134">
            <v>0</v>
          </cell>
          <cell r="BZ134">
            <v>0</v>
          </cell>
          <cell r="CA134">
            <v>0</v>
          </cell>
          <cell r="CB134">
            <v>0</v>
          </cell>
          <cell r="CC134">
            <v>4363561</v>
          </cell>
          <cell r="CD134">
            <v>35998012</v>
          </cell>
          <cell r="CE134">
            <v>2725821</v>
          </cell>
          <cell r="CF134">
            <v>-13630</v>
          </cell>
          <cell r="CG134">
            <v>2725821</v>
          </cell>
          <cell r="CH134">
            <v>2725821</v>
          </cell>
          <cell r="CI134">
            <v>2725821</v>
          </cell>
          <cell r="CJ134">
            <v>2725821</v>
          </cell>
          <cell r="CK134">
            <v>0</v>
          </cell>
          <cell r="CL134">
            <v>0</v>
          </cell>
          <cell r="CM134">
            <v>0</v>
          </cell>
          <cell r="CN134">
            <v>0</v>
          </cell>
          <cell r="CO134">
            <v>0</v>
          </cell>
          <cell r="CP134">
            <v>0</v>
          </cell>
          <cell r="CQ134">
            <v>10460284</v>
          </cell>
          <cell r="CR134">
            <v>9990639</v>
          </cell>
          <cell r="CS134">
            <v>9801731</v>
          </cell>
          <cell r="CT134">
            <v>9654619</v>
          </cell>
          <cell r="CU134">
            <v>9571072</v>
          </cell>
          <cell r="CV134">
            <v>-14870</v>
          </cell>
          <cell r="CW134">
            <v>0</v>
          </cell>
          <cell r="CX134">
            <v>0</v>
          </cell>
          <cell r="CY134">
            <v>0</v>
          </cell>
          <cell r="CZ134">
            <v>0</v>
          </cell>
          <cell r="DA134">
            <v>0</v>
          </cell>
          <cell r="DB134"/>
          <cell r="DC134">
            <v>0</v>
          </cell>
          <cell r="DD134">
            <v>0</v>
          </cell>
          <cell r="DE134">
            <v>0</v>
          </cell>
          <cell r="DF134">
            <v>0</v>
          </cell>
          <cell r="DG134">
            <v>0</v>
          </cell>
          <cell r="DH134">
            <v>0</v>
          </cell>
          <cell r="DI134">
            <v>0</v>
          </cell>
          <cell r="DJ134">
            <v>0</v>
          </cell>
          <cell r="DK134">
            <v>0</v>
          </cell>
          <cell r="DL134">
            <v>0</v>
          </cell>
          <cell r="DM134"/>
          <cell r="DN134"/>
          <cell r="DO134"/>
          <cell r="DP134"/>
        </row>
        <row r="135">
          <cell r="A135">
            <v>307</v>
          </cell>
          <cell r="B135" t="str">
            <v>Amersfoort</v>
          </cell>
          <cell r="C135">
            <v>6</v>
          </cell>
          <cell r="D135">
            <v>441166</v>
          </cell>
          <cell r="E135">
            <v>220583</v>
          </cell>
          <cell r="F135">
            <v>0</v>
          </cell>
          <cell r="G135">
            <v>131823</v>
          </cell>
          <cell r="H135">
            <v>0</v>
          </cell>
          <cell r="I135">
            <v>-32805</v>
          </cell>
          <cell r="J135"/>
          <cell r="K135">
            <v>0</v>
          </cell>
          <cell r="L135">
            <v>733272</v>
          </cell>
          <cell r="M135">
            <v>737455</v>
          </cell>
          <cell r="N135">
            <v>0</v>
          </cell>
          <cell r="O135">
            <v>0</v>
          </cell>
          <cell r="P135">
            <v>150000</v>
          </cell>
          <cell r="Q135">
            <v>0</v>
          </cell>
          <cell r="R135">
            <v>0</v>
          </cell>
          <cell r="S135">
            <v>785097</v>
          </cell>
          <cell r="T135">
            <v>785097</v>
          </cell>
          <cell r="U135">
            <v>785097</v>
          </cell>
          <cell r="V135">
            <v>8250</v>
          </cell>
          <cell r="W135">
            <v>615790</v>
          </cell>
          <cell r="X135">
            <v>0</v>
          </cell>
          <cell r="Y135"/>
          <cell r="Z135">
            <v>0</v>
          </cell>
          <cell r="AA135">
            <v>0</v>
          </cell>
          <cell r="AB135">
            <v>0</v>
          </cell>
          <cell r="AC135"/>
          <cell r="AD135">
            <v>184804</v>
          </cell>
          <cell r="AE135">
            <v>0</v>
          </cell>
          <cell r="AF135">
            <v>0</v>
          </cell>
          <cell r="AG135">
            <v>0</v>
          </cell>
          <cell r="AH135">
            <v>0</v>
          </cell>
          <cell r="AI135">
            <v>297554</v>
          </cell>
          <cell r="AJ135">
            <v>0</v>
          </cell>
          <cell r="AK135">
            <v>128380</v>
          </cell>
          <cell r="AL135"/>
          <cell r="AM135">
            <v>0</v>
          </cell>
          <cell r="AN135">
            <v>0</v>
          </cell>
          <cell r="AO135">
            <v>0</v>
          </cell>
          <cell r="AP135">
            <v>0</v>
          </cell>
          <cell r="AQ135">
            <v>0</v>
          </cell>
          <cell r="AR135">
            <v>0</v>
          </cell>
          <cell r="AS135">
            <v>0</v>
          </cell>
          <cell r="AT135">
            <v>20000</v>
          </cell>
          <cell r="AU135">
            <v>28440</v>
          </cell>
          <cell r="AV135">
            <v>5720780.8784744497</v>
          </cell>
          <cell r="AW135">
            <v>0</v>
          </cell>
          <cell r="AX135">
            <v>0</v>
          </cell>
          <cell r="AY135"/>
          <cell r="AZ135"/>
          <cell r="BA135">
            <v>0</v>
          </cell>
          <cell r="BB135"/>
          <cell r="BC135">
            <v>0</v>
          </cell>
          <cell r="BD135">
            <v>54178</v>
          </cell>
          <cell r="BE135"/>
          <cell r="BF135">
            <v>0</v>
          </cell>
          <cell r="BG135">
            <v>0</v>
          </cell>
          <cell r="BH135">
            <v>0</v>
          </cell>
          <cell r="BI135">
            <v>207151</v>
          </cell>
          <cell r="BJ135">
            <v>170516</v>
          </cell>
          <cell r="BK135">
            <v>170516</v>
          </cell>
          <cell r="BL135">
            <v>0</v>
          </cell>
          <cell r="BM135">
            <v>0</v>
          </cell>
          <cell r="BN135">
            <v>0</v>
          </cell>
          <cell r="BO135">
            <v>171709</v>
          </cell>
          <cell r="BP135">
            <v>107535.2</v>
          </cell>
          <cell r="BQ135">
            <v>193720.93023255799</v>
          </cell>
          <cell r="BR135">
            <v>135000</v>
          </cell>
          <cell r="BS135">
            <v>0</v>
          </cell>
          <cell r="BT135">
            <v>263177</v>
          </cell>
          <cell r="BU135"/>
          <cell r="BV135"/>
          <cell r="BW135"/>
          <cell r="BX135"/>
          <cell r="BY135">
            <v>2632658.1269432399</v>
          </cell>
          <cell r="BZ135">
            <v>3051865.66435656</v>
          </cell>
          <cell r="CA135">
            <v>3087677.36353258</v>
          </cell>
          <cell r="CB135">
            <v>3188792.7494413201</v>
          </cell>
          <cell r="CC135">
            <v>8969231</v>
          </cell>
          <cell r="CD135">
            <v>109878892</v>
          </cell>
          <cell r="CE135">
            <v>5395814</v>
          </cell>
          <cell r="CF135">
            <v>-78496</v>
          </cell>
          <cell r="CG135">
            <v>5395814</v>
          </cell>
          <cell r="CH135">
            <v>5395814</v>
          </cell>
          <cell r="CI135">
            <v>5395814</v>
          </cell>
          <cell r="CJ135">
            <v>5395814</v>
          </cell>
          <cell r="CK135">
            <v>34252083</v>
          </cell>
          <cell r="CL135">
            <v>34235796</v>
          </cell>
          <cell r="CM135">
            <v>34235532</v>
          </cell>
          <cell r="CN135">
            <v>34234953</v>
          </cell>
          <cell r="CO135">
            <v>34235756</v>
          </cell>
          <cell r="CP135">
            <v>0</v>
          </cell>
          <cell r="CQ135">
            <v>18076822</v>
          </cell>
          <cell r="CR135">
            <v>17154539</v>
          </cell>
          <cell r="CS135">
            <v>16591842</v>
          </cell>
          <cell r="CT135">
            <v>16203834</v>
          </cell>
          <cell r="CU135">
            <v>15878441</v>
          </cell>
          <cell r="CV135">
            <v>-196189</v>
          </cell>
          <cell r="CW135">
            <v>0</v>
          </cell>
          <cell r="CX135">
            <v>0</v>
          </cell>
          <cell r="CY135">
            <v>0</v>
          </cell>
          <cell r="CZ135">
            <v>0</v>
          </cell>
          <cell r="DA135">
            <v>0</v>
          </cell>
          <cell r="DB135"/>
          <cell r="DC135">
            <v>80000</v>
          </cell>
          <cell r="DD135">
            <v>0</v>
          </cell>
          <cell r="DE135">
            <v>0</v>
          </cell>
          <cell r="DF135">
            <v>0</v>
          </cell>
          <cell r="DG135">
            <v>0</v>
          </cell>
          <cell r="DH135">
            <v>0</v>
          </cell>
          <cell r="DI135">
            <v>0</v>
          </cell>
          <cell r="DJ135">
            <v>0</v>
          </cell>
          <cell r="DK135">
            <v>0</v>
          </cell>
          <cell r="DL135">
            <v>0</v>
          </cell>
          <cell r="DM135"/>
          <cell r="DN135"/>
          <cell r="DO135"/>
          <cell r="DP135"/>
        </row>
        <row r="136">
          <cell r="A136">
            <v>308</v>
          </cell>
          <cell r="B136" t="str">
            <v>Baarn</v>
          </cell>
          <cell r="C136">
            <v>6</v>
          </cell>
          <cell r="D136">
            <v>-53646</v>
          </cell>
          <cell r="E136">
            <v>-26823</v>
          </cell>
          <cell r="F136">
            <v>0</v>
          </cell>
          <cell r="G136">
            <v>0</v>
          </cell>
          <cell r="H136">
            <v>-46226</v>
          </cell>
          <cell r="I136">
            <v>-43475</v>
          </cell>
          <cell r="J136"/>
          <cell r="K136">
            <v>0</v>
          </cell>
          <cell r="L136">
            <v>86031</v>
          </cell>
          <cell r="M136">
            <v>85421</v>
          </cell>
          <cell r="N136">
            <v>0</v>
          </cell>
          <cell r="O136">
            <v>0</v>
          </cell>
          <cell r="P136">
            <v>0</v>
          </cell>
          <cell r="Q136">
            <v>0</v>
          </cell>
          <cell r="R136">
            <v>0</v>
          </cell>
          <cell r="S136">
            <v>0</v>
          </cell>
          <cell r="T136">
            <v>0</v>
          </cell>
          <cell r="U136">
            <v>0</v>
          </cell>
          <cell r="V136">
            <v>0</v>
          </cell>
          <cell r="W136">
            <v>80814</v>
          </cell>
          <cell r="X136">
            <v>0</v>
          </cell>
          <cell r="Y136"/>
          <cell r="Z136">
            <v>0</v>
          </cell>
          <cell r="AA136">
            <v>0</v>
          </cell>
          <cell r="AB136">
            <v>0</v>
          </cell>
          <cell r="AC136"/>
          <cell r="AD136">
            <v>0</v>
          </cell>
          <cell r="AE136">
            <v>0</v>
          </cell>
          <cell r="AF136">
            <v>0</v>
          </cell>
          <cell r="AG136">
            <v>0</v>
          </cell>
          <cell r="AH136">
            <v>0</v>
          </cell>
          <cell r="AI136">
            <v>0</v>
          </cell>
          <cell r="AJ136">
            <v>0</v>
          </cell>
          <cell r="AK136">
            <v>0</v>
          </cell>
          <cell r="AL136"/>
          <cell r="AM136">
            <v>0</v>
          </cell>
          <cell r="AN136">
            <v>0</v>
          </cell>
          <cell r="AO136">
            <v>0</v>
          </cell>
          <cell r="AP136">
            <v>0</v>
          </cell>
          <cell r="AQ136">
            <v>0</v>
          </cell>
          <cell r="AR136">
            <v>0</v>
          </cell>
          <cell r="AS136">
            <v>0</v>
          </cell>
          <cell r="AT136">
            <v>0</v>
          </cell>
          <cell r="AU136">
            <v>4740</v>
          </cell>
          <cell r="AV136">
            <v>0</v>
          </cell>
          <cell r="AW136">
            <v>0</v>
          </cell>
          <cell r="AX136">
            <v>0</v>
          </cell>
          <cell r="AY136"/>
          <cell r="AZ136"/>
          <cell r="BA136">
            <v>0</v>
          </cell>
          <cell r="BB136"/>
          <cell r="BC136">
            <v>0</v>
          </cell>
          <cell r="BD136">
            <v>8611</v>
          </cell>
          <cell r="BE136"/>
          <cell r="BF136">
            <v>0</v>
          </cell>
          <cell r="BG136">
            <v>0</v>
          </cell>
          <cell r="BH136">
            <v>0</v>
          </cell>
          <cell r="BI136">
            <v>34142</v>
          </cell>
          <cell r="BJ136">
            <v>28104</v>
          </cell>
          <cell r="BK136">
            <v>28104</v>
          </cell>
          <cell r="BL136">
            <v>0</v>
          </cell>
          <cell r="BM136">
            <v>0</v>
          </cell>
          <cell r="BN136">
            <v>0</v>
          </cell>
          <cell r="BO136">
            <v>45238</v>
          </cell>
          <cell r="BP136">
            <v>14232.6</v>
          </cell>
          <cell r="BQ136">
            <v>25639.534883720899</v>
          </cell>
          <cell r="BR136">
            <v>0</v>
          </cell>
          <cell r="BS136">
            <v>0</v>
          </cell>
          <cell r="BT136">
            <v>37599</v>
          </cell>
          <cell r="BU136"/>
          <cell r="BV136"/>
          <cell r="BW136"/>
          <cell r="BX136"/>
          <cell r="BY136">
            <v>0</v>
          </cell>
          <cell r="BZ136">
            <v>0</v>
          </cell>
          <cell r="CA136">
            <v>0</v>
          </cell>
          <cell r="CB136">
            <v>0</v>
          </cell>
          <cell r="CC136">
            <v>2144870</v>
          </cell>
          <cell r="CD136">
            <v>9816468</v>
          </cell>
          <cell r="CE136">
            <v>927946</v>
          </cell>
          <cell r="CF136">
            <v>-75889</v>
          </cell>
          <cell r="CG136">
            <v>927946</v>
          </cell>
          <cell r="CH136">
            <v>927946</v>
          </cell>
          <cell r="CI136">
            <v>927946</v>
          </cell>
          <cell r="CJ136">
            <v>927946</v>
          </cell>
          <cell r="CK136">
            <v>0</v>
          </cell>
          <cell r="CL136">
            <v>0</v>
          </cell>
          <cell r="CM136">
            <v>0</v>
          </cell>
          <cell r="CN136">
            <v>0</v>
          </cell>
          <cell r="CO136">
            <v>0</v>
          </cell>
          <cell r="CP136">
            <v>-4308</v>
          </cell>
          <cell r="CQ136">
            <v>982163</v>
          </cell>
          <cell r="CR136">
            <v>936934</v>
          </cell>
          <cell r="CS136">
            <v>917362</v>
          </cell>
          <cell r="CT136">
            <v>902328</v>
          </cell>
          <cell r="CU136">
            <v>878485</v>
          </cell>
          <cell r="CV136">
            <v>-10530</v>
          </cell>
          <cell r="CW136">
            <v>0</v>
          </cell>
          <cell r="CX136">
            <v>0</v>
          </cell>
          <cell r="CY136">
            <v>0</v>
          </cell>
          <cell r="CZ136">
            <v>0</v>
          </cell>
          <cell r="DA136">
            <v>0</v>
          </cell>
          <cell r="DB136"/>
          <cell r="DC136">
            <v>0</v>
          </cell>
          <cell r="DD136">
            <v>0</v>
          </cell>
          <cell r="DE136">
            <v>0</v>
          </cell>
          <cell r="DF136">
            <v>0</v>
          </cell>
          <cell r="DG136">
            <v>0</v>
          </cell>
          <cell r="DH136">
            <v>0</v>
          </cell>
          <cell r="DI136">
            <v>0</v>
          </cell>
          <cell r="DJ136">
            <v>0</v>
          </cell>
          <cell r="DK136">
            <v>0</v>
          </cell>
          <cell r="DL136">
            <v>0</v>
          </cell>
          <cell r="DM136"/>
          <cell r="DN136"/>
          <cell r="DO136"/>
          <cell r="DP136"/>
        </row>
        <row r="137">
          <cell r="A137">
            <v>312</v>
          </cell>
          <cell r="B137" t="str">
            <v>Bunnik</v>
          </cell>
          <cell r="C137">
            <v>6</v>
          </cell>
          <cell r="D137">
            <v>72293</v>
          </cell>
          <cell r="E137">
            <v>36147</v>
          </cell>
          <cell r="F137">
            <v>0</v>
          </cell>
          <cell r="G137">
            <v>0</v>
          </cell>
          <cell r="H137">
            <v>-8149</v>
          </cell>
          <cell r="I137">
            <v>-5958</v>
          </cell>
          <cell r="J137"/>
          <cell r="K137">
            <v>0</v>
          </cell>
          <cell r="L137">
            <v>28989</v>
          </cell>
          <cell r="M137">
            <v>27307</v>
          </cell>
          <cell r="N137">
            <v>0</v>
          </cell>
          <cell r="O137">
            <v>0</v>
          </cell>
          <cell r="P137">
            <v>0</v>
          </cell>
          <cell r="Q137">
            <v>0</v>
          </cell>
          <cell r="R137">
            <v>0</v>
          </cell>
          <cell r="S137">
            <v>0</v>
          </cell>
          <cell r="T137">
            <v>0</v>
          </cell>
          <cell r="U137">
            <v>0</v>
          </cell>
          <cell r="V137">
            <v>0</v>
          </cell>
          <cell r="W137">
            <v>44448</v>
          </cell>
          <cell r="X137">
            <v>0</v>
          </cell>
          <cell r="Y137"/>
          <cell r="Z137">
            <v>0</v>
          </cell>
          <cell r="AA137">
            <v>0</v>
          </cell>
          <cell r="AB137">
            <v>0</v>
          </cell>
          <cell r="AC137"/>
          <cell r="AD137">
            <v>0</v>
          </cell>
          <cell r="AE137">
            <v>0</v>
          </cell>
          <cell r="AF137">
            <v>0</v>
          </cell>
          <cell r="AG137">
            <v>0</v>
          </cell>
          <cell r="AH137">
            <v>0</v>
          </cell>
          <cell r="AI137">
            <v>0</v>
          </cell>
          <cell r="AJ137">
            <v>0</v>
          </cell>
          <cell r="AK137">
            <v>0</v>
          </cell>
          <cell r="AL137"/>
          <cell r="AM137">
            <v>0</v>
          </cell>
          <cell r="AN137">
            <v>0</v>
          </cell>
          <cell r="AO137">
            <v>0</v>
          </cell>
          <cell r="AP137">
            <v>0</v>
          </cell>
          <cell r="AQ137">
            <v>0</v>
          </cell>
          <cell r="AR137">
            <v>0</v>
          </cell>
          <cell r="AS137">
            <v>0</v>
          </cell>
          <cell r="AT137">
            <v>0</v>
          </cell>
          <cell r="AU137">
            <v>2370</v>
          </cell>
          <cell r="AV137">
            <v>0</v>
          </cell>
          <cell r="AW137">
            <v>0</v>
          </cell>
          <cell r="AX137">
            <v>0</v>
          </cell>
          <cell r="AY137"/>
          <cell r="AZ137"/>
          <cell r="BA137">
            <v>0</v>
          </cell>
          <cell r="BB137"/>
          <cell r="BC137">
            <v>0</v>
          </cell>
          <cell r="BD137">
            <v>5320</v>
          </cell>
          <cell r="BE137"/>
          <cell r="BF137">
            <v>0</v>
          </cell>
          <cell r="BG137">
            <v>0</v>
          </cell>
          <cell r="BH137">
            <v>0</v>
          </cell>
          <cell r="BI137">
            <v>10123</v>
          </cell>
          <cell r="BJ137">
            <v>8333</v>
          </cell>
          <cell r="BK137">
            <v>8333</v>
          </cell>
          <cell r="BL137">
            <v>0</v>
          </cell>
          <cell r="BM137">
            <v>0</v>
          </cell>
          <cell r="BN137">
            <v>0</v>
          </cell>
          <cell r="BO137">
            <v>35509</v>
          </cell>
          <cell r="BP137">
            <v>1581.4</v>
          </cell>
          <cell r="BQ137">
            <v>2848.8372093023299</v>
          </cell>
          <cell r="BR137">
            <v>0</v>
          </cell>
          <cell r="BS137">
            <v>0</v>
          </cell>
          <cell r="BT137">
            <v>22723</v>
          </cell>
          <cell r="BU137"/>
          <cell r="BV137"/>
          <cell r="BW137"/>
          <cell r="BX137"/>
          <cell r="BY137">
            <v>0</v>
          </cell>
          <cell r="BZ137">
            <v>0</v>
          </cell>
          <cell r="CA137">
            <v>0</v>
          </cell>
          <cell r="CB137">
            <v>0</v>
          </cell>
          <cell r="CC137">
            <v>904421</v>
          </cell>
          <cell r="CD137">
            <v>3902079</v>
          </cell>
          <cell r="CE137">
            <v>701371</v>
          </cell>
          <cell r="CF137">
            <v>-14371</v>
          </cell>
          <cell r="CG137">
            <v>701371</v>
          </cell>
          <cell r="CH137">
            <v>701371</v>
          </cell>
          <cell r="CI137">
            <v>701371</v>
          </cell>
          <cell r="CJ137">
            <v>701371</v>
          </cell>
          <cell r="CK137">
            <v>0</v>
          </cell>
          <cell r="CL137">
            <v>0</v>
          </cell>
          <cell r="CM137">
            <v>0</v>
          </cell>
          <cell r="CN137">
            <v>0</v>
          </cell>
          <cell r="CO137">
            <v>0</v>
          </cell>
          <cell r="CP137">
            <v>0</v>
          </cell>
          <cell r="CQ137">
            <v>409500</v>
          </cell>
          <cell r="CR137">
            <v>400240</v>
          </cell>
          <cell r="CS137">
            <v>399695</v>
          </cell>
          <cell r="CT137">
            <v>396161</v>
          </cell>
          <cell r="CU137">
            <v>384553</v>
          </cell>
          <cell r="CV137">
            <v>-14301</v>
          </cell>
          <cell r="CW137">
            <v>0</v>
          </cell>
          <cell r="CX137">
            <v>0</v>
          </cell>
          <cell r="CY137">
            <v>0</v>
          </cell>
          <cell r="CZ137">
            <v>0</v>
          </cell>
          <cell r="DA137">
            <v>0</v>
          </cell>
          <cell r="DB137"/>
          <cell r="DC137">
            <v>0</v>
          </cell>
          <cell r="DD137">
            <v>0</v>
          </cell>
          <cell r="DE137">
            <v>0</v>
          </cell>
          <cell r="DF137">
            <v>0</v>
          </cell>
          <cell r="DG137">
            <v>0</v>
          </cell>
          <cell r="DH137">
            <v>0</v>
          </cell>
          <cell r="DI137">
            <v>0</v>
          </cell>
          <cell r="DJ137">
            <v>0</v>
          </cell>
          <cell r="DK137">
            <v>0</v>
          </cell>
          <cell r="DL137">
            <v>0</v>
          </cell>
          <cell r="DM137"/>
          <cell r="DN137"/>
          <cell r="DO137"/>
          <cell r="DP137"/>
        </row>
        <row r="138">
          <cell r="A138">
            <v>313</v>
          </cell>
          <cell r="B138" t="str">
            <v>Bunschoten</v>
          </cell>
          <cell r="C138">
            <v>6</v>
          </cell>
          <cell r="D138">
            <v>-34698</v>
          </cell>
          <cell r="E138">
            <v>-17349</v>
          </cell>
          <cell r="F138">
            <v>0</v>
          </cell>
          <cell r="G138">
            <v>0</v>
          </cell>
          <cell r="H138">
            <v>-30185</v>
          </cell>
          <cell r="I138">
            <v>-25172</v>
          </cell>
          <cell r="J138"/>
          <cell r="K138">
            <v>0</v>
          </cell>
          <cell r="L138">
            <v>54595</v>
          </cell>
          <cell r="M138">
            <v>60661</v>
          </cell>
          <cell r="N138">
            <v>0</v>
          </cell>
          <cell r="O138">
            <v>0</v>
          </cell>
          <cell r="P138">
            <v>0</v>
          </cell>
          <cell r="Q138">
            <v>0</v>
          </cell>
          <cell r="R138">
            <v>0</v>
          </cell>
          <cell r="S138">
            <v>0</v>
          </cell>
          <cell r="T138">
            <v>0</v>
          </cell>
          <cell r="U138">
            <v>0</v>
          </cell>
          <cell r="V138">
            <v>0</v>
          </cell>
          <cell r="W138">
            <v>41417</v>
          </cell>
          <cell r="X138">
            <v>0</v>
          </cell>
          <cell r="Y138"/>
          <cell r="Z138">
            <v>0</v>
          </cell>
          <cell r="AA138">
            <v>0</v>
          </cell>
          <cell r="AB138">
            <v>0</v>
          </cell>
          <cell r="AC138"/>
          <cell r="AD138">
            <v>0</v>
          </cell>
          <cell r="AE138">
            <v>0</v>
          </cell>
          <cell r="AF138">
            <v>0</v>
          </cell>
          <cell r="AG138">
            <v>0</v>
          </cell>
          <cell r="AH138">
            <v>0</v>
          </cell>
          <cell r="AI138">
            <v>0</v>
          </cell>
          <cell r="AJ138">
            <v>0</v>
          </cell>
          <cell r="AK138">
            <v>0</v>
          </cell>
          <cell r="AL138"/>
          <cell r="AM138">
            <v>0</v>
          </cell>
          <cell r="AN138">
            <v>0</v>
          </cell>
          <cell r="AO138">
            <v>0</v>
          </cell>
          <cell r="AP138">
            <v>0</v>
          </cell>
          <cell r="AQ138">
            <v>0</v>
          </cell>
          <cell r="AR138">
            <v>0</v>
          </cell>
          <cell r="AS138">
            <v>0</v>
          </cell>
          <cell r="AT138">
            <v>0</v>
          </cell>
          <cell r="AU138">
            <v>0</v>
          </cell>
          <cell r="AV138">
            <v>0</v>
          </cell>
          <cell r="AW138">
            <v>0</v>
          </cell>
          <cell r="AX138">
            <v>0</v>
          </cell>
          <cell r="AY138"/>
          <cell r="AZ138"/>
          <cell r="BA138">
            <v>0</v>
          </cell>
          <cell r="BB138"/>
          <cell r="BC138">
            <v>0</v>
          </cell>
          <cell r="BD138">
            <v>7379</v>
          </cell>
          <cell r="BE138"/>
          <cell r="BF138">
            <v>0</v>
          </cell>
          <cell r="BG138">
            <v>0</v>
          </cell>
          <cell r="BH138">
            <v>0</v>
          </cell>
          <cell r="BI138">
            <v>19191</v>
          </cell>
          <cell r="BJ138">
            <v>15797</v>
          </cell>
          <cell r="BK138">
            <v>15797</v>
          </cell>
          <cell r="BL138">
            <v>0</v>
          </cell>
          <cell r="BM138">
            <v>0</v>
          </cell>
          <cell r="BN138">
            <v>0</v>
          </cell>
          <cell r="BO138">
            <v>52048</v>
          </cell>
          <cell r="BP138">
            <v>9488.4</v>
          </cell>
          <cell r="BQ138">
            <v>17093.023255814001</v>
          </cell>
          <cell r="BR138">
            <v>0</v>
          </cell>
          <cell r="BS138">
            <v>0</v>
          </cell>
          <cell r="BT138">
            <v>32565</v>
          </cell>
          <cell r="BU138"/>
          <cell r="BV138"/>
          <cell r="BW138"/>
          <cell r="BX138"/>
          <cell r="BY138">
            <v>0</v>
          </cell>
          <cell r="BZ138">
            <v>0</v>
          </cell>
          <cell r="CA138">
            <v>0</v>
          </cell>
          <cell r="CB138">
            <v>0</v>
          </cell>
          <cell r="CC138">
            <v>1067422</v>
          </cell>
          <cell r="CD138">
            <v>6505266</v>
          </cell>
          <cell r="CE138">
            <v>479025</v>
          </cell>
          <cell r="CF138">
            <v>-60406</v>
          </cell>
          <cell r="CG138">
            <v>479025</v>
          </cell>
          <cell r="CH138">
            <v>479025</v>
          </cell>
          <cell r="CI138">
            <v>479025</v>
          </cell>
          <cell r="CJ138">
            <v>479025</v>
          </cell>
          <cell r="CK138">
            <v>0</v>
          </cell>
          <cell r="CL138">
            <v>0</v>
          </cell>
          <cell r="CM138">
            <v>0</v>
          </cell>
          <cell r="CN138">
            <v>0</v>
          </cell>
          <cell r="CO138">
            <v>0</v>
          </cell>
          <cell r="CP138">
            <v>0</v>
          </cell>
          <cell r="CQ138">
            <v>974098</v>
          </cell>
          <cell r="CR138">
            <v>946008</v>
          </cell>
          <cell r="CS138">
            <v>929503</v>
          </cell>
          <cell r="CT138">
            <v>929362</v>
          </cell>
          <cell r="CU138">
            <v>897322</v>
          </cell>
          <cell r="CV138">
            <v>5168</v>
          </cell>
          <cell r="CW138">
            <v>0</v>
          </cell>
          <cell r="CX138">
            <v>0</v>
          </cell>
          <cell r="CY138">
            <v>0</v>
          </cell>
          <cell r="CZ138">
            <v>0</v>
          </cell>
          <cell r="DA138">
            <v>0</v>
          </cell>
          <cell r="DB138"/>
          <cell r="DC138">
            <v>0</v>
          </cell>
          <cell r="DD138">
            <v>0</v>
          </cell>
          <cell r="DE138">
            <v>0</v>
          </cell>
          <cell r="DF138">
            <v>0</v>
          </cell>
          <cell r="DG138">
            <v>0</v>
          </cell>
          <cell r="DH138">
            <v>0</v>
          </cell>
          <cell r="DI138">
            <v>0</v>
          </cell>
          <cell r="DJ138">
            <v>0</v>
          </cell>
          <cell r="DK138">
            <v>0</v>
          </cell>
          <cell r="DL138">
            <v>0</v>
          </cell>
          <cell r="DM138"/>
          <cell r="DN138"/>
          <cell r="DO138"/>
          <cell r="DP138"/>
        </row>
        <row r="139">
          <cell r="A139">
            <v>310</v>
          </cell>
          <cell r="B139" t="str">
            <v>De Bilt</v>
          </cell>
          <cell r="C139">
            <v>6</v>
          </cell>
          <cell r="D139">
            <v>3971</v>
          </cell>
          <cell r="E139">
            <v>1985</v>
          </cell>
          <cell r="F139">
            <v>0</v>
          </cell>
          <cell r="G139">
            <v>0</v>
          </cell>
          <cell r="H139">
            <v>0</v>
          </cell>
          <cell r="I139">
            <v>-11203</v>
          </cell>
          <cell r="J139"/>
          <cell r="K139">
            <v>0</v>
          </cell>
          <cell r="L139">
            <v>159129</v>
          </cell>
          <cell r="M139">
            <v>151510</v>
          </cell>
          <cell r="N139">
            <v>0</v>
          </cell>
          <cell r="O139">
            <v>0</v>
          </cell>
          <cell r="P139">
            <v>0</v>
          </cell>
          <cell r="Q139">
            <v>0</v>
          </cell>
          <cell r="R139">
            <v>0</v>
          </cell>
          <cell r="S139">
            <v>0</v>
          </cell>
          <cell r="T139">
            <v>0</v>
          </cell>
          <cell r="U139">
            <v>0</v>
          </cell>
          <cell r="V139">
            <v>3000</v>
          </cell>
          <cell r="W139">
            <v>125060</v>
          </cell>
          <cell r="X139">
            <v>0</v>
          </cell>
          <cell r="Y139"/>
          <cell r="Z139">
            <v>0</v>
          </cell>
          <cell r="AA139">
            <v>0</v>
          </cell>
          <cell r="AB139">
            <v>0</v>
          </cell>
          <cell r="AC139"/>
          <cell r="AD139">
            <v>0</v>
          </cell>
          <cell r="AE139">
            <v>0</v>
          </cell>
          <cell r="AF139">
            <v>0</v>
          </cell>
          <cell r="AG139">
            <v>0</v>
          </cell>
          <cell r="AH139">
            <v>0</v>
          </cell>
          <cell r="AI139">
            <v>0</v>
          </cell>
          <cell r="AJ139">
            <v>0</v>
          </cell>
          <cell r="AK139">
            <v>0</v>
          </cell>
          <cell r="AL139"/>
          <cell r="AM139">
            <v>0</v>
          </cell>
          <cell r="AN139">
            <v>0</v>
          </cell>
          <cell r="AO139">
            <v>0</v>
          </cell>
          <cell r="AP139">
            <v>0</v>
          </cell>
          <cell r="AQ139">
            <v>0</v>
          </cell>
          <cell r="AR139">
            <v>0</v>
          </cell>
          <cell r="AS139">
            <v>0</v>
          </cell>
          <cell r="AT139">
            <v>0</v>
          </cell>
          <cell r="AU139">
            <v>4740</v>
          </cell>
          <cell r="AV139">
            <v>0</v>
          </cell>
          <cell r="AW139">
            <v>0</v>
          </cell>
          <cell r="AX139">
            <v>0</v>
          </cell>
          <cell r="AY139"/>
          <cell r="AZ139"/>
          <cell r="BA139">
            <v>0</v>
          </cell>
          <cell r="BB139"/>
          <cell r="BC139">
            <v>0</v>
          </cell>
          <cell r="BD139">
            <v>15008</v>
          </cell>
          <cell r="BE139"/>
          <cell r="BF139">
            <v>0</v>
          </cell>
          <cell r="BG139">
            <v>0</v>
          </cell>
          <cell r="BH139">
            <v>0</v>
          </cell>
          <cell r="BI139">
            <v>50741</v>
          </cell>
          <cell r="BJ139">
            <v>41768</v>
          </cell>
          <cell r="BK139">
            <v>41768</v>
          </cell>
          <cell r="BL139">
            <v>0</v>
          </cell>
          <cell r="BM139">
            <v>0</v>
          </cell>
          <cell r="BN139">
            <v>0</v>
          </cell>
          <cell r="BO139">
            <v>35509</v>
          </cell>
          <cell r="BP139">
            <v>33209.4</v>
          </cell>
          <cell r="BQ139">
            <v>59825.581395348803</v>
          </cell>
          <cell r="BR139">
            <v>0</v>
          </cell>
          <cell r="BS139">
            <v>0</v>
          </cell>
          <cell r="BT139">
            <v>68497</v>
          </cell>
          <cell r="BU139"/>
          <cell r="BV139"/>
          <cell r="BW139"/>
          <cell r="BX139"/>
          <cell r="BY139">
            <v>0</v>
          </cell>
          <cell r="BZ139">
            <v>0</v>
          </cell>
          <cell r="CA139">
            <v>0</v>
          </cell>
          <cell r="CB139">
            <v>0</v>
          </cell>
          <cell r="CC139">
            <v>2951730</v>
          </cell>
          <cell r="CD139">
            <v>12406413</v>
          </cell>
          <cell r="CE139">
            <v>948696</v>
          </cell>
          <cell r="CF139">
            <v>0</v>
          </cell>
          <cell r="CG139">
            <v>948696</v>
          </cell>
          <cell r="CH139">
            <v>948696</v>
          </cell>
          <cell r="CI139">
            <v>948696</v>
          </cell>
          <cell r="CJ139">
            <v>948696</v>
          </cell>
          <cell r="CK139">
            <v>0</v>
          </cell>
          <cell r="CL139">
            <v>0</v>
          </cell>
          <cell r="CM139">
            <v>0</v>
          </cell>
          <cell r="CN139">
            <v>0</v>
          </cell>
          <cell r="CO139">
            <v>0</v>
          </cell>
          <cell r="CP139">
            <v>-4034</v>
          </cell>
          <cell r="CQ139">
            <v>1172685</v>
          </cell>
          <cell r="CR139">
            <v>1123254</v>
          </cell>
          <cell r="CS139">
            <v>1087343</v>
          </cell>
          <cell r="CT139">
            <v>1050440</v>
          </cell>
          <cell r="CU139">
            <v>1023242</v>
          </cell>
          <cell r="CV139">
            <v>-28429</v>
          </cell>
          <cell r="CW139">
            <v>0</v>
          </cell>
          <cell r="CX139">
            <v>0</v>
          </cell>
          <cell r="CY139">
            <v>0</v>
          </cell>
          <cell r="CZ139">
            <v>0</v>
          </cell>
          <cell r="DA139">
            <v>0</v>
          </cell>
          <cell r="DB139"/>
          <cell r="DC139">
            <v>0</v>
          </cell>
          <cell r="DD139">
            <v>0</v>
          </cell>
          <cell r="DE139">
            <v>0</v>
          </cell>
          <cell r="DF139">
            <v>0</v>
          </cell>
          <cell r="DG139">
            <v>0</v>
          </cell>
          <cell r="DH139">
            <v>0</v>
          </cell>
          <cell r="DI139">
            <v>0</v>
          </cell>
          <cell r="DJ139">
            <v>0</v>
          </cell>
          <cell r="DK139">
            <v>0</v>
          </cell>
          <cell r="DL139">
            <v>0</v>
          </cell>
          <cell r="DM139"/>
          <cell r="DN139"/>
          <cell r="DO139"/>
          <cell r="DP139"/>
        </row>
        <row r="140">
          <cell r="A140">
            <v>736</v>
          </cell>
          <cell r="B140" t="str">
            <v>De Ronde Venen</v>
          </cell>
          <cell r="C140">
            <v>6</v>
          </cell>
          <cell r="D140">
            <v>-1109</v>
          </cell>
          <cell r="E140">
            <v>-555</v>
          </cell>
          <cell r="F140">
            <v>0</v>
          </cell>
          <cell r="G140">
            <v>0</v>
          </cell>
          <cell r="H140">
            <v>0</v>
          </cell>
          <cell r="I140">
            <v>-3481</v>
          </cell>
          <cell r="J140"/>
          <cell r="K140">
            <v>0</v>
          </cell>
          <cell r="L140">
            <v>140208</v>
          </cell>
          <cell r="M140">
            <v>136702</v>
          </cell>
          <cell r="N140">
            <v>0</v>
          </cell>
          <cell r="O140">
            <v>0</v>
          </cell>
          <cell r="P140">
            <v>0</v>
          </cell>
          <cell r="Q140">
            <v>0</v>
          </cell>
          <cell r="R140">
            <v>0</v>
          </cell>
          <cell r="S140">
            <v>0</v>
          </cell>
          <cell r="T140">
            <v>0</v>
          </cell>
          <cell r="U140">
            <v>0</v>
          </cell>
          <cell r="V140">
            <v>0</v>
          </cell>
          <cell r="W140">
            <v>189130</v>
          </cell>
          <cell r="X140">
            <v>0</v>
          </cell>
          <cell r="Y140"/>
          <cell r="Z140">
            <v>0</v>
          </cell>
          <cell r="AA140">
            <v>0</v>
          </cell>
          <cell r="AB140">
            <v>0</v>
          </cell>
          <cell r="AC140"/>
          <cell r="AD140">
            <v>0</v>
          </cell>
          <cell r="AE140">
            <v>0</v>
          </cell>
          <cell r="AF140">
            <v>0</v>
          </cell>
          <cell r="AG140">
            <v>0</v>
          </cell>
          <cell r="AH140">
            <v>0</v>
          </cell>
          <cell r="AI140">
            <v>0</v>
          </cell>
          <cell r="AJ140">
            <v>0</v>
          </cell>
          <cell r="AK140">
            <v>0</v>
          </cell>
          <cell r="AL140"/>
          <cell r="AM140">
            <v>0</v>
          </cell>
          <cell r="AN140">
            <v>0</v>
          </cell>
          <cell r="AO140">
            <v>0</v>
          </cell>
          <cell r="AP140">
            <v>0</v>
          </cell>
          <cell r="AQ140">
            <v>0</v>
          </cell>
          <cell r="AR140">
            <v>0</v>
          </cell>
          <cell r="AS140">
            <v>0</v>
          </cell>
          <cell r="AT140">
            <v>0</v>
          </cell>
          <cell r="AU140">
            <v>2370</v>
          </cell>
          <cell r="AV140">
            <v>0</v>
          </cell>
          <cell r="AW140">
            <v>0</v>
          </cell>
          <cell r="AX140">
            <v>0</v>
          </cell>
          <cell r="AY140"/>
          <cell r="AZ140"/>
          <cell r="BA140">
            <v>0</v>
          </cell>
          <cell r="BB140"/>
          <cell r="BC140">
            <v>0</v>
          </cell>
          <cell r="BD140">
            <v>15011</v>
          </cell>
          <cell r="BE140"/>
          <cell r="BF140">
            <v>0</v>
          </cell>
          <cell r="BG140">
            <v>0</v>
          </cell>
          <cell r="BH140">
            <v>0</v>
          </cell>
          <cell r="BI140">
            <v>40613</v>
          </cell>
          <cell r="BJ140">
            <v>33431</v>
          </cell>
          <cell r="BK140">
            <v>33431</v>
          </cell>
          <cell r="BL140">
            <v>0</v>
          </cell>
          <cell r="BM140">
            <v>0</v>
          </cell>
          <cell r="BN140">
            <v>0</v>
          </cell>
          <cell r="BO140">
            <v>190680</v>
          </cell>
          <cell r="BP140">
            <v>14232.6</v>
          </cell>
          <cell r="BQ140">
            <v>25639.534883720899</v>
          </cell>
          <cell r="BR140">
            <v>0</v>
          </cell>
          <cell r="BS140">
            <v>0</v>
          </cell>
          <cell r="BT140">
            <v>78118</v>
          </cell>
          <cell r="BU140"/>
          <cell r="BV140"/>
          <cell r="BW140"/>
          <cell r="BX140"/>
          <cell r="BY140">
            <v>0</v>
          </cell>
          <cell r="BZ140">
            <v>0</v>
          </cell>
          <cell r="CA140">
            <v>0</v>
          </cell>
          <cell r="CB140">
            <v>0</v>
          </cell>
          <cell r="CC140">
            <v>2482793</v>
          </cell>
          <cell r="CD140">
            <v>11263687</v>
          </cell>
          <cell r="CE140">
            <v>830727</v>
          </cell>
          <cell r="CF140">
            <v>0</v>
          </cell>
          <cell r="CG140">
            <v>830727</v>
          </cell>
          <cell r="CH140">
            <v>830727</v>
          </cell>
          <cell r="CI140">
            <v>830727</v>
          </cell>
          <cell r="CJ140">
            <v>830727</v>
          </cell>
          <cell r="CK140">
            <v>0</v>
          </cell>
          <cell r="CL140">
            <v>0</v>
          </cell>
          <cell r="CM140">
            <v>0</v>
          </cell>
          <cell r="CN140">
            <v>0</v>
          </cell>
          <cell r="CO140">
            <v>0</v>
          </cell>
          <cell r="CP140">
            <v>-1259</v>
          </cell>
          <cell r="CQ140">
            <v>1509937</v>
          </cell>
          <cell r="CR140">
            <v>1481753</v>
          </cell>
          <cell r="CS140">
            <v>1445773</v>
          </cell>
          <cell r="CT140">
            <v>1447684</v>
          </cell>
          <cell r="CU140">
            <v>1450500</v>
          </cell>
          <cell r="CV140">
            <v>30582</v>
          </cell>
          <cell r="CW140">
            <v>0</v>
          </cell>
          <cell r="CX140">
            <v>0</v>
          </cell>
          <cell r="CY140">
            <v>0</v>
          </cell>
          <cell r="CZ140">
            <v>0</v>
          </cell>
          <cell r="DA140">
            <v>0</v>
          </cell>
          <cell r="DB140"/>
          <cell r="DC140">
            <v>0</v>
          </cell>
          <cell r="DD140">
            <v>0</v>
          </cell>
          <cell r="DE140">
            <v>0</v>
          </cell>
          <cell r="DF140">
            <v>0</v>
          </cell>
          <cell r="DG140">
            <v>0</v>
          </cell>
          <cell r="DH140">
            <v>0</v>
          </cell>
          <cell r="DI140">
            <v>0</v>
          </cell>
          <cell r="DJ140">
            <v>0</v>
          </cell>
          <cell r="DK140">
            <v>0</v>
          </cell>
          <cell r="DL140">
            <v>0</v>
          </cell>
          <cell r="DM140"/>
          <cell r="DN140"/>
          <cell r="DO140"/>
          <cell r="DP140"/>
        </row>
        <row r="141">
          <cell r="A141">
            <v>317</v>
          </cell>
          <cell r="B141" t="str">
            <v>Eemnes</v>
          </cell>
          <cell r="C141">
            <v>6</v>
          </cell>
          <cell r="D141">
            <v>-13158</v>
          </cell>
          <cell r="E141">
            <v>-6579</v>
          </cell>
          <cell r="F141">
            <v>0</v>
          </cell>
          <cell r="G141">
            <v>0</v>
          </cell>
          <cell r="H141">
            <v>0</v>
          </cell>
          <cell r="I141">
            <v>-180</v>
          </cell>
          <cell r="J141"/>
          <cell r="K141">
            <v>0</v>
          </cell>
          <cell r="L141">
            <v>31376</v>
          </cell>
          <cell r="M141">
            <v>29854</v>
          </cell>
          <cell r="N141">
            <v>0</v>
          </cell>
          <cell r="O141">
            <v>0</v>
          </cell>
          <cell r="P141">
            <v>0</v>
          </cell>
          <cell r="Q141">
            <v>0</v>
          </cell>
          <cell r="R141">
            <v>0</v>
          </cell>
          <cell r="S141">
            <v>0</v>
          </cell>
          <cell r="T141">
            <v>0</v>
          </cell>
          <cell r="U141">
            <v>0</v>
          </cell>
          <cell r="V141">
            <v>0</v>
          </cell>
          <cell r="W141">
            <v>30305</v>
          </cell>
          <cell r="X141">
            <v>0</v>
          </cell>
          <cell r="Y141"/>
          <cell r="Z141">
            <v>0</v>
          </cell>
          <cell r="AA141">
            <v>0</v>
          </cell>
          <cell r="AB141">
            <v>0</v>
          </cell>
          <cell r="AC141"/>
          <cell r="AD141">
            <v>0</v>
          </cell>
          <cell r="AE141">
            <v>0</v>
          </cell>
          <cell r="AF141">
            <v>0</v>
          </cell>
          <cell r="AG141">
            <v>0</v>
          </cell>
          <cell r="AH141">
            <v>0</v>
          </cell>
          <cell r="AI141">
            <v>0</v>
          </cell>
          <cell r="AJ141">
            <v>0</v>
          </cell>
          <cell r="AK141">
            <v>0</v>
          </cell>
          <cell r="AL141"/>
          <cell r="AM141">
            <v>0</v>
          </cell>
          <cell r="AN141">
            <v>0</v>
          </cell>
          <cell r="AO141">
            <v>0</v>
          </cell>
          <cell r="AP141">
            <v>0</v>
          </cell>
          <cell r="AQ141">
            <v>0</v>
          </cell>
          <cell r="AR141">
            <v>0</v>
          </cell>
          <cell r="AS141">
            <v>0</v>
          </cell>
          <cell r="AT141">
            <v>0</v>
          </cell>
          <cell r="AU141">
            <v>0</v>
          </cell>
          <cell r="AV141">
            <v>0</v>
          </cell>
          <cell r="AW141">
            <v>0</v>
          </cell>
          <cell r="AX141">
            <v>0</v>
          </cell>
          <cell r="AY141"/>
          <cell r="AZ141"/>
          <cell r="BA141">
            <v>0</v>
          </cell>
          <cell r="BB141"/>
          <cell r="BC141">
            <v>0</v>
          </cell>
          <cell r="BD141">
            <v>3159</v>
          </cell>
          <cell r="BE141"/>
          <cell r="BF141">
            <v>0</v>
          </cell>
          <cell r="BG141">
            <v>0</v>
          </cell>
          <cell r="BH141">
            <v>0</v>
          </cell>
          <cell r="BI141">
            <v>7714</v>
          </cell>
          <cell r="BJ141">
            <v>6350</v>
          </cell>
          <cell r="BK141">
            <v>6350</v>
          </cell>
          <cell r="BL141">
            <v>0</v>
          </cell>
          <cell r="BM141">
            <v>0</v>
          </cell>
          <cell r="BN141">
            <v>0</v>
          </cell>
          <cell r="BO141">
            <v>79288</v>
          </cell>
          <cell r="BP141">
            <v>0</v>
          </cell>
          <cell r="BQ141">
            <v>0</v>
          </cell>
          <cell r="BR141">
            <v>0</v>
          </cell>
          <cell r="BS141">
            <v>0</v>
          </cell>
          <cell r="BT141">
            <v>15295</v>
          </cell>
          <cell r="BU141"/>
          <cell r="BV141"/>
          <cell r="BW141"/>
          <cell r="BX141"/>
          <cell r="BY141">
            <v>0</v>
          </cell>
          <cell r="BZ141">
            <v>0</v>
          </cell>
          <cell r="CA141">
            <v>0</v>
          </cell>
          <cell r="CB141">
            <v>0</v>
          </cell>
          <cell r="CC141">
            <v>530530</v>
          </cell>
          <cell r="CD141">
            <v>2594575</v>
          </cell>
          <cell r="CE141">
            <v>40062</v>
          </cell>
          <cell r="CF141">
            <v>0</v>
          </cell>
          <cell r="CG141">
            <v>40062</v>
          </cell>
          <cell r="CH141">
            <v>40062</v>
          </cell>
          <cell r="CI141">
            <v>40062</v>
          </cell>
          <cell r="CJ141">
            <v>40062</v>
          </cell>
          <cell r="CK141">
            <v>0</v>
          </cell>
          <cell r="CL141">
            <v>0</v>
          </cell>
          <cell r="CM141">
            <v>0</v>
          </cell>
          <cell r="CN141">
            <v>0</v>
          </cell>
          <cell r="CO141">
            <v>0</v>
          </cell>
          <cell r="CP141">
            <v>-65</v>
          </cell>
          <cell r="CQ141">
            <v>297117</v>
          </cell>
          <cell r="CR141">
            <v>289808</v>
          </cell>
          <cell r="CS141">
            <v>288953</v>
          </cell>
          <cell r="CT141">
            <v>276089</v>
          </cell>
          <cell r="CU141">
            <v>270847</v>
          </cell>
          <cell r="CV141">
            <v>30627</v>
          </cell>
          <cell r="CW141">
            <v>0</v>
          </cell>
          <cell r="CX141">
            <v>0</v>
          </cell>
          <cell r="CY141">
            <v>0</v>
          </cell>
          <cell r="CZ141">
            <v>0</v>
          </cell>
          <cell r="DA141">
            <v>0</v>
          </cell>
          <cell r="DB141"/>
          <cell r="DC141">
            <v>0</v>
          </cell>
          <cell r="DD141">
            <v>0</v>
          </cell>
          <cell r="DE141">
            <v>0</v>
          </cell>
          <cell r="DF141">
            <v>0</v>
          </cell>
          <cell r="DG141">
            <v>0</v>
          </cell>
          <cell r="DH141">
            <v>0</v>
          </cell>
          <cell r="DI141">
            <v>0</v>
          </cell>
          <cell r="DJ141">
            <v>0</v>
          </cell>
          <cell r="DK141">
            <v>0</v>
          </cell>
          <cell r="DL141">
            <v>0</v>
          </cell>
          <cell r="DM141"/>
          <cell r="DN141"/>
          <cell r="DO141"/>
          <cell r="DP141"/>
        </row>
        <row r="142">
          <cell r="A142">
            <v>321</v>
          </cell>
          <cell r="B142" t="str">
            <v>Houten</v>
          </cell>
          <cell r="C142">
            <v>6</v>
          </cell>
          <cell r="D142">
            <v>75757</v>
          </cell>
          <cell r="E142">
            <v>37879</v>
          </cell>
          <cell r="F142">
            <v>0</v>
          </cell>
          <cell r="G142">
            <v>0</v>
          </cell>
          <cell r="H142">
            <v>0</v>
          </cell>
          <cell r="I142">
            <v>-10277</v>
          </cell>
          <cell r="J142"/>
          <cell r="K142">
            <v>0</v>
          </cell>
          <cell r="L142">
            <v>144426</v>
          </cell>
          <cell r="M142">
            <v>134273</v>
          </cell>
          <cell r="N142">
            <v>0</v>
          </cell>
          <cell r="O142">
            <v>0</v>
          </cell>
          <cell r="P142">
            <v>0</v>
          </cell>
          <cell r="Q142">
            <v>0</v>
          </cell>
          <cell r="R142">
            <v>0</v>
          </cell>
          <cell r="S142">
            <v>0</v>
          </cell>
          <cell r="T142">
            <v>0</v>
          </cell>
          <cell r="U142">
            <v>0</v>
          </cell>
          <cell r="V142">
            <v>3000</v>
          </cell>
          <cell r="W142">
            <v>228394</v>
          </cell>
          <cell r="X142">
            <v>0</v>
          </cell>
          <cell r="Y142"/>
          <cell r="Z142">
            <v>0</v>
          </cell>
          <cell r="AA142">
            <v>0</v>
          </cell>
          <cell r="AB142">
            <v>0</v>
          </cell>
          <cell r="AC142"/>
          <cell r="AD142">
            <v>0</v>
          </cell>
          <cell r="AE142">
            <v>0</v>
          </cell>
          <cell r="AF142">
            <v>0</v>
          </cell>
          <cell r="AG142">
            <v>0</v>
          </cell>
          <cell r="AH142">
            <v>0</v>
          </cell>
          <cell r="AI142">
            <v>297554</v>
          </cell>
          <cell r="AJ142">
            <v>0</v>
          </cell>
          <cell r="AK142">
            <v>0</v>
          </cell>
          <cell r="AL142"/>
          <cell r="AM142">
            <v>0</v>
          </cell>
          <cell r="AN142">
            <v>0</v>
          </cell>
          <cell r="AO142">
            <v>0</v>
          </cell>
          <cell r="AP142">
            <v>0</v>
          </cell>
          <cell r="AQ142">
            <v>0</v>
          </cell>
          <cell r="AR142">
            <v>0</v>
          </cell>
          <cell r="AS142">
            <v>0</v>
          </cell>
          <cell r="AT142">
            <v>0</v>
          </cell>
          <cell r="AU142">
            <v>7110</v>
          </cell>
          <cell r="AV142">
            <v>0</v>
          </cell>
          <cell r="AW142">
            <v>0</v>
          </cell>
          <cell r="AX142">
            <v>0</v>
          </cell>
          <cell r="AY142"/>
          <cell r="AZ142"/>
          <cell r="BA142">
            <v>0</v>
          </cell>
          <cell r="BB142"/>
          <cell r="BC142">
            <v>0</v>
          </cell>
          <cell r="BD142">
            <v>17306</v>
          </cell>
          <cell r="BE142"/>
          <cell r="BF142">
            <v>0</v>
          </cell>
          <cell r="BG142">
            <v>0</v>
          </cell>
          <cell r="BH142">
            <v>0</v>
          </cell>
          <cell r="BI142">
            <v>33541</v>
          </cell>
          <cell r="BJ142">
            <v>27609</v>
          </cell>
          <cell r="BK142">
            <v>27609</v>
          </cell>
          <cell r="BL142">
            <v>0</v>
          </cell>
          <cell r="BM142">
            <v>0</v>
          </cell>
          <cell r="BN142">
            <v>0</v>
          </cell>
          <cell r="BO142">
            <v>62263</v>
          </cell>
          <cell r="BP142">
            <v>17395.400000000001</v>
          </cell>
          <cell r="BQ142">
            <v>31337.209302325598</v>
          </cell>
          <cell r="BR142">
            <v>0</v>
          </cell>
          <cell r="BS142">
            <v>0</v>
          </cell>
          <cell r="BT142">
            <v>85049</v>
          </cell>
          <cell r="BU142"/>
          <cell r="BV142"/>
          <cell r="BW142"/>
          <cell r="BX142"/>
          <cell r="BY142">
            <v>0</v>
          </cell>
          <cell r="BZ142">
            <v>0</v>
          </cell>
          <cell r="CA142">
            <v>0</v>
          </cell>
          <cell r="CB142">
            <v>0</v>
          </cell>
          <cell r="CC142">
            <v>2158529</v>
          </cell>
          <cell r="CD142">
            <v>15462227</v>
          </cell>
          <cell r="CE142">
            <v>1894746</v>
          </cell>
          <cell r="CF142">
            <v>-5597</v>
          </cell>
          <cell r="CG142">
            <v>1894746</v>
          </cell>
          <cell r="CH142">
            <v>1894746</v>
          </cell>
          <cell r="CI142">
            <v>1894746</v>
          </cell>
          <cell r="CJ142">
            <v>1894746</v>
          </cell>
          <cell r="CK142">
            <v>0</v>
          </cell>
          <cell r="CL142">
            <v>0</v>
          </cell>
          <cell r="CM142">
            <v>0</v>
          </cell>
          <cell r="CN142">
            <v>0</v>
          </cell>
          <cell r="CO142">
            <v>0</v>
          </cell>
          <cell r="CP142">
            <v>-2860</v>
          </cell>
          <cell r="CQ142">
            <v>778966</v>
          </cell>
          <cell r="CR142">
            <v>784834</v>
          </cell>
          <cell r="CS142">
            <v>789851</v>
          </cell>
          <cell r="CT142">
            <v>801561</v>
          </cell>
          <cell r="CU142">
            <v>820384</v>
          </cell>
          <cell r="CV142">
            <v>-72545</v>
          </cell>
          <cell r="CW142">
            <v>0</v>
          </cell>
          <cell r="CX142">
            <v>0</v>
          </cell>
          <cell r="CY142">
            <v>0</v>
          </cell>
          <cell r="CZ142">
            <v>0</v>
          </cell>
          <cell r="DA142">
            <v>0</v>
          </cell>
          <cell r="DB142"/>
          <cell r="DC142">
            <v>0</v>
          </cell>
          <cell r="DD142">
            <v>0</v>
          </cell>
          <cell r="DE142">
            <v>0</v>
          </cell>
          <cell r="DF142">
            <v>0</v>
          </cell>
          <cell r="DG142">
            <v>0</v>
          </cell>
          <cell r="DH142">
            <v>0</v>
          </cell>
          <cell r="DI142">
            <v>0</v>
          </cell>
          <cell r="DJ142">
            <v>0</v>
          </cell>
          <cell r="DK142">
            <v>0</v>
          </cell>
          <cell r="DL142">
            <v>0</v>
          </cell>
          <cell r="DM142"/>
          <cell r="DN142"/>
          <cell r="DO142"/>
          <cell r="DP142"/>
        </row>
        <row r="143">
          <cell r="A143">
            <v>353</v>
          </cell>
          <cell r="B143" t="str">
            <v>IJsselstein</v>
          </cell>
          <cell r="C143">
            <v>6</v>
          </cell>
          <cell r="D143">
            <v>-15598</v>
          </cell>
          <cell r="E143">
            <v>-7799</v>
          </cell>
          <cell r="F143">
            <v>0</v>
          </cell>
          <cell r="G143">
            <v>0</v>
          </cell>
          <cell r="H143">
            <v>-27907</v>
          </cell>
          <cell r="I143">
            <v>-33003</v>
          </cell>
          <cell r="J143"/>
          <cell r="K143">
            <v>0</v>
          </cell>
          <cell r="L143">
            <v>152086</v>
          </cell>
          <cell r="M143">
            <v>142987</v>
          </cell>
          <cell r="N143">
            <v>0</v>
          </cell>
          <cell r="O143">
            <v>0</v>
          </cell>
          <cell r="P143">
            <v>0</v>
          </cell>
          <cell r="Q143">
            <v>0</v>
          </cell>
          <cell r="R143">
            <v>0</v>
          </cell>
          <cell r="S143">
            <v>0</v>
          </cell>
          <cell r="T143">
            <v>0</v>
          </cell>
          <cell r="U143">
            <v>0</v>
          </cell>
          <cell r="V143">
            <v>0</v>
          </cell>
          <cell r="W143">
            <v>142840</v>
          </cell>
          <cell r="X143">
            <v>0</v>
          </cell>
          <cell r="Y143"/>
          <cell r="Z143">
            <v>0</v>
          </cell>
          <cell r="AA143">
            <v>0</v>
          </cell>
          <cell r="AB143">
            <v>0</v>
          </cell>
          <cell r="AC143"/>
          <cell r="AD143">
            <v>0</v>
          </cell>
          <cell r="AE143">
            <v>0</v>
          </cell>
          <cell r="AF143">
            <v>0</v>
          </cell>
          <cell r="AG143">
            <v>0</v>
          </cell>
          <cell r="AH143">
            <v>0</v>
          </cell>
          <cell r="AI143">
            <v>0</v>
          </cell>
          <cell r="AJ143">
            <v>0</v>
          </cell>
          <cell r="AK143">
            <v>0</v>
          </cell>
          <cell r="AL143"/>
          <cell r="AM143">
            <v>0</v>
          </cell>
          <cell r="AN143">
            <v>0</v>
          </cell>
          <cell r="AO143">
            <v>0</v>
          </cell>
          <cell r="AP143">
            <v>0</v>
          </cell>
          <cell r="AQ143">
            <v>0</v>
          </cell>
          <cell r="AR143">
            <v>0</v>
          </cell>
          <cell r="AS143">
            <v>0</v>
          </cell>
          <cell r="AT143">
            <v>0</v>
          </cell>
          <cell r="AU143">
            <v>0</v>
          </cell>
          <cell r="AV143">
            <v>0</v>
          </cell>
          <cell r="AW143">
            <v>0</v>
          </cell>
          <cell r="AX143">
            <v>0</v>
          </cell>
          <cell r="AY143"/>
          <cell r="AZ143"/>
          <cell r="BA143">
            <v>0</v>
          </cell>
          <cell r="BB143"/>
          <cell r="BC143">
            <v>0</v>
          </cell>
          <cell r="BD143">
            <v>12008</v>
          </cell>
          <cell r="BE143"/>
          <cell r="BF143">
            <v>0</v>
          </cell>
          <cell r="BG143">
            <v>0</v>
          </cell>
          <cell r="BH143">
            <v>0</v>
          </cell>
          <cell r="BI143">
            <v>36122</v>
          </cell>
          <cell r="BJ143">
            <v>29733</v>
          </cell>
          <cell r="BK143">
            <v>29733</v>
          </cell>
          <cell r="BL143">
            <v>0</v>
          </cell>
          <cell r="BM143">
            <v>0</v>
          </cell>
          <cell r="BN143">
            <v>0</v>
          </cell>
          <cell r="BO143">
            <v>41346</v>
          </cell>
          <cell r="BP143">
            <v>3162.8</v>
          </cell>
          <cell r="BQ143">
            <v>5697.6744186046499</v>
          </cell>
          <cell r="BR143">
            <v>0</v>
          </cell>
          <cell r="BS143">
            <v>0</v>
          </cell>
          <cell r="BT143">
            <v>54795</v>
          </cell>
          <cell r="BU143"/>
          <cell r="BV143"/>
          <cell r="BW143"/>
          <cell r="BX143"/>
          <cell r="BY143">
            <v>0</v>
          </cell>
          <cell r="BZ143">
            <v>0</v>
          </cell>
          <cell r="CA143">
            <v>0</v>
          </cell>
          <cell r="CB143">
            <v>0</v>
          </cell>
          <cell r="CC143">
            <v>2103570</v>
          </cell>
          <cell r="CD143">
            <v>13492768</v>
          </cell>
          <cell r="CE143">
            <v>577192</v>
          </cell>
          <cell r="CF143">
            <v>-51508</v>
          </cell>
          <cell r="CG143">
            <v>577192</v>
          </cell>
          <cell r="CH143">
            <v>577192</v>
          </cell>
          <cell r="CI143">
            <v>577192</v>
          </cell>
          <cell r="CJ143">
            <v>577192</v>
          </cell>
          <cell r="CK143">
            <v>0</v>
          </cell>
          <cell r="CL143">
            <v>0</v>
          </cell>
          <cell r="CM143">
            <v>0</v>
          </cell>
          <cell r="CN143">
            <v>0</v>
          </cell>
          <cell r="CO143">
            <v>0</v>
          </cell>
          <cell r="CP143">
            <v>-4302</v>
          </cell>
          <cell r="CQ143">
            <v>2392730</v>
          </cell>
          <cell r="CR143">
            <v>2306443</v>
          </cell>
          <cell r="CS143">
            <v>2281842</v>
          </cell>
          <cell r="CT143">
            <v>2272451</v>
          </cell>
          <cell r="CU143">
            <v>2257094</v>
          </cell>
          <cell r="CV143">
            <v>-42376</v>
          </cell>
          <cell r="CW143">
            <v>0</v>
          </cell>
          <cell r="CX143">
            <v>0</v>
          </cell>
          <cell r="CY143">
            <v>0</v>
          </cell>
          <cell r="CZ143">
            <v>0</v>
          </cell>
          <cell r="DA143">
            <v>0</v>
          </cell>
          <cell r="DB143"/>
          <cell r="DC143">
            <v>0</v>
          </cell>
          <cell r="DD143">
            <v>0</v>
          </cell>
          <cell r="DE143">
            <v>0</v>
          </cell>
          <cell r="DF143">
            <v>0</v>
          </cell>
          <cell r="DG143">
            <v>0</v>
          </cell>
          <cell r="DH143">
            <v>0</v>
          </cell>
          <cell r="DI143">
            <v>0</v>
          </cell>
          <cell r="DJ143">
            <v>0</v>
          </cell>
          <cell r="DK143">
            <v>0</v>
          </cell>
          <cell r="DL143">
            <v>0</v>
          </cell>
          <cell r="DM143"/>
          <cell r="DN143"/>
          <cell r="DO143"/>
          <cell r="DP143"/>
        </row>
        <row r="144">
          <cell r="A144">
            <v>327</v>
          </cell>
          <cell r="B144" t="str">
            <v>Leusden</v>
          </cell>
          <cell r="C144">
            <v>6</v>
          </cell>
          <cell r="D144">
            <v>-7352</v>
          </cell>
          <cell r="E144">
            <v>-3676</v>
          </cell>
          <cell r="F144">
            <v>0</v>
          </cell>
          <cell r="G144">
            <v>0</v>
          </cell>
          <cell r="H144">
            <v>0</v>
          </cell>
          <cell r="I144">
            <v>0</v>
          </cell>
          <cell r="J144"/>
          <cell r="K144">
            <v>0</v>
          </cell>
          <cell r="L144">
            <v>67965</v>
          </cell>
          <cell r="M144">
            <v>65351</v>
          </cell>
          <cell r="N144">
            <v>0</v>
          </cell>
          <cell r="O144">
            <v>0</v>
          </cell>
          <cell r="P144">
            <v>0</v>
          </cell>
          <cell r="Q144">
            <v>0</v>
          </cell>
          <cell r="R144">
            <v>0</v>
          </cell>
          <cell r="S144">
            <v>0</v>
          </cell>
          <cell r="T144">
            <v>0</v>
          </cell>
          <cell r="U144">
            <v>0</v>
          </cell>
          <cell r="V144">
            <v>0</v>
          </cell>
          <cell r="W144">
            <v>121098</v>
          </cell>
          <cell r="X144">
            <v>0</v>
          </cell>
          <cell r="Y144"/>
          <cell r="Z144">
            <v>0</v>
          </cell>
          <cell r="AA144">
            <v>0</v>
          </cell>
          <cell r="AB144">
            <v>0</v>
          </cell>
          <cell r="AC144"/>
          <cell r="AD144">
            <v>0</v>
          </cell>
          <cell r="AE144">
            <v>0</v>
          </cell>
          <cell r="AF144">
            <v>0</v>
          </cell>
          <cell r="AG144">
            <v>0</v>
          </cell>
          <cell r="AH144">
            <v>0</v>
          </cell>
          <cell r="AI144">
            <v>0</v>
          </cell>
          <cell r="AJ144">
            <v>0</v>
          </cell>
          <cell r="AK144">
            <v>0</v>
          </cell>
          <cell r="AL144"/>
          <cell r="AM144">
            <v>0</v>
          </cell>
          <cell r="AN144">
            <v>0</v>
          </cell>
          <cell r="AO144">
            <v>0</v>
          </cell>
          <cell r="AP144">
            <v>0</v>
          </cell>
          <cell r="AQ144">
            <v>0</v>
          </cell>
          <cell r="AR144">
            <v>0</v>
          </cell>
          <cell r="AS144">
            <v>0</v>
          </cell>
          <cell r="AT144">
            <v>0</v>
          </cell>
          <cell r="AU144">
            <v>11850</v>
          </cell>
          <cell r="AV144">
            <v>0</v>
          </cell>
          <cell r="AW144">
            <v>0</v>
          </cell>
          <cell r="AX144">
            <v>0</v>
          </cell>
          <cell r="AY144"/>
          <cell r="AZ144"/>
          <cell r="BA144">
            <v>0</v>
          </cell>
          <cell r="BB144"/>
          <cell r="BC144">
            <v>0</v>
          </cell>
          <cell r="BD144">
            <v>10418</v>
          </cell>
          <cell r="BE144"/>
          <cell r="BF144">
            <v>0</v>
          </cell>
          <cell r="BG144">
            <v>0</v>
          </cell>
          <cell r="BH144">
            <v>0</v>
          </cell>
          <cell r="BI144">
            <v>25830</v>
          </cell>
          <cell r="BJ144">
            <v>21262</v>
          </cell>
          <cell r="BK144">
            <v>21262</v>
          </cell>
          <cell r="BL144">
            <v>0</v>
          </cell>
          <cell r="BM144">
            <v>0</v>
          </cell>
          <cell r="BN144">
            <v>0</v>
          </cell>
          <cell r="BO144">
            <v>58858</v>
          </cell>
          <cell r="BP144">
            <v>22139.599999999999</v>
          </cell>
          <cell r="BQ144">
            <v>39883.720930232601</v>
          </cell>
          <cell r="BR144">
            <v>0</v>
          </cell>
          <cell r="BS144">
            <v>0</v>
          </cell>
          <cell r="BT144">
            <v>43114</v>
          </cell>
          <cell r="BU144"/>
          <cell r="BV144"/>
          <cell r="BW144"/>
          <cell r="BX144"/>
          <cell r="BY144">
            <v>0</v>
          </cell>
          <cell r="BZ144">
            <v>0</v>
          </cell>
          <cell r="CA144">
            <v>0</v>
          </cell>
          <cell r="CB144">
            <v>0</v>
          </cell>
          <cell r="CC144">
            <v>1785483</v>
          </cell>
          <cell r="CD144">
            <v>9566741</v>
          </cell>
          <cell r="CE144">
            <v>722448</v>
          </cell>
          <cell r="CF144">
            <v>0</v>
          </cell>
          <cell r="CG144">
            <v>722448</v>
          </cell>
          <cell r="CH144">
            <v>722448</v>
          </cell>
          <cell r="CI144">
            <v>722448</v>
          </cell>
          <cell r="CJ144">
            <v>722448</v>
          </cell>
          <cell r="CK144">
            <v>0</v>
          </cell>
          <cell r="CL144">
            <v>0</v>
          </cell>
          <cell r="CM144">
            <v>0</v>
          </cell>
          <cell r="CN144">
            <v>0</v>
          </cell>
          <cell r="CO144">
            <v>0</v>
          </cell>
          <cell r="CP144">
            <v>0</v>
          </cell>
          <cell r="CQ144">
            <v>1516888</v>
          </cell>
          <cell r="CR144">
            <v>1436565</v>
          </cell>
          <cell r="CS144">
            <v>1381457</v>
          </cell>
          <cell r="CT144">
            <v>1326484</v>
          </cell>
          <cell r="CU144">
            <v>1289787</v>
          </cell>
          <cell r="CV144">
            <v>13373</v>
          </cell>
          <cell r="CW144">
            <v>0</v>
          </cell>
          <cell r="CX144">
            <v>0</v>
          </cell>
          <cell r="CY144">
            <v>0</v>
          </cell>
          <cell r="CZ144">
            <v>0</v>
          </cell>
          <cell r="DA144">
            <v>0</v>
          </cell>
          <cell r="DB144"/>
          <cell r="DC144">
            <v>0</v>
          </cell>
          <cell r="DD144">
            <v>0</v>
          </cell>
          <cell r="DE144">
            <v>0</v>
          </cell>
          <cell r="DF144">
            <v>0</v>
          </cell>
          <cell r="DG144">
            <v>0</v>
          </cell>
          <cell r="DH144">
            <v>0</v>
          </cell>
          <cell r="DI144">
            <v>0</v>
          </cell>
          <cell r="DJ144">
            <v>0</v>
          </cell>
          <cell r="DK144">
            <v>0</v>
          </cell>
          <cell r="DL144">
            <v>0</v>
          </cell>
          <cell r="DM144"/>
          <cell r="DN144"/>
          <cell r="DO144"/>
          <cell r="DP144"/>
        </row>
        <row r="145">
          <cell r="A145">
            <v>331</v>
          </cell>
          <cell r="B145" t="str">
            <v>Lopik</v>
          </cell>
          <cell r="C145">
            <v>6</v>
          </cell>
          <cell r="D145">
            <v>-8293</v>
          </cell>
          <cell r="E145">
            <v>-4146</v>
          </cell>
          <cell r="F145">
            <v>0</v>
          </cell>
          <cell r="G145">
            <v>0</v>
          </cell>
          <cell r="H145">
            <v>-3867</v>
          </cell>
          <cell r="I145">
            <v>0</v>
          </cell>
          <cell r="J145"/>
          <cell r="K145">
            <v>0</v>
          </cell>
          <cell r="L145">
            <v>53182</v>
          </cell>
          <cell r="M145">
            <v>56566</v>
          </cell>
          <cell r="N145">
            <v>0</v>
          </cell>
          <cell r="O145">
            <v>0</v>
          </cell>
          <cell r="P145">
            <v>0</v>
          </cell>
          <cell r="Q145">
            <v>0</v>
          </cell>
          <cell r="R145">
            <v>0</v>
          </cell>
          <cell r="S145">
            <v>0</v>
          </cell>
          <cell r="T145">
            <v>0</v>
          </cell>
          <cell r="U145">
            <v>0</v>
          </cell>
          <cell r="V145">
            <v>0</v>
          </cell>
          <cell r="W145">
            <v>50711</v>
          </cell>
          <cell r="X145">
            <v>0</v>
          </cell>
          <cell r="Y145"/>
          <cell r="Z145">
            <v>0</v>
          </cell>
          <cell r="AA145">
            <v>0</v>
          </cell>
          <cell r="AB145">
            <v>0</v>
          </cell>
          <cell r="AC145"/>
          <cell r="AD145">
            <v>0</v>
          </cell>
          <cell r="AE145">
            <v>0</v>
          </cell>
          <cell r="AF145">
            <v>0</v>
          </cell>
          <cell r="AG145">
            <v>0</v>
          </cell>
          <cell r="AH145">
            <v>0</v>
          </cell>
          <cell r="AI145">
            <v>0</v>
          </cell>
          <cell r="AJ145">
            <v>0</v>
          </cell>
          <cell r="AK145">
            <v>0</v>
          </cell>
          <cell r="AL145"/>
          <cell r="AM145">
            <v>0</v>
          </cell>
          <cell r="AN145">
            <v>0</v>
          </cell>
          <cell r="AO145">
            <v>0</v>
          </cell>
          <cell r="AP145">
            <v>0</v>
          </cell>
          <cell r="AQ145">
            <v>0</v>
          </cell>
          <cell r="AR145">
            <v>0</v>
          </cell>
          <cell r="AS145">
            <v>0</v>
          </cell>
          <cell r="AT145">
            <v>0</v>
          </cell>
          <cell r="AU145">
            <v>0</v>
          </cell>
          <cell r="AV145">
            <v>0</v>
          </cell>
          <cell r="AW145">
            <v>0</v>
          </cell>
          <cell r="AX145">
            <v>0</v>
          </cell>
          <cell r="AY145"/>
          <cell r="AZ145"/>
          <cell r="BA145">
            <v>0</v>
          </cell>
          <cell r="BB145"/>
          <cell r="BC145">
            <v>0</v>
          </cell>
          <cell r="BD145">
            <v>4988</v>
          </cell>
          <cell r="BE145"/>
          <cell r="BF145">
            <v>0</v>
          </cell>
          <cell r="BG145">
            <v>0</v>
          </cell>
          <cell r="BH145">
            <v>0</v>
          </cell>
          <cell r="BI145">
            <v>11448</v>
          </cell>
          <cell r="BJ145">
            <v>9423</v>
          </cell>
          <cell r="BK145">
            <v>9423</v>
          </cell>
          <cell r="BL145">
            <v>0</v>
          </cell>
          <cell r="BM145">
            <v>0</v>
          </cell>
          <cell r="BN145">
            <v>0</v>
          </cell>
          <cell r="BO145">
            <v>87557</v>
          </cell>
          <cell r="BP145">
            <v>18976.8</v>
          </cell>
          <cell r="BQ145">
            <v>34186.046511627901</v>
          </cell>
          <cell r="BR145">
            <v>0</v>
          </cell>
          <cell r="BS145">
            <v>0</v>
          </cell>
          <cell r="BT145">
            <v>32972</v>
          </cell>
          <cell r="BU145"/>
          <cell r="BV145"/>
          <cell r="BW145"/>
          <cell r="BX145"/>
          <cell r="BY145">
            <v>0</v>
          </cell>
          <cell r="BZ145">
            <v>0</v>
          </cell>
          <cell r="CA145">
            <v>0</v>
          </cell>
          <cell r="CB145">
            <v>0</v>
          </cell>
          <cell r="CC145">
            <v>750335</v>
          </cell>
          <cell r="CD145">
            <v>4596318</v>
          </cell>
          <cell r="CE145">
            <v>540362</v>
          </cell>
          <cell r="CF145">
            <v>0</v>
          </cell>
          <cell r="CG145">
            <v>540362</v>
          </cell>
          <cell r="CH145">
            <v>540362</v>
          </cell>
          <cell r="CI145">
            <v>540362</v>
          </cell>
          <cell r="CJ145">
            <v>540362</v>
          </cell>
          <cell r="CK145">
            <v>0</v>
          </cell>
          <cell r="CL145">
            <v>0</v>
          </cell>
          <cell r="CM145">
            <v>0</v>
          </cell>
          <cell r="CN145">
            <v>0</v>
          </cell>
          <cell r="CO145">
            <v>0</v>
          </cell>
          <cell r="CP145">
            <v>0</v>
          </cell>
          <cell r="CQ145">
            <v>735452</v>
          </cell>
          <cell r="CR145">
            <v>705687</v>
          </cell>
          <cell r="CS145">
            <v>702317</v>
          </cell>
          <cell r="CT145">
            <v>695216</v>
          </cell>
          <cell r="CU145">
            <v>691299</v>
          </cell>
          <cell r="CV145">
            <v>-28994</v>
          </cell>
          <cell r="CW145">
            <v>0</v>
          </cell>
          <cell r="CX145">
            <v>0</v>
          </cell>
          <cell r="CY145">
            <v>0</v>
          </cell>
          <cell r="CZ145">
            <v>0</v>
          </cell>
          <cell r="DA145">
            <v>0</v>
          </cell>
          <cell r="DB145"/>
          <cell r="DC145">
            <v>0</v>
          </cell>
          <cell r="DD145">
            <v>0</v>
          </cell>
          <cell r="DE145">
            <v>0</v>
          </cell>
          <cell r="DF145">
            <v>0</v>
          </cell>
          <cell r="DG145">
            <v>0</v>
          </cell>
          <cell r="DH145">
            <v>0</v>
          </cell>
          <cell r="DI145">
            <v>0</v>
          </cell>
          <cell r="DJ145">
            <v>0</v>
          </cell>
          <cell r="DK145">
            <v>0</v>
          </cell>
          <cell r="DL145">
            <v>0</v>
          </cell>
          <cell r="DM145"/>
          <cell r="DN145"/>
          <cell r="DO145"/>
          <cell r="DP145"/>
        </row>
        <row r="146">
          <cell r="A146">
            <v>335</v>
          </cell>
          <cell r="B146" t="str">
            <v>Montfoort U</v>
          </cell>
          <cell r="C146">
            <v>6</v>
          </cell>
          <cell r="D146">
            <v>9512</v>
          </cell>
          <cell r="E146">
            <v>4756</v>
          </cell>
          <cell r="F146">
            <v>0</v>
          </cell>
          <cell r="G146">
            <v>0</v>
          </cell>
          <cell r="H146">
            <v>0</v>
          </cell>
          <cell r="I146">
            <v>0</v>
          </cell>
          <cell r="J146"/>
          <cell r="K146">
            <v>0</v>
          </cell>
          <cell r="L146">
            <v>40747</v>
          </cell>
          <cell r="M146">
            <v>40377</v>
          </cell>
          <cell r="N146">
            <v>0</v>
          </cell>
          <cell r="O146">
            <v>0</v>
          </cell>
          <cell r="P146">
            <v>0</v>
          </cell>
          <cell r="Q146">
            <v>0</v>
          </cell>
          <cell r="R146">
            <v>0</v>
          </cell>
          <cell r="S146">
            <v>0</v>
          </cell>
          <cell r="T146">
            <v>0</v>
          </cell>
          <cell r="U146">
            <v>0</v>
          </cell>
          <cell r="V146">
            <v>0</v>
          </cell>
          <cell r="W146">
            <v>63173</v>
          </cell>
          <cell r="X146">
            <v>0</v>
          </cell>
          <cell r="Y146"/>
          <cell r="Z146">
            <v>0</v>
          </cell>
          <cell r="AA146">
            <v>0</v>
          </cell>
          <cell r="AB146">
            <v>0</v>
          </cell>
          <cell r="AC146"/>
          <cell r="AD146">
            <v>0</v>
          </cell>
          <cell r="AE146">
            <v>0</v>
          </cell>
          <cell r="AF146">
            <v>0</v>
          </cell>
          <cell r="AG146">
            <v>0</v>
          </cell>
          <cell r="AH146">
            <v>0</v>
          </cell>
          <cell r="AI146">
            <v>0</v>
          </cell>
          <cell r="AJ146">
            <v>0</v>
          </cell>
          <cell r="AK146">
            <v>0</v>
          </cell>
          <cell r="AL146"/>
          <cell r="AM146">
            <v>0</v>
          </cell>
          <cell r="AN146">
            <v>0</v>
          </cell>
          <cell r="AO146">
            <v>0</v>
          </cell>
          <cell r="AP146">
            <v>0</v>
          </cell>
          <cell r="AQ146">
            <v>0</v>
          </cell>
          <cell r="AR146">
            <v>0</v>
          </cell>
          <cell r="AS146">
            <v>0</v>
          </cell>
          <cell r="AT146">
            <v>0</v>
          </cell>
          <cell r="AU146">
            <v>2370</v>
          </cell>
          <cell r="AV146">
            <v>0</v>
          </cell>
          <cell r="AW146">
            <v>0</v>
          </cell>
          <cell r="AX146">
            <v>0</v>
          </cell>
          <cell r="AY146"/>
          <cell r="AZ146"/>
          <cell r="BA146">
            <v>0</v>
          </cell>
          <cell r="BB146"/>
          <cell r="BC146">
            <v>0</v>
          </cell>
          <cell r="BD146">
            <v>4867</v>
          </cell>
          <cell r="BE146"/>
          <cell r="BF146">
            <v>0</v>
          </cell>
          <cell r="BG146">
            <v>0</v>
          </cell>
          <cell r="BH146">
            <v>0</v>
          </cell>
          <cell r="BI146">
            <v>11295</v>
          </cell>
          <cell r="BJ146">
            <v>9297</v>
          </cell>
          <cell r="BK146">
            <v>9297</v>
          </cell>
          <cell r="BL146">
            <v>0</v>
          </cell>
          <cell r="BM146">
            <v>0</v>
          </cell>
          <cell r="BN146">
            <v>0</v>
          </cell>
          <cell r="BO146">
            <v>113824</v>
          </cell>
          <cell r="BP146">
            <v>4744.2</v>
          </cell>
          <cell r="BQ146">
            <v>8546.5116279069807</v>
          </cell>
          <cell r="BR146">
            <v>0</v>
          </cell>
          <cell r="BS146">
            <v>0</v>
          </cell>
          <cell r="BT146">
            <v>23800</v>
          </cell>
          <cell r="BU146"/>
          <cell r="BV146"/>
          <cell r="BW146"/>
          <cell r="BX146"/>
          <cell r="BY146">
            <v>0</v>
          </cell>
          <cell r="BZ146">
            <v>0</v>
          </cell>
          <cell r="CA146">
            <v>0</v>
          </cell>
          <cell r="CB146">
            <v>0</v>
          </cell>
          <cell r="CC146">
            <v>729790</v>
          </cell>
          <cell r="CD146">
            <v>3615732</v>
          </cell>
          <cell r="CE146">
            <v>213183</v>
          </cell>
          <cell r="CF146">
            <v>0</v>
          </cell>
          <cell r="CG146">
            <v>213183</v>
          </cell>
          <cell r="CH146">
            <v>213183</v>
          </cell>
          <cell r="CI146">
            <v>213183</v>
          </cell>
          <cell r="CJ146">
            <v>213183</v>
          </cell>
          <cell r="CK146">
            <v>0</v>
          </cell>
          <cell r="CL146">
            <v>0</v>
          </cell>
          <cell r="CM146">
            <v>0</v>
          </cell>
          <cell r="CN146">
            <v>0</v>
          </cell>
          <cell r="CO146">
            <v>0</v>
          </cell>
          <cell r="CP146">
            <v>0</v>
          </cell>
          <cell r="CQ146">
            <v>493750</v>
          </cell>
          <cell r="CR146">
            <v>483371</v>
          </cell>
          <cell r="CS146">
            <v>482994</v>
          </cell>
          <cell r="CT146">
            <v>483117</v>
          </cell>
          <cell r="CU146">
            <v>471474</v>
          </cell>
          <cell r="CV146">
            <v>-13979</v>
          </cell>
          <cell r="CW146">
            <v>0</v>
          </cell>
          <cell r="CX146">
            <v>0</v>
          </cell>
          <cell r="CY146">
            <v>0</v>
          </cell>
          <cell r="CZ146">
            <v>0</v>
          </cell>
          <cell r="DA146">
            <v>0</v>
          </cell>
          <cell r="DB146"/>
          <cell r="DC146">
            <v>0</v>
          </cell>
          <cell r="DD146">
            <v>0</v>
          </cell>
          <cell r="DE146">
            <v>0</v>
          </cell>
          <cell r="DF146">
            <v>0</v>
          </cell>
          <cell r="DG146">
            <v>0</v>
          </cell>
          <cell r="DH146">
            <v>0</v>
          </cell>
          <cell r="DI146">
            <v>0</v>
          </cell>
          <cell r="DJ146">
            <v>0</v>
          </cell>
          <cell r="DK146">
            <v>0</v>
          </cell>
          <cell r="DL146">
            <v>0</v>
          </cell>
          <cell r="DM146"/>
          <cell r="DN146"/>
          <cell r="DO146"/>
          <cell r="DP146"/>
        </row>
        <row r="147">
          <cell r="A147">
            <v>356</v>
          </cell>
          <cell r="B147" t="str">
            <v>Nieuwegein</v>
          </cell>
          <cell r="C147">
            <v>6</v>
          </cell>
          <cell r="D147">
            <v>52320</v>
          </cell>
          <cell r="E147">
            <v>26160</v>
          </cell>
          <cell r="F147">
            <v>0</v>
          </cell>
          <cell r="G147">
            <v>0</v>
          </cell>
          <cell r="H147">
            <v>0</v>
          </cell>
          <cell r="I147">
            <v>-13773</v>
          </cell>
          <cell r="J147"/>
          <cell r="K147">
            <v>0</v>
          </cell>
          <cell r="L147">
            <v>265414</v>
          </cell>
          <cell r="M147">
            <v>265571</v>
          </cell>
          <cell r="N147">
            <v>0</v>
          </cell>
          <cell r="O147">
            <v>0</v>
          </cell>
          <cell r="P147">
            <v>0</v>
          </cell>
          <cell r="Q147">
            <v>0</v>
          </cell>
          <cell r="R147">
            <v>0</v>
          </cell>
          <cell r="S147">
            <v>0</v>
          </cell>
          <cell r="T147">
            <v>0</v>
          </cell>
          <cell r="U147">
            <v>0</v>
          </cell>
          <cell r="V147">
            <v>0</v>
          </cell>
          <cell r="W147">
            <v>228589</v>
          </cell>
          <cell r="X147">
            <v>0</v>
          </cell>
          <cell r="Y147"/>
          <cell r="Z147">
            <v>0</v>
          </cell>
          <cell r="AA147">
            <v>0</v>
          </cell>
          <cell r="AB147">
            <v>0</v>
          </cell>
          <cell r="AC147"/>
          <cell r="AD147">
            <v>0</v>
          </cell>
          <cell r="AE147">
            <v>0</v>
          </cell>
          <cell r="AF147">
            <v>0</v>
          </cell>
          <cell r="AG147">
            <v>0</v>
          </cell>
          <cell r="AH147">
            <v>0</v>
          </cell>
          <cell r="AI147">
            <v>0</v>
          </cell>
          <cell r="AJ147">
            <v>0</v>
          </cell>
          <cell r="AK147">
            <v>0</v>
          </cell>
          <cell r="AL147"/>
          <cell r="AM147">
            <v>0</v>
          </cell>
          <cell r="AN147">
            <v>0</v>
          </cell>
          <cell r="AO147">
            <v>0</v>
          </cell>
          <cell r="AP147">
            <v>0</v>
          </cell>
          <cell r="AQ147">
            <v>0</v>
          </cell>
          <cell r="AR147">
            <v>0</v>
          </cell>
          <cell r="AS147">
            <v>0</v>
          </cell>
          <cell r="AT147">
            <v>0</v>
          </cell>
          <cell r="AU147">
            <v>18960</v>
          </cell>
          <cell r="AV147">
            <v>0</v>
          </cell>
          <cell r="AW147">
            <v>0</v>
          </cell>
          <cell r="AX147">
            <v>0</v>
          </cell>
          <cell r="AY147"/>
          <cell r="AZ147"/>
          <cell r="BA147">
            <v>0</v>
          </cell>
          <cell r="BB147"/>
          <cell r="BC147">
            <v>0</v>
          </cell>
          <cell r="BD147">
            <v>21718</v>
          </cell>
          <cell r="BE147"/>
          <cell r="BF147">
            <v>0</v>
          </cell>
          <cell r="BG147">
            <v>0</v>
          </cell>
          <cell r="BH147">
            <v>0</v>
          </cell>
          <cell r="BI147">
            <v>85162</v>
          </cell>
          <cell r="BJ147">
            <v>70101</v>
          </cell>
          <cell r="BK147">
            <v>70101</v>
          </cell>
          <cell r="BL147">
            <v>0</v>
          </cell>
          <cell r="BM147">
            <v>0</v>
          </cell>
          <cell r="BN147">
            <v>0</v>
          </cell>
          <cell r="BO147">
            <v>151279</v>
          </cell>
          <cell r="BP147">
            <v>31628</v>
          </cell>
          <cell r="BQ147">
            <v>56976.744186046497</v>
          </cell>
          <cell r="BR147">
            <v>0</v>
          </cell>
          <cell r="BS147">
            <v>0</v>
          </cell>
          <cell r="BT147">
            <v>89439</v>
          </cell>
          <cell r="BU147"/>
          <cell r="BV147"/>
          <cell r="BW147"/>
          <cell r="BX147"/>
          <cell r="BY147">
            <v>0</v>
          </cell>
          <cell r="BZ147">
            <v>0</v>
          </cell>
          <cell r="CA147">
            <v>0</v>
          </cell>
          <cell r="CB147">
            <v>0</v>
          </cell>
          <cell r="CC147">
            <v>4499747</v>
          </cell>
          <cell r="CD147">
            <v>24450579</v>
          </cell>
          <cell r="CE147">
            <v>1258285</v>
          </cell>
          <cell r="CF147">
            <v>0</v>
          </cell>
          <cell r="CG147">
            <v>1258285</v>
          </cell>
          <cell r="CH147">
            <v>1258285</v>
          </cell>
          <cell r="CI147">
            <v>1258285</v>
          </cell>
          <cell r="CJ147">
            <v>1258285</v>
          </cell>
          <cell r="CK147">
            <v>0</v>
          </cell>
          <cell r="CL147">
            <v>0</v>
          </cell>
          <cell r="CM147">
            <v>0</v>
          </cell>
          <cell r="CN147">
            <v>0</v>
          </cell>
          <cell r="CO147">
            <v>0</v>
          </cell>
          <cell r="CP147">
            <v>-4957</v>
          </cell>
          <cell r="CQ147">
            <v>3145859</v>
          </cell>
          <cell r="CR147">
            <v>3061546</v>
          </cell>
          <cell r="CS147">
            <v>3005718</v>
          </cell>
          <cell r="CT147">
            <v>2988582</v>
          </cell>
          <cell r="CU147">
            <v>2956346</v>
          </cell>
          <cell r="CV147">
            <v>-37753</v>
          </cell>
          <cell r="CW147">
            <v>0</v>
          </cell>
          <cell r="CX147">
            <v>0</v>
          </cell>
          <cell r="CY147">
            <v>0</v>
          </cell>
          <cell r="CZ147">
            <v>0</v>
          </cell>
          <cell r="DA147">
            <v>0</v>
          </cell>
          <cell r="DB147"/>
          <cell r="DC147">
            <v>0</v>
          </cell>
          <cell r="DD147">
            <v>0</v>
          </cell>
          <cell r="DE147">
            <v>0</v>
          </cell>
          <cell r="DF147">
            <v>0</v>
          </cell>
          <cell r="DG147">
            <v>0</v>
          </cell>
          <cell r="DH147">
            <v>0</v>
          </cell>
          <cell r="DI147">
            <v>0</v>
          </cell>
          <cell r="DJ147">
            <v>0</v>
          </cell>
          <cell r="DK147">
            <v>0</v>
          </cell>
          <cell r="DL147">
            <v>0</v>
          </cell>
          <cell r="DM147"/>
          <cell r="DN147"/>
          <cell r="DO147"/>
          <cell r="DP147"/>
        </row>
        <row r="148">
          <cell r="A148">
            <v>589</v>
          </cell>
          <cell r="B148" t="str">
            <v>Oudewater</v>
          </cell>
          <cell r="C148">
            <v>6</v>
          </cell>
          <cell r="D148">
            <v>-25718</v>
          </cell>
          <cell r="E148">
            <v>-12859</v>
          </cell>
          <cell r="F148">
            <v>0</v>
          </cell>
          <cell r="G148">
            <v>5663</v>
          </cell>
          <cell r="H148">
            <v>0</v>
          </cell>
          <cell r="I148">
            <v>-1186</v>
          </cell>
          <cell r="J148"/>
          <cell r="K148">
            <v>0</v>
          </cell>
          <cell r="L148">
            <v>34261</v>
          </cell>
          <cell r="M148">
            <v>29497</v>
          </cell>
          <cell r="N148">
            <v>0</v>
          </cell>
          <cell r="O148">
            <v>0</v>
          </cell>
          <cell r="P148">
            <v>0</v>
          </cell>
          <cell r="Q148">
            <v>0</v>
          </cell>
          <cell r="R148">
            <v>0</v>
          </cell>
          <cell r="S148">
            <v>0</v>
          </cell>
          <cell r="T148">
            <v>0</v>
          </cell>
          <cell r="U148">
            <v>0</v>
          </cell>
          <cell r="V148">
            <v>0</v>
          </cell>
          <cell r="W148">
            <v>19598</v>
          </cell>
          <cell r="X148">
            <v>0</v>
          </cell>
          <cell r="Y148"/>
          <cell r="Z148">
            <v>0</v>
          </cell>
          <cell r="AA148">
            <v>0</v>
          </cell>
          <cell r="AB148">
            <v>0</v>
          </cell>
          <cell r="AC148"/>
          <cell r="AD148">
            <v>0</v>
          </cell>
          <cell r="AE148">
            <v>0</v>
          </cell>
          <cell r="AF148">
            <v>0</v>
          </cell>
          <cell r="AG148">
            <v>0</v>
          </cell>
          <cell r="AH148">
            <v>0</v>
          </cell>
          <cell r="AI148">
            <v>0</v>
          </cell>
          <cell r="AJ148">
            <v>0</v>
          </cell>
          <cell r="AK148">
            <v>0</v>
          </cell>
          <cell r="AL148"/>
          <cell r="AM148">
            <v>0</v>
          </cell>
          <cell r="AN148">
            <v>0</v>
          </cell>
          <cell r="AO148">
            <v>0</v>
          </cell>
          <cell r="AP148">
            <v>0</v>
          </cell>
          <cell r="AQ148">
            <v>0</v>
          </cell>
          <cell r="AR148">
            <v>0</v>
          </cell>
          <cell r="AS148">
            <v>0</v>
          </cell>
          <cell r="AT148">
            <v>0</v>
          </cell>
          <cell r="AU148">
            <v>2370</v>
          </cell>
          <cell r="AV148">
            <v>0</v>
          </cell>
          <cell r="AW148">
            <v>0</v>
          </cell>
          <cell r="AX148">
            <v>0</v>
          </cell>
          <cell r="AY148"/>
          <cell r="AZ148"/>
          <cell r="BA148">
            <v>0</v>
          </cell>
          <cell r="BB148"/>
          <cell r="BC148">
            <v>0</v>
          </cell>
          <cell r="BD148">
            <v>3576</v>
          </cell>
          <cell r="BE148"/>
          <cell r="BF148">
            <v>0</v>
          </cell>
          <cell r="BG148">
            <v>0</v>
          </cell>
          <cell r="BH148">
            <v>0</v>
          </cell>
          <cell r="BI148">
            <v>12297</v>
          </cell>
          <cell r="BJ148">
            <v>10122</v>
          </cell>
          <cell r="BK148">
            <v>10122</v>
          </cell>
          <cell r="BL148">
            <v>0</v>
          </cell>
          <cell r="BM148">
            <v>0</v>
          </cell>
          <cell r="BN148">
            <v>0</v>
          </cell>
          <cell r="BO148">
            <v>77342</v>
          </cell>
          <cell r="BP148">
            <v>15814</v>
          </cell>
          <cell r="BQ148">
            <v>28488.372093023299</v>
          </cell>
          <cell r="BR148">
            <v>0</v>
          </cell>
          <cell r="BS148">
            <v>0</v>
          </cell>
          <cell r="BT148">
            <v>16632</v>
          </cell>
          <cell r="BU148"/>
          <cell r="BV148"/>
          <cell r="BW148"/>
          <cell r="BX148"/>
          <cell r="BY148">
            <v>0</v>
          </cell>
          <cell r="BZ148">
            <v>0</v>
          </cell>
          <cell r="CA148">
            <v>0</v>
          </cell>
          <cell r="CB148">
            <v>0</v>
          </cell>
          <cell r="CC148">
            <v>614296</v>
          </cell>
          <cell r="CD148">
            <v>2872397</v>
          </cell>
          <cell r="CE148">
            <v>151691</v>
          </cell>
          <cell r="CF148">
            <v>-2853</v>
          </cell>
          <cell r="CG148">
            <v>151691</v>
          </cell>
          <cell r="CH148">
            <v>151691</v>
          </cell>
          <cell r="CI148">
            <v>151691</v>
          </cell>
          <cell r="CJ148">
            <v>151691</v>
          </cell>
          <cell r="CK148">
            <v>0</v>
          </cell>
          <cell r="CL148">
            <v>0</v>
          </cell>
          <cell r="CM148">
            <v>0</v>
          </cell>
          <cell r="CN148">
            <v>0</v>
          </cell>
          <cell r="CO148">
            <v>0</v>
          </cell>
          <cell r="CP148">
            <v>0</v>
          </cell>
          <cell r="CQ148">
            <v>493122</v>
          </cell>
          <cell r="CR148">
            <v>478404</v>
          </cell>
          <cell r="CS148">
            <v>455156</v>
          </cell>
          <cell r="CT148">
            <v>436135</v>
          </cell>
          <cell r="CU148">
            <v>426435</v>
          </cell>
          <cell r="CV148">
            <v>-12579</v>
          </cell>
          <cell r="CW148">
            <v>0</v>
          </cell>
          <cell r="CX148">
            <v>0</v>
          </cell>
          <cell r="CY148">
            <v>0</v>
          </cell>
          <cell r="CZ148">
            <v>0</v>
          </cell>
          <cell r="DA148">
            <v>0</v>
          </cell>
          <cell r="DB148"/>
          <cell r="DC148">
            <v>0</v>
          </cell>
          <cell r="DD148">
            <v>0</v>
          </cell>
          <cell r="DE148">
            <v>0</v>
          </cell>
          <cell r="DF148">
            <v>0</v>
          </cell>
          <cell r="DG148">
            <v>0</v>
          </cell>
          <cell r="DH148">
            <v>0</v>
          </cell>
          <cell r="DI148">
            <v>0</v>
          </cell>
          <cell r="DJ148">
            <v>0</v>
          </cell>
          <cell r="DK148">
            <v>0</v>
          </cell>
          <cell r="DL148">
            <v>0</v>
          </cell>
          <cell r="DM148"/>
          <cell r="DN148"/>
          <cell r="DO148"/>
          <cell r="DP148"/>
        </row>
        <row r="149">
          <cell r="A149">
            <v>339</v>
          </cell>
          <cell r="B149" t="str">
            <v>Renswoude</v>
          </cell>
          <cell r="C149">
            <v>6</v>
          </cell>
          <cell r="D149">
            <v>-7849</v>
          </cell>
          <cell r="E149">
            <v>-3924</v>
          </cell>
          <cell r="F149">
            <v>0</v>
          </cell>
          <cell r="G149">
            <v>0</v>
          </cell>
          <cell r="H149">
            <v>-4836</v>
          </cell>
          <cell r="I149">
            <v>-1427</v>
          </cell>
          <cell r="J149"/>
          <cell r="K149">
            <v>0</v>
          </cell>
          <cell r="L149">
            <v>14226</v>
          </cell>
          <cell r="M149">
            <v>10523</v>
          </cell>
          <cell r="N149">
            <v>0</v>
          </cell>
          <cell r="O149">
            <v>0</v>
          </cell>
          <cell r="P149">
            <v>0</v>
          </cell>
          <cell r="Q149">
            <v>0</v>
          </cell>
          <cell r="R149">
            <v>0</v>
          </cell>
          <cell r="S149">
            <v>0</v>
          </cell>
          <cell r="T149">
            <v>0</v>
          </cell>
          <cell r="U149">
            <v>0</v>
          </cell>
          <cell r="V149">
            <v>0</v>
          </cell>
          <cell r="W149">
            <v>0</v>
          </cell>
          <cell r="X149">
            <v>0</v>
          </cell>
          <cell r="Y149"/>
          <cell r="Z149">
            <v>0</v>
          </cell>
          <cell r="AA149">
            <v>0</v>
          </cell>
          <cell r="AB149">
            <v>0</v>
          </cell>
          <cell r="AC149"/>
          <cell r="AD149">
            <v>0</v>
          </cell>
          <cell r="AE149">
            <v>0</v>
          </cell>
          <cell r="AF149">
            <v>0</v>
          </cell>
          <cell r="AG149">
            <v>0</v>
          </cell>
          <cell r="AH149">
            <v>0</v>
          </cell>
          <cell r="AI149">
            <v>0</v>
          </cell>
          <cell r="AJ149">
            <v>0</v>
          </cell>
          <cell r="AK149">
            <v>0</v>
          </cell>
          <cell r="AL149"/>
          <cell r="AM149">
            <v>0</v>
          </cell>
          <cell r="AN149">
            <v>0</v>
          </cell>
          <cell r="AO149">
            <v>0</v>
          </cell>
          <cell r="AP149">
            <v>0</v>
          </cell>
          <cell r="AQ149">
            <v>0</v>
          </cell>
          <cell r="AR149">
            <v>0</v>
          </cell>
          <cell r="AS149">
            <v>0</v>
          </cell>
          <cell r="AT149">
            <v>0</v>
          </cell>
          <cell r="AU149">
            <v>0</v>
          </cell>
          <cell r="AV149">
            <v>0</v>
          </cell>
          <cell r="AW149">
            <v>0</v>
          </cell>
          <cell r="AX149">
            <v>0</v>
          </cell>
          <cell r="AY149"/>
          <cell r="AZ149"/>
          <cell r="BA149">
            <v>0</v>
          </cell>
          <cell r="BB149"/>
          <cell r="BC149">
            <v>0</v>
          </cell>
          <cell r="BD149">
            <v>1791</v>
          </cell>
          <cell r="BE149"/>
          <cell r="BF149">
            <v>0</v>
          </cell>
          <cell r="BG149">
            <v>0</v>
          </cell>
          <cell r="BH149">
            <v>0</v>
          </cell>
          <cell r="BI149">
            <v>3634</v>
          </cell>
          <cell r="BJ149">
            <v>2992</v>
          </cell>
          <cell r="BK149">
            <v>2992</v>
          </cell>
          <cell r="BL149">
            <v>0</v>
          </cell>
          <cell r="BM149">
            <v>0</v>
          </cell>
          <cell r="BN149">
            <v>0</v>
          </cell>
          <cell r="BO149">
            <v>0</v>
          </cell>
          <cell r="BP149">
            <v>0</v>
          </cell>
          <cell r="BQ149">
            <v>0</v>
          </cell>
          <cell r="BR149">
            <v>0</v>
          </cell>
          <cell r="BS149">
            <v>0</v>
          </cell>
          <cell r="BT149">
            <v>8853</v>
          </cell>
          <cell r="BU149"/>
          <cell r="BV149"/>
          <cell r="BW149"/>
          <cell r="BX149"/>
          <cell r="BY149">
            <v>0</v>
          </cell>
          <cell r="BZ149">
            <v>0</v>
          </cell>
          <cell r="CA149">
            <v>0</v>
          </cell>
          <cell r="CB149">
            <v>0</v>
          </cell>
          <cell r="CC149">
            <v>225409</v>
          </cell>
          <cell r="CD149">
            <v>1453728</v>
          </cell>
          <cell r="CE149">
            <v>83703</v>
          </cell>
          <cell r="CF149">
            <v>-3415</v>
          </cell>
          <cell r="CG149">
            <v>83703</v>
          </cell>
          <cell r="CH149">
            <v>83703</v>
          </cell>
          <cell r="CI149">
            <v>83703</v>
          </cell>
          <cell r="CJ149">
            <v>83703</v>
          </cell>
          <cell r="CK149">
            <v>0</v>
          </cell>
          <cell r="CL149">
            <v>0</v>
          </cell>
          <cell r="CM149">
            <v>0</v>
          </cell>
          <cell r="CN149">
            <v>0</v>
          </cell>
          <cell r="CO149">
            <v>0</v>
          </cell>
          <cell r="CP149">
            <v>0</v>
          </cell>
          <cell r="CQ149">
            <v>239299</v>
          </cell>
          <cell r="CR149">
            <v>235488</v>
          </cell>
          <cell r="CS149">
            <v>235760</v>
          </cell>
          <cell r="CT149">
            <v>237203</v>
          </cell>
          <cell r="CU149">
            <v>238961</v>
          </cell>
          <cell r="CV149">
            <v>-10228</v>
          </cell>
          <cell r="CW149">
            <v>0</v>
          </cell>
          <cell r="CX149">
            <v>0</v>
          </cell>
          <cell r="CY149">
            <v>0</v>
          </cell>
          <cell r="CZ149">
            <v>0</v>
          </cell>
          <cell r="DA149">
            <v>0</v>
          </cell>
          <cell r="DB149"/>
          <cell r="DC149">
            <v>0</v>
          </cell>
          <cell r="DD149">
            <v>0</v>
          </cell>
          <cell r="DE149">
            <v>0</v>
          </cell>
          <cell r="DF149">
            <v>0</v>
          </cell>
          <cell r="DG149">
            <v>0</v>
          </cell>
          <cell r="DH149">
            <v>0</v>
          </cell>
          <cell r="DI149">
            <v>0</v>
          </cell>
          <cell r="DJ149">
            <v>0</v>
          </cell>
          <cell r="DK149">
            <v>0</v>
          </cell>
          <cell r="DL149">
            <v>0</v>
          </cell>
          <cell r="DM149"/>
          <cell r="DN149"/>
          <cell r="DO149"/>
          <cell r="DP149"/>
        </row>
        <row r="150">
          <cell r="A150">
            <v>340</v>
          </cell>
          <cell r="B150" t="str">
            <v>Rhenen</v>
          </cell>
          <cell r="C150">
            <v>6</v>
          </cell>
          <cell r="D150">
            <v>23387</v>
          </cell>
          <cell r="E150">
            <v>11693</v>
          </cell>
          <cell r="F150">
            <v>0</v>
          </cell>
          <cell r="G150">
            <v>39513</v>
          </cell>
          <cell r="H150">
            <v>-35206</v>
          </cell>
          <cell r="I150">
            <v>-18522</v>
          </cell>
          <cell r="J150"/>
          <cell r="K150">
            <v>0</v>
          </cell>
          <cell r="L150">
            <v>79565</v>
          </cell>
          <cell r="M150">
            <v>81897</v>
          </cell>
          <cell r="N150">
            <v>0</v>
          </cell>
          <cell r="O150">
            <v>0</v>
          </cell>
          <cell r="P150">
            <v>0</v>
          </cell>
          <cell r="Q150">
            <v>0</v>
          </cell>
          <cell r="R150">
            <v>0</v>
          </cell>
          <cell r="S150">
            <v>0</v>
          </cell>
          <cell r="T150">
            <v>0</v>
          </cell>
          <cell r="U150">
            <v>0</v>
          </cell>
          <cell r="V150">
            <v>0</v>
          </cell>
          <cell r="W150">
            <v>58388</v>
          </cell>
          <cell r="X150">
            <v>0</v>
          </cell>
          <cell r="Y150"/>
          <cell r="Z150">
            <v>0</v>
          </cell>
          <cell r="AA150">
            <v>0</v>
          </cell>
          <cell r="AB150">
            <v>0</v>
          </cell>
          <cell r="AC150"/>
          <cell r="AD150">
            <v>0</v>
          </cell>
          <cell r="AE150">
            <v>0</v>
          </cell>
          <cell r="AF150">
            <v>0</v>
          </cell>
          <cell r="AG150">
            <v>0</v>
          </cell>
          <cell r="AH150">
            <v>0</v>
          </cell>
          <cell r="AI150">
            <v>0</v>
          </cell>
          <cell r="AJ150">
            <v>0</v>
          </cell>
          <cell r="AK150">
            <v>0</v>
          </cell>
          <cell r="AL150"/>
          <cell r="AM150">
            <v>0</v>
          </cell>
          <cell r="AN150">
            <v>0</v>
          </cell>
          <cell r="AO150">
            <v>0</v>
          </cell>
          <cell r="AP150">
            <v>0</v>
          </cell>
          <cell r="AQ150">
            <v>0</v>
          </cell>
          <cell r="AR150">
            <v>0</v>
          </cell>
          <cell r="AS150">
            <v>0</v>
          </cell>
          <cell r="AT150">
            <v>0</v>
          </cell>
          <cell r="AU150">
            <v>4740</v>
          </cell>
          <cell r="AV150">
            <v>0</v>
          </cell>
          <cell r="AW150">
            <v>0</v>
          </cell>
          <cell r="AX150">
            <v>0</v>
          </cell>
          <cell r="AY150"/>
          <cell r="AZ150"/>
          <cell r="BA150">
            <v>0</v>
          </cell>
          <cell r="BB150"/>
          <cell r="BC150">
            <v>0</v>
          </cell>
          <cell r="BD150">
            <v>6879</v>
          </cell>
          <cell r="BE150"/>
          <cell r="BF150">
            <v>0</v>
          </cell>
          <cell r="BG150">
            <v>0</v>
          </cell>
          <cell r="BH150">
            <v>0</v>
          </cell>
          <cell r="BI150">
            <v>23038</v>
          </cell>
          <cell r="BJ150">
            <v>18964</v>
          </cell>
          <cell r="BK150">
            <v>18964</v>
          </cell>
          <cell r="BL150">
            <v>0</v>
          </cell>
          <cell r="BM150">
            <v>0</v>
          </cell>
          <cell r="BN150">
            <v>0</v>
          </cell>
          <cell r="BO150">
            <v>51561</v>
          </cell>
          <cell r="BP150">
            <v>14232.6</v>
          </cell>
          <cell r="BQ150">
            <v>25639.534883720899</v>
          </cell>
          <cell r="BR150">
            <v>0</v>
          </cell>
          <cell r="BS150">
            <v>0</v>
          </cell>
          <cell r="BT150">
            <v>35783</v>
          </cell>
          <cell r="BU150"/>
          <cell r="BV150"/>
          <cell r="BW150"/>
          <cell r="BX150"/>
          <cell r="BY150">
            <v>0</v>
          </cell>
          <cell r="BZ150">
            <v>0</v>
          </cell>
          <cell r="CA150">
            <v>0</v>
          </cell>
          <cell r="CB150">
            <v>0</v>
          </cell>
          <cell r="CC150">
            <v>1502911</v>
          </cell>
          <cell r="CD150">
            <v>7674627</v>
          </cell>
          <cell r="CE150">
            <v>519529</v>
          </cell>
          <cell r="CF150">
            <v>-38672</v>
          </cell>
          <cell r="CG150">
            <v>519529</v>
          </cell>
          <cell r="CH150">
            <v>519529</v>
          </cell>
          <cell r="CI150">
            <v>519529</v>
          </cell>
          <cell r="CJ150">
            <v>519529</v>
          </cell>
          <cell r="CK150">
            <v>0</v>
          </cell>
          <cell r="CL150">
            <v>0</v>
          </cell>
          <cell r="CM150">
            <v>0</v>
          </cell>
          <cell r="CN150">
            <v>0</v>
          </cell>
          <cell r="CO150">
            <v>0</v>
          </cell>
          <cell r="CP150">
            <v>-847</v>
          </cell>
          <cell r="CQ150">
            <v>1372902</v>
          </cell>
          <cell r="CR150">
            <v>1310574</v>
          </cell>
          <cell r="CS150">
            <v>1267086</v>
          </cell>
          <cell r="CT150">
            <v>1204657</v>
          </cell>
          <cell r="CU150">
            <v>1178416</v>
          </cell>
          <cell r="CV150">
            <v>-9425</v>
          </cell>
          <cell r="CW150">
            <v>0</v>
          </cell>
          <cell r="CX150">
            <v>0</v>
          </cell>
          <cell r="CY150">
            <v>0</v>
          </cell>
          <cell r="CZ150">
            <v>0</v>
          </cell>
          <cell r="DA150">
            <v>0</v>
          </cell>
          <cell r="DB150"/>
          <cell r="DC150">
            <v>0</v>
          </cell>
          <cell r="DD150">
            <v>0</v>
          </cell>
          <cell r="DE150">
            <v>0</v>
          </cell>
          <cell r="DF150">
            <v>0</v>
          </cell>
          <cell r="DG150">
            <v>0</v>
          </cell>
          <cell r="DH150">
            <v>0</v>
          </cell>
          <cell r="DI150">
            <v>0</v>
          </cell>
          <cell r="DJ150">
            <v>0</v>
          </cell>
          <cell r="DK150">
            <v>0</v>
          </cell>
          <cell r="DL150">
            <v>0</v>
          </cell>
          <cell r="DM150"/>
          <cell r="DN150"/>
          <cell r="DO150"/>
          <cell r="DP150"/>
        </row>
        <row r="151">
          <cell r="A151">
            <v>342</v>
          </cell>
          <cell r="B151" t="str">
            <v>Soest</v>
          </cell>
          <cell r="C151">
            <v>6</v>
          </cell>
          <cell r="D151">
            <v>-67485</v>
          </cell>
          <cell r="E151">
            <v>-33742</v>
          </cell>
          <cell r="F151">
            <v>0</v>
          </cell>
          <cell r="G151">
            <v>0</v>
          </cell>
          <cell r="H151">
            <v>0</v>
          </cell>
          <cell r="I151">
            <v>0</v>
          </cell>
          <cell r="J151"/>
          <cell r="K151">
            <v>0</v>
          </cell>
          <cell r="L151">
            <v>196136</v>
          </cell>
          <cell r="M151">
            <v>192625</v>
          </cell>
          <cell r="N151">
            <v>0</v>
          </cell>
          <cell r="O151">
            <v>0</v>
          </cell>
          <cell r="P151">
            <v>0</v>
          </cell>
          <cell r="Q151">
            <v>0</v>
          </cell>
          <cell r="R151">
            <v>0</v>
          </cell>
          <cell r="S151">
            <v>0</v>
          </cell>
          <cell r="T151">
            <v>0</v>
          </cell>
          <cell r="U151">
            <v>0</v>
          </cell>
          <cell r="V151">
            <v>0</v>
          </cell>
          <cell r="W151">
            <v>137385</v>
          </cell>
          <cell r="X151">
            <v>0</v>
          </cell>
          <cell r="Y151"/>
          <cell r="Z151">
            <v>0</v>
          </cell>
          <cell r="AA151">
            <v>0</v>
          </cell>
          <cell r="AB151">
            <v>0</v>
          </cell>
          <cell r="AC151"/>
          <cell r="AD151">
            <v>0</v>
          </cell>
          <cell r="AE151">
            <v>0</v>
          </cell>
          <cell r="AF151">
            <v>0</v>
          </cell>
          <cell r="AG151">
            <v>0</v>
          </cell>
          <cell r="AH151">
            <v>0</v>
          </cell>
          <cell r="AI151">
            <v>0</v>
          </cell>
          <cell r="AJ151">
            <v>0</v>
          </cell>
          <cell r="AK151">
            <v>0</v>
          </cell>
          <cell r="AL151"/>
          <cell r="AM151">
            <v>0</v>
          </cell>
          <cell r="AN151">
            <v>0</v>
          </cell>
          <cell r="AO151">
            <v>0</v>
          </cell>
          <cell r="AP151">
            <v>0</v>
          </cell>
          <cell r="AQ151">
            <v>0</v>
          </cell>
          <cell r="AR151">
            <v>0</v>
          </cell>
          <cell r="AS151">
            <v>0</v>
          </cell>
          <cell r="AT151">
            <v>0</v>
          </cell>
          <cell r="AU151">
            <v>4740</v>
          </cell>
          <cell r="AV151">
            <v>0</v>
          </cell>
          <cell r="AW151">
            <v>0</v>
          </cell>
          <cell r="AX151">
            <v>0</v>
          </cell>
          <cell r="AY151"/>
          <cell r="AZ151"/>
          <cell r="BA151">
            <v>0</v>
          </cell>
          <cell r="BB151"/>
          <cell r="BC151">
            <v>0</v>
          </cell>
          <cell r="BD151">
            <v>16103</v>
          </cell>
          <cell r="BE151"/>
          <cell r="BF151">
            <v>0</v>
          </cell>
          <cell r="BG151">
            <v>0</v>
          </cell>
          <cell r="BH151">
            <v>0</v>
          </cell>
          <cell r="BI151">
            <v>59234</v>
          </cell>
          <cell r="BJ151">
            <v>48758</v>
          </cell>
          <cell r="BK151">
            <v>48758</v>
          </cell>
          <cell r="BL151">
            <v>0</v>
          </cell>
          <cell r="BM151">
            <v>0</v>
          </cell>
          <cell r="BN151">
            <v>0</v>
          </cell>
          <cell r="BO151">
            <v>108473</v>
          </cell>
          <cell r="BP151">
            <v>17395.400000000001</v>
          </cell>
          <cell r="BQ151">
            <v>31337.209302325598</v>
          </cell>
          <cell r="BR151">
            <v>0</v>
          </cell>
          <cell r="BS151">
            <v>0</v>
          </cell>
          <cell r="BT151">
            <v>69733</v>
          </cell>
          <cell r="BU151"/>
          <cell r="BV151"/>
          <cell r="BW151"/>
          <cell r="BX151"/>
          <cell r="BY151">
            <v>0</v>
          </cell>
          <cell r="BZ151">
            <v>0</v>
          </cell>
          <cell r="CA151">
            <v>0</v>
          </cell>
          <cell r="CB151">
            <v>0</v>
          </cell>
          <cell r="CC151">
            <v>3353349</v>
          </cell>
          <cell r="CD151">
            <v>17346720</v>
          </cell>
          <cell r="CE151">
            <v>1078360</v>
          </cell>
          <cell r="CF151">
            <v>0</v>
          </cell>
          <cell r="CG151">
            <v>1078360</v>
          </cell>
          <cell r="CH151">
            <v>1078360</v>
          </cell>
          <cell r="CI151">
            <v>1078360</v>
          </cell>
          <cell r="CJ151">
            <v>1078360</v>
          </cell>
          <cell r="CK151">
            <v>0</v>
          </cell>
          <cell r="CL151">
            <v>0</v>
          </cell>
          <cell r="CM151">
            <v>0</v>
          </cell>
          <cell r="CN151">
            <v>0</v>
          </cell>
          <cell r="CO151">
            <v>0</v>
          </cell>
          <cell r="CP151">
            <v>0</v>
          </cell>
          <cell r="CQ151">
            <v>2889678</v>
          </cell>
          <cell r="CR151">
            <v>2780810</v>
          </cell>
          <cell r="CS151">
            <v>2722179</v>
          </cell>
          <cell r="CT151">
            <v>2616837</v>
          </cell>
          <cell r="CU151">
            <v>2586245</v>
          </cell>
          <cell r="CV151">
            <v>245</v>
          </cell>
          <cell r="CW151">
            <v>0</v>
          </cell>
          <cell r="CX151">
            <v>0</v>
          </cell>
          <cell r="CY151">
            <v>0</v>
          </cell>
          <cell r="CZ151">
            <v>0</v>
          </cell>
          <cell r="DA151">
            <v>0</v>
          </cell>
          <cell r="DB151"/>
          <cell r="DC151">
            <v>0</v>
          </cell>
          <cell r="DD151">
            <v>0</v>
          </cell>
          <cell r="DE151">
            <v>0</v>
          </cell>
          <cell r="DF151">
            <v>0</v>
          </cell>
          <cell r="DG151">
            <v>0</v>
          </cell>
          <cell r="DH151">
            <v>0</v>
          </cell>
          <cell r="DI151">
            <v>0</v>
          </cell>
          <cell r="DJ151">
            <v>0</v>
          </cell>
          <cell r="DK151">
            <v>0</v>
          </cell>
          <cell r="DL151">
            <v>0</v>
          </cell>
          <cell r="DM151"/>
          <cell r="DN151"/>
          <cell r="DO151"/>
          <cell r="DP151"/>
        </row>
        <row r="152">
          <cell r="A152">
            <v>1904</v>
          </cell>
          <cell r="B152" t="str">
            <v>Stichtse Vecht</v>
          </cell>
          <cell r="C152">
            <v>6</v>
          </cell>
          <cell r="D152">
            <v>-21754</v>
          </cell>
          <cell r="E152">
            <v>-10877</v>
          </cell>
          <cell r="F152">
            <v>0</v>
          </cell>
          <cell r="G152">
            <v>0</v>
          </cell>
          <cell r="H152">
            <v>0</v>
          </cell>
          <cell r="I152">
            <v>0</v>
          </cell>
          <cell r="J152"/>
          <cell r="K152">
            <v>0</v>
          </cell>
          <cell r="L152">
            <v>199598</v>
          </cell>
          <cell r="M152">
            <v>188554</v>
          </cell>
          <cell r="N152">
            <v>0</v>
          </cell>
          <cell r="O152">
            <v>0</v>
          </cell>
          <cell r="P152">
            <v>0</v>
          </cell>
          <cell r="Q152">
            <v>0</v>
          </cell>
          <cell r="R152">
            <v>0</v>
          </cell>
          <cell r="S152">
            <v>0</v>
          </cell>
          <cell r="T152">
            <v>0</v>
          </cell>
          <cell r="U152">
            <v>0</v>
          </cell>
          <cell r="V152">
            <v>3000</v>
          </cell>
          <cell r="W152">
            <v>254441</v>
          </cell>
          <cell r="X152">
            <v>0</v>
          </cell>
          <cell r="Y152"/>
          <cell r="Z152">
            <v>0</v>
          </cell>
          <cell r="AA152">
            <v>0</v>
          </cell>
          <cell r="AB152">
            <v>30000</v>
          </cell>
          <cell r="AC152"/>
          <cell r="AD152">
            <v>0</v>
          </cell>
          <cell r="AE152">
            <v>0</v>
          </cell>
          <cell r="AF152">
            <v>0</v>
          </cell>
          <cell r="AG152">
            <v>0</v>
          </cell>
          <cell r="AH152">
            <v>0</v>
          </cell>
          <cell r="AI152">
            <v>0</v>
          </cell>
          <cell r="AJ152">
            <v>0</v>
          </cell>
          <cell r="AK152">
            <v>0</v>
          </cell>
          <cell r="AL152"/>
          <cell r="AM152">
            <v>0</v>
          </cell>
          <cell r="AN152">
            <v>0</v>
          </cell>
          <cell r="AO152">
            <v>0</v>
          </cell>
          <cell r="AP152">
            <v>0</v>
          </cell>
          <cell r="AQ152">
            <v>0</v>
          </cell>
          <cell r="AR152">
            <v>0</v>
          </cell>
          <cell r="AS152">
            <v>0</v>
          </cell>
          <cell r="AT152">
            <v>0</v>
          </cell>
          <cell r="AU152">
            <v>4740</v>
          </cell>
          <cell r="AV152">
            <v>0</v>
          </cell>
          <cell r="AW152">
            <v>0</v>
          </cell>
          <cell r="AX152">
            <v>0</v>
          </cell>
          <cell r="AY152"/>
          <cell r="AZ152"/>
          <cell r="BA152">
            <v>0</v>
          </cell>
          <cell r="BB152"/>
          <cell r="BC152">
            <v>0</v>
          </cell>
          <cell r="BD152">
            <v>22624</v>
          </cell>
          <cell r="BE152"/>
          <cell r="BF152">
            <v>0</v>
          </cell>
          <cell r="BG152">
            <v>0</v>
          </cell>
          <cell r="BH152">
            <v>0</v>
          </cell>
          <cell r="BI152">
            <v>65633</v>
          </cell>
          <cell r="BJ152">
            <v>54025</v>
          </cell>
          <cell r="BK152">
            <v>54025</v>
          </cell>
          <cell r="BL152">
            <v>0</v>
          </cell>
          <cell r="BM152">
            <v>0</v>
          </cell>
          <cell r="BN152">
            <v>0</v>
          </cell>
          <cell r="BO152">
            <v>142037</v>
          </cell>
          <cell r="BP152">
            <v>36372.199999999997</v>
          </cell>
          <cell r="BQ152">
            <v>65523.255813953503</v>
          </cell>
          <cell r="BR152">
            <v>0</v>
          </cell>
          <cell r="BS152">
            <v>0</v>
          </cell>
          <cell r="BT152">
            <v>107494</v>
          </cell>
          <cell r="BU152"/>
          <cell r="BV152"/>
          <cell r="BW152"/>
          <cell r="BX152"/>
          <cell r="BY152">
            <v>0</v>
          </cell>
          <cell r="BZ152">
            <v>0</v>
          </cell>
          <cell r="CA152">
            <v>0</v>
          </cell>
          <cell r="CB152">
            <v>0</v>
          </cell>
          <cell r="CC152">
            <v>3815616</v>
          </cell>
          <cell r="CD152">
            <v>19942424</v>
          </cell>
          <cell r="CE152">
            <v>1338578</v>
          </cell>
          <cell r="CF152">
            <v>0</v>
          </cell>
          <cell r="CG152">
            <v>1338578</v>
          </cell>
          <cell r="CH152">
            <v>1338578</v>
          </cell>
          <cell r="CI152">
            <v>1338578</v>
          </cell>
          <cell r="CJ152">
            <v>1338578</v>
          </cell>
          <cell r="CK152">
            <v>0</v>
          </cell>
          <cell r="CL152">
            <v>0</v>
          </cell>
          <cell r="CM152">
            <v>0</v>
          </cell>
          <cell r="CN152">
            <v>0</v>
          </cell>
          <cell r="CO152">
            <v>0</v>
          </cell>
          <cell r="CP152">
            <v>0</v>
          </cell>
          <cell r="CQ152">
            <v>3270587</v>
          </cell>
          <cell r="CR152">
            <v>3120043</v>
          </cell>
          <cell r="CS152">
            <v>3067347</v>
          </cell>
          <cell r="CT152">
            <v>2992035</v>
          </cell>
          <cell r="CU152">
            <v>2939784</v>
          </cell>
          <cell r="CV152">
            <v>14011</v>
          </cell>
          <cell r="CW152">
            <v>0</v>
          </cell>
          <cell r="CX152">
            <v>0</v>
          </cell>
          <cell r="CY152">
            <v>0</v>
          </cell>
          <cell r="CZ152">
            <v>0</v>
          </cell>
          <cell r="DA152">
            <v>0</v>
          </cell>
          <cell r="DB152"/>
          <cell r="DC152">
            <v>200000</v>
          </cell>
          <cell r="DD152">
            <v>0</v>
          </cell>
          <cell r="DE152">
            <v>0</v>
          </cell>
          <cell r="DF152">
            <v>0</v>
          </cell>
          <cell r="DG152">
            <v>0</v>
          </cell>
          <cell r="DH152">
            <v>0</v>
          </cell>
          <cell r="DI152">
            <v>0</v>
          </cell>
          <cell r="DJ152">
            <v>0</v>
          </cell>
          <cell r="DK152">
            <v>0</v>
          </cell>
          <cell r="DL152">
            <v>0</v>
          </cell>
          <cell r="DM152"/>
          <cell r="DN152"/>
          <cell r="DO152"/>
          <cell r="DP152"/>
        </row>
        <row r="153">
          <cell r="A153">
            <v>344</v>
          </cell>
          <cell r="B153" t="str">
            <v>Utrecht</v>
          </cell>
          <cell r="C153">
            <v>6</v>
          </cell>
          <cell r="D153">
            <v>609254</v>
          </cell>
          <cell r="E153">
            <v>304627</v>
          </cell>
          <cell r="F153">
            <v>0</v>
          </cell>
          <cell r="G153">
            <v>0</v>
          </cell>
          <cell r="H153">
            <v>-186740</v>
          </cell>
          <cell r="I153">
            <v>-125250</v>
          </cell>
          <cell r="J153"/>
          <cell r="K153">
            <v>7773</v>
          </cell>
          <cell r="L153">
            <v>1826585</v>
          </cell>
          <cell r="M153">
            <v>1925821</v>
          </cell>
          <cell r="N153">
            <v>0</v>
          </cell>
          <cell r="O153">
            <v>0</v>
          </cell>
          <cell r="P153">
            <v>951227</v>
          </cell>
          <cell r="Q153">
            <v>0</v>
          </cell>
          <cell r="R153">
            <v>0</v>
          </cell>
          <cell r="S153">
            <v>5789530</v>
          </cell>
          <cell r="T153">
            <v>4811154</v>
          </cell>
          <cell r="U153">
            <v>5289530</v>
          </cell>
          <cell r="V153">
            <v>9000</v>
          </cell>
          <cell r="W153">
            <v>980832</v>
          </cell>
          <cell r="X153">
            <v>0</v>
          </cell>
          <cell r="Y153"/>
          <cell r="Z153">
            <v>0</v>
          </cell>
          <cell r="AA153">
            <v>40000</v>
          </cell>
          <cell r="AB153">
            <v>0</v>
          </cell>
          <cell r="AC153"/>
          <cell r="AD153">
            <v>479122</v>
          </cell>
          <cell r="AE153">
            <v>0</v>
          </cell>
          <cell r="AF153">
            <v>0</v>
          </cell>
          <cell r="AG153">
            <v>0</v>
          </cell>
          <cell r="AH153">
            <v>0</v>
          </cell>
          <cell r="AI153">
            <v>0</v>
          </cell>
          <cell r="AJ153">
            <v>0</v>
          </cell>
          <cell r="AK153">
            <v>907524</v>
          </cell>
          <cell r="AL153"/>
          <cell r="AM153">
            <v>0</v>
          </cell>
          <cell r="AN153">
            <v>0</v>
          </cell>
          <cell r="AO153">
            <v>0</v>
          </cell>
          <cell r="AP153">
            <v>0</v>
          </cell>
          <cell r="AQ153">
            <v>0</v>
          </cell>
          <cell r="AR153">
            <v>0</v>
          </cell>
          <cell r="AS153">
            <v>0</v>
          </cell>
          <cell r="AT153">
            <v>50000</v>
          </cell>
          <cell r="AU153">
            <v>18960</v>
          </cell>
          <cell r="AV153">
            <v>24048457.5636383</v>
          </cell>
          <cell r="AW153">
            <v>111543</v>
          </cell>
          <cell r="AX153">
            <v>333333</v>
          </cell>
          <cell r="AY153"/>
          <cell r="AZ153"/>
          <cell r="BA153">
            <v>0</v>
          </cell>
          <cell r="BB153"/>
          <cell r="BC153">
            <v>0</v>
          </cell>
          <cell r="BD153">
            <v>120419</v>
          </cell>
          <cell r="BE153"/>
          <cell r="BF153">
            <v>0</v>
          </cell>
          <cell r="BG153">
            <v>0</v>
          </cell>
          <cell r="BH153">
            <v>0</v>
          </cell>
          <cell r="BI153">
            <v>536021</v>
          </cell>
          <cell r="BJ153">
            <v>441225</v>
          </cell>
          <cell r="BK153">
            <v>441225</v>
          </cell>
          <cell r="BL153">
            <v>0</v>
          </cell>
          <cell r="BM153">
            <v>85760</v>
          </cell>
          <cell r="BN153">
            <v>546700</v>
          </cell>
          <cell r="BO153">
            <v>430002</v>
          </cell>
          <cell r="BP153">
            <v>110698</v>
          </cell>
          <cell r="BQ153">
            <v>199418.60465116301</v>
          </cell>
          <cell r="BR153">
            <v>817710</v>
          </cell>
          <cell r="BS153">
            <v>0</v>
          </cell>
          <cell r="BT153">
            <v>567558</v>
          </cell>
          <cell r="BU153"/>
          <cell r="BV153"/>
          <cell r="BW153"/>
          <cell r="BX153"/>
          <cell r="BY153">
            <v>6957998.0822187299</v>
          </cell>
          <cell r="BZ153">
            <v>8318397.2181683304</v>
          </cell>
          <cell r="CA153">
            <v>8408984.0790283494</v>
          </cell>
          <cell r="CB153">
            <v>8664758.7449860405</v>
          </cell>
          <cell r="CC153">
            <v>16209594</v>
          </cell>
          <cell r="CD153">
            <v>219043986</v>
          </cell>
          <cell r="CE153">
            <v>12838055</v>
          </cell>
          <cell r="CF153">
            <v>-37936</v>
          </cell>
          <cell r="CG153">
            <v>12723055</v>
          </cell>
          <cell r="CH153">
            <v>12723055</v>
          </cell>
          <cell r="CI153">
            <v>12723055</v>
          </cell>
          <cell r="CJ153">
            <v>12723055</v>
          </cell>
          <cell r="CK153">
            <v>92265896</v>
          </cell>
          <cell r="CL153">
            <v>92221334</v>
          </cell>
          <cell r="CM153">
            <v>92220613</v>
          </cell>
          <cell r="CN153">
            <v>92219028</v>
          </cell>
          <cell r="CO153">
            <v>92221225</v>
          </cell>
          <cell r="CP153">
            <v>-38764</v>
          </cell>
          <cell r="CQ153">
            <v>19838116</v>
          </cell>
          <cell r="CR153">
            <v>18901464</v>
          </cell>
          <cell r="CS153">
            <v>18254331</v>
          </cell>
          <cell r="CT153">
            <v>17821158</v>
          </cell>
          <cell r="CU153">
            <v>17303834</v>
          </cell>
          <cell r="CV153">
            <v>-1750777</v>
          </cell>
          <cell r="CW153">
            <v>0</v>
          </cell>
          <cell r="CX153">
            <v>0</v>
          </cell>
          <cell r="CY153">
            <v>0</v>
          </cell>
          <cell r="CZ153">
            <v>0</v>
          </cell>
          <cell r="DA153">
            <v>80000</v>
          </cell>
          <cell r="DB153"/>
          <cell r="DC153">
            <v>0</v>
          </cell>
          <cell r="DD153">
            <v>0</v>
          </cell>
          <cell r="DE153">
            <v>0</v>
          </cell>
          <cell r="DF153">
            <v>0</v>
          </cell>
          <cell r="DG153">
            <v>0</v>
          </cell>
          <cell r="DH153">
            <v>0</v>
          </cell>
          <cell r="DI153">
            <v>0</v>
          </cell>
          <cell r="DJ153">
            <v>0</v>
          </cell>
          <cell r="DK153">
            <v>0</v>
          </cell>
          <cell r="DL153">
            <v>0</v>
          </cell>
          <cell r="DM153"/>
          <cell r="DN153"/>
          <cell r="DO153"/>
          <cell r="DP153"/>
        </row>
        <row r="154">
          <cell r="A154">
            <v>1581</v>
          </cell>
          <cell r="B154" t="str">
            <v>Utrechtse Heuvelrug</v>
          </cell>
          <cell r="C154">
            <v>6</v>
          </cell>
          <cell r="D154">
            <v>-2804</v>
          </cell>
          <cell r="E154">
            <v>-1402</v>
          </cell>
          <cell r="F154">
            <v>0</v>
          </cell>
          <cell r="G154">
            <v>0</v>
          </cell>
          <cell r="H154">
            <v>0</v>
          </cell>
          <cell r="I154">
            <v>0</v>
          </cell>
          <cell r="J154"/>
          <cell r="K154">
            <v>0</v>
          </cell>
          <cell r="L154">
            <v>147749</v>
          </cell>
          <cell r="M154">
            <v>143225</v>
          </cell>
          <cell r="N154">
            <v>0</v>
          </cell>
          <cell r="O154">
            <v>0</v>
          </cell>
          <cell r="P154">
            <v>0</v>
          </cell>
          <cell r="Q154">
            <v>0</v>
          </cell>
          <cell r="R154">
            <v>0</v>
          </cell>
          <cell r="S154">
            <v>0</v>
          </cell>
          <cell r="T154">
            <v>0</v>
          </cell>
          <cell r="U154">
            <v>0</v>
          </cell>
          <cell r="V154">
            <v>0</v>
          </cell>
          <cell r="W154">
            <v>195156</v>
          </cell>
          <cell r="X154">
            <v>0</v>
          </cell>
          <cell r="Y154"/>
          <cell r="Z154">
            <v>0</v>
          </cell>
          <cell r="AA154">
            <v>0</v>
          </cell>
          <cell r="AB154">
            <v>0</v>
          </cell>
          <cell r="AC154"/>
          <cell r="AD154">
            <v>0</v>
          </cell>
          <cell r="AE154">
            <v>0</v>
          </cell>
          <cell r="AF154">
            <v>0</v>
          </cell>
          <cell r="AG154">
            <v>0</v>
          </cell>
          <cell r="AH154">
            <v>0</v>
          </cell>
          <cell r="AI154">
            <v>0</v>
          </cell>
          <cell r="AJ154">
            <v>0</v>
          </cell>
          <cell r="AK154">
            <v>0</v>
          </cell>
          <cell r="AL154"/>
          <cell r="AM154">
            <v>0</v>
          </cell>
          <cell r="AN154">
            <v>0</v>
          </cell>
          <cell r="AO154">
            <v>0</v>
          </cell>
          <cell r="AP154">
            <v>0</v>
          </cell>
          <cell r="AQ154">
            <v>0</v>
          </cell>
          <cell r="AR154">
            <v>0</v>
          </cell>
          <cell r="AS154">
            <v>0</v>
          </cell>
          <cell r="AT154">
            <v>0</v>
          </cell>
          <cell r="AU154">
            <v>0</v>
          </cell>
          <cell r="AV154">
            <v>0</v>
          </cell>
          <cell r="AW154">
            <v>0</v>
          </cell>
          <cell r="AX154">
            <v>0</v>
          </cell>
          <cell r="AY154"/>
          <cell r="AZ154"/>
          <cell r="BA154">
            <v>0</v>
          </cell>
          <cell r="BB154"/>
          <cell r="BC154">
            <v>0</v>
          </cell>
          <cell r="BD154">
            <v>17213</v>
          </cell>
          <cell r="BE154"/>
          <cell r="BF154">
            <v>0</v>
          </cell>
          <cell r="BG154">
            <v>0</v>
          </cell>
          <cell r="BH154">
            <v>0</v>
          </cell>
          <cell r="BI154">
            <v>50322</v>
          </cell>
          <cell r="BJ154">
            <v>41423</v>
          </cell>
          <cell r="BK154">
            <v>41423</v>
          </cell>
          <cell r="BL154">
            <v>0</v>
          </cell>
          <cell r="BM154">
            <v>0</v>
          </cell>
          <cell r="BN154">
            <v>0</v>
          </cell>
          <cell r="BO154">
            <v>127444</v>
          </cell>
          <cell r="BP154">
            <v>23721</v>
          </cell>
          <cell r="BQ154">
            <v>42732.5581395349</v>
          </cell>
          <cell r="BR154">
            <v>0</v>
          </cell>
          <cell r="BS154">
            <v>0</v>
          </cell>
          <cell r="BT154">
            <v>81767</v>
          </cell>
          <cell r="BU154"/>
          <cell r="BV154"/>
          <cell r="BW154"/>
          <cell r="BX154"/>
          <cell r="BY154">
            <v>0</v>
          </cell>
          <cell r="BZ154">
            <v>0</v>
          </cell>
          <cell r="CA154">
            <v>0</v>
          </cell>
          <cell r="CB154">
            <v>0</v>
          </cell>
          <cell r="CC154">
            <v>3589355</v>
          </cell>
          <cell r="CD154">
            <v>18379826</v>
          </cell>
          <cell r="CE154">
            <v>3667717</v>
          </cell>
          <cell r="CF154">
            <v>0</v>
          </cell>
          <cell r="CG154">
            <v>3667717</v>
          </cell>
          <cell r="CH154">
            <v>3667717</v>
          </cell>
          <cell r="CI154">
            <v>3667717</v>
          </cell>
          <cell r="CJ154">
            <v>3667717</v>
          </cell>
          <cell r="CK154">
            <v>0</v>
          </cell>
          <cell r="CL154">
            <v>0</v>
          </cell>
          <cell r="CM154">
            <v>0</v>
          </cell>
          <cell r="CN154">
            <v>0</v>
          </cell>
          <cell r="CO154">
            <v>0</v>
          </cell>
          <cell r="CP154">
            <v>0</v>
          </cell>
          <cell r="CQ154">
            <v>1686291</v>
          </cell>
          <cell r="CR154">
            <v>1617318</v>
          </cell>
          <cell r="CS154">
            <v>1571070</v>
          </cell>
          <cell r="CT154">
            <v>1551175</v>
          </cell>
          <cell r="CU154">
            <v>1516651</v>
          </cell>
          <cell r="CV154">
            <v>19894</v>
          </cell>
          <cell r="CW154">
            <v>0</v>
          </cell>
          <cell r="CX154">
            <v>0</v>
          </cell>
          <cell r="CY154">
            <v>0</v>
          </cell>
          <cell r="CZ154">
            <v>0</v>
          </cell>
          <cell r="DA154">
            <v>0</v>
          </cell>
          <cell r="DB154"/>
          <cell r="DC154">
            <v>0</v>
          </cell>
          <cell r="DD154">
            <v>0</v>
          </cell>
          <cell r="DE154">
            <v>0</v>
          </cell>
          <cell r="DF154">
            <v>0</v>
          </cell>
          <cell r="DG154">
            <v>0</v>
          </cell>
          <cell r="DH154">
            <v>0</v>
          </cell>
          <cell r="DI154">
            <v>0</v>
          </cell>
          <cell r="DJ154">
            <v>0</v>
          </cell>
          <cell r="DK154">
            <v>0</v>
          </cell>
          <cell r="DL154">
            <v>0</v>
          </cell>
          <cell r="DM154"/>
          <cell r="DN154"/>
          <cell r="DO154"/>
          <cell r="DP154"/>
        </row>
        <row r="155">
          <cell r="A155">
            <v>345</v>
          </cell>
          <cell r="B155" t="str">
            <v>Veenendaal</v>
          </cell>
          <cell r="C155">
            <v>6</v>
          </cell>
          <cell r="D155">
            <v>-26765</v>
          </cell>
          <cell r="E155">
            <v>-13383</v>
          </cell>
          <cell r="F155">
            <v>0</v>
          </cell>
          <cell r="G155">
            <v>247081</v>
          </cell>
          <cell r="H155">
            <v>0</v>
          </cell>
          <cell r="I155">
            <v>0</v>
          </cell>
          <cell r="J155"/>
          <cell r="K155">
            <v>0</v>
          </cell>
          <cell r="L155">
            <v>331768</v>
          </cell>
          <cell r="M155">
            <v>340635</v>
          </cell>
          <cell r="N155">
            <v>0</v>
          </cell>
          <cell r="O155">
            <v>0</v>
          </cell>
          <cell r="P155">
            <v>0</v>
          </cell>
          <cell r="Q155">
            <v>0</v>
          </cell>
          <cell r="R155">
            <v>0</v>
          </cell>
          <cell r="S155">
            <v>0</v>
          </cell>
          <cell r="T155">
            <v>0</v>
          </cell>
          <cell r="U155">
            <v>0</v>
          </cell>
          <cell r="V155">
            <v>15000</v>
          </cell>
          <cell r="W155">
            <v>167690</v>
          </cell>
          <cell r="X155">
            <v>0</v>
          </cell>
          <cell r="Y155"/>
          <cell r="Z155">
            <v>0</v>
          </cell>
          <cell r="AA155">
            <v>0</v>
          </cell>
          <cell r="AB155">
            <v>0</v>
          </cell>
          <cell r="AC155"/>
          <cell r="AD155">
            <v>44001</v>
          </cell>
          <cell r="AE155">
            <v>0</v>
          </cell>
          <cell r="AF155">
            <v>0</v>
          </cell>
          <cell r="AG155">
            <v>0</v>
          </cell>
          <cell r="AH155">
            <v>0</v>
          </cell>
          <cell r="AI155">
            <v>0</v>
          </cell>
          <cell r="AJ155">
            <v>0</v>
          </cell>
          <cell r="AK155">
            <v>0</v>
          </cell>
          <cell r="AL155"/>
          <cell r="AM155">
            <v>0</v>
          </cell>
          <cell r="AN155">
            <v>0</v>
          </cell>
          <cell r="AO155">
            <v>0</v>
          </cell>
          <cell r="AP155">
            <v>0</v>
          </cell>
          <cell r="AQ155">
            <v>0</v>
          </cell>
          <cell r="AR155">
            <v>0</v>
          </cell>
          <cell r="AS155">
            <v>0</v>
          </cell>
          <cell r="AT155">
            <v>0</v>
          </cell>
          <cell r="AU155">
            <v>9480</v>
          </cell>
          <cell r="AV155">
            <v>0</v>
          </cell>
          <cell r="AW155">
            <v>0</v>
          </cell>
          <cell r="AX155">
            <v>0</v>
          </cell>
          <cell r="AY155"/>
          <cell r="AZ155"/>
          <cell r="BA155">
            <v>0</v>
          </cell>
          <cell r="BB155"/>
          <cell r="BC155">
            <v>0</v>
          </cell>
          <cell r="BD155">
            <v>22564</v>
          </cell>
          <cell r="BE155"/>
          <cell r="BF155">
            <v>0</v>
          </cell>
          <cell r="BG155">
            <v>0</v>
          </cell>
          <cell r="BH155">
            <v>0</v>
          </cell>
          <cell r="BI155">
            <v>91439</v>
          </cell>
          <cell r="BJ155">
            <v>75268</v>
          </cell>
          <cell r="BK155">
            <v>75268</v>
          </cell>
          <cell r="BL155">
            <v>0</v>
          </cell>
          <cell r="BM155">
            <v>0</v>
          </cell>
          <cell r="BN155">
            <v>0</v>
          </cell>
          <cell r="BO155">
            <v>81233</v>
          </cell>
          <cell r="BP155">
            <v>41116.400000000001</v>
          </cell>
          <cell r="BQ155">
            <v>74069.767441860502</v>
          </cell>
          <cell r="BR155">
            <v>0</v>
          </cell>
          <cell r="BS155">
            <v>0</v>
          </cell>
          <cell r="BT155">
            <v>108827</v>
          </cell>
          <cell r="BU155"/>
          <cell r="BV155"/>
          <cell r="BW155"/>
          <cell r="BX155"/>
          <cell r="BY155">
            <v>0</v>
          </cell>
          <cell r="BZ155">
            <v>0</v>
          </cell>
          <cell r="CA155">
            <v>0</v>
          </cell>
          <cell r="CB155">
            <v>0</v>
          </cell>
          <cell r="CC155">
            <v>4752675</v>
          </cell>
          <cell r="CD155">
            <v>32550096</v>
          </cell>
          <cell r="CE155">
            <v>2070282</v>
          </cell>
          <cell r="CF155">
            <v>0</v>
          </cell>
          <cell r="CG155">
            <v>2070282</v>
          </cell>
          <cell r="CH155">
            <v>2070282</v>
          </cell>
          <cell r="CI155">
            <v>2070282</v>
          </cell>
          <cell r="CJ155">
            <v>2070282</v>
          </cell>
          <cell r="CK155">
            <v>0</v>
          </cell>
          <cell r="CL155">
            <v>0</v>
          </cell>
          <cell r="CM155">
            <v>0</v>
          </cell>
          <cell r="CN155">
            <v>0</v>
          </cell>
          <cell r="CO155">
            <v>0</v>
          </cell>
          <cell r="CP155">
            <v>0</v>
          </cell>
          <cell r="CQ155">
            <v>7174448</v>
          </cell>
          <cell r="CR155">
            <v>6866246</v>
          </cell>
          <cell r="CS155">
            <v>6714532</v>
          </cell>
          <cell r="CT155">
            <v>6510876</v>
          </cell>
          <cell r="CU155">
            <v>6434483</v>
          </cell>
          <cell r="CV155">
            <v>-81317</v>
          </cell>
          <cell r="CW155">
            <v>0</v>
          </cell>
          <cell r="CX155">
            <v>0</v>
          </cell>
          <cell r="CY155">
            <v>0</v>
          </cell>
          <cell r="CZ155">
            <v>0</v>
          </cell>
          <cell r="DA155">
            <v>0</v>
          </cell>
          <cell r="DB155"/>
          <cell r="DC155">
            <v>0</v>
          </cell>
          <cell r="DD155">
            <v>0</v>
          </cell>
          <cell r="DE155">
            <v>0</v>
          </cell>
          <cell r="DF155">
            <v>0</v>
          </cell>
          <cell r="DG155">
            <v>0</v>
          </cell>
          <cell r="DH155">
            <v>0</v>
          </cell>
          <cell r="DI155">
            <v>0</v>
          </cell>
          <cell r="DJ155">
            <v>0</v>
          </cell>
          <cell r="DK155">
            <v>0</v>
          </cell>
          <cell r="DL155">
            <v>0</v>
          </cell>
          <cell r="DM155"/>
          <cell r="DN155"/>
          <cell r="DO155"/>
          <cell r="DP155"/>
        </row>
        <row r="156">
          <cell r="A156">
            <v>620</v>
          </cell>
          <cell r="B156" t="str">
            <v>Vianen</v>
          </cell>
          <cell r="C156">
            <v>6</v>
          </cell>
          <cell r="D156">
            <v>-51022</v>
          </cell>
          <cell r="E156">
            <v>-25511</v>
          </cell>
          <cell r="F156">
            <v>0</v>
          </cell>
          <cell r="G156">
            <v>0</v>
          </cell>
          <cell r="H156">
            <v>-12331</v>
          </cell>
          <cell r="I156">
            <v>-6828</v>
          </cell>
          <cell r="J156"/>
          <cell r="K156">
            <v>0</v>
          </cell>
          <cell r="L156">
            <v>76680</v>
          </cell>
          <cell r="M156">
            <v>77112</v>
          </cell>
          <cell r="N156">
            <v>0</v>
          </cell>
          <cell r="O156">
            <v>0</v>
          </cell>
          <cell r="P156">
            <v>0</v>
          </cell>
          <cell r="Q156">
            <v>0</v>
          </cell>
          <cell r="R156">
            <v>0</v>
          </cell>
          <cell r="S156">
            <v>0</v>
          </cell>
          <cell r="T156">
            <v>0</v>
          </cell>
          <cell r="U156">
            <v>0</v>
          </cell>
          <cell r="V156">
            <v>0</v>
          </cell>
          <cell r="W156">
            <v>82999</v>
          </cell>
          <cell r="X156">
            <v>0</v>
          </cell>
          <cell r="Y156"/>
          <cell r="Z156">
            <v>0</v>
          </cell>
          <cell r="AA156">
            <v>0</v>
          </cell>
          <cell r="AB156">
            <v>0</v>
          </cell>
          <cell r="AC156"/>
          <cell r="AD156">
            <v>20000</v>
          </cell>
          <cell r="AE156">
            <v>0</v>
          </cell>
          <cell r="AF156">
            <v>0</v>
          </cell>
          <cell r="AG156">
            <v>0</v>
          </cell>
          <cell r="AH156">
            <v>0</v>
          </cell>
          <cell r="AI156">
            <v>0</v>
          </cell>
          <cell r="AJ156">
            <v>0</v>
          </cell>
          <cell r="AK156">
            <v>0</v>
          </cell>
          <cell r="AL156"/>
          <cell r="AM156">
            <v>33161</v>
          </cell>
          <cell r="AN156">
            <v>33924</v>
          </cell>
          <cell r="AO156">
            <v>34704</v>
          </cell>
          <cell r="AP156">
            <v>35503</v>
          </cell>
          <cell r="AQ156">
            <v>36319</v>
          </cell>
          <cell r="AR156">
            <v>37154</v>
          </cell>
          <cell r="AS156">
            <v>0</v>
          </cell>
          <cell r="AT156">
            <v>0</v>
          </cell>
          <cell r="AU156">
            <v>0</v>
          </cell>
          <cell r="AV156">
            <v>0</v>
          </cell>
          <cell r="AW156">
            <v>0</v>
          </cell>
          <cell r="AX156">
            <v>0</v>
          </cell>
          <cell r="AY156"/>
          <cell r="AZ156"/>
          <cell r="BA156">
            <v>0</v>
          </cell>
          <cell r="BB156"/>
          <cell r="BC156">
            <v>0</v>
          </cell>
          <cell r="BD156">
            <v>34587</v>
          </cell>
          <cell r="BE156"/>
          <cell r="BF156">
            <v>0</v>
          </cell>
          <cell r="BG156">
            <v>0</v>
          </cell>
          <cell r="BH156">
            <v>0</v>
          </cell>
          <cell r="BI156">
            <v>23768</v>
          </cell>
          <cell r="BJ156">
            <v>19565</v>
          </cell>
          <cell r="BK156">
            <v>19565</v>
          </cell>
          <cell r="BL156">
            <v>0</v>
          </cell>
          <cell r="BM156">
            <v>0</v>
          </cell>
          <cell r="BN156">
            <v>0</v>
          </cell>
          <cell r="BO156">
            <v>105555</v>
          </cell>
          <cell r="BP156">
            <v>11069.8</v>
          </cell>
          <cell r="BQ156">
            <v>19941.8604651163</v>
          </cell>
          <cell r="BR156">
            <v>0</v>
          </cell>
          <cell r="BS156">
            <v>0</v>
          </cell>
          <cell r="BT156">
            <v>32045</v>
          </cell>
          <cell r="BU156"/>
          <cell r="BV156"/>
          <cell r="BW156"/>
          <cell r="BX156"/>
          <cell r="BY156">
            <v>0</v>
          </cell>
          <cell r="BZ156">
            <v>0</v>
          </cell>
          <cell r="CA156">
            <v>0</v>
          </cell>
          <cell r="CB156">
            <v>0</v>
          </cell>
          <cell r="CC156">
            <v>1350657</v>
          </cell>
          <cell r="CD156">
            <v>6535623</v>
          </cell>
          <cell r="CE156">
            <v>328753</v>
          </cell>
          <cell r="CF156">
            <v>-6796</v>
          </cell>
          <cell r="CG156">
            <v>328753</v>
          </cell>
          <cell r="CH156">
            <v>328753</v>
          </cell>
          <cell r="CI156">
            <v>328753</v>
          </cell>
          <cell r="CJ156">
            <v>328753</v>
          </cell>
          <cell r="CK156">
            <v>0</v>
          </cell>
          <cell r="CL156">
            <v>0</v>
          </cell>
          <cell r="CM156">
            <v>0</v>
          </cell>
          <cell r="CN156">
            <v>0</v>
          </cell>
          <cell r="CO156">
            <v>0</v>
          </cell>
          <cell r="CP156">
            <v>-1447</v>
          </cell>
          <cell r="CQ156">
            <v>660293</v>
          </cell>
          <cell r="CR156">
            <v>648586</v>
          </cell>
          <cell r="CS156">
            <v>648807</v>
          </cell>
          <cell r="CT156">
            <v>636244</v>
          </cell>
          <cell r="CU156">
            <v>640925</v>
          </cell>
          <cell r="CV156">
            <v>-183</v>
          </cell>
          <cell r="CW156">
            <v>0</v>
          </cell>
          <cell r="CX156">
            <v>0</v>
          </cell>
          <cell r="CY156">
            <v>0</v>
          </cell>
          <cell r="CZ156">
            <v>0</v>
          </cell>
          <cell r="DA156">
            <v>0</v>
          </cell>
          <cell r="DB156"/>
          <cell r="DC156">
            <v>0</v>
          </cell>
          <cell r="DD156">
            <v>0</v>
          </cell>
          <cell r="DE156">
            <v>0</v>
          </cell>
          <cell r="DF156">
            <v>0</v>
          </cell>
          <cell r="DG156">
            <v>0</v>
          </cell>
          <cell r="DH156">
            <v>0</v>
          </cell>
          <cell r="DI156">
            <v>0</v>
          </cell>
          <cell r="DJ156">
            <v>0</v>
          </cell>
          <cell r="DK156">
            <v>0</v>
          </cell>
          <cell r="DL156">
            <v>0</v>
          </cell>
          <cell r="DM156"/>
          <cell r="DN156"/>
          <cell r="DO156"/>
          <cell r="DP156"/>
        </row>
        <row r="157">
          <cell r="A157">
            <v>352</v>
          </cell>
          <cell r="B157" t="str">
            <v>Wijk bij Duurstede</v>
          </cell>
          <cell r="C157">
            <v>6</v>
          </cell>
          <cell r="D157">
            <v>9505</v>
          </cell>
          <cell r="E157">
            <v>4752</v>
          </cell>
          <cell r="F157">
            <v>0</v>
          </cell>
          <cell r="G157">
            <v>0</v>
          </cell>
          <cell r="H157">
            <v>0</v>
          </cell>
          <cell r="I157">
            <v>0</v>
          </cell>
          <cell r="J157"/>
          <cell r="K157">
            <v>0</v>
          </cell>
          <cell r="L157">
            <v>71168</v>
          </cell>
          <cell r="M157">
            <v>71160</v>
          </cell>
          <cell r="N157">
            <v>0</v>
          </cell>
          <cell r="O157">
            <v>0</v>
          </cell>
          <cell r="P157">
            <v>0</v>
          </cell>
          <cell r="Q157">
            <v>0</v>
          </cell>
          <cell r="R157">
            <v>0</v>
          </cell>
          <cell r="S157">
            <v>0</v>
          </cell>
          <cell r="T157">
            <v>0</v>
          </cell>
          <cell r="U157">
            <v>0</v>
          </cell>
          <cell r="V157">
            <v>0</v>
          </cell>
          <cell r="W157">
            <v>62631</v>
          </cell>
          <cell r="X157">
            <v>0</v>
          </cell>
          <cell r="Y157"/>
          <cell r="Z157">
            <v>0</v>
          </cell>
          <cell r="AA157">
            <v>0</v>
          </cell>
          <cell r="AB157">
            <v>0</v>
          </cell>
          <cell r="AC157"/>
          <cell r="AD157">
            <v>0</v>
          </cell>
          <cell r="AE157">
            <v>0</v>
          </cell>
          <cell r="AF157">
            <v>0</v>
          </cell>
          <cell r="AG157">
            <v>0</v>
          </cell>
          <cell r="AH157">
            <v>0</v>
          </cell>
          <cell r="AI157">
            <v>0</v>
          </cell>
          <cell r="AJ157">
            <v>0</v>
          </cell>
          <cell r="AK157">
            <v>0</v>
          </cell>
          <cell r="AL157"/>
          <cell r="AM157">
            <v>0</v>
          </cell>
          <cell r="AN157">
            <v>0</v>
          </cell>
          <cell r="AO157">
            <v>0</v>
          </cell>
          <cell r="AP157">
            <v>0</v>
          </cell>
          <cell r="AQ157">
            <v>0</v>
          </cell>
          <cell r="AR157">
            <v>0</v>
          </cell>
          <cell r="AS157">
            <v>0</v>
          </cell>
          <cell r="AT157">
            <v>0</v>
          </cell>
          <cell r="AU157">
            <v>0</v>
          </cell>
          <cell r="AV157">
            <v>0</v>
          </cell>
          <cell r="AW157">
            <v>0</v>
          </cell>
          <cell r="AX157">
            <v>0</v>
          </cell>
          <cell r="AY157"/>
          <cell r="AZ157"/>
          <cell r="BA157">
            <v>0</v>
          </cell>
          <cell r="BB157"/>
          <cell r="BC157">
            <v>0</v>
          </cell>
          <cell r="BD157">
            <v>8250</v>
          </cell>
          <cell r="BE157"/>
          <cell r="BF157">
            <v>0</v>
          </cell>
          <cell r="BG157">
            <v>0</v>
          </cell>
          <cell r="BH157">
            <v>0</v>
          </cell>
          <cell r="BI157">
            <v>21249</v>
          </cell>
          <cell r="BJ157">
            <v>17491</v>
          </cell>
          <cell r="BK157">
            <v>17491</v>
          </cell>
          <cell r="BL157">
            <v>0</v>
          </cell>
          <cell r="BM157">
            <v>0</v>
          </cell>
          <cell r="BN157">
            <v>0</v>
          </cell>
          <cell r="BO157">
            <v>42806</v>
          </cell>
          <cell r="BP157">
            <v>11069.8</v>
          </cell>
          <cell r="BQ157">
            <v>19941.8604651163</v>
          </cell>
          <cell r="BR157">
            <v>0</v>
          </cell>
          <cell r="BS157">
            <v>0</v>
          </cell>
          <cell r="BT157">
            <v>35421</v>
          </cell>
          <cell r="BU157"/>
          <cell r="BV157"/>
          <cell r="BW157"/>
          <cell r="BX157"/>
          <cell r="BY157">
            <v>0</v>
          </cell>
          <cell r="BZ157">
            <v>0</v>
          </cell>
          <cell r="CA157">
            <v>0</v>
          </cell>
          <cell r="CB157">
            <v>0</v>
          </cell>
          <cell r="CC157">
            <v>1359034</v>
          </cell>
          <cell r="CD157">
            <v>8478542</v>
          </cell>
          <cell r="CE157">
            <v>639051</v>
          </cell>
          <cell r="CF157">
            <v>0</v>
          </cell>
          <cell r="CG157">
            <v>639051</v>
          </cell>
          <cell r="CH157">
            <v>639051</v>
          </cell>
          <cell r="CI157">
            <v>639051</v>
          </cell>
          <cell r="CJ157">
            <v>639051</v>
          </cell>
          <cell r="CK157">
            <v>0</v>
          </cell>
          <cell r="CL157">
            <v>0</v>
          </cell>
          <cell r="CM157">
            <v>0</v>
          </cell>
          <cell r="CN157">
            <v>0</v>
          </cell>
          <cell r="CO157">
            <v>0</v>
          </cell>
          <cell r="CP157">
            <v>0</v>
          </cell>
          <cell r="CQ157">
            <v>1361990</v>
          </cell>
          <cell r="CR157">
            <v>1308019</v>
          </cell>
          <cell r="CS157">
            <v>1288879</v>
          </cell>
          <cell r="CT157">
            <v>1274090</v>
          </cell>
          <cell r="CU157">
            <v>1248683</v>
          </cell>
          <cell r="CV157">
            <v>34047</v>
          </cell>
          <cell r="CW157">
            <v>0</v>
          </cell>
          <cell r="CX157">
            <v>0</v>
          </cell>
          <cell r="CY157">
            <v>0</v>
          </cell>
          <cell r="CZ157">
            <v>0</v>
          </cell>
          <cell r="DA157">
            <v>0</v>
          </cell>
          <cell r="DB157"/>
          <cell r="DC157">
            <v>0</v>
          </cell>
          <cell r="DD157">
            <v>0</v>
          </cell>
          <cell r="DE157">
            <v>0</v>
          </cell>
          <cell r="DF157">
            <v>0</v>
          </cell>
          <cell r="DG157">
            <v>0</v>
          </cell>
          <cell r="DH157">
            <v>0</v>
          </cell>
          <cell r="DI157">
            <v>0</v>
          </cell>
          <cell r="DJ157">
            <v>0</v>
          </cell>
          <cell r="DK157">
            <v>0</v>
          </cell>
          <cell r="DL157">
            <v>0</v>
          </cell>
          <cell r="DM157"/>
          <cell r="DN157"/>
          <cell r="DO157"/>
          <cell r="DP157"/>
        </row>
        <row r="158">
          <cell r="A158">
            <v>632</v>
          </cell>
          <cell r="B158" t="str">
            <v>Woerden</v>
          </cell>
          <cell r="C158">
            <v>6</v>
          </cell>
          <cell r="D158">
            <v>44328</v>
          </cell>
          <cell r="E158">
            <v>22164</v>
          </cell>
          <cell r="F158">
            <v>0</v>
          </cell>
          <cell r="G158">
            <v>0</v>
          </cell>
          <cell r="H158">
            <v>0</v>
          </cell>
          <cell r="I158">
            <v>-8454</v>
          </cell>
          <cell r="J158"/>
          <cell r="K158">
            <v>0</v>
          </cell>
          <cell r="L158">
            <v>167844</v>
          </cell>
          <cell r="M158">
            <v>162842</v>
          </cell>
          <cell r="N158">
            <v>0</v>
          </cell>
          <cell r="O158">
            <v>0</v>
          </cell>
          <cell r="P158">
            <v>0</v>
          </cell>
          <cell r="Q158">
            <v>0</v>
          </cell>
          <cell r="R158">
            <v>0</v>
          </cell>
          <cell r="S158">
            <v>0</v>
          </cell>
          <cell r="T158">
            <v>0</v>
          </cell>
          <cell r="U158">
            <v>0</v>
          </cell>
          <cell r="V158">
            <v>6000</v>
          </cell>
          <cell r="W158">
            <v>190116</v>
          </cell>
          <cell r="X158">
            <v>0</v>
          </cell>
          <cell r="Y158"/>
          <cell r="Z158">
            <v>0</v>
          </cell>
          <cell r="AA158">
            <v>0</v>
          </cell>
          <cell r="AB158">
            <v>0</v>
          </cell>
          <cell r="AC158"/>
          <cell r="AD158">
            <v>0</v>
          </cell>
          <cell r="AE158">
            <v>0</v>
          </cell>
          <cell r="AF158">
            <v>0</v>
          </cell>
          <cell r="AG158">
            <v>0</v>
          </cell>
          <cell r="AH158">
            <v>0</v>
          </cell>
          <cell r="AI158">
            <v>0</v>
          </cell>
          <cell r="AJ158">
            <v>0</v>
          </cell>
          <cell r="AK158">
            <v>0</v>
          </cell>
          <cell r="AL158"/>
          <cell r="AM158">
            <v>0</v>
          </cell>
          <cell r="AN158">
            <v>0</v>
          </cell>
          <cell r="AO158">
            <v>0</v>
          </cell>
          <cell r="AP158">
            <v>0</v>
          </cell>
          <cell r="AQ158">
            <v>0</v>
          </cell>
          <cell r="AR158">
            <v>0</v>
          </cell>
          <cell r="AS158">
            <v>0</v>
          </cell>
          <cell r="AT158">
            <v>0</v>
          </cell>
          <cell r="AU158">
            <v>7110</v>
          </cell>
          <cell r="AV158">
            <v>0</v>
          </cell>
          <cell r="AW158">
            <v>0</v>
          </cell>
          <cell r="AX158">
            <v>0</v>
          </cell>
          <cell r="AY158"/>
          <cell r="AZ158"/>
          <cell r="BA158">
            <v>0</v>
          </cell>
          <cell r="BB158"/>
          <cell r="BC158">
            <v>0</v>
          </cell>
          <cell r="BD158">
            <v>18083</v>
          </cell>
          <cell r="BE158"/>
          <cell r="BF158">
            <v>0</v>
          </cell>
          <cell r="BG158">
            <v>0</v>
          </cell>
          <cell r="BH158">
            <v>0</v>
          </cell>
          <cell r="BI158">
            <v>52321</v>
          </cell>
          <cell r="BJ158">
            <v>43068</v>
          </cell>
          <cell r="BK158">
            <v>43068</v>
          </cell>
          <cell r="BL158">
            <v>0</v>
          </cell>
          <cell r="BM158">
            <v>0</v>
          </cell>
          <cell r="BN158">
            <v>0</v>
          </cell>
          <cell r="BO158">
            <v>76856</v>
          </cell>
          <cell r="BP158">
            <v>22139.599999999999</v>
          </cell>
          <cell r="BQ158">
            <v>39883.720930232601</v>
          </cell>
          <cell r="BR158">
            <v>0</v>
          </cell>
          <cell r="BS158">
            <v>0</v>
          </cell>
          <cell r="BT158">
            <v>82809</v>
          </cell>
          <cell r="BU158"/>
          <cell r="BV158"/>
          <cell r="BW158"/>
          <cell r="BX158"/>
          <cell r="BY158">
            <v>0</v>
          </cell>
          <cell r="BZ158">
            <v>0</v>
          </cell>
          <cell r="CA158">
            <v>0</v>
          </cell>
          <cell r="CB158">
            <v>0</v>
          </cell>
          <cell r="CC158">
            <v>3109929</v>
          </cell>
          <cell r="CD158">
            <v>20402476</v>
          </cell>
          <cell r="CE158">
            <v>676484</v>
          </cell>
          <cell r="CF158">
            <v>-2923</v>
          </cell>
          <cell r="CG158">
            <v>676484</v>
          </cell>
          <cell r="CH158">
            <v>676484</v>
          </cell>
          <cell r="CI158">
            <v>676484</v>
          </cell>
          <cell r="CJ158">
            <v>676484</v>
          </cell>
          <cell r="CK158">
            <v>0</v>
          </cell>
          <cell r="CL158">
            <v>0</v>
          </cell>
          <cell r="CM158">
            <v>0</v>
          </cell>
          <cell r="CN158">
            <v>0</v>
          </cell>
          <cell r="CO158">
            <v>0</v>
          </cell>
          <cell r="CP158">
            <v>-2614</v>
          </cell>
          <cell r="CQ158">
            <v>5564581</v>
          </cell>
          <cell r="CR158">
            <v>5350329</v>
          </cell>
          <cell r="CS158">
            <v>5226667</v>
          </cell>
          <cell r="CT158">
            <v>5126729</v>
          </cell>
          <cell r="CU158">
            <v>5017560</v>
          </cell>
          <cell r="CV158">
            <v>1827</v>
          </cell>
          <cell r="CW158">
            <v>0</v>
          </cell>
          <cell r="CX158">
            <v>0</v>
          </cell>
          <cell r="CY158">
            <v>0</v>
          </cell>
          <cell r="CZ158">
            <v>0</v>
          </cell>
          <cell r="DA158">
            <v>0</v>
          </cell>
          <cell r="DB158"/>
          <cell r="DC158">
            <v>250000</v>
          </cell>
          <cell r="DD158">
            <v>0</v>
          </cell>
          <cell r="DE158">
            <v>0</v>
          </cell>
          <cell r="DF158">
            <v>0</v>
          </cell>
          <cell r="DG158">
            <v>0</v>
          </cell>
          <cell r="DH158">
            <v>0</v>
          </cell>
          <cell r="DI158">
            <v>0</v>
          </cell>
          <cell r="DJ158">
            <v>0</v>
          </cell>
          <cell r="DK158">
            <v>0</v>
          </cell>
          <cell r="DL158">
            <v>0</v>
          </cell>
          <cell r="DM158"/>
          <cell r="DN158"/>
          <cell r="DO158"/>
          <cell r="DP158"/>
        </row>
        <row r="159">
          <cell r="A159">
            <v>351</v>
          </cell>
          <cell r="B159" t="str">
            <v>Woudenberg</v>
          </cell>
          <cell r="C159">
            <v>6</v>
          </cell>
          <cell r="D159">
            <v>9627</v>
          </cell>
          <cell r="E159">
            <v>4813</v>
          </cell>
          <cell r="F159">
            <v>0</v>
          </cell>
          <cell r="G159">
            <v>0</v>
          </cell>
          <cell r="H159">
            <v>-5763</v>
          </cell>
          <cell r="I159">
            <v>-4083</v>
          </cell>
          <cell r="J159"/>
          <cell r="K159">
            <v>0</v>
          </cell>
          <cell r="L159">
            <v>39394</v>
          </cell>
          <cell r="M159">
            <v>37139</v>
          </cell>
          <cell r="N159">
            <v>0</v>
          </cell>
          <cell r="O159">
            <v>0</v>
          </cell>
          <cell r="P159">
            <v>0</v>
          </cell>
          <cell r="Q159">
            <v>0</v>
          </cell>
          <cell r="R159">
            <v>0</v>
          </cell>
          <cell r="S159">
            <v>0</v>
          </cell>
          <cell r="T159">
            <v>0</v>
          </cell>
          <cell r="U159">
            <v>0</v>
          </cell>
          <cell r="V159">
            <v>0</v>
          </cell>
          <cell r="W159">
            <v>53065</v>
          </cell>
          <cell r="X159">
            <v>0</v>
          </cell>
          <cell r="Y159"/>
          <cell r="Z159">
            <v>0</v>
          </cell>
          <cell r="AA159">
            <v>0</v>
          </cell>
          <cell r="AB159">
            <v>0</v>
          </cell>
          <cell r="AC159"/>
          <cell r="AD159">
            <v>0</v>
          </cell>
          <cell r="AE159">
            <v>0</v>
          </cell>
          <cell r="AF159">
            <v>0</v>
          </cell>
          <cell r="AG159">
            <v>0</v>
          </cell>
          <cell r="AH159">
            <v>0</v>
          </cell>
          <cell r="AI159">
            <v>0</v>
          </cell>
          <cell r="AJ159">
            <v>0</v>
          </cell>
          <cell r="AK159">
            <v>0</v>
          </cell>
          <cell r="AL159"/>
          <cell r="AM159">
            <v>0</v>
          </cell>
          <cell r="AN159">
            <v>0</v>
          </cell>
          <cell r="AO159">
            <v>0</v>
          </cell>
          <cell r="AP159">
            <v>0</v>
          </cell>
          <cell r="AQ159">
            <v>0</v>
          </cell>
          <cell r="AR159">
            <v>0</v>
          </cell>
          <cell r="AS159">
            <v>0</v>
          </cell>
          <cell r="AT159">
            <v>0</v>
          </cell>
          <cell r="AU159">
            <v>4740</v>
          </cell>
          <cell r="AV159">
            <v>0</v>
          </cell>
          <cell r="AW159">
            <v>0</v>
          </cell>
          <cell r="AX159">
            <v>0</v>
          </cell>
          <cell r="AY159"/>
          <cell r="AZ159"/>
          <cell r="BA159">
            <v>0</v>
          </cell>
          <cell r="BB159"/>
          <cell r="BC159">
            <v>0</v>
          </cell>
          <cell r="BD159">
            <v>4459</v>
          </cell>
          <cell r="BE159"/>
          <cell r="BF159">
            <v>0</v>
          </cell>
          <cell r="BG159">
            <v>0</v>
          </cell>
          <cell r="BH159">
            <v>0</v>
          </cell>
          <cell r="BI159">
            <v>10377</v>
          </cell>
          <cell r="BJ159">
            <v>8542</v>
          </cell>
          <cell r="BK159">
            <v>8542</v>
          </cell>
          <cell r="BL159">
            <v>0</v>
          </cell>
          <cell r="BM159">
            <v>0</v>
          </cell>
          <cell r="BN159">
            <v>0</v>
          </cell>
          <cell r="BO159">
            <v>44265</v>
          </cell>
          <cell r="BP159">
            <v>1581.4</v>
          </cell>
          <cell r="BQ159">
            <v>2848.8372093023299</v>
          </cell>
          <cell r="BR159">
            <v>0</v>
          </cell>
          <cell r="BS159">
            <v>0</v>
          </cell>
          <cell r="BT159">
            <v>19711</v>
          </cell>
          <cell r="BU159"/>
          <cell r="BV159"/>
          <cell r="BW159"/>
          <cell r="BX159"/>
          <cell r="BY159">
            <v>0</v>
          </cell>
          <cell r="BZ159">
            <v>0</v>
          </cell>
          <cell r="CA159">
            <v>0</v>
          </cell>
          <cell r="CB159">
            <v>0</v>
          </cell>
          <cell r="CC159">
            <v>850593</v>
          </cell>
          <cell r="CD159">
            <v>4460161</v>
          </cell>
          <cell r="CE159">
            <v>443939</v>
          </cell>
          <cell r="CF159">
            <v>0</v>
          </cell>
          <cell r="CG159">
            <v>443939</v>
          </cell>
          <cell r="CH159">
            <v>443939</v>
          </cell>
          <cell r="CI159">
            <v>443939</v>
          </cell>
          <cell r="CJ159">
            <v>443939</v>
          </cell>
          <cell r="CK159">
            <v>0</v>
          </cell>
          <cell r="CL159">
            <v>0</v>
          </cell>
          <cell r="CM159">
            <v>0</v>
          </cell>
          <cell r="CN159">
            <v>0</v>
          </cell>
          <cell r="CO159">
            <v>0</v>
          </cell>
          <cell r="CP159">
            <v>-1467</v>
          </cell>
          <cell r="CQ159">
            <v>361187</v>
          </cell>
          <cell r="CR159">
            <v>346924</v>
          </cell>
          <cell r="CS159">
            <v>340275</v>
          </cell>
          <cell r="CT159">
            <v>341462</v>
          </cell>
          <cell r="CU159">
            <v>343025</v>
          </cell>
          <cell r="CV159">
            <v>-23237</v>
          </cell>
          <cell r="CW159">
            <v>0</v>
          </cell>
          <cell r="CX159">
            <v>0</v>
          </cell>
          <cell r="CY159">
            <v>0</v>
          </cell>
          <cell r="CZ159">
            <v>0</v>
          </cell>
          <cell r="DA159">
            <v>0</v>
          </cell>
          <cell r="DB159"/>
          <cell r="DC159">
            <v>0</v>
          </cell>
          <cell r="DD159">
            <v>0</v>
          </cell>
          <cell r="DE159">
            <v>0</v>
          </cell>
          <cell r="DF159">
            <v>0</v>
          </cell>
          <cell r="DG159">
            <v>0</v>
          </cell>
          <cell r="DH159">
            <v>0</v>
          </cell>
          <cell r="DI159">
            <v>0</v>
          </cell>
          <cell r="DJ159">
            <v>0</v>
          </cell>
          <cell r="DK159">
            <v>0</v>
          </cell>
          <cell r="DL159">
            <v>0</v>
          </cell>
          <cell r="DM159"/>
          <cell r="DN159"/>
          <cell r="DO159"/>
          <cell r="DP159"/>
        </row>
        <row r="160">
          <cell r="A160">
            <v>355</v>
          </cell>
          <cell r="B160" t="str">
            <v>Zeist</v>
          </cell>
          <cell r="C160">
            <v>6</v>
          </cell>
          <cell r="D160">
            <v>-67637</v>
          </cell>
          <cell r="E160">
            <v>-33819</v>
          </cell>
          <cell r="F160">
            <v>0</v>
          </cell>
          <cell r="G160">
            <v>0</v>
          </cell>
          <cell r="H160">
            <v>-9415</v>
          </cell>
          <cell r="I160">
            <v>-10078</v>
          </cell>
          <cell r="J160"/>
          <cell r="K160">
            <v>0</v>
          </cell>
          <cell r="L160">
            <v>290981</v>
          </cell>
          <cell r="M160">
            <v>323970</v>
          </cell>
          <cell r="N160">
            <v>0</v>
          </cell>
          <cell r="O160">
            <v>0</v>
          </cell>
          <cell r="P160">
            <v>0</v>
          </cell>
          <cell r="Q160">
            <v>0</v>
          </cell>
          <cell r="R160">
            <v>0</v>
          </cell>
          <cell r="S160">
            <v>0</v>
          </cell>
          <cell r="T160">
            <v>0</v>
          </cell>
          <cell r="U160">
            <v>0</v>
          </cell>
          <cell r="V160">
            <v>12000</v>
          </cell>
          <cell r="W160">
            <v>234809</v>
          </cell>
          <cell r="X160">
            <v>0</v>
          </cell>
          <cell r="Y160"/>
          <cell r="Z160">
            <v>0</v>
          </cell>
          <cell r="AA160">
            <v>0</v>
          </cell>
          <cell r="AB160">
            <v>0</v>
          </cell>
          <cell r="AC160"/>
          <cell r="AD160">
            <v>44978</v>
          </cell>
          <cell r="AE160">
            <v>0</v>
          </cell>
          <cell r="AF160">
            <v>0</v>
          </cell>
          <cell r="AG160">
            <v>0</v>
          </cell>
          <cell r="AH160">
            <v>0</v>
          </cell>
          <cell r="AI160">
            <v>0</v>
          </cell>
          <cell r="AJ160">
            <v>0</v>
          </cell>
          <cell r="AK160">
            <v>0</v>
          </cell>
          <cell r="AL160"/>
          <cell r="AM160">
            <v>0</v>
          </cell>
          <cell r="AN160">
            <v>0</v>
          </cell>
          <cell r="AO160">
            <v>0</v>
          </cell>
          <cell r="AP160">
            <v>0</v>
          </cell>
          <cell r="AQ160">
            <v>0</v>
          </cell>
          <cell r="AR160">
            <v>0</v>
          </cell>
          <cell r="AS160">
            <v>0</v>
          </cell>
          <cell r="AT160">
            <v>0</v>
          </cell>
          <cell r="AU160">
            <v>9480</v>
          </cell>
          <cell r="AV160">
            <v>0</v>
          </cell>
          <cell r="AW160">
            <v>0</v>
          </cell>
          <cell r="AX160">
            <v>0</v>
          </cell>
          <cell r="AY160"/>
          <cell r="AZ160"/>
          <cell r="BA160">
            <v>0</v>
          </cell>
          <cell r="BB160"/>
          <cell r="BC160">
            <v>0</v>
          </cell>
          <cell r="BD160">
            <v>22056</v>
          </cell>
          <cell r="BE160"/>
          <cell r="BF160">
            <v>0</v>
          </cell>
          <cell r="BG160">
            <v>0</v>
          </cell>
          <cell r="BH160">
            <v>0</v>
          </cell>
          <cell r="BI160">
            <v>95718</v>
          </cell>
          <cell r="BJ160">
            <v>78790</v>
          </cell>
          <cell r="BK160">
            <v>78790</v>
          </cell>
          <cell r="BL160">
            <v>0</v>
          </cell>
          <cell r="BM160">
            <v>0</v>
          </cell>
          <cell r="BN160">
            <v>0</v>
          </cell>
          <cell r="BO160">
            <v>154198</v>
          </cell>
          <cell r="BP160">
            <v>12651.2</v>
          </cell>
          <cell r="BQ160">
            <v>22790.697674418599</v>
          </cell>
          <cell r="BR160">
            <v>0</v>
          </cell>
          <cell r="BS160">
            <v>0</v>
          </cell>
          <cell r="BT160">
            <v>99796</v>
          </cell>
          <cell r="BU160"/>
          <cell r="BV160"/>
          <cell r="BW160"/>
          <cell r="BX160"/>
          <cell r="BY160">
            <v>0</v>
          </cell>
          <cell r="BZ160">
            <v>0</v>
          </cell>
          <cell r="CA160">
            <v>0</v>
          </cell>
          <cell r="CB160">
            <v>0</v>
          </cell>
          <cell r="CC160">
            <v>4947676</v>
          </cell>
          <cell r="CD160">
            <v>34291910</v>
          </cell>
          <cell r="CE160">
            <v>5235783</v>
          </cell>
          <cell r="CF160">
            <v>0</v>
          </cell>
          <cell r="CG160">
            <v>5235783</v>
          </cell>
          <cell r="CH160">
            <v>5235783</v>
          </cell>
          <cell r="CI160">
            <v>5235783</v>
          </cell>
          <cell r="CJ160">
            <v>5235783</v>
          </cell>
          <cell r="CK160">
            <v>0</v>
          </cell>
          <cell r="CL160">
            <v>0</v>
          </cell>
          <cell r="CM160">
            <v>0</v>
          </cell>
          <cell r="CN160">
            <v>0</v>
          </cell>
          <cell r="CO160">
            <v>0</v>
          </cell>
          <cell r="CP160">
            <v>-3618</v>
          </cell>
          <cell r="CQ160">
            <v>5130814</v>
          </cell>
          <cell r="CR160">
            <v>4936594</v>
          </cell>
          <cell r="CS160">
            <v>4877689</v>
          </cell>
          <cell r="CT160">
            <v>4864275</v>
          </cell>
          <cell r="CU160">
            <v>4760130</v>
          </cell>
          <cell r="CV160">
            <v>-73057</v>
          </cell>
          <cell r="CW160">
            <v>0</v>
          </cell>
          <cell r="CX160">
            <v>0</v>
          </cell>
          <cell r="CY160">
            <v>0</v>
          </cell>
          <cell r="CZ160">
            <v>0</v>
          </cell>
          <cell r="DA160">
            <v>0</v>
          </cell>
          <cell r="DB160"/>
          <cell r="DC160">
            <v>0</v>
          </cell>
          <cell r="DD160">
            <v>0</v>
          </cell>
          <cell r="DE160">
            <v>0</v>
          </cell>
          <cell r="DF160">
            <v>0</v>
          </cell>
          <cell r="DG160">
            <v>0</v>
          </cell>
          <cell r="DH160">
            <v>0</v>
          </cell>
          <cell r="DI160">
            <v>0</v>
          </cell>
          <cell r="DJ160">
            <v>0</v>
          </cell>
          <cell r="DK160">
            <v>0</v>
          </cell>
          <cell r="DL160">
            <v>0</v>
          </cell>
          <cell r="DM160"/>
          <cell r="DN160"/>
          <cell r="DO160"/>
          <cell r="DP160"/>
        </row>
        <row r="161">
          <cell r="A161">
            <v>358</v>
          </cell>
          <cell r="B161" t="str">
            <v>Aalsmeer</v>
          </cell>
          <cell r="C161">
            <v>7</v>
          </cell>
          <cell r="D161">
            <v>28532</v>
          </cell>
          <cell r="E161">
            <v>14266</v>
          </cell>
          <cell r="F161">
            <v>0</v>
          </cell>
          <cell r="G161">
            <v>17281</v>
          </cell>
          <cell r="H161">
            <v>-15341</v>
          </cell>
          <cell r="I161">
            <v>-9527</v>
          </cell>
          <cell r="J161"/>
          <cell r="K161">
            <v>0</v>
          </cell>
          <cell r="L161">
            <v>89135</v>
          </cell>
          <cell r="M161">
            <v>81659</v>
          </cell>
          <cell r="N161">
            <v>0</v>
          </cell>
          <cell r="O161">
            <v>0</v>
          </cell>
          <cell r="P161">
            <v>0</v>
          </cell>
          <cell r="Q161">
            <v>0</v>
          </cell>
          <cell r="R161">
            <v>0</v>
          </cell>
          <cell r="S161">
            <v>0</v>
          </cell>
          <cell r="T161">
            <v>0</v>
          </cell>
          <cell r="U161">
            <v>0</v>
          </cell>
          <cell r="V161">
            <v>6000</v>
          </cell>
          <cell r="W161">
            <v>88896</v>
          </cell>
          <cell r="X161">
            <v>0</v>
          </cell>
          <cell r="Y161"/>
          <cell r="Z161">
            <v>0</v>
          </cell>
          <cell r="AA161">
            <v>0</v>
          </cell>
          <cell r="AB161">
            <v>0</v>
          </cell>
          <cell r="AC161"/>
          <cell r="AD161">
            <v>0</v>
          </cell>
          <cell r="AE161">
            <v>0</v>
          </cell>
          <cell r="AF161">
            <v>0</v>
          </cell>
          <cell r="AG161">
            <v>0</v>
          </cell>
          <cell r="AH161">
            <v>0</v>
          </cell>
          <cell r="AI161">
            <v>0</v>
          </cell>
          <cell r="AJ161">
            <v>0</v>
          </cell>
          <cell r="AK161">
            <v>0</v>
          </cell>
          <cell r="AL161"/>
          <cell r="AM161">
            <v>0</v>
          </cell>
          <cell r="AN161">
            <v>0</v>
          </cell>
          <cell r="AO161">
            <v>0</v>
          </cell>
          <cell r="AP161">
            <v>0</v>
          </cell>
          <cell r="AQ161">
            <v>0</v>
          </cell>
          <cell r="AR161">
            <v>0</v>
          </cell>
          <cell r="AS161">
            <v>0</v>
          </cell>
          <cell r="AT161">
            <v>0</v>
          </cell>
          <cell r="AU161">
            <v>0</v>
          </cell>
          <cell r="AV161">
            <v>0</v>
          </cell>
          <cell r="AW161">
            <v>0</v>
          </cell>
          <cell r="AX161">
            <v>0</v>
          </cell>
          <cell r="AY161"/>
          <cell r="AZ161"/>
          <cell r="BA161">
            <v>0</v>
          </cell>
          <cell r="BB161"/>
          <cell r="BC161">
            <v>0</v>
          </cell>
          <cell r="BD161">
            <v>11013</v>
          </cell>
          <cell r="BE161"/>
          <cell r="BF161">
            <v>0</v>
          </cell>
          <cell r="BG161">
            <v>0</v>
          </cell>
          <cell r="BH161">
            <v>0</v>
          </cell>
          <cell r="BI161">
            <v>32075</v>
          </cell>
          <cell r="BJ161">
            <v>26402</v>
          </cell>
          <cell r="BK161">
            <v>26402</v>
          </cell>
          <cell r="BL161">
            <v>0</v>
          </cell>
          <cell r="BM161">
            <v>0</v>
          </cell>
          <cell r="BN161">
            <v>0</v>
          </cell>
          <cell r="BO161">
            <v>139605</v>
          </cell>
          <cell r="BP161">
            <v>34790.800000000003</v>
          </cell>
          <cell r="BQ161">
            <v>62674.418604651197</v>
          </cell>
          <cell r="BR161">
            <v>0</v>
          </cell>
          <cell r="BS161">
            <v>0</v>
          </cell>
          <cell r="BT161">
            <v>46220</v>
          </cell>
          <cell r="BU161"/>
          <cell r="BV161"/>
          <cell r="BW161"/>
          <cell r="BX161"/>
          <cell r="BY161">
            <v>0</v>
          </cell>
          <cell r="BZ161">
            <v>0</v>
          </cell>
          <cell r="CA161">
            <v>0</v>
          </cell>
          <cell r="CB161">
            <v>0</v>
          </cell>
          <cell r="CC161">
            <v>1847175</v>
          </cell>
          <cell r="CD161">
            <v>7812053</v>
          </cell>
          <cell r="CE161">
            <v>416477</v>
          </cell>
          <cell r="CF161">
            <v>0</v>
          </cell>
          <cell r="CG161">
            <v>416477</v>
          </cell>
          <cell r="CH161">
            <v>416477</v>
          </cell>
          <cell r="CI161">
            <v>416477</v>
          </cell>
          <cell r="CJ161">
            <v>416477</v>
          </cell>
          <cell r="CK161">
            <v>0</v>
          </cell>
          <cell r="CL161">
            <v>0</v>
          </cell>
          <cell r="CM161">
            <v>0</v>
          </cell>
          <cell r="CN161">
            <v>0</v>
          </cell>
          <cell r="CO161">
            <v>0</v>
          </cell>
          <cell r="CP161">
            <v>-3406</v>
          </cell>
          <cell r="CQ161">
            <v>930206</v>
          </cell>
          <cell r="CR161">
            <v>893237</v>
          </cell>
          <cell r="CS161">
            <v>893455</v>
          </cell>
          <cell r="CT161">
            <v>878298</v>
          </cell>
          <cell r="CU161">
            <v>865429</v>
          </cell>
          <cell r="CV161">
            <v>-92323</v>
          </cell>
          <cell r="CW161">
            <v>0</v>
          </cell>
          <cell r="CX161">
            <v>0</v>
          </cell>
          <cell r="CY161">
            <v>0</v>
          </cell>
          <cell r="CZ161">
            <v>0</v>
          </cell>
          <cell r="DA161">
            <v>0</v>
          </cell>
          <cell r="DB161"/>
          <cell r="DC161">
            <v>0</v>
          </cell>
          <cell r="DD161">
            <v>0</v>
          </cell>
          <cell r="DE161">
            <v>0</v>
          </cell>
          <cell r="DF161">
            <v>0</v>
          </cell>
          <cell r="DG161">
            <v>0</v>
          </cell>
          <cell r="DH161">
            <v>0</v>
          </cell>
          <cell r="DI161">
            <v>0</v>
          </cell>
          <cell r="DJ161">
            <v>0</v>
          </cell>
          <cell r="DK161">
            <v>0</v>
          </cell>
          <cell r="DL161">
            <v>0</v>
          </cell>
          <cell r="DM161"/>
          <cell r="DN161"/>
          <cell r="DO161"/>
          <cell r="DP161"/>
        </row>
        <row r="162">
          <cell r="A162">
            <v>361</v>
          </cell>
          <cell r="B162" t="str">
            <v>Alkmaar</v>
          </cell>
          <cell r="C162">
            <v>7</v>
          </cell>
          <cell r="D162">
            <v>18308</v>
          </cell>
          <cell r="E162">
            <v>9154</v>
          </cell>
          <cell r="F162">
            <v>0</v>
          </cell>
          <cell r="G162">
            <v>0</v>
          </cell>
          <cell r="H162">
            <v>-66117</v>
          </cell>
          <cell r="I162">
            <v>-45343</v>
          </cell>
          <cell r="J162"/>
          <cell r="K162">
            <v>0</v>
          </cell>
          <cell r="L162">
            <v>490320</v>
          </cell>
          <cell r="M162">
            <v>485717</v>
          </cell>
          <cell r="N162">
            <v>0</v>
          </cell>
          <cell r="O162">
            <v>0</v>
          </cell>
          <cell r="P162">
            <v>150000</v>
          </cell>
          <cell r="Q162">
            <v>0</v>
          </cell>
          <cell r="R162">
            <v>0</v>
          </cell>
          <cell r="S162">
            <v>684545</v>
          </cell>
          <cell r="T162">
            <v>684545</v>
          </cell>
          <cell r="U162">
            <v>684545</v>
          </cell>
          <cell r="V162">
            <v>69000</v>
          </cell>
          <cell r="W162">
            <v>401196</v>
          </cell>
          <cell r="X162">
            <v>0</v>
          </cell>
          <cell r="Y162"/>
          <cell r="Z162">
            <v>0</v>
          </cell>
          <cell r="AA162">
            <v>37000</v>
          </cell>
          <cell r="AB162">
            <v>0</v>
          </cell>
          <cell r="AC162"/>
          <cell r="AD162">
            <v>25000</v>
          </cell>
          <cell r="AE162">
            <v>0</v>
          </cell>
          <cell r="AF162">
            <v>0</v>
          </cell>
          <cell r="AG162">
            <v>0</v>
          </cell>
          <cell r="AH162">
            <v>0</v>
          </cell>
          <cell r="AI162">
            <v>0</v>
          </cell>
          <cell r="AJ162">
            <v>0</v>
          </cell>
          <cell r="AK162">
            <v>165775</v>
          </cell>
          <cell r="AL162"/>
          <cell r="AM162">
            <v>69213</v>
          </cell>
          <cell r="AN162">
            <v>70804</v>
          </cell>
          <cell r="AO162">
            <v>72433</v>
          </cell>
          <cell r="AP162">
            <v>74098</v>
          </cell>
          <cell r="AQ162">
            <v>75803</v>
          </cell>
          <cell r="AR162">
            <v>77546</v>
          </cell>
          <cell r="AS162">
            <v>0</v>
          </cell>
          <cell r="AT162">
            <v>20000</v>
          </cell>
          <cell r="AU162">
            <v>7110</v>
          </cell>
          <cell r="AV162">
            <v>3465757.3341347598</v>
          </cell>
          <cell r="AW162">
            <v>95772</v>
          </cell>
          <cell r="AX162">
            <v>0</v>
          </cell>
          <cell r="AY162"/>
          <cell r="AZ162"/>
          <cell r="BA162">
            <v>0</v>
          </cell>
          <cell r="BB162"/>
          <cell r="BC162">
            <v>0</v>
          </cell>
          <cell r="BD162">
            <v>38043</v>
          </cell>
          <cell r="BE162"/>
          <cell r="BF162">
            <v>0</v>
          </cell>
          <cell r="BG162">
            <v>0</v>
          </cell>
          <cell r="BH162">
            <v>0</v>
          </cell>
          <cell r="BI162">
            <v>197252</v>
          </cell>
          <cell r="BJ162">
            <v>162368</v>
          </cell>
          <cell r="BK162">
            <v>162368</v>
          </cell>
          <cell r="BL162">
            <v>0</v>
          </cell>
          <cell r="BM162">
            <v>0</v>
          </cell>
          <cell r="BN162">
            <v>251790</v>
          </cell>
          <cell r="BO162">
            <v>151766</v>
          </cell>
          <cell r="BP162">
            <v>36372.199999999997</v>
          </cell>
          <cell r="BQ162">
            <v>65523.255813953503</v>
          </cell>
          <cell r="BR162">
            <v>0</v>
          </cell>
          <cell r="BS162">
            <v>0</v>
          </cell>
          <cell r="BT162">
            <v>173009</v>
          </cell>
          <cell r="BU162"/>
          <cell r="BV162"/>
          <cell r="BW162"/>
          <cell r="BX162"/>
          <cell r="BY162">
            <v>3085878.7405357198</v>
          </cell>
          <cell r="BZ162">
            <v>3571892.8463839199</v>
          </cell>
          <cell r="CA162">
            <v>3613411.6393458298</v>
          </cell>
          <cell r="CB162">
            <v>3730641.1724147401</v>
          </cell>
          <cell r="CC162">
            <v>8279801</v>
          </cell>
          <cell r="CD162">
            <v>75576602</v>
          </cell>
          <cell r="CE162">
            <v>4007828</v>
          </cell>
          <cell r="CF162">
            <v>-98821</v>
          </cell>
          <cell r="CG162">
            <v>4007828</v>
          </cell>
          <cell r="CH162">
            <v>4007828</v>
          </cell>
          <cell r="CI162">
            <v>4007828</v>
          </cell>
          <cell r="CJ162">
            <v>4007828</v>
          </cell>
          <cell r="CK162">
            <v>21952145</v>
          </cell>
          <cell r="CL162">
            <v>21941157</v>
          </cell>
          <cell r="CM162">
            <v>21940979</v>
          </cell>
          <cell r="CN162">
            <v>21940589</v>
          </cell>
          <cell r="CO162">
            <v>21941130</v>
          </cell>
          <cell r="CP162">
            <v>-1578</v>
          </cell>
          <cell r="CQ162">
            <v>11934362</v>
          </cell>
          <cell r="CR162">
            <v>11478742</v>
          </cell>
          <cell r="CS162">
            <v>11225390</v>
          </cell>
          <cell r="CT162">
            <v>11068131</v>
          </cell>
          <cell r="CU162">
            <v>10859450</v>
          </cell>
          <cell r="CV162">
            <v>-108727</v>
          </cell>
          <cell r="CW162">
            <v>0</v>
          </cell>
          <cell r="CX162">
            <v>0</v>
          </cell>
          <cell r="CY162">
            <v>0</v>
          </cell>
          <cell r="CZ162">
            <v>0</v>
          </cell>
          <cell r="DA162">
            <v>0</v>
          </cell>
          <cell r="DB162"/>
          <cell r="DC162">
            <v>0</v>
          </cell>
          <cell r="DD162">
            <v>0</v>
          </cell>
          <cell r="DE162">
            <v>0</v>
          </cell>
          <cell r="DF162">
            <v>0</v>
          </cell>
          <cell r="DG162">
            <v>0</v>
          </cell>
          <cell r="DH162">
            <v>0</v>
          </cell>
          <cell r="DI162">
            <v>0</v>
          </cell>
          <cell r="DJ162">
            <v>0</v>
          </cell>
          <cell r="DK162">
            <v>0</v>
          </cell>
          <cell r="DL162">
            <v>0</v>
          </cell>
          <cell r="DM162"/>
          <cell r="DN162"/>
          <cell r="DO162"/>
          <cell r="DP162"/>
        </row>
        <row r="163">
          <cell r="A163">
            <v>362</v>
          </cell>
          <cell r="B163" t="str">
            <v>Amstelveen</v>
          </cell>
          <cell r="C163">
            <v>7</v>
          </cell>
          <cell r="D163">
            <v>-25528</v>
          </cell>
          <cell r="E163">
            <v>-12764</v>
          </cell>
          <cell r="F163">
            <v>0</v>
          </cell>
          <cell r="G163">
            <v>0</v>
          </cell>
          <cell r="H163">
            <v>0</v>
          </cell>
          <cell r="I163">
            <v>-1781</v>
          </cell>
          <cell r="J163"/>
          <cell r="K163">
            <v>0</v>
          </cell>
          <cell r="L163">
            <v>295716</v>
          </cell>
          <cell r="M163">
            <v>273594</v>
          </cell>
          <cell r="N163">
            <v>0</v>
          </cell>
          <cell r="O163">
            <v>0</v>
          </cell>
          <cell r="P163">
            <v>0</v>
          </cell>
          <cell r="Q163">
            <v>0</v>
          </cell>
          <cell r="R163">
            <v>0</v>
          </cell>
          <cell r="S163">
            <v>0</v>
          </cell>
          <cell r="T163">
            <v>0</v>
          </cell>
          <cell r="U163">
            <v>0</v>
          </cell>
          <cell r="V163">
            <v>9000</v>
          </cell>
          <cell r="W163">
            <v>168296</v>
          </cell>
          <cell r="X163">
            <v>0</v>
          </cell>
          <cell r="Y163"/>
          <cell r="Z163">
            <v>0</v>
          </cell>
          <cell r="AA163">
            <v>0</v>
          </cell>
          <cell r="AB163">
            <v>0</v>
          </cell>
          <cell r="AC163"/>
          <cell r="AD163">
            <v>62579</v>
          </cell>
          <cell r="AE163">
            <v>0</v>
          </cell>
          <cell r="AF163">
            <v>0</v>
          </cell>
          <cell r="AG163">
            <v>0</v>
          </cell>
          <cell r="AH163">
            <v>0</v>
          </cell>
          <cell r="AI163">
            <v>148777</v>
          </cell>
          <cell r="AJ163">
            <v>0</v>
          </cell>
          <cell r="AK163">
            <v>0</v>
          </cell>
          <cell r="AL163"/>
          <cell r="AM163">
            <v>0</v>
          </cell>
          <cell r="AN163">
            <v>0</v>
          </cell>
          <cell r="AO163">
            <v>0</v>
          </cell>
          <cell r="AP163">
            <v>0</v>
          </cell>
          <cell r="AQ163">
            <v>0</v>
          </cell>
          <cell r="AR163">
            <v>0</v>
          </cell>
          <cell r="AS163">
            <v>0</v>
          </cell>
          <cell r="AT163">
            <v>0</v>
          </cell>
          <cell r="AU163">
            <v>2370</v>
          </cell>
          <cell r="AV163">
            <v>0</v>
          </cell>
          <cell r="AW163">
            <v>0</v>
          </cell>
          <cell r="AX163">
            <v>0</v>
          </cell>
          <cell r="AY163"/>
          <cell r="AZ163"/>
          <cell r="BA163">
            <v>0</v>
          </cell>
          <cell r="BB163"/>
          <cell r="BC163">
            <v>0</v>
          </cell>
          <cell r="BD163">
            <v>31345</v>
          </cell>
          <cell r="BE163"/>
          <cell r="BF163">
            <v>0</v>
          </cell>
          <cell r="BG163">
            <v>0</v>
          </cell>
          <cell r="BH163">
            <v>0</v>
          </cell>
          <cell r="BI163">
            <v>105968</v>
          </cell>
          <cell r="BJ163">
            <v>87227</v>
          </cell>
          <cell r="BK163">
            <v>87227</v>
          </cell>
          <cell r="BL163">
            <v>0</v>
          </cell>
          <cell r="BM163">
            <v>0</v>
          </cell>
          <cell r="BN163">
            <v>0</v>
          </cell>
          <cell r="BO163">
            <v>99231</v>
          </cell>
          <cell r="BP163">
            <v>15814</v>
          </cell>
          <cell r="BQ163">
            <v>28488.372093023299</v>
          </cell>
          <cell r="BR163">
            <v>0</v>
          </cell>
          <cell r="BS163">
            <v>0</v>
          </cell>
          <cell r="BT163">
            <v>122304</v>
          </cell>
          <cell r="BU163"/>
          <cell r="BV163"/>
          <cell r="BW163"/>
          <cell r="BX163"/>
          <cell r="BY163">
            <v>0</v>
          </cell>
          <cell r="BZ163">
            <v>0</v>
          </cell>
          <cell r="CA163">
            <v>0</v>
          </cell>
          <cell r="CB163">
            <v>0</v>
          </cell>
          <cell r="CC163">
            <v>5665901</v>
          </cell>
          <cell r="CD163">
            <v>21959525</v>
          </cell>
          <cell r="CE163">
            <v>1299360</v>
          </cell>
          <cell r="CF163">
            <v>0</v>
          </cell>
          <cell r="CG163">
            <v>1299360</v>
          </cell>
          <cell r="CH163">
            <v>1299360</v>
          </cell>
          <cell r="CI163">
            <v>1299360</v>
          </cell>
          <cell r="CJ163">
            <v>1299360</v>
          </cell>
          <cell r="CK163">
            <v>0</v>
          </cell>
          <cell r="CL163">
            <v>0</v>
          </cell>
          <cell r="CM163">
            <v>0</v>
          </cell>
          <cell r="CN163">
            <v>0</v>
          </cell>
          <cell r="CO163">
            <v>0</v>
          </cell>
          <cell r="CP163">
            <v>-628</v>
          </cell>
          <cell r="CQ163">
            <v>2265071</v>
          </cell>
          <cell r="CR163">
            <v>2232189</v>
          </cell>
          <cell r="CS163">
            <v>2189894</v>
          </cell>
          <cell r="CT163">
            <v>2202832</v>
          </cell>
          <cell r="CU163">
            <v>2210346</v>
          </cell>
          <cell r="CV163">
            <v>90237</v>
          </cell>
          <cell r="CW163">
            <v>0</v>
          </cell>
          <cell r="CX163">
            <v>0</v>
          </cell>
          <cell r="CY163">
            <v>0</v>
          </cell>
          <cell r="CZ163">
            <v>250000</v>
          </cell>
          <cell r="DA163">
            <v>0</v>
          </cell>
          <cell r="DB163"/>
          <cell r="DC163">
            <v>0</v>
          </cell>
          <cell r="DD163">
            <v>0</v>
          </cell>
          <cell r="DE163">
            <v>0</v>
          </cell>
          <cell r="DF163">
            <v>0</v>
          </cell>
          <cell r="DG163">
            <v>0</v>
          </cell>
          <cell r="DH163">
            <v>0</v>
          </cell>
          <cell r="DI163">
            <v>0</v>
          </cell>
          <cell r="DJ163">
            <v>0</v>
          </cell>
          <cell r="DK163">
            <v>0</v>
          </cell>
          <cell r="DL163">
            <v>0</v>
          </cell>
          <cell r="DM163"/>
          <cell r="DN163"/>
          <cell r="DO163"/>
          <cell r="DP163"/>
        </row>
        <row r="164">
          <cell r="A164">
            <v>363</v>
          </cell>
          <cell r="B164" t="str">
            <v>Amsterdam</v>
          </cell>
          <cell r="C164">
            <v>7</v>
          </cell>
          <cell r="D164">
            <v>-1272654</v>
          </cell>
          <cell r="E164">
            <v>-636327</v>
          </cell>
          <cell r="F164">
            <v>0</v>
          </cell>
          <cell r="G164">
            <v>884722</v>
          </cell>
          <cell r="H164">
            <v>528909</v>
          </cell>
          <cell r="I164">
            <v>-78575</v>
          </cell>
          <cell r="J164"/>
          <cell r="K164">
            <v>7278</v>
          </cell>
          <cell r="L164">
            <v>6764130</v>
          </cell>
          <cell r="M164">
            <v>7165502</v>
          </cell>
          <cell r="N164">
            <v>0</v>
          </cell>
          <cell r="O164">
            <v>0</v>
          </cell>
          <cell r="P164">
            <v>2605874</v>
          </cell>
          <cell r="Q164">
            <v>0</v>
          </cell>
          <cell r="R164">
            <v>0</v>
          </cell>
          <cell r="S164">
            <v>12053718</v>
          </cell>
          <cell r="T164">
            <v>10867677</v>
          </cell>
          <cell r="U164">
            <v>7291594</v>
          </cell>
          <cell r="V164">
            <v>219000</v>
          </cell>
          <cell r="W164">
            <v>2511170</v>
          </cell>
          <cell r="X164">
            <v>0</v>
          </cell>
          <cell r="Y164"/>
          <cell r="Z164">
            <v>0</v>
          </cell>
          <cell r="AA164">
            <v>33000</v>
          </cell>
          <cell r="AB164">
            <v>0</v>
          </cell>
          <cell r="AC164"/>
          <cell r="AD164">
            <v>2103247</v>
          </cell>
          <cell r="AE164">
            <v>0</v>
          </cell>
          <cell r="AF164">
            <v>0</v>
          </cell>
          <cell r="AG164">
            <v>0</v>
          </cell>
          <cell r="AH164">
            <v>310000</v>
          </cell>
          <cell r="AI164">
            <v>0</v>
          </cell>
          <cell r="AJ164">
            <v>23750</v>
          </cell>
          <cell r="AK164">
            <v>4209153</v>
          </cell>
          <cell r="AL164"/>
          <cell r="AM164">
            <v>47971</v>
          </cell>
          <cell r="AN164">
            <v>49074</v>
          </cell>
          <cell r="AO164">
            <v>50203</v>
          </cell>
          <cell r="AP164">
            <v>51357</v>
          </cell>
          <cell r="AQ164">
            <v>52539</v>
          </cell>
          <cell r="AR164">
            <v>53747</v>
          </cell>
          <cell r="AS164">
            <v>0</v>
          </cell>
          <cell r="AT164">
            <v>47000</v>
          </cell>
          <cell r="AU164">
            <v>56880</v>
          </cell>
          <cell r="AV164">
            <v>64466461.6525876</v>
          </cell>
          <cell r="AW164">
            <v>50469</v>
          </cell>
          <cell r="AX164">
            <v>333333</v>
          </cell>
          <cell r="AY164"/>
          <cell r="AZ164"/>
          <cell r="BA164">
            <v>4540</v>
          </cell>
          <cell r="BB164"/>
          <cell r="BC164">
            <v>0</v>
          </cell>
          <cell r="BD164">
            <v>296606</v>
          </cell>
          <cell r="BE164"/>
          <cell r="BF164">
            <v>0</v>
          </cell>
          <cell r="BG164">
            <v>0</v>
          </cell>
          <cell r="BH164">
            <v>0</v>
          </cell>
          <cell r="BI164">
            <v>1850860</v>
          </cell>
          <cell r="BJ164">
            <v>1523532</v>
          </cell>
          <cell r="BK164">
            <v>1523532</v>
          </cell>
          <cell r="BL164">
            <v>0</v>
          </cell>
          <cell r="BM164">
            <v>211237</v>
          </cell>
          <cell r="BN164">
            <v>676830</v>
          </cell>
          <cell r="BO164">
            <v>406167</v>
          </cell>
          <cell r="BP164">
            <v>493396.8</v>
          </cell>
          <cell r="BQ164">
            <v>888837.20930232597</v>
          </cell>
          <cell r="BR164">
            <v>244000</v>
          </cell>
          <cell r="BS164">
            <v>0</v>
          </cell>
          <cell r="BT164">
            <v>1619715</v>
          </cell>
          <cell r="BU164"/>
          <cell r="BV164"/>
          <cell r="BW164"/>
          <cell r="BX164"/>
          <cell r="BY164">
            <v>13542438.7667643</v>
          </cell>
          <cell r="BZ164">
            <v>15646159.2843662</v>
          </cell>
          <cell r="CA164">
            <v>15825874.1024528</v>
          </cell>
          <cell r="CB164">
            <v>16333304.177050199</v>
          </cell>
          <cell r="CC164">
            <v>48455057</v>
          </cell>
          <cell r="CD164">
            <v>519254454</v>
          </cell>
          <cell r="CE164">
            <v>31393709</v>
          </cell>
          <cell r="CF164">
            <v>-187488</v>
          </cell>
          <cell r="CG164">
            <v>31393709</v>
          </cell>
          <cell r="CH164">
            <v>31393709</v>
          </cell>
          <cell r="CI164">
            <v>31393709</v>
          </cell>
          <cell r="CJ164">
            <v>31393709</v>
          </cell>
          <cell r="CK164">
            <v>131255076</v>
          </cell>
          <cell r="CL164">
            <v>131189711</v>
          </cell>
          <cell r="CM164">
            <v>131188653</v>
          </cell>
          <cell r="CN164">
            <v>131186328</v>
          </cell>
          <cell r="CO164">
            <v>131189551</v>
          </cell>
          <cell r="CP164">
            <v>0</v>
          </cell>
          <cell r="CQ164">
            <v>77400039</v>
          </cell>
          <cell r="CR164">
            <v>73878475</v>
          </cell>
          <cell r="CS164">
            <v>71807551</v>
          </cell>
          <cell r="CT164">
            <v>69972173</v>
          </cell>
          <cell r="CU164">
            <v>68104813</v>
          </cell>
          <cell r="CV164">
            <v>-1738719</v>
          </cell>
          <cell r="CW164">
            <v>0</v>
          </cell>
          <cell r="CX164">
            <v>100000</v>
          </cell>
          <cell r="CY164">
            <v>600000</v>
          </cell>
          <cell r="CZ164">
            <v>250000</v>
          </cell>
          <cell r="DA164">
            <v>0</v>
          </cell>
          <cell r="DB164"/>
          <cell r="DC164">
            <v>400000</v>
          </cell>
          <cell r="DD164">
            <v>0</v>
          </cell>
          <cell r="DE164">
            <v>0</v>
          </cell>
          <cell r="DF164">
            <v>0</v>
          </cell>
          <cell r="DG164">
            <v>0</v>
          </cell>
          <cell r="DH164">
            <v>0</v>
          </cell>
          <cell r="DI164">
            <v>0</v>
          </cell>
          <cell r="DJ164">
            <v>310000</v>
          </cell>
          <cell r="DK164">
            <v>310000</v>
          </cell>
          <cell r="DL164">
            <v>310000</v>
          </cell>
          <cell r="DM164"/>
          <cell r="DN164"/>
          <cell r="DO164"/>
          <cell r="DP164"/>
        </row>
        <row r="165">
          <cell r="A165">
            <v>370</v>
          </cell>
          <cell r="B165" t="str">
            <v>Beemster</v>
          </cell>
          <cell r="C165">
            <v>7</v>
          </cell>
          <cell r="D165">
            <v>-596</v>
          </cell>
          <cell r="E165">
            <v>-298</v>
          </cell>
          <cell r="F165">
            <v>0</v>
          </cell>
          <cell r="G165">
            <v>0</v>
          </cell>
          <cell r="H165">
            <v>-7286</v>
          </cell>
          <cell r="I165">
            <v>-4549</v>
          </cell>
          <cell r="J165"/>
          <cell r="K165">
            <v>0</v>
          </cell>
          <cell r="L165">
            <v>25029</v>
          </cell>
          <cell r="M165">
            <v>27926</v>
          </cell>
          <cell r="N165">
            <v>0</v>
          </cell>
          <cell r="O165">
            <v>0</v>
          </cell>
          <cell r="P165">
            <v>0</v>
          </cell>
          <cell r="Q165">
            <v>0</v>
          </cell>
          <cell r="R165">
            <v>0</v>
          </cell>
          <cell r="S165">
            <v>0</v>
          </cell>
          <cell r="T165">
            <v>0</v>
          </cell>
          <cell r="U165">
            <v>0</v>
          </cell>
          <cell r="V165">
            <v>0</v>
          </cell>
          <cell r="W165">
            <v>31114</v>
          </cell>
          <cell r="X165">
            <v>0</v>
          </cell>
          <cell r="Y165"/>
          <cell r="Z165">
            <v>0</v>
          </cell>
          <cell r="AA165">
            <v>0</v>
          </cell>
          <cell r="AB165">
            <v>0</v>
          </cell>
          <cell r="AC165"/>
          <cell r="AD165">
            <v>0</v>
          </cell>
          <cell r="AE165">
            <v>0</v>
          </cell>
          <cell r="AF165">
            <v>0</v>
          </cell>
          <cell r="AG165">
            <v>0</v>
          </cell>
          <cell r="AH165">
            <v>0</v>
          </cell>
          <cell r="AI165">
            <v>0</v>
          </cell>
          <cell r="AJ165">
            <v>0</v>
          </cell>
          <cell r="AK165">
            <v>0</v>
          </cell>
          <cell r="AL165"/>
          <cell r="AM165">
            <v>57548</v>
          </cell>
          <cell r="AN165">
            <v>58872</v>
          </cell>
          <cell r="AO165">
            <v>60226</v>
          </cell>
          <cell r="AP165">
            <v>61611</v>
          </cell>
          <cell r="AQ165">
            <v>63028</v>
          </cell>
          <cell r="AR165">
            <v>64477</v>
          </cell>
          <cell r="AS165">
            <v>0</v>
          </cell>
          <cell r="AT165">
            <v>0</v>
          </cell>
          <cell r="AU165">
            <v>2370</v>
          </cell>
          <cell r="AV165">
            <v>0</v>
          </cell>
          <cell r="AW165">
            <v>0</v>
          </cell>
          <cell r="AX165">
            <v>0</v>
          </cell>
          <cell r="AY165"/>
          <cell r="AZ165"/>
          <cell r="BA165">
            <v>0</v>
          </cell>
          <cell r="BB165"/>
          <cell r="BC165">
            <v>0</v>
          </cell>
          <cell r="BD165">
            <v>3231</v>
          </cell>
          <cell r="BE165"/>
          <cell r="BF165">
            <v>0</v>
          </cell>
          <cell r="BG165">
            <v>0</v>
          </cell>
          <cell r="BH165">
            <v>0</v>
          </cell>
          <cell r="BI165">
            <v>9171</v>
          </cell>
          <cell r="BJ165">
            <v>7549</v>
          </cell>
          <cell r="BK165">
            <v>7549</v>
          </cell>
          <cell r="BL165">
            <v>0</v>
          </cell>
          <cell r="BM165">
            <v>0</v>
          </cell>
          <cell r="BN165">
            <v>0</v>
          </cell>
          <cell r="BO165">
            <v>58858</v>
          </cell>
          <cell r="BP165">
            <v>7907</v>
          </cell>
          <cell r="BQ165">
            <v>14244.186046511601</v>
          </cell>
          <cell r="BR165">
            <v>0</v>
          </cell>
          <cell r="BS165">
            <v>0</v>
          </cell>
          <cell r="BT165">
            <v>15256</v>
          </cell>
          <cell r="BU165"/>
          <cell r="BV165"/>
          <cell r="BW165"/>
          <cell r="BX165"/>
          <cell r="BY165">
            <v>0</v>
          </cell>
          <cell r="BZ165">
            <v>0</v>
          </cell>
          <cell r="CA165">
            <v>0</v>
          </cell>
          <cell r="CB165">
            <v>0</v>
          </cell>
          <cell r="CC165">
            <v>592410</v>
          </cell>
          <cell r="CD165">
            <v>2631692</v>
          </cell>
          <cell r="CE165">
            <v>259103</v>
          </cell>
          <cell r="CF165">
            <v>0</v>
          </cell>
          <cell r="CG165">
            <v>259103</v>
          </cell>
          <cell r="CH165">
            <v>259103</v>
          </cell>
          <cell r="CI165">
            <v>259103</v>
          </cell>
          <cell r="CJ165">
            <v>259103</v>
          </cell>
          <cell r="CK165">
            <v>0</v>
          </cell>
          <cell r="CL165">
            <v>0</v>
          </cell>
          <cell r="CM165">
            <v>0</v>
          </cell>
          <cell r="CN165">
            <v>0</v>
          </cell>
          <cell r="CO165">
            <v>0</v>
          </cell>
          <cell r="CP165">
            <v>-1645</v>
          </cell>
          <cell r="CQ165">
            <v>54465</v>
          </cell>
          <cell r="CR165">
            <v>59958</v>
          </cell>
          <cell r="CS165">
            <v>61711</v>
          </cell>
          <cell r="CT165">
            <v>66818</v>
          </cell>
          <cell r="CU165">
            <v>71562</v>
          </cell>
          <cell r="CV165">
            <v>-833</v>
          </cell>
          <cell r="CW165">
            <v>0</v>
          </cell>
          <cell r="CX165">
            <v>0</v>
          </cell>
          <cell r="CY165">
            <v>0</v>
          </cell>
          <cell r="CZ165">
            <v>0</v>
          </cell>
          <cell r="DA165">
            <v>0</v>
          </cell>
          <cell r="DB165"/>
          <cell r="DC165">
            <v>0</v>
          </cell>
          <cell r="DD165">
            <v>0</v>
          </cell>
          <cell r="DE165">
            <v>0</v>
          </cell>
          <cell r="DF165">
            <v>0</v>
          </cell>
          <cell r="DG165">
            <v>0</v>
          </cell>
          <cell r="DH165">
            <v>0</v>
          </cell>
          <cell r="DI165">
            <v>0</v>
          </cell>
          <cell r="DJ165">
            <v>0</v>
          </cell>
          <cell r="DK165">
            <v>0</v>
          </cell>
          <cell r="DL165">
            <v>0</v>
          </cell>
          <cell r="DM165"/>
          <cell r="DN165"/>
          <cell r="DO165"/>
          <cell r="DP165"/>
        </row>
        <row r="166">
          <cell r="A166">
            <v>373</v>
          </cell>
          <cell r="B166" t="str">
            <v>Bergen NH</v>
          </cell>
          <cell r="C166">
            <v>7</v>
          </cell>
          <cell r="D166">
            <v>-30491</v>
          </cell>
          <cell r="E166">
            <v>-15246</v>
          </cell>
          <cell r="F166">
            <v>0</v>
          </cell>
          <cell r="G166">
            <v>0</v>
          </cell>
          <cell r="H166">
            <v>-48131</v>
          </cell>
          <cell r="I166">
            <v>-42876</v>
          </cell>
          <cell r="J166"/>
          <cell r="K166">
            <v>0</v>
          </cell>
          <cell r="L166">
            <v>85792</v>
          </cell>
          <cell r="M166">
            <v>78159</v>
          </cell>
          <cell r="N166">
            <v>0</v>
          </cell>
          <cell r="O166">
            <v>0</v>
          </cell>
          <cell r="P166">
            <v>0</v>
          </cell>
          <cell r="Q166">
            <v>0</v>
          </cell>
          <cell r="R166">
            <v>0</v>
          </cell>
          <cell r="S166">
            <v>0</v>
          </cell>
          <cell r="T166">
            <v>0</v>
          </cell>
          <cell r="U166">
            <v>0</v>
          </cell>
          <cell r="V166">
            <v>3000</v>
          </cell>
          <cell r="W166">
            <v>82229</v>
          </cell>
          <cell r="X166">
            <v>0</v>
          </cell>
          <cell r="Y166"/>
          <cell r="Z166">
            <v>0</v>
          </cell>
          <cell r="AA166">
            <v>0</v>
          </cell>
          <cell r="AB166">
            <v>0</v>
          </cell>
          <cell r="AC166"/>
          <cell r="AD166">
            <v>0</v>
          </cell>
          <cell r="AE166">
            <v>0</v>
          </cell>
          <cell r="AF166">
            <v>0</v>
          </cell>
          <cell r="AG166">
            <v>0</v>
          </cell>
          <cell r="AH166">
            <v>0</v>
          </cell>
          <cell r="AI166">
            <v>0</v>
          </cell>
          <cell r="AJ166">
            <v>0</v>
          </cell>
          <cell r="AK166">
            <v>0</v>
          </cell>
          <cell r="AL166"/>
          <cell r="AM166">
            <v>39080</v>
          </cell>
          <cell r="AN166">
            <v>39979</v>
          </cell>
          <cell r="AO166">
            <v>40898</v>
          </cell>
          <cell r="AP166">
            <v>41839</v>
          </cell>
          <cell r="AQ166">
            <v>42801</v>
          </cell>
          <cell r="AR166">
            <v>43786</v>
          </cell>
          <cell r="AS166">
            <v>0</v>
          </cell>
          <cell r="AT166">
            <v>0</v>
          </cell>
          <cell r="AU166">
            <v>4740</v>
          </cell>
          <cell r="AV166">
            <v>0</v>
          </cell>
          <cell r="AW166">
            <v>0</v>
          </cell>
          <cell r="AX166">
            <v>0</v>
          </cell>
          <cell r="AY166"/>
          <cell r="AZ166"/>
          <cell r="BA166">
            <v>0</v>
          </cell>
          <cell r="BB166"/>
          <cell r="BC166">
            <v>0</v>
          </cell>
          <cell r="BD166">
            <v>10476</v>
          </cell>
          <cell r="BE166"/>
          <cell r="BF166">
            <v>0</v>
          </cell>
          <cell r="BG166">
            <v>0</v>
          </cell>
          <cell r="BH166">
            <v>0</v>
          </cell>
          <cell r="BI166">
            <v>35414</v>
          </cell>
          <cell r="BJ166">
            <v>29151</v>
          </cell>
          <cell r="BK166">
            <v>29151</v>
          </cell>
          <cell r="BL166">
            <v>0</v>
          </cell>
          <cell r="BM166">
            <v>0</v>
          </cell>
          <cell r="BN166">
            <v>0</v>
          </cell>
          <cell r="BO166">
            <v>39887</v>
          </cell>
          <cell r="BP166">
            <v>17395.400000000001</v>
          </cell>
          <cell r="BQ166">
            <v>31337.209302325598</v>
          </cell>
          <cell r="BR166">
            <v>0</v>
          </cell>
          <cell r="BS166">
            <v>0</v>
          </cell>
          <cell r="BT166">
            <v>39375</v>
          </cell>
          <cell r="BU166"/>
          <cell r="BV166"/>
          <cell r="BW166"/>
          <cell r="BX166"/>
          <cell r="BY166">
            <v>0</v>
          </cell>
          <cell r="BZ166">
            <v>0</v>
          </cell>
          <cell r="CA166">
            <v>0</v>
          </cell>
          <cell r="CB166">
            <v>0</v>
          </cell>
          <cell r="CC166">
            <v>2387405</v>
          </cell>
          <cell r="CD166">
            <v>9808665</v>
          </cell>
          <cell r="CE166">
            <v>737951</v>
          </cell>
          <cell r="CF166">
            <v>-50413</v>
          </cell>
          <cell r="CG166">
            <v>737951</v>
          </cell>
          <cell r="CH166">
            <v>737951</v>
          </cell>
          <cell r="CI166">
            <v>737951</v>
          </cell>
          <cell r="CJ166">
            <v>737951</v>
          </cell>
          <cell r="CK166">
            <v>0</v>
          </cell>
          <cell r="CL166">
            <v>0</v>
          </cell>
          <cell r="CM166">
            <v>0</v>
          </cell>
          <cell r="CN166">
            <v>0</v>
          </cell>
          <cell r="CO166">
            <v>0</v>
          </cell>
          <cell r="CP166">
            <v>-7994</v>
          </cell>
          <cell r="CQ166">
            <v>1456759</v>
          </cell>
          <cell r="CR166">
            <v>1409562</v>
          </cell>
          <cell r="CS166">
            <v>1395440</v>
          </cell>
          <cell r="CT166">
            <v>1362411</v>
          </cell>
          <cell r="CU166">
            <v>1322264</v>
          </cell>
          <cell r="CV166">
            <v>48820</v>
          </cell>
          <cell r="CW166">
            <v>0</v>
          </cell>
          <cell r="CX166">
            <v>0</v>
          </cell>
          <cell r="CY166">
            <v>0</v>
          </cell>
          <cell r="CZ166">
            <v>0</v>
          </cell>
          <cell r="DA166">
            <v>0</v>
          </cell>
          <cell r="DB166"/>
          <cell r="DC166">
            <v>0</v>
          </cell>
          <cell r="DD166">
            <v>0</v>
          </cell>
          <cell r="DE166">
            <v>0</v>
          </cell>
          <cell r="DF166">
            <v>0</v>
          </cell>
          <cell r="DG166">
            <v>0</v>
          </cell>
          <cell r="DH166">
            <v>0</v>
          </cell>
          <cell r="DI166">
            <v>0</v>
          </cell>
          <cell r="DJ166">
            <v>0</v>
          </cell>
          <cell r="DK166">
            <v>0</v>
          </cell>
          <cell r="DL166">
            <v>0</v>
          </cell>
          <cell r="DM166"/>
          <cell r="DN166"/>
          <cell r="DO166"/>
          <cell r="DP166"/>
        </row>
        <row r="167">
          <cell r="A167">
            <v>375</v>
          </cell>
          <cell r="B167" t="str">
            <v>Beverwijk</v>
          </cell>
          <cell r="C167">
            <v>7</v>
          </cell>
          <cell r="D167">
            <v>8072</v>
          </cell>
          <cell r="E167">
            <v>4036</v>
          </cell>
          <cell r="F167">
            <v>0</v>
          </cell>
          <cell r="G167">
            <v>0</v>
          </cell>
          <cell r="H167">
            <v>-47220</v>
          </cell>
          <cell r="I167">
            <v>-37974</v>
          </cell>
          <cell r="J167"/>
          <cell r="K167">
            <v>0</v>
          </cell>
          <cell r="L167">
            <v>213764</v>
          </cell>
          <cell r="M167">
            <v>220051</v>
          </cell>
          <cell r="N167">
            <v>0</v>
          </cell>
          <cell r="O167">
            <v>0</v>
          </cell>
          <cell r="P167">
            <v>0</v>
          </cell>
          <cell r="Q167">
            <v>0</v>
          </cell>
          <cell r="R167">
            <v>0</v>
          </cell>
          <cell r="S167">
            <v>0</v>
          </cell>
          <cell r="T167">
            <v>0</v>
          </cell>
          <cell r="U167">
            <v>0</v>
          </cell>
          <cell r="V167">
            <v>3000</v>
          </cell>
          <cell r="W167">
            <v>139952</v>
          </cell>
          <cell r="X167">
            <v>0</v>
          </cell>
          <cell r="Y167"/>
          <cell r="Z167">
            <v>0</v>
          </cell>
          <cell r="AA167">
            <v>0</v>
          </cell>
          <cell r="AB167">
            <v>0</v>
          </cell>
          <cell r="AC167"/>
          <cell r="AD167">
            <v>20533</v>
          </cell>
          <cell r="AE167">
            <v>0</v>
          </cell>
          <cell r="AF167">
            <v>0</v>
          </cell>
          <cell r="AG167">
            <v>0</v>
          </cell>
          <cell r="AH167">
            <v>0</v>
          </cell>
          <cell r="AI167">
            <v>0</v>
          </cell>
          <cell r="AJ167">
            <v>0</v>
          </cell>
          <cell r="AK167">
            <v>0</v>
          </cell>
          <cell r="AL167"/>
          <cell r="AM167">
            <v>0</v>
          </cell>
          <cell r="AN167">
            <v>0</v>
          </cell>
          <cell r="AO167">
            <v>0</v>
          </cell>
          <cell r="AP167">
            <v>0</v>
          </cell>
          <cell r="AQ167">
            <v>0</v>
          </cell>
          <cell r="AR167">
            <v>0</v>
          </cell>
          <cell r="AS167">
            <v>0</v>
          </cell>
          <cell r="AT167">
            <v>0</v>
          </cell>
          <cell r="AU167">
            <v>2370</v>
          </cell>
          <cell r="AV167">
            <v>0</v>
          </cell>
          <cell r="AW167">
            <v>0</v>
          </cell>
          <cell r="AX167">
            <v>0</v>
          </cell>
          <cell r="AY167"/>
          <cell r="AZ167"/>
          <cell r="BA167">
            <v>0</v>
          </cell>
          <cell r="BB167"/>
          <cell r="BC167">
            <v>0</v>
          </cell>
          <cell r="BD167">
            <v>14290</v>
          </cell>
          <cell r="BE167"/>
          <cell r="BF167">
            <v>0</v>
          </cell>
          <cell r="BG167">
            <v>0</v>
          </cell>
          <cell r="BH167">
            <v>0</v>
          </cell>
          <cell r="BI167">
            <v>74274</v>
          </cell>
          <cell r="BJ167">
            <v>61139</v>
          </cell>
          <cell r="BK167">
            <v>61139</v>
          </cell>
          <cell r="BL167">
            <v>0</v>
          </cell>
          <cell r="BM167">
            <v>0</v>
          </cell>
          <cell r="BN167">
            <v>0</v>
          </cell>
          <cell r="BO167">
            <v>70532</v>
          </cell>
          <cell r="BP167">
            <v>14232.6</v>
          </cell>
          <cell r="BQ167">
            <v>25639.534883720899</v>
          </cell>
          <cell r="BR167">
            <v>0</v>
          </cell>
          <cell r="BS167">
            <v>0</v>
          </cell>
          <cell r="BT167">
            <v>65760</v>
          </cell>
          <cell r="BU167"/>
          <cell r="BV167"/>
          <cell r="BW167"/>
          <cell r="BX167"/>
          <cell r="BY167">
            <v>0</v>
          </cell>
          <cell r="BZ167">
            <v>0</v>
          </cell>
          <cell r="CA167">
            <v>0</v>
          </cell>
          <cell r="CB167">
            <v>0</v>
          </cell>
          <cell r="CC167">
            <v>3281580</v>
          </cell>
          <cell r="CD167">
            <v>20277148</v>
          </cell>
          <cell r="CE167">
            <v>747458</v>
          </cell>
          <cell r="CF167">
            <v>-57934</v>
          </cell>
          <cell r="CG167">
            <v>747458</v>
          </cell>
          <cell r="CH167">
            <v>747458</v>
          </cell>
          <cell r="CI167">
            <v>747458</v>
          </cell>
          <cell r="CJ167">
            <v>747458</v>
          </cell>
          <cell r="CK167">
            <v>0</v>
          </cell>
          <cell r="CL167">
            <v>0</v>
          </cell>
          <cell r="CM167">
            <v>0</v>
          </cell>
          <cell r="CN167">
            <v>0</v>
          </cell>
          <cell r="CO167">
            <v>0</v>
          </cell>
          <cell r="CP167">
            <v>-5032</v>
          </cell>
          <cell r="CQ167">
            <v>4668292</v>
          </cell>
          <cell r="CR167">
            <v>4492284</v>
          </cell>
          <cell r="CS167">
            <v>4448234</v>
          </cell>
          <cell r="CT167">
            <v>4380259</v>
          </cell>
          <cell r="CU167">
            <v>4266439</v>
          </cell>
          <cell r="CV167">
            <v>21059</v>
          </cell>
          <cell r="CW167">
            <v>0</v>
          </cell>
          <cell r="CX167">
            <v>0</v>
          </cell>
          <cell r="CY167">
            <v>0</v>
          </cell>
          <cell r="CZ167">
            <v>0</v>
          </cell>
          <cell r="DA167">
            <v>0</v>
          </cell>
          <cell r="DB167"/>
          <cell r="DC167">
            <v>0</v>
          </cell>
          <cell r="DD167">
            <v>0</v>
          </cell>
          <cell r="DE167">
            <v>0</v>
          </cell>
          <cell r="DF167">
            <v>0</v>
          </cell>
          <cell r="DG167">
            <v>0</v>
          </cell>
          <cell r="DH167">
            <v>0</v>
          </cell>
          <cell r="DI167">
            <v>0</v>
          </cell>
          <cell r="DJ167">
            <v>0</v>
          </cell>
          <cell r="DK167">
            <v>0</v>
          </cell>
          <cell r="DL167">
            <v>0</v>
          </cell>
          <cell r="DM167"/>
          <cell r="DN167"/>
          <cell r="DO167"/>
          <cell r="DP167"/>
        </row>
        <row r="168">
          <cell r="A168">
            <v>376</v>
          </cell>
          <cell r="B168" t="str">
            <v>Blaricum</v>
          </cell>
          <cell r="C168">
            <v>7</v>
          </cell>
          <cell r="D168">
            <v>54655</v>
          </cell>
          <cell r="E168">
            <v>27328</v>
          </cell>
          <cell r="F168">
            <v>0</v>
          </cell>
          <cell r="G168">
            <v>0</v>
          </cell>
          <cell r="H168">
            <v>-1682</v>
          </cell>
          <cell r="I168">
            <v>0</v>
          </cell>
          <cell r="J168"/>
          <cell r="K168">
            <v>0</v>
          </cell>
          <cell r="L168">
            <v>38320</v>
          </cell>
          <cell r="M168">
            <v>35997</v>
          </cell>
          <cell r="N168">
            <v>0</v>
          </cell>
          <cell r="O168">
            <v>0</v>
          </cell>
          <cell r="P168">
            <v>0</v>
          </cell>
          <cell r="Q168">
            <v>0</v>
          </cell>
          <cell r="R168">
            <v>0</v>
          </cell>
          <cell r="S168">
            <v>0</v>
          </cell>
          <cell r="T168">
            <v>0</v>
          </cell>
          <cell r="U168">
            <v>0</v>
          </cell>
          <cell r="V168">
            <v>0</v>
          </cell>
          <cell r="W168">
            <v>25255</v>
          </cell>
          <cell r="X168">
            <v>0</v>
          </cell>
          <cell r="Y168"/>
          <cell r="Z168">
            <v>0</v>
          </cell>
          <cell r="AA168">
            <v>0</v>
          </cell>
          <cell r="AB168">
            <v>0</v>
          </cell>
          <cell r="AC168"/>
          <cell r="AD168">
            <v>0</v>
          </cell>
          <cell r="AE168">
            <v>0</v>
          </cell>
          <cell r="AF168">
            <v>0</v>
          </cell>
          <cell r="AG168">
            <v>0</v>
          </cell>
          <cell r="AH168">
            <v>0</v>
          </cell>
          <cell r="AI168">
            <v>0</v>
          </cell>
          <cell r="AJ168">
            <v>0</v>
          </cell>
          <cell r="AK168">
            <v>0</v>
          </cell>
          <cell r="AL168"/>
          <cell r="AM168">
            <v>0</v>
          </cell>
          <cell r="AN168">
            <v>0</v>
          </cell>
          <cell r="AO168">
            <v>0</v>
          </cell>
          <cell r="AP168">
            <v>0</v>
          </cell>
          <cell r="AQ168">
            <v>0</v>
          </cell>
          <cell r="AR168">
            <v>0</v>
          </cell>
          <cell r="AS168">
            <v>0</v>
          </cell>
          <cell r="AT168">
            <v>0</v>
          </cell>
          <cell r="AU168">
            <v>0</v>
          </cell>
          <cell r="AV168">
            <v>0</v>
          </cell>
          <cell r="AW168">
            <v>0</v>
          </cell>
          <cell r="AX168">
            <v>0</v>
          </cell>
          <cell r="AY168"/>
          <cell r="AZ168"/>
          <cell r="BA168">
            <v>0</v>
          </cell>
          <cell r="BB168"/>
          <cell r="BC168">
            <v>0</v>
          </cell>
          <cell r="BD168">
            <v>3581</v>
          </cell>
          <cell r="BE168"/>
          <cell r="BF168">
            <v>0</v>
          </cell>
          <cell r="BG168">
            <v>0</v>
          </cell>
          <cell r="BH168">
            <v>0</v>
          </cell>
          <cell r="BI168">
            <v>8319</v>
          </cell>
          <cell r="BJ168">
            <v>6847</v>
          </cell>
          <cell r="BK168">
            <v>6847</v>
          </cell>
          <cell r="BL168">
            <v>0</v>
          </cell>
          <cell r="BM168">
            <v>0</v>
          </cell>
          <cell r="BN168">
            <v>0</v>
          </cell>
          <cell r="BO168">
            <v>0</v>
          </cell>
          <cell r="BP168">
            <v>0</v>
          </cell>
          <cell r="BQ168">
            <v>0</v>
          </cell>
          <cell r="BR168">
            <v>0</v>
          </cell>
          <cell r="BS168">
            <v>0</v>
          </cell>
          <cell r="BT168">
            <v>14813</v>
          </cell>
          <cell r="BU168"/>
          <cell r="BV168"/>
          <cell r="BW168"/>
          <cell r="BX168"/>
          <cell r="BY168">
            <v>0</v>
          </cell>
          <cell r="BZ168">
            <v>0</v>
          </cell>
          <cell r="CA168">
            <v>0</v>
          </cell>
          <cell r="CB168">
            <v>0</v>
          </cell>
          <cell r="CC168">
            <v>535612</v>
          </cell>
          <cell r="CD168">
            <v>2137707</v>
          </cell>
          <cell r="CE168">
            <v>141256</v>
          </cell>
          <cell r="CF168">
            <v>0</v>
          </cell>
          <cell r="CG168">
            <v>141256</v>
          </cell>
          <cell r="CH168">
            <v>141256</v>
          </cell>
          <cell r="CI168">
            <v>141256</v>
          </cell>
          <cell r="CJ168">
            <v>141256</v>
          </cell>
          <cell r="CK168">
            <v>0</v>
          </cell>
          <cell r="CL168">
            <v>0</v>
          </cell>
          <cell r="CM168">
            <v>0</v>
          </cell>
          <cell r="CN168">
            <v>0</v>
          </cell>
          <cell r="CO168">
            <v>0</v>
          </cell>
          <cell r="CP168">
            <v>0</v>
          </cell>
          <cell r="CQ168">
            <v>173335</v>
          </cell>
          <cell r="CR168">
            <v>158919</v>
          </cell>
          <cell r="CS168">
            <v>157271</v>
          </cell>
          <cell r="CT168">
            <v>140277</v>
          </cell>
          <cell r="CU168">
            <v>140848</v>
          </cell>
          <cell r="CV168">
            <v>5688</v>
          </cell>
          <cell r="CW168">
            <v>0</v>
          </cell>
          <cell r="CX168">
            <v>0</v>
          </cell>
          <cell r="CY168">
            <v>0</v>
          </cell>
          <cell r="CZ168">
            <v>0</v>
          </cell>
          <cell r="DA168">
            <v>0</v>
          </cell>
          <cell r="DB168"/>
          <cell r="DC168">
            <v>0</v>
          </cell>
          <cell r="DD168">
            <v>0</v>
          </cell>
          <cell r="DE168">
            <v>0</v>
          </cell>
          <cell r="DF168">
            <v>0</v>
          </cell>
          <cell r="DG168">
            <v>0</v>
          </cell>
          <cell r="DH168">
            <v>0</v>
          </cell>
          <cell r="DI168">
            <v>0</v>
          </cell>
          <cell r="DJ168">
            <v>0</v>
          </cell>
          <cell r="DK168">
            <v>0</v>
          </cell>
          <cell r="DL168">
            <v>0</v>
          </cell>
          <cell r="DM168"/>
          <cell r="DN168"/>
          <cell r="DO168"/>
          <cell r="DP168"/>
        </row>
        <row r="169">
          <cell r="A169">
            <v>377</v>
          </cell>
          <cell r="B169" t="str">
            <v>Bloemendaal</v>
          </cell>
          <cell r="C169">
            <v>7</v>
          </cell>
          <cell r="D169">
            <v>97657</v>
          </cell>
          <cell r="E169">
            <v>48829</v>
          </cell>
          <cell r="F169">
            <v>0</v>
          </cell>
          <cell r="G169">
            <v>0</v>
          </cell>
          <cell r="H169">
            <v>-4477</v>
          </cell>
          <cell r="I169">
            <v>-10856</v>
          </cell>
          <cell r="J169"/>
          <cell r="K169">
            <v>0</v>
          </cell>
          <cell r="L169">
            <v>64941</v>
          </cell>
          <cell r="M169">
            <v>61709</v>
          </cell>
          <cell r="N169">
            <v>0</v>
          </cell>
          <cell r="O169">
            <v>0</v>
          </cell>
          <cell r="P169">
            <v>0</v>
          </cell>
          <cell r="Q169">
            <v>0</v>
          </cell>
          <cell r="R169">
            <v>0</v>
          </cell>
          <cell r="S169">
            <v>0</v>
          </cell>
          <cell r="T169">
            <v>0</v>
          </cell>
          <cell r="U169">
            <v>0</v>
          </cell>
          <cell r="V169">
            <v>0</v>
          </cell>
          <cell r="W169">
            <v>91746</v>
          </cell>
          <cell r="X169">
            <v>0</v>
          </cell>
          <cell r="Y169"/>
          <cell r="Z169">
            <v>0</v>
          </cell>
          <cell r="AA169">
            <v>0</v>
          </cell>
          <cell r="AB169">
            <v>0</v>
          </cell>
          <cell r="AC169"/>
          <cell r="AD169">
            <v>0</v>
          </cell>
          <cell r="AE169">
            <v>0</v>
          </cell>
          <cell r="AF169">
            <v>0</v>
          </cell>
          <cell r="AG169">
            <v>0</v>
          </cell>
          <cell r="AH169">
            <v>0</v>
          </cell>
          <cell r="AI169">
            <v>0</v>
          </cell>
          <cell r="AJ169">
            <v>0</v>
          </cell>
          <cell r="AK169">
            <v>0</v>
          </cell>
          <cell r="AL169"/>
          <cell r="AM169">
            <v>0</v>
          </cell>
          <cell r="AN169">
            <v>0</v>
          </cell>
          <cell r="AO169">
            <v>0</v>
          </cell>
          <cell r="AP169">
            <v>0</v>
          </cell>
          <cell r="AQ169">
            <v>0</v>
          </cell>
          <cell r="AR169">
            <v>0</v>
          </cell>
          <cell r="AS169">
            <v>0</v>
          </cell>
          <cell r="AT169">
            <v>0</v>
          </cell>
          <cell r="AU169">
            <v>2370</v>
          </cell>
          <cell r="AV169">
            <v>0</v>
          </cell>
          <cell r="AW169">
            <v>0</v>
          </cell>
          <cell r="AX169">
            <v>0</v>
          </cell>
          <cell r="AY169"/>
          <cell r="AZ169"/>
          <cell r="BA169">
            <v>0</v>
          </cell>
          <cell r="BB169"/>
          <cell r="BC169">
            <v>0</v>
          </cell>
          <cell r="BD169">
            <v>8013</v>
          </cell>
          <cell r="BE169"/>
          <cell r="BF169">
            <v>0</v>
          </cell>
          <cell r="BG169">
            <v>0</v>
          </cell>
          <cell r="BH169">
            <v>0</v>
          </cell>
          <cell r="BI169">
            <v>15570</v>
          </cell>
          <cell r="BJ169">
            <v>12816</v>
          </cell>
          <cell r="BK169">
            <v>12816</v>
          </cell>
          <cell r="BL169">
            <v>0</v>
          </cell>
          <cell r="BM169">
            <v>0</v>
          </cell>
          <cell r="BN169">
            <v>0</v>
          </cell>
          <cell r="BO169">
            <v>10215</v>
          </cell>
          <cell r="BP169">
            <v>6325.6</v>
          </cell>
          <cell r="BQ169">
            <v>11395.3488372093</v>
          </cell>
          <cell r="BR169">
            <v>0</v>
          </cell>
          <cell r="BS169">
            <v>0</v>
          </cell>
          <cell r="BT169">
            <v>35300</v>
          </cell>
          <cell r="BU169"/>
          <cell r="BV169"/>
          <cell r="BW169"/>
          <cell r="BX169"/>
          <cell r="BY169">
            <v>0</v>
          </cell>
          <cell r="BZ169">
            <v>0</v>
          </cell>
          <cell r="CA169">
            <v>0</v>
          </cell>
          <cell r="CB169">
            <v>0</v>
          </cell>
          <cell r="CC169">
            <v>1137675</v>
          </cell>
          <cell r="CD169">
            <v>5279212</v>
          </cell>
          <cell r="CE169">
            <v>172667</v>
          </cell>
          <cell r="CF169">
            <v>-14025</v>
          </cell>
          <cell r="CG169">
            <v>172667</v>
          </cell>
          <cell r="CH169">
            <v>172667</v>
          </cell>
          <cell r="CI169">
            <v>172667</v>
          </cell>
          <cell r="CJ169">
            <v>172667</v>
          </cell>
          <cell r="CK169">
            <v>0</v>
          </cell>
          <cell r="CL169">
            <v>0</v>
          </cell>
          <cell r="CM169">
            <v>0</v>
          </cell>
          <cell r="CN169">
            <v>0</v>
          </cell>
          <cell r="CO169">
            <v>0</v>
          </cell>
          <cell r="CP169">
            <v>-1791</v>
          </cell>
          <cell r="CQ169">
            <v>824854</v>
          </cell>
          <cell r="CR169">
            <v>803750</v>
          </cell>
          <cell r="CS169">
            <v>792618</v>
          </cell>
          <cell r="CT169">
            <v>786879</v>
          </cell>
          <cell r="CU169">
            <v>747753</v>
          </cell>
          <cell r="CV169">
            <v>-42060</v>
          </cell>
          <cell r="CW169">
            <v>0</v>
          </cell>
          <cell r="CX169">
            <v>0</v>
          </cell>
          <cell r="CY169">
            <v>0</v>
          </cell>
          <cell r="CZ169">
            <v>0</v>
          </cell>
          <cell r="DA169">
            <v>0</v>
          </cell>
          <cell r="DB169"/>
          <cell r="DC169">
            <v>0</v>
          </cell>
          <cell r="DD169">
            <v>0</v>
          </cell>
          <cell r="DE169">
            <v>0</v>
          </cell>
          <cell r="DF169">
            <v>0</v>
          </cell>
          <cell r="DG169">
            <v>0</v>
          </cell>
          <cell r="DH169">
            <v>0</v>
          </cell>
          <cell r="DI169">
            <v>0</v>
          </cell>
          <cell r="DJ169">
            <v>0</v>
          </cell>
          <cell r="DK169">
            <v>0</v>
          </cell>
          <cell r="DL169">
            <v>0</v>
          </cell>
          <cell r="DM169"/>
          <cell r="DN169"/>
          <cell r="DO169"/>
          <cell r="DP169"/>
        </row>
        <row r="170">
          <cell r="A170">
            <v>383</v>
          </cell>
          <cell r="B170" t="str">
            <v>Castricum</v>
          </cell>
          <cell r="C170">
            <v>7</v>
          </cell>
          <cell r="D170">
            <v>84261</v>
          </cell>
          <cell r="E170">
            <v>42130</v>
          </cell>
          <cell r="F170">
            <v>0</v>
          </cell>
          <cell r="G170">
            <v>0</v>
          </cell>
          <cell r="H170">
            <v>-26495</v>
          </cell>
          <cell r="I170">
            <v>-26604</v>
          </cell>
          <cell r="J170"/>
          <cell r="K170">
            <v>0</v>
          </cell>
          <cell r="L170">
            <v>78888</v>
          </cell>
          <cell r="M170">
            <v>71184</v>
          </cell>
          <cell r="N170">
            <v>0</v>
          </cell>
          <cell r="O170">
            <v>0</v>
          </cell>
          <cell r="P170">
            <v>0</v>
          </cell>
          <cell r="Q170">
            <v>0</v>
          </cell>
          <cell r="R170">
            <v>0</v>
          </cell>
          <cell r="S170">
            <v>0</v>
          </cell>
          <cell r="T170">
            <v>0</v>
          </cell>
          <cell r="U170">
            <v>0</v>
          </cell>
          <cell r="V170">
            <v>0</v>
          </cell>
          <cell r="W170">
            <v>107079</v>
          </cell>
          <cell r="X170">
            <v>0</v>
          </cell>
          <cell r="Y170"/>
          <cell r="Z170">
            <v>0</v>
          </cell>
          <cell r="AA170">
            <v>0</v>
          </cell>
          <cell r="AB170">
            <v>0</v>
          </cell>
          <cell r="AC170"/>
          <cell r="AD170">
            <v>0</v>
          </cell>
          <cell r="AE170">
            <v>0</v>
          </cell>
          <cell r="AF170">
            <v>0</v>
          </cell>
          <cell r="AG170">
            <v>0</v>
          </cell>
          <cell r="AH170">
            <v>0</v>
          </cell>
          <cell r="AI170">
            <v>148777</v>
          </cell>
          <cell r="AJ170">
            <v>0</v>
          </cell>
          <cell r="AK170">
            <v>0</v>
          </cell>
          <cell r="AL170"/>
          <cell r="AM170">
            <v>18180</v>
          </cell>
          <cell r="AN170">
            <v>18598</v>
          </cell>
          <cell r="AO170">
            <v>19026</v>
          </cell>
          <cell r="AP170">
            <v>19463</v>
          </cell>
          <cell r="AQ170">
            <v>19911</v>
          </cell>
          <cell r="AR170">
            <v>20369</v>
          </cell>
          <cell r="AS170">
            <v>0</v>
          </cell>
          <cell r="AT170">
            <v>0</v>
          </cell>
          <cell r="AU170">
            <v>9480</v>
          </cell>
          <cell r="AV170">
            <v>0</v>
          </cell>
          <cell r="AW170">
            <v>0</v>
          </cell>
          <cell r="AX170">
            <v>0</v>
          </cell>
          <cell r="AY170"/>
          <cell r="AZ170"/>
          <cell r="BA170">
            <v>0</v>
          </cell>
          <cell r="BB170"/>
          <cell r="BC170">
            <v>0</v>
          </cell>
          <cell r="BD170">
            <v>12362</v>
          </cell>
          <cell r="BE170"/>
          <cell r="BF170">
            <v>0</v>
          </cell>
          <cell r="BG170">
            <v>0</v>
          </cell>
          <cell r="BH170">
            <v>0</v>
          </cell>
          <cell r="BI170">
            <v>34298</v>
          </cell>
          <cell r="BJ170">
            <v>28233</v>
          </cell>
          <cell r="BK170">
            <v>28233</v>
          </cell>
          <cell r="BL170">
            <v>0</v>
          </cell>
          <cell r="BM170">
            <v>0</v>
          </cell>
          <cell r="BN170">
            <v>0</v>
          </cell>
          <cell r="BO170">
            <v>66154</v>
          </cell>
          <cell r="BP170">
            <v>6325.6</v>
          </cell>
          <cell r="BQ170">
            <v>11395.3488372093</v>
          </cell>
          <cell r="BR170">
            <v>0</v>
          </cell>
          <cell r="BS170">
            <v>0</v>
          </cell>
          <cell r="BT170">
            <v>49390</v>
          </cell>
          <cell r="BU170"/>
          <cell r="BV170"/>
          <cell r="BW170"/>
          <cell r="BX170"/>
          <cell r="BY170">
            <v>0</v>
          </cell>
          <cell r="BZ170">
            <v>0</v>
          </cell>
          <cell r="CA170">
            <v>0</v>
          </cell>
          <cell r="CB170">
            <v>0</v>
          </cell>
          <cell r="CC170">
            <v>2425183</v>
          </cell>
          <cell r="CD170">
            <v>9386138</v>
          </cell>
          <cell r="CE170">
            <v>529046</v>
          </cell>
          <cell r="CF170">
            <v>-33691</v>
          </cell>
          <cell r="CG170">
            <v>529046</v>
          </cell>
          <cell r="CH170">
            <v>529046</v>
          </cell>
          <cell r="CI170">
            <v>529046</v>
          </cell>
          <cell r="CJ170">
            <v>529046</v>
          </cell>
          <cell r="CK170">
            <v>0</v>
          </cell>
          <cell r="CL170">
            <v>0</v>
          </cell>
          <cell r="CM170">
            <v>0</v>
          </cell>
          <cell r="CN170">
            <v>0</v>
          </cell>
          <cell r="CO170">
            <v>0</v>
          </cell>
          <cell r="CP170">
            <v>-4557</v>
          </cell>
          <cell r="CQ170">
            <v>781498</v>
          </cell>
          <cell r="CR170">
            <v>778435</v>
          </cell>
          <cell r="CS170">
            <v>773183</v>
          </cell>
          <cell r="CT170">
            <v>780010</v>
          </cell>
          <cell r="CU170">
            <v>787190</v>
          </cell>
          <cell r="CV170">
            <v>68294</v>
          </cell>
          <cell r="CW170">
            <v>0</v>
          </cell>
          <cell r="CX170">
            <v>0</v>
          </cell>
          <cell r="CY170">
            <v>0</v>
          </cell>
          <cell r="CZ170">
            <v>0</v>
          </cell>
          <cell r="DA170">
            <v>0</v>
          </cell>
          <cell r="DB170"/>
          <cell r="DC170">
            <v>0</v>
          </cell>
          <cell r="DD170">
            <v>0</v>
          </cell>
          <cell r="DE170">
            <v>0</v>
          </cell>
          <cell r="DF170">
            <v>0</v>
          </cell>
          <cell r="DG170">
            <v>0</v>
          </cell>
          <cell r="DH170">
            <v>0</v>
          </cell>
          <cell r="DI170">
            <v>0</v>
          </cell>
          <cell r="DJ170">
            <v>0</v>
          </cell>
          <cell r="DK170">
            <v>0</v>
          </cell>
          <cell r="DL170">
            <v>0</v>
          </cell>
          <cell r="DM170"/>
          <cell r="DN170"/>
          <cell r="DO170"/>
          <cell r="DP170"/>
        </row>
        <row r="171">
          <cell r="A171">
            <v>400</v>
          </cell>
          <cell r="B171" t="str">
            <v>Den Helder</v>
          </cell>
          <cell r="C171">
            <v>7</v>
          </cell>
          <cell r="D171">
            <v>47818</v>
          </cell>
          <cell r="E171">
            <v>23909</v>
          </cell>
          <cell r="F171">
            <v>0</v>
          </cell>
          <cell r="G171">
            <v>416959</v>
          </cell>
          <cell r="H171">
            <v>403490</v>
          </cell>
          <cell r="I171">
            <v>375052</v>
          </cell>
          <cell r="J171"/>
          <cell r="K171">
            <v>0</v>
          </cell>
          <cell r="L171">
            <v>356817</v>
          </cell>
          <cell r="M171">
            <v>349968</v>
          </cell>
          <cell r="N171">
            <v>0</v>
          </cell>
          <cell r="O171">
            <v>0</v>
          </cell>
          <cell r="P171">
            <v>0</v>
          </cell>
          <cell r="Q171">
            <v>0</v>
          </cell>
          <cell r="R171">
            <v>0</v>
          </cell>
          <cell r="S171">
            <v>0</v>
          </cell>
          <cell r="T171">
            <v>0</v>
          </cell>
          <cell r="U171">
            <v>0</v>
          </cell>
          <cell r="V171">
            <v>15000</v>
          </cell>
          <cell r="W171">
            <v>215760</v>
          </cell>
          <cell r="X171">
            <v>0</v>
          </cell>
          <cell r="Y171"/>
          <cell r="Z171">
            <v>0</v>
          </cell>
          <cell r="AA171">
            <v>0</v>
          </cell>
          <cell r="AB171">
            <v>0</v>
          </cell>
          <cell r="AC171"/>
          <cell r="AD171">
            <v>63557</v>
          </cell>
          <cell r="AE171">
            <v>0</v>
          </cell>
          <cell r="AF171">
            <v>0</v>
          </cell>
          <cell r="AG171">
            <v>0</v>
          </cell>
          <cell r="AH171">
            <v>0</v>
          </cell>
          <cell r="AI171">
            <v>0</v>
          </cell>
          <cell r="AJ171">
            <v>0</v>
          </cell>
          <cell r="AK171">
            <v>0</v>
          </cell>
          <cell r="AL171"/>
          <cell r="AM171">
            <v>38135</v>
          </cell>
          <cell r="AN171">
            <v>39012</v>
          </cell>
          <cell r="AO171">
            <v>39909</v>
          </cell>
          <cell r="AP171">
            <v>40827</v>
          </cell>
          <cell r="AQ171">
            <v>41766</v>
          </cell>
          <cell r="AR171">
            <v>42727</v>
          </cell>
          <cell r="AS171">
            <v>0</v>
          </cell>
          <cell r="AT171">
            <v>0</v>
          </cell>
          <cell r="AU171">
            <v>2370</v>
          </cell>
          <cell r="AV171">
            <v>1826089.03857468</v>
          </cell>
          <cell r="AW171">
            <v>0</v>
          </cell>
          <cell r="AX171">
            <v>0</v>
          </cell>
          <cell r="AY171"/>
          <cell r="AZ171"/>
          <cell r="BA171">
            <v>0</v>
          </cell>
          <cell r="BB171"/>
          <cell r="BC171">
            <v>0</v>
          </cell>
          <cell r="BD171">
            <v>19665</v>
          </cell>
          <cell r="BE171"/>
          <cell r="BF171">
            <v>0</v>
          </cell>
          <cell r="BG171">
            <v>0</v>
          </cell>
          <cell r="BH171">
            <v>0</v>
          </cell>
          <cell r="BI171">
            <v>110707</v>
          </cell>
          <cell r="BJ171">
            <v>91128</v>
          </cell>
          <cell r="BK171">
            <v>91128</v>
          </cell>
          <cell r="BL171">
            <v>0</v>
          </cell>
          <cell r="BM171">
            <v>0</v>
          </cell>
          <cell r="BN171">
            <v>0</v>
          </cell>
          <cell r="BO171">
            <v>185815</v>
          </cell>
          <cell r="BP171">
            <v>26883.8</v>
          </cell>
          <cell r="BQ171">
            <v>48430.232558139498</v>
          </cell>
          <cell r="BR171">
            <v>0</v>
          </cell>
          <cell r="BS171">
            <v>0</v>
          </cell>
          <cell r="BT171">
            <v>93485</v>
          </cell>
          <cell r="BU171"/>
          <cell r="BV171"/>
          <cell r="BW171"/>
          <cell r="BX171"/>
          <cell r="BY171">
            <v>956346.11416790297</v>
          </cell>
          <cell r="BZ171">
            <v>1108628.51473186</v>
          </cell>
          <cell r="CA171">
            <v>1121637.5640262701</v>
          </cell>
          <cell r="CB171">
            <v>1158368.9973281301</v>
          </cell>
          <cell r="CC171">
            <v>5490039</v>
          </cell>
          <cell r="CD171">
            <v>45021867</v>
          </cell>
          <cell r="CE171">
            <v>3411172</v>
          </cell>
          <cell r="CF171">
            <v>565970</v>
          </cell>
          <cell r="CG171">
            <v>3411172</v>
          </cell>
          <cell r="CH171">
            <v>3411172</v>
          </cell>
          <cell r="CI171">
            <v>3411172</v>
          </cell>
          <cell r="CJ171">
            <v>3411172</v>
          </cell>
          <cell r="CK171">
            <v>9633830</v>
          </cell>
          <cell r="CL171">
            <v>9628995</v>
          </cell>
          <cell r="CM171">
            <v>9628917</v>
          </cell>
          <cell r="CN171">
            <v>9628745</v>
          </cell>
          <cell r="CO171">
            <v>9628983</v>
          </cell>
          <cell r="CP171">
            <v>-11282</v>
          </cell>
          <cell r="CQ171">
            <v>6707842</v>
          </cell>
          <cell r="CR171">
            <v>6502904</v>
          </cell>
          <cell r="CS171">
            <v>6400750</v>
          </cell>
          <cell r="CT171">
            <v>6345403</v>
          </cell>
          <cell r="CU171">
            <v>6274404</v>
          </cell>
          <cell r="CV171">
            <v>35045</v>
          </cell>
          <cell r="CW171">
            <v>0</v>
          </cell>
          <cell r="CX171">
            <v>0</v>
          </cell>
          <cell r="CY171">
            <v>0</v>
          </cell>
          <cell r="CZ171">
            <v>0</v>
          </cell>
          <cell r="DA171">
            <v>0</v>
          </cell>
          <cell r="DB171"/>
          <cell r="DC171">
            <v>0</v>
          </cell>
          <cell r="DD171">
            <v>0</v>
          </cell>
          <cell r="DE171">
            <v>0</v>
          </cell>
          <cell r="DF171">
            <v>0</v>
          </cell>
          <cell r="DG171">
            <v>0</v>
          </cell>
          <cell r="DH171">
            <v>0</v>
          </cell>
          <cell r="DI171">
            <v>0</v>
          </cell>
          <cell r="DJ171">
            <v>0</v>
          </cell>
          <cell r="DK171">
            <v>0</v>
          </cell>
          <cell r="DL171">
            <v>0</v>
          </cell>
          <cell r="DM171"/>
          <cell r="DN171"/>
          <cell r="DO171"/>
          <cell r="DP171"/>
        </row>
        <row r="172">
          <cell r="A172">
            <v>384</v>
          </cell>
          <cell r="B172" t="str">
            <v>Diemen</v>
          </cell>
          <cell r="C172">
            <v>7</v>
          </cell>
          <cell r="D172">
            <v>-24095</v>
          </cell>
          <cell r="E172">
            <v>-12048</v>
          </cell>
          <cell r="F172">
            <v>0</v>
          </cell>
          <cell r="G172">
            <v>0</v>
          </cell>
          <cell r="H172">
            <v>-31369</v>
          </cell>
          <cell r="I172">
            <v>-24860</v>
          </cell>
          <cell r="J172"/>
          <cell r="K172">
            <v>0</v>
          </cell>
          <cell r="L172">
            <v>142357</v>
          </cell>
          <cell r="M172">
            <v>133916</v>
          </cell>
          <cell r="N172">
            <v>0</v>
          </cell>
          <cell r="O172">
            <v>0</v>
          </cell>
          <cell r="P172">
            <v>0</v>
          </cell>
          <cell r="Q172">
            <v>0</v>
          </cell>
          <cell r="R172">
            <v>0</v>
          </cell>
          <cell r="S172">
            <v>0</v>
          </cell>
          <cell r="T172">
            <v>0</v>
          </cell>
          <cell r="U172">
            <v>0</v>
          </cell>
          <cell r="V172">
            <v>6000</v>
          </cell>
          <cell r="W172">
            <v>90580</v>
          </cell>
          <cell r="X172">
            <v>0</v>
          </cell>
          <cell r="Y172"/>
          <cell r="Z172">
            <v>0</v>
          </cell>
          <cell r="AA172">
            <v>0</v>
          </cell>
          <cell r="AB172">
            <v>0</v>
          </cell>
          <cell r="AC172"/>
          <cell r="AD172">
            <v>61601</v>
          </cell>
          <cell r="AE172">
            <v>0</v>
          </cell>
          <cell r="AF172">
            <v>0</v>
          </cell>
          <cell r="AG172">
            <v>0</v>
          </cell>
          <cell r="AH172">
            <v>0</v>
          </cell>
          <cell r="AI172">
            <v>0</v>
          </cell>
          <cell r="AJ172">
            <v>0</v>
          </cell>
          <cell r="AK172">
            <v>0</v>
          </cell>
          <cell r="AL172"/>
          <cell r="AM172">
            <v>0</v>
          </cell>
          <cell r="AN172">
            <v>0</v>
          </cell>
          <cell r="AO172">
            <v>0</v>
          </cell>
          <cell r="AP172">
            <v>0</v>
          </cell>
          <cell r="AQ172">
            <v>0</v>
          </cell>
          <cell r="AR172">
            <v>0</v>
          </cell>
          <cell r="AS172">
            <v>0</v>
          </cell>
          <cell r="AT172">
            <v>0</v>
          </cell>
          <cell r="AU172">
            <v>0</v>
          </cell>
          <cell r="AV172">
            <v>0</v>
          </cell>
          <cell r="AW172">
            <v>0</v>
          </cell>
          <cell r="AX172">
            <v>0</v>
          </cell>
          <cell r="AY172"/>
          <cell r="AZ172"/>
          <cell r="BA172">
            <v>0</v>
          </cell>
          <cell r="BB172"/>
          <cell r="BC172">
            <v>0</v>
          </cell>
          <cell r="BD172">
            <v>9573</v>
          </cell>
          <cell r="BE172"/>
          <cell r="BF172">
            <v>0</v>
          </cell>
          <cell r="BG172">
            <v>0</v>
          </cell>
          <cell r="BH172">
            <v>0</v>
          </cell>
          <cell r="BI172">
            <v>37065</v>
          </cell>
          <cell r="BJ172">
            <v>30510</v>
          </cell>
          <cell r="BK172">
            <v>30510</v>
          </cell>
          <cell r="BL172">
            <v>0</v>
          </cell>
          <cell r="BM172">
            <v>0</v>
          </cell>
          <cell r="BN172">
            <v>0</v>
          </cell>
          <cell r="BO172">
            <v>49129</v>
          </cell>
          <cell r="BP172">
            <v>17395.400000000001</v>
          </cell>
          <cell r="BQ172">
            <v>31337.209302325598</v>
          </cell>
          <cell r="BR172">
            <v>0</v>
          </cell>
          <cell r="BS172">
            <v>0</v>
          </cell>
          <cell r="BT172">
            <v>39390</v>
          </cell>
          <cell r="BU172"/>
          <cell r="BV172"/>
          <cell r="BW172"/>
          <cell r="BX172"/>
          <cell r="BY172">
            <v>0</v>
          </cell>
          <cell r="BZ172">
            <v>0</v>
          </cell>
          <cell r="CA172">
            <v>0</v>
          </cell>
          <cell r="CB172">
            <v>0</v>
          </cell>
          <cell r="CC172">
            <v>1637553</v>
          </cell>
          <cell r="CD172">
            <v>9819859</v>
          </cell>
          <cell r="CE172">
            <v>808437</v>
          </cell>
          <cell r="CF172">
            <v>-58451</v>
          </cell>
          <cell r="CG172">
            <v>808437</v>
          </cell>
          <cell r="CH172">
            <v>808437</v>
          </cell>
          <cell r="CI172">
            <v>808437</v>
          </cell>
          <cell r="CJ172">
            <v>808437</v>
          </cell>
          <cell r="CK172">
            <v>0</v>
          </cell>
          <cell r="CL172">
            <v>0</v>
          </cell>
          <cell r="CM172">
            <v>0</v>
          </cell>
          <cell r="CN172">
            <v>0</v>
          </cell>
          <cell r="CO172">
            <v>0</v>
          </cell>
          <cell r="CP172">
            <v>0</v>
          </cell>
          <cell r="CQ172">
            <v>1843995</v>
          </cell>
          <cell r="CR172">
            <v>1747710</v>
          </cell>
          <cell r="CS172">
            <v>1706685</v>
          </cell>
          <cell r="CT172">
            <v>1657423</v>
          </cell>
          <cell r="CU172">
            <v>1628102</v>
          </cell>
          <cell r="CV172">
            <v>71610</v>
          </cell>
          <cell r="CW172">
            <v>0</v>
          </cell>
          <cell r="CX172">
            <v>0</v>
          </cell>
          <cell r="CY172">
            <v>0</v>
          </cell>
          <cell r="CZ172">
            <v>0</v>
          </cell>
          <cell r="DA172">
            <v>0</v>
          </cell>
          <cell r="DB172"/>
          <cell r="DC172">
            <v>0</v>
          </cell>
          <cell r="DD172">
            <v>0</v>
          </cell>
          <cell r="DE172">
            <v>0</v>
          </cell>
          <cell r="DF172">
            <v>0</v>
          </cell>
          <cell r="DG172">
            <v>0</v>
          </cell>
          <cell r="DH172">
            <v>0</v>
          </cell>
          <cell r="DI172">
            <v>0</v>
          </cell>
          <cell r="DJ172">
            <v>0</v>
          </cell>
          <cell r="DK172">
            <v>0</v>
          </cell>
          <cell r="DL172">
            <v>0</v>
          </cell>
          <cell r="DM172"/>
          <cell r="DN172"/>
          <cell r="DO172"/>
          <cell r="DP172"/>
        </row>
        <row r="173">
          <cell r="A173">
            <v>498</v>
          </cell>
          <cell r="B173" t="str">
            <v>Drechterland</v>
          </cell>
          <cell r="C173">
            <v>7</v>
          </cell>
          <cell r="D173">
            <v>-24788</v>
          </cell>
          <cell r="E173">
            <v>-12394</v>
          </cell>
          <cell r="F173">
            <v>0</v>
          </cell>
          <cell r="G173">
            <v>0</v>
          </cell>
          <cell r="H173">
            <v>-18221</v>
          </cell>
          <cell r="I173">
            <v>-13688</v>
          </cell>
          <cell r="J173"/>
          <cell r="K173">
            <v>0</v>
          </cell>
          <cell r="L173">
            <v>59688</v>
          </cell>
          <cell r="M173">
            <v>56185</v>
          </cell>
          <cell r="N173">
            <v>0</v>
          </cell>
          <cell r="O173">
            <v>0</v>
          </cell>
          <cell r="P173">
            <v>0</v>
          </cell>
          <cell r="Q173">
            <v>0</v>
          </cell>
          <cell r="R173">
            <v>0</v>
          </cell>
          <cell r="S173">
            <v>0</v>
          </cell>
          <cell r="T173">
            <v>0</v>
          </cell>
          <cell r="U173">
            <v>0</v>
          </cell>
          <cell r="V173">
            <v>9000</v>
          </cell>
          <cell r="W173">
            <v>80278</v>
          </cell>
          <cell r="X173">
            <v>0</v>
          </cell>
          <cell r="Y173"/>
          <cell r="Z173">
            <v>0</v>
          </cell>
          <cell r="AA173">
            <v>0</v>
          </cell>
          <cell r="AB173">
            <v>0</v>
          </cell>
          <cell r="AC173"/>
          <cell r="AD173">
            <v>0</v>
          </cell>
          <cell r="AE173">
            <v>0</v>
          </cell>
          <cell r="AF173">
            <v>0</v>
          </cell>
          <cell r="AG173">
            <v>0</v>
          </cell>
          <cell r="AH173">
            <v>0</v>
          </cell>
          <cell r="AI173">
            <v>0</v>
          </cell>
          <cell r="AJ173">
            <v>0</v>
          </cell>
          <cell r="AK173">
            <v>0</v>
          </cell>
          <cell r="AL173"/>
          <cell r="AM173">
            <v>45034</v>
          </cell>
          <cell r="AN173">
            <v>46070</v>
          </cell>
          <cell r="AO173">
            <v>47129</v>
          </cell>
          <cell r="AP173">
            <v>48213</v>
          </cell>
          <cell r="AQ173">
            <v>49322</v>
          </cell>
          <cell r="AR173">
            <v>50457</v>
          </cell>
          <cell r="AS173">
            <v>0</v>
          </cell>
          <cell r="AT173">
            <v>0</v>
          </cell>
          <cell r="AU173">
            <v>0</v>
          </cell>
          <cell r="AV173">
            <v>0</v>
          </cell>
          <cell r="AW173">
            <v>0</v>
          </cell>
          <cell r="AX173">
            <v>0</v>
          </cell>
          <cell r="AY173"/>
          <cell r="AZ173"/>
          <cell r="BA173">
            <v>0</v>
          </cell>
          <cell r="BB173"/>
          <cell r="BC173">
            <v>0</v>
          </cell>
          <cell r="BD173">
            <v>6804</v>
          </cell>
          <cell r="BE173"/>
          <cell r="BF173">
            <v>0</v>
          </cell>
          <cell r="BG173">
            <v>0</v>
          </cell>
          <cell r="BH173">
            <v>0</v>
          </cell>
          <cell r="BI173">
            <v>22088</v>
          </cell>
          <cell r="BJ173">
            <v>18182</v>
          </cell>
          <cell r="BK173">
            <v>18182</v>
          </cell>
          <cell r="BL173">
            <v>0</v>
          </cell>
          <cell r="BM173">
            <v>0</v>
          </cell>
          <cell r="BN173">
            <v>0</v>
          </cell>
          <cell r="BO173">
            <v>16052</v>
          </cell>
          <cell r="BP173">
            <v>12651.2</v>
          </cell>
          <cell r="BQ173">
            <v>22790.697674418599</v>
          </cell>
          <cell r="BR173">
            <v>0</v>
          </cell>
          <cell r="BS173">
            <v>0</v>
          </cell>
          <cell r="BT173">
            <v>35071</v>
          </cell>
          <cell r="BU173"/>
          <cell r="BV173"/>
          <cell r="BW173"/>
          <cell r="BX173"/>
          <cell r="BY173">
            <v>0</v>
          </cell>
          <cell r="BZ173">
            <v>0</v>
          </cell>
          <cell r="CA173">
            <v>0</v>
          </cell>
          <cell r="CB173">
            <v>0</v>
          </cell>
          <cell r="CC173">
            <v>1127536</v>
          </cell>
          <cell r="CD173">
            <v>7094763</v>
          </cell>
          <cell r="CE173">
            <v>524128</v>
          </cell>
          <cell r="CF173">
            <v>-17802</v>
          </cell>
          <cell r="CG173">
            <v>524128</v>
          </cell>
          <cell r="CH173">
            <v>524128</v>
          </cell>
          <cell r="CI173">
            <v>524128</v>
          </cell>
          <cell r="CJ173">
            <v>524128</v>
          </cell>
          <cell r="CK173">
            <v>0</v>
          </cell>
          <cell r="CL173">
            <v>0</v>
          </cell>
          <cell r="CM173">
            <v>0</v>
          </cell>
          <cell r="CN173">
            <v>0</v>
          </cell>
          <cell r="CO173">
            <v>0</v>
          </cell>
          <cell r="CP173">
            <v>-2274</v>
          </cell>
          <cell r="CQ173">
            <v>1207296</v>
          </cell>
          <cell r="CR173">
            <v>1141865</v>
          </cell>
          <cell r="CS173">
            <v>1116401</v>
          </cell>
          <cell r="CT173">
            <v>1105075</v>
          </cell>
          <cell r="CU173">
            <v>1090356</v>
          </cell>
          <cell r="CV173">
            <v>29636</v>
          </cell>
          <cell r="CW173">
            <v>0</v>
          </cell>
          <cell r="CX173">
            <v>0</v>
          </cell>
          <cell r="CY173">
            <v>0</v>
          </cell>
          <cell r="CZ173">
            <v>0</v>
          </cell>
          <cell r="DA173">
            <v>0</v>
          </cell>
          <cell r="DB173"/>
          <cell r="DC173">
            <v>0</v>
          </cell>
          <cell r="DD173">
            <v>0</v>
          </cell>
          <cell r="DE173">
            <v>0</v>
          </cell>
          <cell r="DF173">
            <v>0</v>
          </cell>
          <cell r="DG173">
            <v>0</v>
          </cell>
          <cell r="DH173">
            <v>0</v>
          </cell>
          <cell r="DI173">
            <v>0</v>
          </cell>
          <cell r="DJ173">
            <v>0</v>
          </cell>
          <cell r="DK173">
            <v>0</v>
          </cell>
          <cell r="DL173">
            <v>0</v>
          </cell>
          <cell r="DM173"/>
          <cell r="DN173"/>
          <cell r="DO173"/>
          <cell r="DP173"/>
        </row>
        <row r="174">
          <cell r="A174">
            <v>385</v>
          </cell>
          <cell r="B174" t="str">
            <v>Edam-Volendam</v>
          </cell>
          <cell r="C174">
            <v>7</v>
          </cell>
          <cell r="D174">
            <v>-25767</v>
          </cell>
          <cell r="E174">
            <v>-12883</v>
          </cell>
          <cell r="F174">
            <v>0</v>
          </cell>
          <cell r="G174">
            <v>0</v>
          </cell>
          <cell r="H174">
            <v>-17074</v>
          </cell>
          <cell r="I174">
            <v>-26145</v>
          </cell>
          <cell r="J174"/>
          <cell r="K174">
            <v>0</v>
          </cell>
          <cell r="L174">
            <v>84280</v>
          </cell>
          <cell r="M174">
            <v>70779</v>
          </cell>
          <cell r="N174">
            <v>0</v>
          </cell>
          <cell r="O174">
            <v>0</v>
          </cell>
          <cell r="P174">
            <v>0</v>
          </cell>
          <cell r="Q174">
            <v>0</v>
          </cell>
          <cell r="R174">
            <v>0</v>
          </cell>
          <cell r="S174">
            <v>0</v>
          </cell>
          <cell r="T174">
            <v>0</v>
          </cell>
          <cell r="U174">
            <v>0</v>
          </cell>
          <cell r="V174">
            <v>0</v>
          </cell>
          <cell r="W174">
            <v>150449</v>
          </cell>
          <cell r="X174">
            <v>0</v>
          </cell>
          <cell r="Y174"/>
          <cell r="Z174">
            <v>0</v>
          </cell>
          <cell r="AA174">
            <v>0</v>
          </cell>
          <cell r="AB174">
            <v>0</v>
          </cell>
          <cell r="AC174"/>
          <cell r="AD174">
            <v>0</v>
          </cell>
          <cell r="AE174">
            <v>0</v>
          </cell>
          <cell r="AF174">
            <v>0</v>
          </cell>
          <cell r="AG174">
            <v>0</v>
          </cell>
          <cell r="AH174">
            <v>0</v>
          </cell>
          <cell r="AI174">
            <v>0</v>
          </cell>
          <cell r="AJ174">
            <v>0</v>
          </cell>
          <cell r="AK174">
            <v>0</v>
          </cell>
          <cell r="AL174"/>
          <cell r="AM174">
            <v>45199</v>
          </cell>
          <cell r="AN174">
            <v>46238</v>
          </cell>
          <cell r="AO174">
            <v>47301</v>
          </cell>
          <cell r="AP174">
            <v>48389</v>
          </cell>
          <cell r="AQ174">
            <v>49502</v>
          </cell>
          <cell r="AR174">
            <v>50640</v>
          </cell>
          <cell r="AS174">
            <v>0</v>
          </cell>
          <cell r="AT174">
            <v>0</v>
          </cell>
          <cell r="AU174">
            <v>2370</v>
          </cell>
          <cell r="AV174">
            <v>0</v>
          </cell>
          <cell r="AW174">
            <v>0</v>
          </cell>
          <cell r="AX174">
            <v>0</v>
          </cell>
          <cell r="AY174"/>
          <cell r="AZ174"/>
          <cell r="BA174">
            <v>0</v>
          </cell>
          <cell r="BB174"/>
          <cell r="BC174">
            <v>0</v>
          </cell>
          <cell r="BD174">
            <v>62809</v>
          </cell>
          <cell r="BE174"/>
          <cell r="BF174">
            <v>0</v>
          </cell>
          <cell r="BG174">
            <v>0</v>
          </cell>
          <cell r="BH174">
            <v>0</v>
          </cell>
          <cell r="BI174">
            <v>36625</v>
          </cell>
          <cell r="BJ174">
            <v>30148</v>
          </cell>
          <cell r="BK174">
            <v>30148</v>
          </cell>
          <cell r="BL174">
            <v>0</v>
          </cell>
          <cell r="BM174">
            <v>0</v>
          </cell>
          <cell r="BN174">
            <v>0</v>
          </cell>
          <cell r="BO174">
            <v>64695</v>
          </cell>
          <cell r="BP174">
            <v>17395.400000000001</v>
          </cell>
          <cell r="BQ174">
            <v>31337.209302325598</v>
          </cell>
          <cell r="BR174">
            <v>0</v>
          </cell>
          <cell r="BS174">
            <v>0</v>
          </cell>
          <cell r="BT174">
            <v>59465</v>
          </cell>
          <cell r="BU174"/>
          <cell r="BV174"/>
          <cell r="BW174"/>
          <cell r="BX174"/>
          <cell r="BY174">
            <v>0</v>
          </cell>
          <cell r="BZ174">
            <v>0</v>
          </cell>
          <cell r="CA174">
            <v>0</v>
          </cell>
          <cell r="CB174">
            <v>0</v>
          </cell>
          <cell r="CC174">
            <v>2174843</v>
          </cell>
          <cell r="CD174">
            <v>9814673</v>
          </cell>
          <cell r="CE174">
            <v>275333</v>
          </cell>
          <cell r="CF174">
            <v>-29150</v>
          </cell>
          <cell r="CG174">
            <v>275333</v>
          </cell>
          <cell r="CH174">
            <v>275333</v>
          </cell>
          <cell r="CI174">
            <v>275333</v>
          </cell>
          <cell r="CJ174">
            <v>275333</v>
          </cell>
          <cell r="CK174">
            <v>0</v>
          </cell>
          <cell r="CL174">
            <v>0</v>
          </cell>
          <cell r="CM174">
            <v>0</v>
          </cell>
          <cell r="CN174">
            <v>0</v>
          </cell>
          <cell r="CO174">
            <v>0</v>
          </cell>
          <cell r="CP174">
            <v>-5055</v>
          </cell>
          <cell r="CQ174">
            <v>1884493</v>
          </cell>
          <cell r="CR174">
            <v>1772479</v>
          </cell>
          <cell r="CS174">
            <v>1703695</v>
          </cell>
          <cell r="CT174">
            <v>1648698</v>
          </cell>
          <cell r="CU174">
            <v>1546542</v>
          </cell>
          <cell r="CV174">
            <v>-70898</v>
          </cell>
          <cell r="CW174">
            <v>0</v>
          </cell>
          <cell r="CX174">
            <v>0</v>
          </cell>
          <cell r="CY174">
            <v>0</v>
          </cell>
          <cell r="CZ174">
            <v>0</v>
          </cell>
          <cell r="DA174">
            <v>0</v>
          </cell>
          <cell r="DB174"/>
          <cell r="DC174">
            <v>0</v>
          </cell>
          <cell r="DD174">
            <v>0</v>
          </cell>
          <cell r="DE174">
            <v>0</v>
          </cell>
          <cell r="DF174">
            <v>0</v>
          </cell>
          <cell r="DG174">
            <v>0</v>
          </cell>
          <cell r="DH174">
            <v>0</v>
          </cell>
          <cell r="DI174">
            <v>0</v>
          </cell>
          <cell r="DJ174">
            <v>0</v>
          </cell>
          <cell r="DK174">
            <v>0</v>
          </cell>
          <cell r="DL174">
            <v>0</v>
          </cell>
          <cell r="DM174"/>
          <cell r="DN174"/>
          <cell r="DO174"/>
          <cell r="DP174"/>
        </row>
        <row r="175">
          <cell r="A175">
            <v>388</v>
          </cell>
          <cell r="B175" t="str">
            <v>Enkhuizen</v>
          </cell>
          <cell r="C175">
            <v>7</v>
          </cell>
          <cell r="D175">
            <v>55085</v>
          </cell>
          <cell r="E175">
            <v>27543</v>
          </cell>
          <cell r="F175">
            <v>0</v>
          </cell>
          <cell r="G175">
            <v>0</v>
          </cell>
          <cell r="H175">
            <v>-46702</v>
          </cell>
          <cell r="I175">
            <v>-27175</v>
          </cell>
          <cell r="J175"/>
          <cell r="K175">
            <v>0</v>
          </cell>
          <cell r="L175">
            <v>89135</v>
          </cell>
          <cell r="M175">
            <v>84159</v>
          </cell>
          <cell r="N175">
            <v>0</v>
          </cell>
          <cell r="O175">
            <v>0</v>
          </cell>
          <cell r="P175">
            <v>0</v>
          </cell>
          <cell r="Q175">
            <v>0</v>
          </cell>
          <cell r="R175">
            <v>0</v>
          </cell>
          <cell r="S175">
            <v>0</v>
          </cell>
          <cell r="T175">
            <v>0</v>
          </cell>
          <cell r="U175">
            <v>0</v>
          </cell>
          <cell r="V175">
            <v>3000</v>
          </cell>
          <cell r="W175">
            <v>69587</v>
          </cell>
          <cell r="X175">
            <v>0</v>
          </cell>
          <cell r="Y175"/>
          <cell r="Z175">
            <v>0</v>
          </cell>
          <cell r="AA175">
            <v>0</v>
          </cell>
          <cell r="AB175">
            <v>0</v>
          </cell>
          <cell r="AC175"/>
          <cell r="AD175">
            <v>0</v>
          </cell>
          <cell r="AE175">
            <v>0</v>
          </cell>
          <cell r="AF175">
            <v>0</v>
          </cell>
          <cell r="AG175">
            <v>0</v>
          </cell>
          <cell r="AH175">
            <v>0</v>
          </cell>
          <cell r="AI175">
            <v>0</v>
          </cell>
          <cell r="AJ175">
            <v>0</v>
          </cell>
          <cell r="AK175">
            <v>0</v>
          </cell>
          <cell r="AL175"/>
          <cell r="AM175">
            <v>9942</v>
          </cell>
          <cell r="AN175">
            <v>10171</v>
          </cell>
          <cell r="AO175">
            <v>10405</v>
          </cell>
          <cell r="AP175">
            <v>10644</v>
          </cell>
          <cell r="AQ175">
            <v>10889</v>
          </cell>
          <cell r="AR175">
            <v>11139</v>
          </cell>
          <cell r="AS175">
            <v>0</v>
          </cell>
          <cell r="AT175">
            <v>0</v>
          </cell>
          <cell r="AU175">
            <v>0</v>
          </cell>
          <cell r="AV175">
            <v>0</v>
          </cell>
          <cell r="AW175">
            <v>0</v>
          </cell>
          <cell r="AX175">
            <v>0</v>
          </cell>
          <cell r="AY175"/>
          <cell r="AZ175"/>
          <cell r="BA175">
            <v>0</v>
          </cell>
          <cell r="BB175"/>
          <cell r="BC175">
            <v>0</v>
          </cell>
          <cell r="BD175">
            <v>6487</v>
          </cell>
          <cell r="BE175"/>
          <cell r="BF175">
            <v>0</v>
          </cell>
          <cell r="BG175">
            <v>0</v>
          </cell>
          <cell r="BH175">
            <v>0</v>
          </cell>
          <cell r="BI175">
            <v>35611</v>
          </cell>
          <cell r="BJ175">
            <v>29313</v>
          </cell>
          <cell r="BK175">
            <v>29313</v>
          </cell>
          <cell r="BL175">
            <v>0</v>
          </cell>
          <cell r="BM175">
            <v>0</v>
          </cell>
          <cell r="BN175">
            <v>0</v>
          </cell>
          <cell r="BO175">
            <v>83179</v>
          </cell>
          <cell r="BP175">
            <v>7907</v>
          </cell>
          <cell r="BQ175">
            <v>14244.186046511601</v>
          </cell>
          <cell r="BR175">
            <v>0</v>
          </cell>
          <cell r="BS175">
            <v>0</v>
          </cell>
          <cell r="BT175">
            <v>27876</v>
          </cell>
          <cell r="BU175"/>
          <cell r="BV175"/>
          <cell r="BW175"/>
          <cell r="BX175"/>
          <cell r="BY175">
            <v>0</v>
          </cell>
          <cell r="BZ175">
            <v>0</v>
          </cell>
          <cell r="CA175">
            <v>0</v>
          </cell>
          <cell r="CB175">
            <v>0</v>
          </cell>
          <cell r="CC175">
            <v>1493959</v>
          </cell>
          <cell r="CD175">
            <v>9371751</v>
          </cell>
          <cell r="CE175">
            <v>658725</v>
          </cell>
          <cell r="CF175">
            <v>-53106</v>
          </cell>
          <cell r="CG175">
            <v>658725</v>
          </cell>
          <cell r="CH175">
            <v>658725</v>
          </cell>
          <cell r="CI175">
            <v>658725</v>
          </cell>
          <cell r="CJ175">
            <v>658725</v>
          </cell>
          <cell r="CK175">
            <v>0</v>
          </cell>
          <cell r="CL175">
            <v>0</v>
          </cell>
          <cell r="CM175">
            <v>0</v>
          </cell>
          <cell r="CN175">
            <v>0</v>
          </cell>
          <cell r="CO175">
            <v>0</v>
          </cell>
          <cell r="CP175">
            <v>-1899</v>
          </cell>
          <cell r="CQ175">
            <v>1684776</v>
          </cell>
          <cell r="CR175">
            <v>1634953</v>
          </cell>
          <cell r="CS175">
            <v>1601908</v>
          </cell>
          <cell r="CT175">
            <v>1571777</v>
          </cell>
          <cell r="CU175">
            <v>1529528</v>
          </cell>
          <cell r="CV175">
            <v>-32950</v>
          </cell>
          <cell r="CW175">
            <v>0</v>
          </cell>
          <cell r="CX175">
            <v>0</v>
          </cell>
          <cell r="CY175">
            <v>0</v>
          </cell>
          <cell r="CZ175">
            <v>0</v>
          </cell>
          <cell r="DA175">
            <v>0</v>
          </cell>
          <cell r="DB175"/>
          <cell r="DC175">
            <v>0</v>
          </cell>
          <cell r="DD175">
            <v>0</v>
          </cell>
          <cell r="DE175">
            <v>0</v>
          </cell>
          <cell r="DF175">
            <v>0</v>
          </cell>
          <cell r="DG175">
            <v>0</v>
          </cell>
          <cell r="DH175">
            <v>0</v>
          </cell>
          <cell r="DI175">
            <v>0</v>
          </cell>
          <cell r="DJ175">
            <v>0</v>
          </cell>
          <cell r="DK175">
            <v>0</v>
          </cell>
          <cell r="DL175">
            <v>0</v>
          </cell>
          <cell r="DM175"/>
          <cell r="DN175"/>
          <cell r="DO175"/>
          <cell r="DP175"/>
        </row>
        <row r="176">
          <cell r="A176">
            <v>1942</v>
          </cell>
          <cell r="B176" t="str">
            <v>Gooise Meren</v>
          </cell>
          <cell r="C176">
            <v>7</v>
          </cell>
          <cell r="D176">
            <v>-184841</v>
          </cell>
          <cell r="E176">
            <v>-92421</v>
          </cell>
          <cell r="F176">
            <v>0</v>
          </cell>
          <cell r="G176">
            <v>891812</v>
          </cell>
          <cell r="H176">
            <v>0</v>
          </cell>
          <cell r="I176">
            <v>-14752</v>
          </cell>
          <cell r="J176"/>
          <cell r="K176">
            <v>0</v>
          </cell>
          <cell r="L176">
            <v>196677</v>
          </cell>
          <cell r="M176">
            <v>183948</v>
          </cell>
          <cell r="N176">
            <v>0</v>
          </cell>
          <cell r="O176">
            <v>0</v>
          </cell>
          <cell r="P176">
            <v>0</v>
          </cell>
          <cell r="Q176">
            <v>0</v>
          </cell>
          <cell r="R176">
            <v>0</v>
          </cell>
          <cell r="S176">
            <v>0</v>
          </cell>
          <cell r="T176">
            <v>0</v>
          </cell>
          <cell r="U176">
            <v>0</v>
          </cell>
          <cell r="V176">
            <v>0</v>
          </cell>
          <cell r="W176">
            <v>234614</v>
          </cell>
          <cell r="X176">
            <v>0</v>
          </cell>
          <cell r="Y176"/>
          <cell r="Z176">
            <v>0</v>
          </cell>
          <cell r="AA176">
            <v>0</v>
          </cell>
          <cell r="AB176">
            <v>0</v>
          </cell>
          <cell r="AC176"/>
          <cell r="AD176">
            <v>0</v>
          </cell>
          <cell r="AE176">
            <v>0</v>
          </cell>
          <cell r="AF176">
            <v>0</v>
          </cell>
          <cell r="AG176">
            <v>0</v>
          </cell>
          <cell r="AH176">
            <v>0</v>
          </cell>
          <cell r="AI176">
            <v>0</v>
          </cell>
          <cell r="AJ176">
            <v>0</v>
          </cell>
          <cell r="AK176">
            <v>0</v>
          </cell>
          <cell r="AL176"/>
          <cell r="AM176">
            <v>0</v>
          </cell>
          <cell r="AN176">
            <v>0</v>
          </cell>
          <cell r="AO176">
            <v>0</v>
          </cell>
          <cell r="AP176">
            <v>0</v>
          </cell>
          <cell r="AQ176">
            <v>0</v>
          </cell>
          <cell r="AR176">
            <v>0</v>
          </cell>
          <cell r="AS176">
            <v>0</v>
          </cell>
          <cell r="AT176">
            <v>0</v>
          </cell>
          <cell r="AU176">
            <v>4740</v>
          </cell>
          <cell r="AV176">
            <v>0</v>
          </cell>
          <cell r="AW176">
            <v>0</v>
          </cell>
          <cell r="AX176">
            <v>0</v>
          </cell>
          <cell r="AY176"/>
          <cell r="AZ176"/>
          <cell r="BA176">
            <v>0</v>
          </cell>
          <cell r="BB176"/>
          <cell r="BC176">
            <v>0</v>
          </cell>
          <cell r="BD176">
            <v>19986</v>
          </cell>
          <cell r="BE176"/>
          <cell r="BF176">
            <v>0</v>
          </cell>
          <cell r="BG176">
            <v>0</v>
          </cell>
          <cell r="BH176">
            <v>0</v>
          </cell>
          <cell r="BI176">
            <v>75515</v>
          </cell>
          <cell r="BJ176">
            <v>62160</v>
          </cell>
          <cell r="BK176">
            <v>62160</v>
          </cell>
          <cell r="BL176">
            <v>0</v>
          </cell>
          <cell r="BM176">
            <v>0</v>
          </cell>
          <cell r="BN176">
            <v>0</v>
          </cell>
          <cell r="BO176">
            <v>85611</v>
          </cell>
          <cell r="BP176">
            <v>17395.400000000001</v>
          </cell>
          <cell r="BQ176">
            <v>31337.209302325598</v>
          </cell>
          <cell r="BR176">
            <v>0</v>
          </cell>
          <cell r="BS176">
            <v>0</v>
          </cell>
          <cell r="BT176">
            <v>95222</v>
          </cell>
          <cell r="BU176"/>
          <cell r="BV176"/>
          <cell r="BW176"/>
          <cell r="BX176"/>
          <cell r="BY176">
            <v>0</v>
          </cell>
          <cell r="BZ176">
            <v>0</v>
          </cell>
          <cell r="CA176">
            <v>0</v>
          </cell>
          <cell r="CB176">
            <v>0</v>
          </cell>
          <cell r="CC176">
            <v>3444543</v>
          </cell>
          <cell r="CD176">
            <v>15742382</v>
          </cell>
          <cell r="CE176">
            <v>1509653</v>
          </cell>
          <cell r="CF176">
            <v>-28084</v>
          </cell>
          <cell r="CG176">
            <v>1509653</v>
          </cell>
          <cell r="CH176">
            <v>1509653</v>
          </cell>
          <cell r="CI176">
            <v>1509653</v>
          </cell>
          <cell r="CJ176">
            <v>1509653</v>
          </cell>
          <cell r="CK176">
            <v>0</v>
          </cell>
          <cell r="CL176">
            <v>0</v>
          </cell>
          <cell r="CM176">
            <v>0</v>
          </cell>
          <cell r="CN176">
            <v>0</v>
          </cell>
          <cell r="CO176">
            <v>0</v>
          </cell>
          <cell r="CP176">
            <v>-1114</v>
          </cell>
          <cell r="CQ176">
            <v>1992008</v>
          </cell>
          <cell r="CR176">
            <v>1887988</v>
          </cell>
          <cell r="CS176">
            <v>1840356</v>
          </cell>
          <cell r="CT176">
            <v>1744999</v>
          </cell>
          <cell r="CU176">
            <v>1657003</v>
          </cell>
          <cell r="CV176">
            <v>-88788</v>
          </cell>
          <cell r="CW176">
            <v>0</v>
          </cell>
          <cell r="CX176">
            <v>0</v>
          </cell>
          <cell r="CY176">
            <v>0</v>
          </cell>
          <cell r="CZ176">
            <v>0</v>
          </cell>
          <cell r="DA176">
            <v>0</v>
          </cell>
          <cell r="DB176"/>
          <cell r="DC176">
            <v>0</v>
          </cell>
          <cell r="DD176">
            <v>0</v>
          </cell>
          <cell r="DE176">
            <v>0</v>
          </cell>
          <cell r="DF176">
            <v>0</v>
          </cell>
          <cell r="DG176">
            <v>0</v>
          </cell>
          <cell r="DH176">
            <v>0</v>
          </cell>
          <cell r="DI176">
            <v>0</v>
          </cell>
          <cell r="DJ176">
            <v>0</v>
          </cell>
          <cell r="DK176">
            <v>0</v>
          </cell>
          <cell r="DL176">
            <v>0</v>
          </cell>
          <cell r="DM176"/>
          <cell r="DN176"/>
          <cell r="DO176"/>
          <cell r="DP176"/>
        </row>
        <row r="177">
          <cell r="A177">
            <v>392</v>
          </cell>
          <cell r="B177" t="str">
            <v>Haarlem</v>
          </cell>
          <cell r="C177">
            <v>7</v>
          </cell>
          <cell r="D177">
            <v>5962</v>
          </cell>
          <cell r="E177">
            <v>2981</v>
          </cell>
          <cell r="F177">
            <v>0</v>
          </cell>
          <cell r="G177">
            <v>0</v>
          </cell>
          <cell r="H177">
            <v>-40641</v>
          </cell>
          <cell r="I177">
            <v>-56168</v>
          </cell>
          <cell r="J177"/>
          <cell r="K177">
            <v>7646</v>
          </cell>
          <cell r="L177">
            <v>751079</v>
          </cell>
          <cell r="M177">
            <v>764643</v>
          </cell>
          <cell r="N177">
            <v>0</v>
          </cell>
          <cell r="O177">
            <v>0</v>
          </cell>
          <cell r="P177">
            <v>150000</v>
          </cell>
          <cell r="Q177">
            <v>1500000</v>
          </cell>
          <cell r="R177">
            <v>0</v>
          </cell>
          <cell r="S177">
            <v>1375319</v>
          </cell>
          <cell r="T177">
            <v>1375319</v>
          </cell>
          <cell r="U177">
            <v>1375319</v>
          </cell>
          <cell r="V177">
            <v>42000</v>
          </cell>
          <cell r="W177">
            <v>524432</v>
          </cell>
          <cell r="X177">
            <v>0</v>
          </cell>
          <cell r="Y177"/>
          <cell r="Z177">
            <v>0</v>
          </cell>
          <cell r="AA177">
            <v>15000</v>
          </cell>
          <cell r="AB177">
            <v>0</v>
          </cell>
          <cell r="AC177"/>
          <cell r="AD177">
            <v>135914</v>
          </cell>
          <cell r="AE177">
            <v>0</v>
          </cell>
          <cell r="AF177">
            <v>0</v>
          </cell>
          <cell r="AG177">
            <v>0</v>
          </cell>
          <cell r="AH177">
            <v>0</v>
          </cell>
          <cell r="AI177">
            <v>0</v>
          </cell>
          <cell r="AJ177">
            <v>0</v>
          </cell>
          <cell r="AK177">
            <v>313817</v>
          </cell>
          <cell r="AL177"/>
          <cell r="AM177">
            <v>0</v>
          </cell>
          <cell r="AN177">
            <v>0</v>
          </cell>
          <cell r="AO177">
            <v>0</v>
          </cell>
          <cell r="AP177">
            <v>0</v>
          </cell>
          <cell r="AQ177">
            <v>0</v>
          </cell>
          <cell r="AR177">
            <v>0</v>
          </cell>
          <cell r="AS177">
            <v>0</v>
          </cell>
          <cell r="AT177">
            <v>20000</v>
          </cell>
          <cell r="AU177">
            <v>21330</v>
          </cell>
          <cell r="AV177">
            <v>7526255.2413367396</v>
          </cell>
          <cell r="AW177">
            <v>80000</v>
          </cell>
          <cell r="AX177">
            <v>0</v>
          </cell>
          <cell r="AY177"/>
          <cell r="AZ177"/>
          <cell r="BA177">
            <v>86492</v>
          </cell>
          <cell r="BB177"/>
          <cell r="BC177">
            <v>0</v>
          </cell>
          <cell r="BD177">
            <v>55895</v>
          </cell>
          <cell r="BE177"/>
          <cell r="BF177">
            <v>0</v>
          </cell>
          <cell r="BG177">
            <v>0</v>
          </cell>
          <cell r="BH177">
            <v>0</v>
          </cell>
          <cell r="BI177">
            <v>295028</v>
          </cell>
          <cell r="BJ177">
            <v>242852</v>
          </cell>
          <cell r="BK177">
            <v>242852</v>
          </cell>
          <cell r="BL177">
            <v>0</v>
          </cell>
          <cell r="BM177">
            <v>0</v>
          </cell>
          <cell r="BN177">
            <v>219450</v>
          </cell>
          <cell r="BO177">
            <v>88043</v>
          </cell>
          <cell r="BP177">
            <v>28465.200000000001</v>
          </cell>
          <cell r="BQ177">
            <v>51279.069767441899</v>
          </cell>
          <cell r="BR177">
            <v>0</v>
          </cell>
          <cell r="BS177">
            <v>0</v>
          </cell>
          <cell r="BT177">
            <v>238243</v>
          </cell>
          <cell r="BU177"/>
          <cell r="BV177"/>
          <cell r="BW177"/>
          <cell r="BX177"/>
          <cell r="BY177">
            <v>3760484.6534836902</v>
          </cell>
          <cell r="BZ177">
            <v>4350127.9232007898</v>
          </cell>
          <cell r="CA177">
            <v>4400499.4588047601</v>
          </cell>
          <cell r="CB177">
            <v>4542724.9710983299</v>
          </cell>
          <cell r="CC177">
            <v>10794349</v>
          </cell>
          <cell r="CD177">
            <v>110068949</v>
          </cell>
          <cell r="CE177">
            <v>2700845</v>
          </cell>
          <cell r="CF177">
            <v>-134512</v>
          </cell>
          <cell r="CG177">
            <v>2700845</v>
          </cell>
          <cell r="CH177">
            <v>2700845</v>
          </cell>
          <cell r="CI177">
            <v>2700845</v>
          </cell>
          <cell r="CJ177">
            <v>2700845</v>
          </cell>
          <cell r="CK177">
            <v>43762543</v>
          </cell>
          <cell r="CL177">
            <v>43740579</v>
          </cell>
          <cell r="CM177">
            <v>43740224</v>
          </cell>
          <cell r="CN177">
            <v>43739442</v>
          </cell>
          <cell r="CO177">
            <v>43740525</v>
          </cell>
          <cell r="CP177">
            <v>0</v>
          </cell>
          <cell r="CQ177">
            <v>16391563</v>
          </cell>
          <cell r="CR177">
            <v>15691625</v>
          </cell>
          <cell r="CS177">
            <v>15316015</v>
          </cell>
          <cell r="CT177">
            <v>14965980</v>
          </cell>
          <cell r="CU177">
            <v>14640789</v>
          </cell>
          <cell r="CV177">
            <v>-418284</v>
          </cell>
          <cell r="CW177">
            <v>0</v>
          </cell>
          <cell r="CX177">
            <v>0</v>
          </cell>
          <cell r="CY177">
            <v>0</v>
          </cell>
          <cell r="CZ177">
            <v>0</v>
          </cell>
          <cell r="DA177">
            <v>20000</v>
          </cell>
          <cell r="DB177"/>
          <cell r="DC177">
            <v>0</v>
          </cell>
          <cell r="DD177">
            <v>0</v>
          </cell>
          <cell r="DE177">
            <v>0</v>
          </cell>
          <cell r="DF177">
            <v>0</v>
          </cell>
          <cell r="DG177">
            <v>0</v>
          </cell>
          <cell r="DH177">
            <v>0</v>
          </cell>
          <cell r="DI177">
            <v>0</v>
          </cell>
          <cell r="DJ177">
            <v>0</v>
          </cell>
          <cell r="DK177">
            <v>0</v>
          </cell>
          <cell r="DL177">
            <v>0</v>
          </cell>
          <cell r="DM177"/>
          <cell r="DN177"/>
          <cell r="DO177"/>
          <cell r="DP177"/>
        </row>
        <row r="178">
          <cell r="A178">
            <v>393</v>
          </cell>
          <cell r="B178" t="str">
            <v>Haarlemmerliede Spaarnw</v>
          </cell>
          <cell r="C178">
            <v>7</v>
          </cell>
          <cell r="D178">
            <v>3281</v>
          </cell>
          <cell r="E178">
            <v>1640</v>
          </cell>
          <cell r="F178">
            <v>0</v>
          </cell>
          <cell r="G178">
            <v>0</v>
          </cell>
          <cell r="H178">
            <v>-2220</v>
          </cell>
          <cell r="I178">
            <v>-3802</v>
          </cell>
          <cell r="J178"/>
          <cell r="K178">
            <v>0</v>
          </cell>
          <cell r="L178">
            <v>17946</v>
          </cell>
          <cell r="M178">
            <v>16498</v>
          </cell>
          <cell r="N178">
            <v>0</v>
          </cell>
          <cell r="O178">
            <v>0</v>
          </cell>
          <cell r="P178">
            <v>0</v>
          </cell>
          <cell r="Q178">
            <v>0</v>
          </cell>
          <cell r="R178">
            <v>0</v>
          </cell>
          <cell r="S178">
            <v>0</v>
          </cell>
          <cell r="T178">
            <v>0</v>
          </cell>
          <cell r="U178">
            <v>0</v>
          </cell>
          <cell r="V178">
            <v>0</v>
          </cell>
          <cell r="W178">
            <v>23131</v>
          </cell>
          <cell r="X178">
            <v>0</v>
          </cell>
          <cell r="Y178"/>
          <cell r="Z178">
            <v>0</v>
          </cell>
          <cell r="AA178">
            <v>0</v>
          </cell>
          <cell r="AB178">
            <v>0</v>
          </cell>
          <cell r="AC178"/>
          <cell r="AD178">
            <v>0</v>
          </cell>
          <cell r="AE178">
            <v>0</v>
          </cell>
          <cell r="AF178">
            <v>0</v>
          </cell>
          <cell r="AG178">
            <v>0</v>
          </cell>
          <cell r="AH178">
            <v>0</v>
          </cell>
          <cell r="AI178">
            <v>0</v>
          </cell>
          <cell r="AJ178">
            <v>0</v>
          </cell>
          <cell r="AK178">
            <v>0</v>
          </cell>
          <cell r="AL178"/>
          <cell r="AM178">
            <v>0</v>
          </cell>
          <cell r="AN178">
            <v>0</v>
          </cell>
          <cell r="AO178">
            <v>0</v>
          </cell>
          <cell r="AP178">
            <v>0</v>
          </cell>
          <cell r="AQ178">
            <v>0</v>
          </cell>
          <cell r="AR178">
            <v>0</v>
          </cell>
          <cell r="AS178">
            <v>0</v>
          </cell>
          <cell r="AT178">
            <v>0</v>
          </cell>
          <cell r="AU178">
            <v>0</v>
          </cell>
          <cell r="AV178">
            <v>0</v>
          </cell>
          <cell r="AW178">
            <v>0</v>
          </cell>
          <cell r="AX178">
            <v>0</v>
          </cell>
          <cell r="AY178"/>
          <cell r="AZ178"/>
          <cell r="BA178">
            <v>0</v>
          </cell>
          <cell r="BB178"/>
          <cell r="BC178">
            <v>0</v>
          </cell>
          <cell r="BD178">
            <v>9939</v>
          </cell>
          <cell r="BE178"/>
          <cell r="BF178">
            <v>0</v>
          </cell>
          <cell r="BG178">
            <v>0</v>
          </cell>
          <cell r="BH178">
            <v>0</v>
          </cell>
          <cell r="BI178">
            <v>4265</v>
          </cell>
          <cell r="BJ178">
            <v>3511</v>
          </cell>
          <cell r="BK178">
            <v>3511</v>
          </cell>
          <cell r="BL178">
            <v>0</v>
          </cell>
          <cell r="BM178">
            <v>0</v>
          </cell>
          <cell r="BN178">
            <v>0</v>
          </cell>
          <cell r="BO178">
            <v>24321</v>
          </cell>
          <cell r="BP178">
            <v>0</v>
          </cell>
          <cell r="BQ178">
            <v>0</v>
          </cell>
          <cell r="BR178">
            <v>0</v>
          </cell>
          <cell r="BS178">
            <v>0</v>
          </cell>
          <cell r="BT178">
            <v>12036</v>
          </cell>
          <cell r="BU178"/>
          <cell r="BV178"/>
          <cell r="BW178"/>
          <cell r="BX178"/>
          <cell r="BY178">
            <v>0</v>
          </cell>
          <cell r="BZ178">
            <v>0</v>
          </cell>
          <cell r="CA178">
            <v>0</v>
          </cell>
          <cell r="CB178">
            <v>0</v>
          </cell>
          <cell r="CC178">
            <v>326633</v>
          </cell>
          <cell r="CD178">
            <v>1549981</v>
          </cell>
          <cell r="CE178">
            <v>154598</v>
          </cell>
          <cell r="CF178">
            <v>-4479</v>
          </cell>
          <cell r="CG178">
            <v>154598</v>
          </cell>
          <cell r="CH178">
            <v>154598</v>
          </cell>
          <cell r="CI178">
            <v>154598</v>
          </cell>
          <cell r="CJ178">
            <v>154598</v>
          </cell>
          <cell r="CK178">
            <v>0</v>
          </cell>
          <cell r="CL178">
            <v>0</v>
          </cell>
          <cell r="CM178">
            <v>0</v>
          </cell>
          <cell r="CN178">
            <v>0</v>
          </cell>
          <cell r="CO178">
            <v>0</v>
          </cell>
          <cell r="CP178">
            <v>-695</v>
          </cell>
          <cell r="CQ178">
            <v>157753</v>
          </cell>
          <cell r="CR178">
            <v>144952</v>
          </cell>
          <cell r="CS178">
            <v>135029</v>
          </cell>
          <cell r="CT178">
            <v>122633</v>
          </cell>
          <cell r="CU178">
            <v>118121</v>
          </cell>
          <cell r="CV178">
            <v>-5023</v>
          </cell>
          <cell r="CW178">
            <v>0</v>
          </cell>
          <cell r="CX178">
            <v>0</v>
          </cell>
          <cell r="CY178">
            <v>0</v>
          </cell>
          <cell r="CZ178">
            <v>0</v>
          </cell>
          <cell r="DA178">
            <v>0</v>
          </cell>
          <cell r="DB178"/>
          <cell r="DC178">
            <v>0</v>
          </cell>
          <cell r="DD178">
            <v>0</v>
          </cell>
          <cell r="DE178">
            <v>0</v>
          </cell>
          <cell r="DF178">
            <v>0</v>
          </cell>
          <cell r="DG178">
            <v>0</v>
          </cell>
          <cell r="DH178">
            <v>0</v>
          </cell>
          <cell r="DI178">
            <v>0</v>
          </cell>
          <cell r="DJ178">
            <v>0</v>
          </cell>
          <cell r="DK178">
            <v>0</v>
          </cell>
          <cell r="DL178">
            <v>0</v>
          </cell>
          <cell r="DM178"/>
          <cell r="DN178"/>
          <cell r="DO178"/>
          <cell r="DP178"/>
        </row>
        <row r="179">
          <cell r="A179">
            <v>394</v>
          </cell>
          <cell r="B179" t="str">
            <v>Haarlemmermeer</v>
          </cell>
          <cell r="C179">
            <v>7</v>
          </cell>
          <cell r="D179">
            <v>301823</v>
          </cell>
          <cell r="E179">
            <v>150911</v>
          </cell>
          <cell r="F179">
            <v>0</v>
          </cell>
          <cell r="G179">
            <v>2289950</v>
          </cell>
          <cell r="H179">
            <v>0</v>
          </cell>
          <cell r="I179">
            <v>-14730</v>
          </cell>
          <cell r="J179"/>
          <cell r="K179">
            <v>0</v>
          </cell>
          <cell r="L179">
            <v>512485</v>
          </cell>
          <cell r="M179">
            <v>461814</v>
          </cell>
          <cell r="N179">
            <v>0</v>
          </cell>
          <cell r="O179">
            <v>0</v>
          </cell>
          <cell r="P179">
            <v>150000</v>
          </cell>
          <cell r="Q179">
            <v>0</v>
          </cell>
          <cell r="R179">
            <v>0</v>
          </cell>
          <cell r="S179">
            <v>0</v>
          </cell>
          <cell r="T179">
            <v>0</v>
          </cell>
          <cell r="U179">
            <v>0</v>
          </cell>
          <cell r="V179">
            <v>28250</v>
          </cell>
          <cell r="W179">
            <v>607431</v>
          </cell>
          <cell r="X179">
            <v>91000</v>
          </cell>
          <cell r="Y179"/>
          <cell r="Z179">
            <v>0</v>
          </cell>
          <cell r="AA179">
            <v>0</v>
          </cell>
          <cell r="AB179">
            <v>0</v>
          </cell>
          <cell r="AC179"/>
          <cell r="AD179">
            <v>0</v>
          </cell>
          <cell r="AE179">
            <v>0</v>
          </cell>
          <cell r="AF179">
            <v>0</v>
          </cell>
          <cell r="AG179">
            <v>0</v>
          </cell>
          <cell r="AH179">
            <v>0</v>
          </cell>
          <cell r="AI179">
            <v>0</v>
          </cell>
          <cell r="AJ179">
            <v>0</v>
          </cell>
          <cell r="AK179">
            <v>0</v>
          </cell>
          <cell r="AL179"/>
          <cell r="AM179">
            <v>0</v>
          </cell>
          <cell r="AN179">
            <v>0</v>
          </cell>
          <cell r="AO179">
            <v>0</v>
          </cell>
          <cell r="AP179">
            <v>0</v>
          </cell>
          <cell r="AQ179">
            <v>0</v>
          </cell>
          <cell r="AR179">
            <v>0</v>
          </cell>
          <cell r="AS179">
            <v>0</v>
          </cell>
          <cell r="AT179">
            <v>0</v>
          </cell>
          <cell r="AU179">
            <v>7110</v>
          </cell>
          <cell r="AV179">
            <v>0</v>
          </cell>
          <cell r="AW179">
            <v>0</v>
          </cell>
          <cell r="AX179">
            <v>0</v>
          </cell>
          <cell r="AY179"/>
          <cell r="AZ179"/>
          <cell r="BA179">
            <v>0</v>
          </cell>
          <cell r="BB179"/>
          <cell r="BC179">
            <v>0</v>
          </cell>
          <cell r="BD179">
            <v>256152</v>
          </cell>
          <cell r="BE179"/>
          <cell r="BF179">
            <v>0</v>
          </cell>
          <cell r="BG179">
            <v>0</v>
          </cell>
          <cell r="BH179">
            <v>0</v>
          </cell>
          <cell r="BI179">
            <v>135099</v>
          </cell>
          <cell r="BJ179">
            <v>111206</v>
          </cell>
          <cell r="BK179">
            <v>111206</v>
          </cell>
          <cell r="BL179">
            <v>0</v>
          </cell>
          <cell r="BM179">
            <v>0</v>
          </cell>
          <cell r="BN179">
            <v>0</v>
          </cell>
          <cell r="BO179">
            <v>1110029</v>
          </cell>
          <cell r="BP179">
            <v>113860.8</v>
          </cell>
          <cell r="BQ179">
            <v>205116.27906976701</v>
          </cell>
          <cell r="BR179">
            <v>165060</v>
          </cell>
          <cell r="BS179">
            <v>0</v>
          </cell>
          <cell r="BT179">
            <v>240747</v>
          </cell>
          <cell r="BU179"/>
          <cell r="BV179"/>
          <cell r="BW179"/>
          <cell r="BX179"/>
          <cell r="BY179">
            <v>0</v>
          </cell>
          <cell r="BZ179">
            <v>0</v>
          </cell>
          <cell r="CA179">
            <v>0</v>
          </cell>
          <cell r="CB179">
            <v>0</v>
          </cell>
          <cell r="CC179">
            <v>8172995</v>
          </cell>
          <cell r="CD179">
            <v>46568533</v>
          </cell>
          <cell r="CE179">
            <v>4390966</v>
          </cell>
          <cell r="CF179">
            <v>0</v>
          </cell>
          <cell r="CG179">
            <v>4390966</v>
          </cell>
          <cell r="CH179">
            <v>4390966</v>
          </cell>
          <cell r="CI179">
            <v>4390966</v>
          </cell>
          <cell r="CJ179">
            <v>4390966</v>
          </cell>
          <cell r="CK179">
            <v>0</v>
          </cell>
          <cell r="CL179">
            <v>0</v>
          </cell>
          <cell r="CM179">
            <v>0</v>
          </cell>
          <cell r="CN179">
            <v>0</v>
          </cell>
          <cell r="CO179">
            <v>0</v>
          </cell>
          <cell r="CP179">
            <v>-5318</v>
          </cell>
          <cell r="CQ179">
            <v>5991245</v>
          </cell>
          <cell r="CR179">
            <v>5735790</v>
          </cell>
          <cell r="CS179">
            <v>5605693</v>
          </cell>
          <cell r="CT179">
            <v>5572122</v>
          </cell>
          <cell r="CU179">
            <v>5518077</v>
          </cell>
          <cell r="CV179">
            <v>74366</v>
          </cell>
          <cell r="CW179">
            <v>0</v>
          </cell>
          <cell r="CX179">
            <v>0</v>
          </cell>
          <cell r="CY179">
            <v>0</v>
          </cell>
          <cell r="CZ179">
            <v>0</v>
          </cell>
          <cell r="DA179">
            <v>0</v>
          </cell>
          <cell r="DB179"/>
          <cell r="DC179">
            <v>0</v>
          </cell>
          <cell r="DD179">
            <v>0</v>
          </cell>
          <cell r="DE179">
            <v>0</v>
          </cell>
          <cell r="DF179">
            <v>0</v>
          </cell>
          <cell r="DG179">
            <v>0</v>
          </cell>
          <cell r="DH179">
            <v>0</v>
          </cell>
          <cell r="DI179">
            <v>0</v>
          </cell>
          <cell r="DJ179">
            <v>0</v>
          </cell>
          <cell r="DK179">
            <v>0</v>
          </cell>
          <cell r="DL179">
            <v>0</v>
          </cell>
          <cell r="DM179"/>
          <cell r="DN179"/>
          <cell r="DO179"/>
          <cell r="DP179"/>
        </row>
        <row r="180">
          <cell r="A180">
            <v>396</v>
          </cell>
          <cell r="B180" t="str">
            <v>Heemskerk</v>
          </cell>
          <cell r="C180">
            <v>7</v>
          </cell>
          <cell r="D180">
            <v>-11566</v>
          </cell>
          <cell r="E180">
            <v>-5783</v>
          </cell>
          <cell r="F180">
            <v>0</v>
          </cell>
          <cell r="G180">
            <v>0</v>
          </cell>
          <cell r="H180">
            <v>0</v>
          </cell>
          <cell r="I180">
            <v>-17597</v>
          </cell>
          <cell r="J180"/>
          <cell r="K180">
            <v>0</v>
          </cell>
          <cell r="L180">
            <v>187362</v>
          </cell>
          <cell r="M180">
            <v>182483</v>
          </cell>
          <cell r="N180">
            <v>0</v>
          </cell>
          <cell r="O180">
            <v>0</v>
          </cell>
          <cell r="P180">
            <v>0</v>
          </cell>
          <cell r="Q180">
            <v>0</v>
          </cell>
          <cell r="R180">
            <v>0</v>
          </cell>
          <cell r="S180">
            <v>0</v>
          </cell>
          <cell r="T180">
            <v>0</v>
          </cell>
          <cell r="U180">
            <v>0</v>
          </cell>
          <cell r="V180">
            <v>0</v>
          </cell>
          <cell r="W180">
            <v>152587</v>
          </cell>
          <cell r="X180">
            <v>0</v>
          </cell>
          <cell r="Y180"/>
          <cell r="Z180">
            <v>0</v>
          </cell>
          <cell r="AA180">
            <v>0</v>
          </cell>
          <cell r="AB180">
            <v>0</v>
          </cell>
          <cell r="AC180"/>
          <cell r="AD180">
            <v>58668</v>
          </cell>
          <cell r="AE180">
            <v>0</v>
          </cell>
          <cell r="AF180">
            <v>0</v>
          </cell>
          <cell r="AG180">
            <v>0</v>
          </cell>
          <cell r="AH180">
            <v>0</v>
          </cell>
          <cell r="AI180">
            <v>0</v>
          </cell>
          <cell r="AJ180">
            <v>0</v>
          </cell>
          <cell r="AK180">
            <v>0</v>
          </cell>
          <cell r="AL180"/>
          <cell r="AM180">
            <v>0</v>
          </cell>
          <cell r="AN180">
            <v>0</v>
          </cell>
          <cell r="AO180">
            <v>0</v>
          </cell>
          <cell r="AP180">
            <v>0</v>
          </cell>
          <cell r="AQ180">
            <v>0</v>
          </cell>
          <cell r="AR180">
            <v>0</v>
          </cell>
          <cell r="AS180">
            <v>0</v>
          </cell>
          <cell r="AT180">
            <v>0</v>
          </cell>
          <cell r="AU180">
            <v>4740</v>
          </cell>
          <cell r="AV180">
            <v>0</v>
          </cell>
          <cell r="AW180">
            <v>0</v>
          </cell>
          <cell r="AX180">
            <v>0</v>
          </cell>
          <cell r="AY180"/>
          <cell r="AZ180"/>
          <cell r="BA180">
            <v>0</v>
          </cell>
          <cell r="BB180"/>
          <cell r="BC180">
            <v>0</v>
          </cell>
          <cell r="BD180">
            <v>13750</v>
          </cell>
          <cell r="BE180"/>
          <cell r="BF180">
            <v>0</v>
          </cell>
          <cell r="BG180">
            <v>0</v>
          </cell>
          <cell r="BH180">
            <v>0</v>
          </cell>
          <cell r="BI180">
            <v>56443</v>
          </cell>
          <cell r="BJ180">
            <v>46461</v>
          </cell>
          <cell r="BK180">
            <v>46461</v>
          </cell>
          <cell r="BL180">
            <v>0</v>
          </cell>
          <cell r="BM180">
            <v>0</v>
          </cell>
          <cell r="BN180">
            <v>0</v>
          </cell>
          <cell r="BO180">
            <v>10215</v>
          </cell>
          <cell r="BP180">
            <v>4744.2</v>
          </cell>
          <cell r="BQ180">
            <v>8546.5116279069807</v>
          </cell>
          <cell r="BR180">
            <v>0</v>
          </cell>
          <cell r="BS180">
            <v>0</v>
          </cell>
          <cell r="BT180">
            <v>60465</v>
          </cell>
          <cell r="BU180"/>
          <cell r="BV180"/>
          <cell r="BW180"/>
          <cell r="BX180"/>
          <cell r="BY180">
            <v>0</v>
          </cell>
          <cell r="BZ180">
            <v>0</v>
          </cell>
          <cell r="CA180">
            <v>0</v>
          </cell>
          <cell r="CB180">
            <v>0</v>
          </cell>
          <cell r="CC180">
            <v>3323438</v>
          </cell>
          <cell r="CD180">
            <v>17026475</v>
          </cell>
          <cell r="CE180">
            <v>585826</v>
          </cell>
          <cell r="CF180">
            <v>0</v>
          </cell>
          <cell r="CG180">
            <v>585826</v>
          </cell>
          <cell r="CH180">
            <v>585826</v>
          </cell>
          <cell r="CI180">
            <v>585826</v>
          </cell>
          <cell r="CJ180">
            <v>585826</v>
          </cell>
          <cell r="CK180">
            <v>0</v>
          </cell>
          <cell r="CL180">
            <v>0</v>
          </cell>
          <cell r="CM180">
            <v>0</v>
          </cell>
          <cell r="CN180">
            <v>0</v>
          </cell>
          <cell r="CO180">
            <v>0</v>
          </cell>
          <cell r="CP180">
            <v>-6349</v>
          </cell>
          <cell r="CQ180">
            <v>3882056</v>
          </cell>
          <cell r="CR180">
            <v>3705432</v>
          </cell>
          <cell r="CS180">
            <v>3657036</v>
          </cell>
          <cell r="CT180">
            <v>3596533</v>
          </cell>
          <cell r="CU180">
            <v>3512358</v>
          </cell>
          <cell r="CV180">
            <v>46768</v>
          </cell>
          <cell r="CW180">
            <v>0</v>
          </cell>
          <cell r="CX180">
            <v>0</v>
          </cell>
          <cell r="CY180">
            <v>0</v>
          </cell>
          <cell r="CZ180">
            <v>0</v>
          </cell>
          <cell r="DA180">
            <v>0</v>
          </cell>
          <cell r="DB180"/>
          <cell r="DC180">
            <v>0</v>
          </cell>
          <cell r="DD180">
            <v>0</v>
          </cell>
          <cell r="DE180">
            <v>0</v>
          </cell>
          <cell r="DF180">
            <v>0</v>
          </cell>
          <cell r="DG180">
            <v>0</v>
          </cell>
          <cell r="DH180">
            <v>0</v>
          </cell>
          <cell r="DI180">
            <v>0</v>
          </cell>
          <cell r="DJ180">
            <v>0</v>
          </cell>
          <cell r="DK180">
            <v>0</v>
          </cell>
          <cell r="DL180">
            <v>0</v>
          </cell>
          <cell r="DM180"/>
          <cell r="DN180"/>
          <cell r="DO180"/>
          <cell r="DP180"/>
        </row>
        <row r="181">
          <cell r="A181">
            <v>397</v>
          </cell>
          <cell r="B181" t="str">
            <v>Heemstede</v>
          </cell>
          <cell r="C181">
            <v>7</v>
          </cell>
          <cell r="D181">
            <v>-15428</v>
          </cell>
          <cell r="E181">
            <v>-7714</v>
          </cell>
          <cell r="F181">
            <v>0</v>
          </cell>
          <cell r="G181">
            <v>0</v>
          </cell>
          <cell r="H181">
            <v>0</v>
          </cell>
          <cell r="I181">
            <v>-5871</v>
          </cell>
          <cell r="J181"/>
          <cell r="K181">
            <v>0</v>
          </cell>
          <cell r="L181">
            <v>64623</v>
          </cell>
          <cell r="M181">
            <v>58661</v>
          </cell>
          <cell r="N181">
            <v>0</v>
          </cell>
          <cell r="O181">
            <v>0</v>
          </cell>
          <cell r="P181">
            <v>0</v>
          </cell>
          <cell r="Q181">
            <v>0</v>
          </cell>
          <cell r="R181">
            <v>0</v>
          </cell>
          <cell r="S181">
            <v>0</v>
          </cell>
          <cell r="T181">
            <v>0</v>
          </cell>
          <cell r="U181">
            <v>0</v>
          </cell>
          <cell r="V181">
            <v>0</v>
          </cell>
          <cell r="W181">
            <v>59601</v>
          </cell>
          <cell r="X181">
            <v>0</v>
          </cell>
          <cell r="Y181"/>
          <cell r="Z181">
            <v>0</v>
          </cell>
          <cell r="AA181">
            <v>0</v>
          </cell>
          <cell r="AB181">
            <v>0</v>
          </cell>
          <cell r="AC181"/>
          <cell r="AD181">
            <v>0</v>
          </cell>
          <cell r="AE181">
            <v>0</v>
          </cell>
          <cell r="AF181">
            <v>0</v>
          </cell>
          <cell r="AG181">
            <v>0</v>
          </cell>
          <cell r="AH181">
            <v>0</v>
          </cell>
          <cell r="AI181">
            <v>0</v>
          </cell>
          <cell r="AJ181">
            <v>0</v>
          </cell>
          <cell r="AK181">
            <v>0</v>
          </cell>
          <cell r="AL181"/>
          <cell r="AM181">
            <v>0</v>
          </cell>
          <cell r="AN181">
            <v>0</v>
          </cell>
          <cell r="AO181">
            <v>0</v>
          </cell>
          <cell r="AP181">
            <v>0</v>
          </cell>
          <cell r="AQ181">
            <v>0</v>
          </cell>
          <cell r="AR181">
            <v>0</v>
          </cell>
          <cell r="AS181">
            <v>0</v>
          </cell>
          <cell r="AT181">
            <v>0</v>
          </cell>
          <cell r="AU181">
            <v>2370</v>
          </cell>
          <cell r="AV181">
            <v>0</v>
          </cell>
          <cell r="AW181">
            <v>0</v>
          </cell>
          <cell r="AX181">
            <v>0</v>
          </cell>
          <cell r="AY181"/>
          <cell r="AZ181"/>
          <cell r="BA181">
            <v>0</v>
          </cell>
          <cell r="BB181"/>
          <cell r="BC181">
            <v>0</v>
          </cell>
          <cell r="BD181">
            <v>9455</v>
          </cell>
          <cell r="BE181"/>
          <cell r="BF181">
            <v>0</v>
          </cell>
          <cell r="BG181">
            <v>0</v>
          </cell>
          <cell r="BH181">
            <v>0</v>
          </cell>
          <cell r="BI181">
            <v>28442</v>
          </cell>
          <cell r="BJ181">
            <v>23412</v>
          </cell>
          <cell r="BK181">
            <v>23412</v>
          </cell>
          <cell r="BL181">
            <v>0</v>
          </cell>
          <cell r="BM181">
            <v>0</v>
          </cell>
          <cell r="BN181">
            <v>0</v>
          </cell>
          <cell r="BO181">
            <v>10215</v>
          </cell>
          <cell r="BP181">
            <v>7907</v>
          </cell>
          <cell r="BQ181">
            <v>14244.186046511601</v>
          </cell>
          <cell r="BR181">
            <v>0</v>
          </cell>
          <cell r="BS181">
            <v>0</v>
          </cell>
          <cell r="BT181">
            <v>36601</v>
          </cell>
          <cell r="BU181"/>
          <cell r="BV181"/>
          <cell r="BW181"/>
          <cell r="BX181"/>
          <cell r="BY181">
            <v>0</v>
          </cell>
          <cell r="BZ181">
            <v>0</v>
          </cell>
          <cell r="CA181">
            <v>0</v>
          </cell>
          <cell r="CB181">
            <v>0</v>
          </cell>
          <cell r="CC181">
            <v>1998193</v>
          </cell>
          <cell r="CD181">
            <v>7868364</v>
          </cell>
          <cell r="CE181">
            <v>276334</v>
          </cell>
          <cell r="CF181">
            <v>-7619</v>
          </cell>
          <cell r="CG181">
            <v>276334</v>
          </cell>
          <cell r="CH181">
            <v>276334</v>
          </cell>
          <cell r="CI181">
            <v>276334</v>
          </cell>
          <cell r="CJ181">
            <v>276334</v>
          </cell>
          <cell r="CK181">
            <v>0</v>
          </cell>
          <cell r="CL181">
            <v>0</v>
          </cell>
          <cell r="CM181">
            <v>0</v>
          </cell>
          <cell r="CN181">
            <v>0</v>
          </cell>
          <cell r="CO181">
            <v>0</v>
          </cell>
          <cell r="CP181">
            <v>-973</v>
          </cell>
          <cell r="CQ181">
            <v>1506490</v>
          </cell>
          <cell r="CR181">
            <v>1383078</v>
          </cell>
          <cell r="CS181">
            <v>1280385</v>
          </cell>
          <cell r="CT181">
            <v>1237107</v>
          </cell>
          <cell r="CU181">
            <v>1162987</v>
          </cell>
          <cell r="CV181">
            <v>-29438</v>
          </cell>
          <cell r="CW181">
            <v>0</v>
          </cell>
          <cell r="CX181">
            <v>0</v>
          </cell>
          <cell r="CY181">
            <v>0</v>
          </cell>
          <cell r="CZ181">
            <v>0</v>
          </cell>
          <cell r="DA181">
            <v>0</v>
          </cell>
          <cell r="DB181"/>
          <cell r="DC181">
            <v>0</v>
          </cell>
          <cell r="DD181">
            <v>0</v>
          </cell>
          <cell r="DE181">
            <v>0</v>
          </cell>
          <cell r="DF181">
            <v>0</v>
          </cell>
          <cell r="DG181">
            <v>0</v>
          </cell>
          <cell r="DH181">
            <v>0</v>
          </cell>
          <cell r="DI181">
            <v>0</v>
          </cell>
          <cell r="DJ181">
            <v>0</v>
          </cell>
          <cell r="DK181">
            <v>0</v>
          </cell>
          <cell r="DL181">
            <v>0</v>
          </cell>
          <cell r="DM181"/>
          <cell r="DN181"/>
          <cell r="DO181"/>
          <cell r="DP181"/>
        </row>
        <row r="182">
          <cell r="A182">
            <v>398</v>
          </cell>
          <cell r="B182" t="str">
            <v>Heerhugowaard</v>
          </cell>
          <cell r="C182">
            <v>7</v>
          </cell>
          <cell r="D182">
            <v>34792</v>
          </cell>
          <cell r="E182">
            <v>17396</v>
          </cell>
          <cell r="F182">
            <v>0</v>
          </cell>
          <cell r="G182">
            <v>0</v>
          </cell>
          <cell r="H182">
            <v>0</v>
          </cell>
          <cell r="I182">
            <v>-8756</v>
          </cell>
          <cell r="J182"/>
          <cell r="K182">
            <v>0</v>
          </cell>
          <cell r="L182">
            <v>243529</v>
          </cell>
          <cell r="M182">
            <v>214266</v>
          </cell>
          <cell r="N182">
            <v>0</v>
          </cell>
          <cell r="O182">
            <v>0</v>
          </cell>
          <cell r="P182">
            <v>0</v>
          </cell>
          <cell r="Q182">
            <v>0</v>
          </cell>
          <cell r="R182">
            <v>0</v>
          </cell>
          <cell r="S182">
            <v>0</v>
          </cell>
          <cell r="T182">
            <v>0</v>
          </cell>
          <cell r="U182">
            <v>0</v>
          </cell>
          <cell r="V182">
            <v>24000</v>
          </cell>
          <cell r="W182">
            <v>194359</v>
          </cell>
          <cell r="X182">
            <v>0</v>
          </cell>
          <cell r="Y182"/>
          <cell r="Z182">
            <v>0</v>
          </cell>
          <cell r="AA182">
            <v>0</v>
          </cell>
          <cell r="AB182">
            <v>0</v>
          </cell>
          <cell r="AC182"/>
          <cell r="AD182">
            <v>0</v>
          </cell>
          <cell r="AE182">
            <v>0</v>
          </cell>
          <cell r="AF182">
            <v>0</v>
          </cell>
          <cell r="AG182">
            <v>0</v>
          </cell>
          <cell r="AH182">
            <v>0</v>
          </cell>
          <cell r="AI182">
            <v>0</v>
          </cell>
          <cell r="AJ182">
            <v>0</v>
          </cell>
          <cell r="AK182">
            <v>0</v>
          </cell>
          <cell r="AL182"/>
          <cell r="AM182">
            <v>0</v>
          </cell>
          <cell r="AN182">
            <v>0</v>
          </cell>
          <cell r="AO182">
            <v>0</v>
          </cell>
          <cell r="AP182">
            <v>0</v>
          </cell>
          <cell r="AQ182">
            <v>0</v>
          </cell>
          <cell r="AR182">
            <v>0</v>
          </cell>
          <cell r="AS182">
            <v>0</v>
          </cell>
          <cell r="AT182">
            <v>0</v>
          </cell>
          <cell r="AU182">
            <v>4740</v>
          </cell>
          <cell r="AV182">
            <v>0</v>
          </cell>
          <cell r="AW182">
            <v>0</v>
          </cell>
          <cell r="AX182">
            <v>0</v>
          </cell>
          <cell r="AY182"/>
          <cell r="AZ182"/>
          <cell r="BA182">
            <v>0</v>
          </cell>
          <cell r="BB182"/>
          <cell r="BC182">
            <v>0</v>
          </cell>
          <cell r="BD182">
            <v>19289</v>
          </cell>
          <cell r="BE182"/>
          <cell r="BF182">
            <v>0</v>
          </cell>
          <cell r="BG182">
            <v>0</v>
          </cell>
          <cell r="BH182">
            <v>0</v>
          </cell>
          <cell r="BI182">
            <v>63114</v>
          </cell>
          <cell r="BJ182">
            <v>51952</v>
          </cell>
          <cell r="BK182">
            <v>51952</v>
          </cell>
          <cell r="BL182">
            <v>0</v>
          </cell>
          <cell r="BM182">
            <v>0</v>
          </cell>
          <cell r="BN182">
            <v>0</v>
          </cell>
          <cell r="BO182">
            <v>215974</v>
          </cell>
          <cell r="BP182">
            <v>25302.400000000001</v>
          </cell>
          <cell r="BQ182">
            <v>45581.395348837199</v>
          </cell>
          <cell r="BR182">
            <v>0</v>
          </cell>
          <cell r="BS182">
            <v>0</v>
          </cell>
          <cell r="BT182">
            <v>86874</v>
          </cell>
          <cell r="BU182"/>
          <cell r="BV182"/>
          <cell r="BW182"/>
          <cell r="BX182"/>
          <cell r="BY182">
            <v>0</v>
          </cell>
          <cell r="BZ182">
            <v>0</v>
          </cell>
          <cell r="CA182">
            <v>0</v>
          </cell>
          <cell r="CB182">
            <v>0</v>
          </cell>
          <cell r="CC182">
            <v>3707169</v>
          </cell>
          <cell r="CD182">
            <v>28437105</v>
          </cell>
          <cell r="CE182">
            <v>4873051</v>
          </cell>
          <cell r="CF182">
            <v>0</v>
          </cell>
          <cell r="CG182">
            <v>4873051</v>
          </cell>
          <cell r="CH182">
            <v>4873051</v>
          </cell>
          <cell r="CI182">
            <v>4873051</v>
          </cell>
          <cell r="CJ182">
            <v>4873051</v>
          </cell>
          <cell r="CK182">
            <v>0</v>
          </cell>
          <cell r="CL182">
            <v>0</v>
          </cell>
          <cell r="CM182">
            <v>0</v>
          </cell>
          <cell r="CN182">
            <v>0</v>
          </cell>
          <cell r="CO182">
            <v>0</v>
          </cell>
          <cell r="CP182">
            <v>-3148</v>
          </cell>
          <cell r="CQ182">
            <v>4253790</v>
          </cell>
          <cell r="CR182">
            <v>4141131</v>
          </cell>
          <cell r="CS182">
            <v>4114769</v>
          </cell>
          <cell r="CT182">
            <v>4106110</v>
          </cell>
          <cell r="CU182">
            <v>4083711</v>
          </cell>
          <cell r="CV182">
            <v>56168</v>
          </cell>
          <cell r="CW182">
            <v>0</v>
          </cell>
          <cell r="CX182">
            <v>0</v>
          </cell>
          <cell r="CY182">
            <v>0</v>
          </cell>
          <cell r="CZ182">
            <v>0</v>
          </cell>
          <cell r="DA182">
            <v>0</v>
          </cell>
          <cell r="DB182"/>
          <cell r="DC182">
            <v>0</v>
          </cell>
          <cell r="DD182">
            <v>0</v>
          </cell>
          <cell r="DE182">
            <v>0</v>
          </cell>
          <cell r="DF182">
            <v>0</v>
          </cell>
          <cell r="DG182">
            <v>0</v>
          </cell>
          <cell r="DH182">
            <v>0</v>
          </cell>
          <cell r="DI182">
            <v>0</v>
          </cell>
          <cell r="DJ182">
            <v>0</v>
          </cell>
          <cell r="DK182">
            <v>0</v>
          </cell>
          <cell r="DL182">
            <v>0</v>
          </cell>
          <cell r="DM182"/>
          <cell r="DN182"/>
          <cell r="DO182"/>
          <cell r="DP182"/>
        </row>
        <row r="183">
          <cell r="A183">
            <v>399</v>
          </cell>
          <cell r="B183" t="str">
            <v>Heiloo</v>
          </cell>
          <cell r="C183">
            <v>7</v>
          </cell>
          <cell r="D183">
            <v>-67674</v>
          </cell>
          <cell r="E183">
            <v>-33837</v>
          </cell>
          <cell r="F183">
            <v>0</v>
          </cell>
          <cell r="G183">
            <v>0</v>
          </cell>
          <cell r="H183">
            <v>-10585</v>
          </cell>
          <cell r="I183">
            <v>-7461</v>
          </cell>
          <cell r="J183"/>
          <cell r="K183">
            <v>0</v>
          </cell>
          <cell r="L183">
            <v>53401</v>
          </cell>
          <cell r="M183">
            <v>43996</v>
          </cell>
          <cell r="N183">
            <v>0</v>
          </cell>
          <cell r="O183">
            <v>0</v>
          </cell>
          <cell r="P183">
            <v>0</v>
          </cell>
          <cell r="Q183">
            <v>0</v>
          </cell>
          <cell r="R183">
            <v>0</v>
          </cell>
          <cell r="S183">
            <v>0</v>
          </cell>
          <cell r="T183">
            <v>0</v>
          </cell>
          <cell r="U183">
            <v>0</v>
          </cell>
          <cell r="V183">
            <v>6000</v>
          </cell>
          <cell r="W183">
            <v>65056</v>
          </cell>
          <cell r="X183">
            <v>0</v>
          </cell>
          <cell r="Y183"/>
          <cell r="Z183">
            <v>0</v>
          </cell>
          <cell r="AA183">
            <v>0</v>
          </cell>
          <cell r="AB183">
            <v>0</v>
          </cell>
          <cell r="AC183"/>
          <cell r="AD183">
            <v>0</v>
          </cell>
          <cell r="AE183">
            <v>0</v>
          </cell>
          <cell r="AF183">
            <v>0</v>
          </cell>
          <cell r="AG183">
            <v>0</v>
          </cell>
          <cell r="AH183">
            <v>0</v>
          </cell>
          <cell r="AI183">
            <v>0</v>
          </cell>
          <cell r="AJ183">
            <v>0</v>
          </cell>
          <cell r="AK183">
            <v>0</v>
          </cell>
          <cell r="AL183"/>
          <cell r="AM183">
            <v>0</v>
          </cell>
          <cell r="AN183">
            <v>0</v>
          </cell>
          <cell r="AO183">
            <v>0</v>
          </cell>
          <cell r="AP183">
            <v>0</v>
          </cell>
          <cell r="AQ183">
            <v>0</v>
          </cell>
          <cell r="AR183">
            <v>0</v>
          </cell>
          <cell r="AS183">
            <v>0</v>
          </cell>
          <cell r="AT183">
            <v>0</v>
          </cell>
          <cell r="AU183">
            <v>0</v>
          </cell>
          <cell r="AV183">
            <v>0</v>
          </cell>
          <cell r="AW183">
            <v>0</v>
          </cell>
          <cell r="AX183">
            <v>0</v>
          </cell>
          <cell r="AY183"/>
          <cell r="AZ183"/>
          <cell r="BA183">
            <v>0</v>
          </cell>
          <cell r="BB183"/>
          <cell r="BC183">
            <v>0</v>
          </cell>
          <cell r="BD183">
            <v>8024</v>
          </cell>
          <cell r="BE183"/>
          <cell r="BF183">
            <v>0</v>
          </cell>
          <cell r="BG183">
            <v>0</v>
          </cell>
          <cell r="BH183">
            <v>0</v>
          </cell>
          <cell r="BI183">
            <v>23827</v>
          </cell>
          <cell r="BJ183">
            <v>19613</v>
          </cell>
          <cell r="BK183">
            <v>19613</v>
          </cell>
          <cell r="BL183">
            <v>0</v>
          </cell>
          <cell r="BM183">
            <v>0</v>
          </cell>
          <cell r="BN183">
            <v>0</v>
          </cell>
          <cell r="BO183">
            <v>10215</v>
          </cell>
          <cell r="BP183">
            <v>1581.4</v>
          </cell>
          <cell r="BQ183">
            <v>2848.8372093023299</v>
          </cell>
          <cell r="BR183">
            <v>0</v>
          </cell>
          <cell r="BS183">
            <v>0</v>
          </cell>
          <cell r="BT183">
            <v>31884</v>
          </cell>
          <cell r="BU183"/>
          <cell r="BV183"/>
          <cell r="BW183"/>
          <cell r="BX183"/>
          <cell r="BY183">
            <v>0</v>
          </cell>
          <cell r="BZ183">
            <v>0</v>
          </cell>
          <cell r="CA183">
            <v>0</v>
          </cell>
          <cell r="CB183">
            <v>0</v>
          </cell>
          <cell r="CC183">
            <v>1748563</v>
          </cell>
          <cell r="CD183">
            <v>7079573</v>
          </cell>
          <cell r="CE183">
            <v>337457</v>
          </cell>
          <cell r="CF183">
            <v>-9158</v>
          </cell>
          <cell r="CG183">
            <v>337457</v>
          </cell>
          <cell r="CH183">
            <v>337457</v>
          </cell>
          <cell r="CI183">
            <v>337457</v>
          </cell>
          <cell r="CJ183">
            <v>337457</v>
          </cell>
          <cell r="CK183">
            <v>0</v>
          </cell>
          <cell r="CL183">
            <v>0</v>
          </cell>
          <cell r="CM183">
            <v>0</v>
          </cell>
          <cell r="CN183">
            <v>0</v>
          </cell>
          <cell r="CO183">
            <v>0</v>
          </cell>
          <cell r="CP183">
            <v>-1337</v>
          </cell>
          <cell r="CQ183">
            <v>1131603</v>
          </cell>
          <cell r="CR183">
            <v>1103245</v>
          </cell>
          <cell r="CS183">
            <v>1089572</v>
          </cell>
          <cell r="CT183">
            <v>1062251</v>
          </cell>
          <cell r="CU183">
            <v>1075348</v>
          </cell>
          <cell r="CV183">
            <v>12380</v>
          </cell>
          <cell r="CW183">
            <v>0</v>
          </cell>
          <cell r="CX183">
            <v>0</v>
          </cell>
          <cell r="CY183">
            <v>0</v>
          </cell>
          <cell r="CZ183">
            <v>0</v>
          </cell>
          <cell r="DA183">
            <v>0</v>
          </cell>
          <cell r="DB183"/>
          <cell r="DC183">
            <v>0</v>
          </cell>
          <cell r="DD183">
            <v>0</v>
          </cell>
          <cell r="DE183">
            <v>0</v>
          </cell>
          <cell r="DF183">
            <v>0</v>
          </cell>
          <cell r="DG183">
            <v>0</v>
          </cell>
          <cell r="DH183">
            <v>0</v>
          </cell>
          <cell r="DI183">
            <v>0</v>
          </cell>
          <cell r="DJ183">
            <v>0</v>
          </cell>
          <cell r="DK183">
            <v>0</v>
          </cell>
          <cell r="DL183">
            <v>0</v>
          </cell>
          <cell r="DM183"/>
          <cell r="DN183"/>
          <cell r="DO183"/>
          <cell r="DP183"/>
        </row>
        <row r="184">
          <cell r="A184">
            <v>402</v>
          </cell>
          <cell r="B184" t="str">
            <v>Hilversum</v>
          </cell>
          <cell r="C184">
            <v>7</v>
          </cell>
          <cell r="D184">
            <v>20700</v>
          </cell>
          <cell r="E184">
            <v>10350</v>
          </cell>
          <cell r="F184">
            <v>0</v>
          </cell>
          <cell r="G184">
            <v>0</v>
          </cell>
          <cell r="H184">
            <v>-38912</v>
          </cell>
          <cell r="I184">
            <v>-37504</v>
          </cell>
          <cell r="J184"/>
          <cell r="K184">
            <v>7500</v>
          </cell>
          <cell r="L184">
            <v>402499</v>
          </cell>
          <cell r="M184">
            <v>398963</v>
          </cell>
          <cell r="N184">
            <v>0</v>
          </cell>
          <cell r="O184">
            <v>0</v>
          </cell>
          <cell r="P184">
            <v>0</v>
          </cell>
          <cell r="Q184">
            <v>0</v>
          </cell>
          <cell r="R184">
            <v>0</v>
          </cell>
          <cell r="S184">
            <v>0</v>
          </cell>
          <cell r="T184">
            <v>0</v>
          </cell>
          <cell r="U184">
            <v>0</v>
          </cell>
          <cell r="V184">
            <v>15000</v>
          </cell>
          <cell r="W184">
            <v>136981</v>
          </cell>
          <cell r="X184">
            <v>0</v>
          </cell>
          <cell r="Y184"/>
          <cell r="Z184">
            <v>0</v>
          </cell>
          <cell r="AA184">
            <v>0</v>
          </cell>
          <cell r="AB184">
            <v>0</v>
          </cell>
          <cell r="AC184"/>
          <cell r="AD184">
            <v>19556</v>
          </cell>
          <cell r="AE184">
            <v>0</v>
          </cell>
          <cell r="AF184">
            <v>0</v>
          </cell>
          <cell r="AG184">
            <v>0</v>
          </cell>
          <cell r="AH184">
            <v>0</v>
          </cell>
          <cell r="AI184">
            <v>0</v>
          </cell>
          <cell r="AJ184">
            <v>0</v>
          </cell>
          <cell r="AK184">
            <v>0</v>
          </cell>
          <cell r="AL184"/>
          <cell r="AM184">
            <v>0</v>
          </cell>
          <cell r="AN184">
            <v>0</v>
          </cell>
          <cell r="AO184">
            <v>0</v>
          </cell>
          <cell r="AP184">
            <v>0</v>
          </cell>
          <cell r="AQ184">
            <v>0</v>
          </cell>
          <cell r="AR184">
            <v>0</v>
          </cell>
          <cell r="AS184">
            <v>0</v>
          </cell>
          <cell r="AT184">
            <v>0</v>
          </cell>
          <cell r="AU184">
            <v>4740</v>
          </cell>
          <cell r="AV184">
            <v>2532362.4222930102</v>
          </cell>
          <cell r="AW184">
            <v>113745</v>
          </cell>
          <cell r="AX184">
            <v>0</v>
          </cell>
          <cell r="AY184"/>
          <cell r="AZ184"/>
          <cell r="BA184">
            <v>0</v>
          </cell>
          <cell r="BB184"/>
          <cell r="BC184">
            <v>0</v>
          </cell>
          <cell r="BD184">
            <v>31203</v>
          </cell>
          <cell r="BE184"/>
          <cell r="BF184">
            <v>0</v>
          </cell>
          <cell r="BG184">
            <v>0</v>
          </cell>
          <cell r="BH184">
            <v>0</v>
          </cell>
          <cell r="BI184">
            <v>160563</v>
          </cell>
          <cell r="BJ184">
            <v>132167</v>
          </cell>
          <cell r="BK184">
            <v>132167</v>
          </cell>
          <cell r="BL184">
            <v>0</v>
          </cell>
          <cell r="BM184">
            <v>0</v>
          </cell>
          <cell r="BN184">
            <v>98560</v>
          </cell>
          <cell r="BO184">
            <v>71991</v>
          </cell>
          <cell r="BP184">
            <v>34790.800000000003</v>
          </cell>
          <cell r="BQ184">
            <v>62674.418604651197</v>
          </cell>
          <cell r="BR184">
            <v>0</v>
          </cell>
          <cell r="BS184">
            <v>0</v>
          </cell>
          <cell r="BT184">
            <v>139915</v>
          </cell>
          <cell r="BU184"/>
          <cell r="BV184"/>
          <cell r="BW184"/>
          <cell r="BX184"/>
          <cell r="BY184">
            <v>1730009.7167111801</v>
          </cell>
          <cell r="BZ184">
            <v>2005485.33035862</v>
          </cell>
          <cell r="CA184">
            <v>2029018.42298176</v>
          </cell>
          <cell r="CB184">
            <v>2095464.8021530099</v>
          </cell>
          <cell r="CC184">
            <v>6480401</v>
          </cell>
          <cell r="CD184">
            <v>50541501</v>
          </cell>
          <cell r="CE184">
            <v>2228541</v>
          </cell>
          <cell r="CF184">
            <v>-89917</v>
          </cell>
          <cell r="CG184">
            <v>2228541</v>
          </cell>
          <cell r="CH184">
            <v>2228541</v>
          </cell>
          <cell r="CI184">
            <v>2228541</v>
          </cell>
          <cell r="CJ184">
            <v>2228541</v>
          </cell>
          <cell r="CK184">
            <v>15956896</v>
          </cell>
          <cell r="CL184">
            <v>15948947</v>
          </cell>
          <cell r="CM184">
            <v>15948818</v>
          </cell>
          <cell r="CN184">
            <v>15948536</v>
          </cell>
          <cell r="CO184">
            <v>15948928</v>
          </cell>
          <cell r="CP184">
            <v>0</v>
          </cell>
          <cell r="CQ184">
            <v>7402611</v>
          </cell>
          <cell r="CR184">
            <v>7029092</v>
          </cell>
          <cell r="CS184">
            <v>6834420</v>
          </cell>
          <cell r="CT184">
            <v>6626339</v>
          </cell>
          <cell r="CU184">
            <v>6460565</v>
          </cell>
          <cell r="CV184">
            <v>-136302</v>
          </cell>
          <cell r="CW184">
            <v>0</v>
          </cell>
          <cell r="CX184">
            <v>0</v>
          </cell>
          <cell r="CY184">
            <v>0</v>
          </cell>
          <cell r="CZ184">
            <v>0</v>
          </cell>
          <cell r="DA184">
            <v>0</v>
          </cell>
          <cell r="DB184"/>
          <cell r="DC184">
            <v>0</v>
          </cell>
          <cell r="DD184">
            <v>0</v>
          </cell>
          <cell r="DE184">
            <v>0</v>
          </cell>
          <cell r="DF184">
            <v>0</v>
          </cell>
          <cell r="DG184">
            <v>0</v>
          </cell>
          <cell r="DH184">
            <v>0</v>
          </cell>
          <cell r="DI184">
            <v>0</v>
          </cell>
          <cell r="DJ184">
            <v>0</v>
          </cell>
          <cell r="DK184">
            <v>0</v>
          </cell>
          <cell r="DL184">
            <v>0</v>
          </cell>
          <cell r="DM184"/>
          <cell r="DN184"/>
          <cell r="DO184"/>
          <cell r="DP184"/>
        </row>
        <row r="185">
          <cell r="A185">
            <v>1911</v>
          </cell>
          <cell r="B185" t="str">
            <v>Hollands Kroon</v>
          </cell>
          <cell r="C185">
            <v>7</v>
          </cell>
          <cell r="D185">
            <v>17470</v>
          </cell>
          <cell r="E185">
            <v>8735</v>
          </cell>
          <cell r="F185">
            <v>0</v>
          </cell>
          <cell r="G185">
            <v>99989</v>
          </cell>
          <cell r="H185">
            <v>-57727</v>
          </cell>
          <cell r="I185">
            <v>-40387</v>
          </cell>
          <cell r="J185"/>
          <cell r="K185">
            <v>0</v>
          </cell>
          <cell r="L185">
            <v>181333</v>
          </cell>
          <cell r="M185">
            <v>170318</v>
          </cell>
          <cell r="N185">
            <v>0</v>
          </cell>
          <cell r="O185">
            <v>0</v>
          </cell>
          <cell r="P185">
            <v>0</v>
          </cell>
          <cell r="Q185">
            <v>0</v>
          </cell>
          <cell r="R185">
            <v>0</v>
          </cell>
          <cell r="S185">
            <v>0</v>
          </cell>
          <cell r="T185">
            <v>0</v>
          </cell>
          <cell r="U185">
            <v>0</v>
          </cell>
          <cell r="V185">
            <v>17500</v>
          </cell>
          <cell r="W185">
            <v>201570</v>
          </cell>
          <cell r="X185">
            <v>0</v>
          </cell>
          <cell r="Y185"/>
          <cell r="Z185">
            <v>0</v>
          </cell>
          <cell r="AA185">
            <v>0</v>
          </cell>
          <cell r="AB185">
            <v>0</v>
          </cell>
          <cell r="AC185"/>
          <cell r="AD185">
            <v>0</v>
          </cell>
          <cell r="AE185">
            <v>0</v>
          </cell>
          <cell r="AF185">
            <v>0</v>
          </cell>
          <cell r="AG185">
            <v>0</v>
          </cell>
          <cell r="AH185">
            <v>0</v>
          </cell>
          <cell r="AI185">
            <v>0</v>
          </cell>
          <cell r="AJ185">
            <v>0</v>
          </cell>
          <cell r="AK185">
            <v>0</v>
          </cell>
          <cell r="AL185"/>
          <cell r="AM185">
            <v>47462</v>
          </cell>
          <cell r="AN185">
            <v>48553</v>
          </cell>
          <cell r="AO185">
            <v>49670</v>
          </cell>
          <cell r="AP185">
            <v>50812</v>
          </cell>
          <cell r="AQ185">
            <v>51981</v>
          </cell>
          <cell r="AR185">
            <v>53177</v>
          </cell>
          <cell r="AS185">
            <v>0</v>
          </cell>
          <cell r="AT185">
            <v>0</v>
          </cell>
          <cell r="AU185">
            <v>4740</v>
          </cell>
          <cell r="AV185">
            <v>0</v>
          </cell>
          <cell r="AW185">
            <v>0</v>
          </cell>
          <cell r="AX185">
            <v>0</v>
          </cell>
          <cell r="AY185"/>
          <cell r="AZ185"/>
          <cell r="BA185">
            <v>0</v>
          </cell>
          <cell r="BB185"/>
          <cell r="BC185">
            <v>0</v>
          </cell>
          <cell r="BD185">
            <v>16709</v>
          </cell>
          <cell r="BE185"/>
          <cell r="BF185">
            <v>0</v>
          </cell>
          <cell r="BG185">
            <v>0</v>
          </cell>
          <cell r="BH185">
            <v>0</v>
          </cell>
          <cell r="BI185">
            <v>62828</v>
          </cell>
          <cell r="BJ185">
            <v>51717</v>
          </cell>
          <cell r="BK185">
            <v>51717</v>
          </cell>
          <cell r="BL185">
            <v>0</v>
          </cell>
          <cell r="BM185">
            <v>0</v>
          </cell>
          <cell r="BN185">
            <v>0</v>
          </cell>
          <cell r="BO185">
            <v>489346</v>
          </cell>
          <cell r="BP185">
            <v>14232.6</v>
          </cell>
          <cell r="BQ185">
            <v>25639.534883720899</v>
          </cell>
          <cell r="BR185">
            <v>0</v>
          </cell>
          <cell r="BS185">
            <v>0</v>
          </cell>
          <cell r="BT185">
            <v>92437</v>
          </cell>
          <cell r="BU185"/>
          <cell r="BV185"/>
          <cell r="BW185"/>
          <cell r="BX185"/>
          <cell r="BY185">
            <v>0</v>
          </cell>
          <cell r="BZ185">
            <v>0</v>
          </cell>
          <cell r="CA185">
            <v>0</v>
          </cell>
          <cell r="CB185">
            <v>0</v>
          </cell>
          <cell r="CC185">
            <v>3197547</v>
          </cell>
          <cell r="CD185">
            <v>17747718</v>
          </cell>
          <cell r="CE185">
            <v>1308289</v>
          </cell>
          <cell r="CF185">
            <v>-57658</v>
          </cell>
          <cell r="CG185">
            <v>1308289</v>
          </cell>
          <cell r="CH185">
            <v>1308289</v>
          </cell>
          <cell r="CI185">
            <v>1308289</v>
          </cell>
          <cell r="CJ185">
            <v>1308289</v>
          </cell>
          <cell r="CK185">
            <v>0</v>
          </cell>
          <cell r="CL185">
            <v>0</v>
          </cell>
          <cell r="CM185">
            <v>0</v>
          </cell>
          <cell r="CN185">
            <v>0</v>
          </cell>
          <cell r="CO185">
            <v>0</v>
          </cell>
          <cell r="CP185">
            <v>-5962</v>
          </cell>
          <cell r="CQ185">
            <v>3105127</v>
          </cell>
          <cell r="CR185">
            <v>3005863</v>
          </cell>
          <cell r="CS185">
            <v>2930929</v>
          </cell>
          <cell r="CT185">
            <v>2878359</v>
          </cell>
          <cell r="CU185">
            <v>2836750</v>
          </cell>
          <cell r="CV185">
            <v>-17990</v>
          </cell>
          <cell r="CW185">
            <v>0</v>
          </cell>
          <cell r="CX185">
            <v>0</v>
          </cell>
          <cell r="CY185">
            <v>0</v>
          </cell>
          <cell r="CZ185">
            <v>0</v>
          </cell>
          <cell r="DA185">
            <v>0</v>
          </cell>
          <cell r="DB185"/>
          <cell r="DC185">
            <v>0</v>
          </cell>
          <cell r="DD185">
            <v>0</v>
          </cell>
          <cell r="DE185">
            <v>0</v>
          </cell>
          <cell r="DF185">
            <v>0</v>
          </cell>
          <cell r="DG185">
            <v>0</v>
          </cell>
          <cell r="DH185">
            <v>0</v>
          </cell>
          <cell r="DI185">
            <v>0</v>
          </cell>
          <cell r="DJ185">
            <v>0</v>
          </cell>
          <cell r="DK185">
            <v>0</v>
          </cell>
          <cell r="DL185">
            <v>0</v>
          </cell>
          <cell r="DM185"/>
          <cell r="DN185"/>
          <cell r="DO185"/>
          <cell r="DP185"/>
        </row>
        <row r="186">
          <cell r="A186">
            <v>405</v>
          </cell>
          <cell r="B186" t="str">
            <v>Hoorn</v>
          </cell>
          <cell r="C186">
            <v>7</v>
          </cell>
          <cell r="D186">
            <v>14494</v>
          </cell>
          <cell r="E186">
            <v>7247</v>
          </cell>
          <cell r="F186">
            <v>0</v>
          </cell>
          <cell r="G186">
            <v>0</v>
          </cell>
          <cell r="H186">
            <v>-70246</v>
          </cell>
          <cell r="I186">
            <v>-44675</v>
          </cell>
          <cell r="J186"/>
          <cell r="K186">
            <v>0</v>
          </cell>
          <cell r="L186">
            <v>415033</v>
          </cell>
          <cell r="M186">
            <v>407938</v>
          </cell>
          <cell r="N186">
            <v>0</v>
          </cell>
          <cell r="O186">
            <v>0</v>
          </cell>
          <cell r="P186">
            <v>0</v>
          </cell>
          <cell r="Q186">
            <v>0</v>
          </cell>
          <cell r="R186">
            <v>0</v>
          </cell>
          <cell r="S186">
            <v>0</v>
          </cell>
          <cell r="T186">
            <v>0</v>
          </cell>
          <cell r="U186">
            <v>0</v>
          </cell>
          <cell r="V186">
            <v>36000</v>
          </cell>
          <cell r="W186">
            <v>280488</v>
          </cell>
          <cell r="X186">
            <v>0</v>
          </cell>
          <cell r="Y186"/>
          <cell r="Z186">
            <v>0</v>
          </cell>
          <cell r="AA186">
            <v>0</v>
          </cell>
          <cell r="AB186">
            <v>0</v>
          </cell>
          <cell r="AC186"/>
          <cell r="AD186">
            <v>39112</v>
          </cell>
          <cell r="AE186">
            <v>0</v>
          </cell>
          <cell r="AF186">
            <v>0</v>
          </cell>
          <cell r="AG186">
            <v>0</v>
          </cell>
          <cell r="AH186">
            <v>0</v>
          </cell>
          <cell r="AI186">
            <v>0</v>
          </cell>
          <cell r="AJ186">
            <v>0</v>
          </cell>
          <cell r="AK186">
            <v>0</v>
          </cell>
          <cell r="AL186"/>
          <cell r="AM186">
            <v>12683</v>
          </cell>
          <cell r="AN186">
            <v>12975</v>
          </cell>
          <cell r="AO186">
            <v>13273</v>
          </cell>
          <cell r="AP186">
            <v>13578</v>
          </cell>
          <cell r="AQ186">
            <v>13891</v>
          </cell>
          <cell r="AR186">
            <v>14210</v>
          </cell>
          <cell r="AS186">
            <v>0</v>
          </cell>
          <cell r="AT186">
            <v>20000</v>
          </cell>
          <cell r="AU186">
            <v>9480</v>
          </cell>
          <cell r="AV186">
            <v>2321655.0755222701</v>
          </cell>
          <cell r="AW186">
            <v>0</v>
          </cell>
          <cell r="AX186">
            <v>0</v>
          </cell>
          <cell r="AY186"/>
          <cell r="AZ186"/>
          <cell r="BA186">
            <v>0</v>
          </cell>
          <cell r="BB186"/>
          <cell r="BC186">
            <v>0</v>
          </cell>
          <cell r="BD186">
            <v>25448</v>
          </cell>
          <cell r="BE186"/>
          <cell r="BF186">
            <v>0</v>
          </cell>
          <cell r="BG186">
            <v>0</v>
          </cell>
          <cell r="BH186">
            <v>0</v>
          </cell>
          <cell r="BI186">
            <v>123292</v>
          </cell>
          <cell r="BJ186">
            <v>101488</v>
          </cell>
          <cell r="BK186">
            <v>101488</v>
          </cell>
          <cell r="BL186">
            <v>0</v>
          </cell>
          <cell r="BM186">
            <v>0</v>
          </cell>
          <cell r="BN186">
            <v>0</v>
          </cell>
          <cell r="BO186">
            <v>104582</v>
          </cell>
          <cell r="BP186">
            <v>39535</v>
          </cell>
          <cell r="BQ186">
            <v>71220.930232558094</v>
          </cell>
          <cell r="BR186">
            <v>0</v>
          </cell>
          <cell r="BS186">
            <v>0</v>
          </cell>
          <cell r="BT186">
            <v>115541</v>
          </cell>
          <cell r="BU186"/>
          <cell r="BV186"/>
          <cell r="BW186"/>
          <cell r="BX186"/>
          <cell r="BY186">
            <v>0</v>
          </cell>
          <cell r="BZ186">
            <v>0</v>
          </cell>
          <cell r="CA186">
            <v>0</v>
          </cell>
          <cell r="CB186">
            <v>0</v>
          </cell>
          <cell r="CC186">
            <v>5203660</v>
          </cell>
          <cell r="CD186">
            <v>48379262</v>
          </cell>
          <cell r="CE186">
            <v>1985456</v>
          </cell>
          <cell r="CF186">
            <v>-107755</v>
          </cell>
          <cell r="CG186">
            <v>1985456</v>
          </cell>
          <cell r="CH186">
            <v>1985456</v>
          </cell>
          <cell r="CI186">
            <v>1985456</v>
          </cell>
          <cell r="CJ186">
            <v>1985456</v>
          </cell>
          <cell r="CK186">
            <v>11513686</v>
          </cell>
          <cell r="CL186">
            <v>11507907</v>
          </cell>
          <cell r="CM186">
            <v>11507814</v>
          </cell>
          <cell r="CN186">
            <v>11507608</v>
          </cell>
          <cell r="CO186">
            <v>11507893</v>
          </cell>
          <cell r="CP186">
            <v>0</v>
          </cell>
          <cell r="CQ186">
            <v>6130239</v>
          </cell>
          <cell r="CR186">
            <v>5983182</v>
          </cell>
          <cell r="CS186">
            <v>5921913</v>
          </cell>
          <cell r="CT186">
            <v>5887717</v>
          </cell>
          <cell r="CU186">
            <v>5816961</v>
          </cell>
          <cell r="CV186">
            <v>-39108</v>
          </cell>
          <cell r="CW186">
            <v>0</v>
          </cell>
          <cell r="CX186">
            <v>0</v>
          </cell>
          <cell r="CY186">
            <v>0</v>
          </cell>
          <cell r="CZ186">
            <v>0</v>
          </cell>
          <cell r="DA186">
            <v>0</v>
          </cell>
          <cell r="DB186"/>
          <cell r="DC186">
            <v>0</v>
          </cell>
          <cell r="DD186">
            <v>0</v>
          </cell>
          <cell r="DE186">
            <v>0</v>
          </cell>
          <cell r="DF186">
            <v>0</v>
          </cell>
          <cell r="DG186">
            <v>0</v>
          </cell>
          <cell r="DH186">
            <v>0</v>
          </cell>
          <cell r="DI186">
            <v>0</v>
          </cell>
          <cell r="DJ186">
            <v>0</v>
          </cell>
          <cell r="DK186">
            <v>0</v>
          </cell>
          <cell r="DL186">
            <v>0</v>
          </cell>
          <cell r="DM186"/>
          <cell r="DN186"/>
          <cell r="DO186"/>
          <cell r="DP186"/>
        </row>
        <row r="187">
          <cell r="A187">
            <v>406</v>
          </cell>
          <cell r="B187" t="str">
            <v>Huizen</v>
          </cell>
          <cell r="C187">
            <v>7</v>
          </cell>
          <cell r="D187">
            <v>-145659</v>
          </cell>
          <cell r="E187">
            <v>-72829</v>
          </cell>
          <cell r="F187">
            <v>0</v>
          </cell>
          <cell r="G187">
            <v>0</v>
          </cell>
          <cell r="H187">
            <v>0</v>
          </cell>
          <cell r="I187">
            <v>-5926</v>
          </cell>
          <cell r="J187"/>
          <cell r="K187">
            <v>0</v>
          </cell>
          <cell r="L187">
            <v>164382</v>
          </cell>
          <cell r="M187">
            <v>152343</v>
          </cell>
          <cell r="N187">
            <v>0</v>
          </cell>
          <cell r="O187">
            <v>0</v>
          </cell>
          <cell r="P187">
            <v>0</v>
          </cell>
          <cell r="Q187">
            <v>0</v>
          </cell>
          <cell r="R187">
            <v>0</v>
          </cell>
          <cell r="S187">
            <v>0</v>
          </cell>
          <cell r="T187">
            <v>0</v>
          </cell>
          <cell r="U187">
            <v>0</v>
          </cell>
          <cell r="V187">
            <v>3000</v>
          </cell>
          <cell r="W187">
            <v>173385</v>
          </cell>
          <cell r="X187">
            <v>0</v>
          </cell>
          <cell r="Y187"/>
          <cell r="Z187">
            <v>0</v>
          </cell>
          <cell r="AA187">
            <v>0</v>
          </cell>
          <cell r="AB187">
            <v>0</v>
          </cell>
          <cell r="AC187"/>
          <cell r="AD187">
            <v>0</v>
          </cell>
          <cell r="AE187">
            <v>0</v>
          </cell>
          <cell r="AF187">
            <v>0</v>
          </cell>
          <cell r="AG187">
            <v>0</v>
          </cell>
          <cell r="AH187">
            <v>0</v>
          </cell>
          <cell r="AI187">
            <v>0</v>
          </cell>
          <cell r="AJ187">
            <v>0</v>
          </cell>
          <cell r="AK187">
            <v>0</v>
          </cell>
          <cell r="AL187"/>
          <cell r="AM187">
            <v>0</v>
          </cell>
          <cell r="AN187">
            <v>0</v>
          </cell>
          <cell r="AO187">
            <v>0</v>
          </cell>
          <cell r="AP187">
            <v>0</v>
          </cell>
          <cell r="AQ187">
            <v>0</v>
          </cell>
          <cell r="AR187">
            <v>0</v>
          </cell>
          <cell r="AS187">
            <v>0</v>
          </cell>
          <cell r="AT187">
            <v>0</v>
          </cell>
          <cell r="AU187">
            <v>2370</v>
          </cell>
          <cell r="AV187">
            <v>0</v>
          </cell>
          <cell r="AW187">
            <v>0</v>
          </cell>
          <cell r="AX187">
            <v>0</v>
          </cell>
          <cell r="AY187"/>
          <cell r="AZ187"/>
          <cell r="BA187">
            <v>0</v>
          </cell>
          <cell r="BB187"/>
          <cell r="BC187">
            <v>0</v>
          </cell>
          <cell r="BD187">
            <v>14527</v>
          </cell>
          <cell r="BE187"/>
          <cell r="BF187">
            <v>0</v>
          </cell>
          <cell r="BG187">
            <v>0</v>
          </cell>
          <cell r="BH187">
            <v>0</v>
          </cell>
          <cell r="BI187">
            <v>56185</v>
          </cell>
          <cell r="BJ187">
            <v>46249</v>
          </cell>
          <cell r="BK187">
            <v>46249</v>
          </cell>
          <cell r="BL187">
            <v>0</v>
          </cell>
          <cell r="BM187">
            <v>0</v>
          </cell>
          <cell r="BN187">
            <v>0</v>
          </cell>
          <cell r="BO187">
            <v>25781</v>
          </cell>
          <cell r="BP187">
            <v>20558.2</v>
          </cell>
          <cell r="BQ187">
            <v>37034.8837209302</v>
          </cell>
          <cell r="BR187">
            <v>134000</v>
          </cell>
          <cell r="BS187">
            <v>0</v>
          </cell>
          <cell r="BT187">
            <v>64557</v>
          </cell>
          <cell r="BU187"/>
          <cell r="BV187"/>
          <cell r="BW187"/>
          <cell r="BX187"/>
          <cell r="BY187">
            <v>0</v>
          </cell>
          <cell r="BZ187">
            <v>0</v>
          </cell>
          <cell r="CA187">
            <v>0</v>
          </cell>
          <cell r="CB187">
            <v>0</v>
          </cell>
          <cell r="CC187">
            <v>2951861</v>
          </cell>
          <cell r="CD187">
            <v>14737365</v>
          </cell>
          <cell r="CE187">
            <v>1040597</v>
          </cell>
          <cell r="CF187">
            <v>-14304</v>
          </cell>
          <cell r="CG187">
            <v>1040597</v>
          </cell>
          <cell r="CH187">
            <v>1040597</v>
          </cell>
          <cell r="CI187">
            <v>1040597</v>
          </cell>
          <cell r="CJ187">
            <v>1040597</v>
          </cell>
          <cell r="CK187">
            <v>0</v>
          </cell>
          <cell r="CL187">
            <v>0</v>
          </cell>
          <cell r="CM187">
            <v>0</v>
          </cell>
          <cell r="CN187">
            <v>0</v>
          </cell>
          <cell r="CO187">
            <v>0</v>
          </cell>
          <cell r="CP187">
            <v>0</v>
          </cell>
          <cell r="CQ187">
            <v>2001179</v>
          </cell>
          <cell r="CR187">
            <v>1944169</v>
          </cell>
          <cell r="CS187">
            <v>1902947</v>
          </cell>
          <cell r="CT187">
            <v>1844598</v>
          </cell>
          <cell r="CU187">
            <v>1797470</v>
          </cell>
          <cell r="CV187">
            <v>-6862</v>
          </cell>
          <cell r="CW187">
            <v>0</v>
          </cell>
          <cell r="CX187">
            <v>0</v>
          </cell>
          <cell r="CY187">
            <v>0</v>
          </cell>
          <cell r="CZ187">
            <v>0</v>
          </cell>
          <cell r="DA187">
            <v>0</v>
          </cell>
          <cell r="DB187"/>
          <cell r="DC187">
            <v>0</v>
          </cell>
          <cell r="DD187">
            <v>0</v>
          </cell>
          <cell r="DE187">
            <v>0</v>
          </cell>
          <cell r="DF187">
            <v>0</v>
          </cell>
          <cell r="DG187">
            <v>0</v>
          </cell>
          <cell r="DH187">
            <v>0</v>
          </cell>
          <cell r="DI187">
            <v>0</v>
          </cell>
          <cell r="DJ187">
            <v>0</v>
          </cell>
          <cell r="DK187">
            <v>0</v>
          </cell>
          <cell r="DL187">
            <v>0</v>
          </cell>
          <cell r="DM187"/>
          <cell r="DN187"/>
          <cell r="DO187"/>
          <cell r="DP187"/>
        </row>
        <row r="188">
          <cell r="A188">
            <v>1598</v>
          </cell>
          <cell r="B188" t="str">
            <v>Koggenland</v>
          </cell>
          <cell r="C188">
            <v>7</v>
          </cell>
          <cell r="D188">
            <v>-53978</v>
          </cell>
          <cell r="E188">
            <v>-26989</v>
          </cell>
          <cell r="F188">
            <v>0</v>
          </cell>
          <cell r="G188">
            <v>0</v>
          </cell>
          <cell r="H188">
            <v>-2614</v>
          </cell>
          <cell r="I188">
            <v>-458</v>
          </cell>
          <cell r="J188"/>
          <cell r="K188">
            <v>0</v>
          </cell>
          <cell r="L188">
            <v>71168</v>
          </cell>
          <cell r="M188">
            <v>54828</v>
          </cell>
          <cell r="N188">
            <v>0</v>
          </cell>
          <cell r="O188">
            <v>0</v>
          </cell>
          <cell r="P188">
            <v>0</v>
          </cell>
          <cell r="Q188">
            <v>0</v>
          </cell>
          <cell r="R188">
            <v>0</v>
          </cell>
          <cell r="S188">
            <v>0</v>
          </cell>
          <cell r="T188">
            <v>0</v>
          </cell>
          <cell r="U188">
            <v>0</v>
          </cell>
          <cell r="V188">
            <v>3000</v>
          </cell>
          <cell r="W188">
            <v>84855</v>
          </cell>
          <cell r="X188">
            <v>0</v>
          </cell>
          <cell r="Y188"/>
          <cell r="Z188">
            <v>0</v>
          </cell>
          <cell r="AA188">
            <v>0</v>
          </cell>
          <cell r="AB188">
            <v>0</v>
          </cell>
          <cell r="AC188"/>
          <cell r="AD188">
            <v>0</v>
          </cell>
          <cell r="AE188">
            <v>0</v>
          </cell>
          <cell r="AF188">
            <v>0</v>
          </cell>
          <cell r="AG188">
            <v>0</v>
          </cell>
          <cell r="AH188">
            <v>0</v>
          </cell>
          <cell r="AI188">
            <v>0</v>
          </cell>
          <cell r="AJ188">
            <v>0</v>
          </cell>
          <cell r="AK188">
            <v>0</v>
          </cell>
          <cell r="AL188"/>
          <cell r="AM188">
            <v>59627</v>
          </cell>
          <cell r="AN188">
            <v>60999</v>
          </cell>
          <cell r="AO188">
            <v>62402</v>
          </cell>
          <cell r="AP188">
            <v>63837</v>
          </cell>
          <cell r="AQ188">
            <v>65305</v>
          </cell>
          <cell r="AR188">
            <v>66807</v>
          </cell>
          <cell r="AS188">
            <v>0</v>
          </cell>
          <cell r="AT188">
            <v>0</v>
          </cell>
          <cell r="AU188">
            <v>7110</v>
          </cell>
          <cell r="AV188">
            <v>0</v>
          </cell>
          <cell r="AW188">
            <v>0</v>
          </cell>
          <cell r="AX188">
            <v>0</v>
          </cell>
          <cell r="AY188"/>
          <cell r="AZ188"/>
          <cell r="BA188">
            <v>0</v>
          </cell>
          <cell r="BB188"/>
          <cell r="BC188">
            <v>0</v>
          </cell>
          <cell r="BD188">
            <v>7906</v>
          </cell>
          <cell r="BE188"/>
          <cell r="BF188">
            <v>0</v>
          </cell>
          <cell r="BG188">
            <v>0</v>
          </cell>
          <cell r="BH188">
            <v>0</v>
          </cell>
          <cell r="BI188">
            <v>25679</v>
          </cell>
          <cell r="BJ188">
            <v>21138</v>
          </cell>
          <cell r="BK188">
            <v>21138</v>
          </cell>
          <cell r="BL188">
            <v>0</v>
          </cell>
          <cell r="BM188">
            <v>0</v>
          </cell>
          <cell r="BN188">
            <v>0</v>
          </cell>
          <cell r="BO188">
            <v>58371</v>
          </cell>
          <cell r="BP188">
            <v>14232.6</v>
          </cell>
          <cell r="BQ188">
            <v>25639.534883720899</v>
          </cell>
          <cell r="BR188">
            <v>0</v>
          </cell>
          <cell r="BS188">
            <v>0</v>
          </cell>
          <cell r="BT188">
            <v>47002</v>
          </cell>
          <cell r="BU188"/>
          <cell r="BV188"/>
          <cell r="BW188"/>
          <cell r="BX188"/>
          <cell r="BY188">
            <v>0</v>
          </cell>
          <cell r="BZ188">
            <v>0</v>
          </cell>
          <cell r="CA188">
            <v>0</v>
          </cell>
          <cell r="CB188">
            <v>0</v>
          </cell>
          <cell r="CC188">
            <v>1308794</v>
          </cell>
          <cell r="CD188">
            <v>6794198</v>
          </cell>
          <cell r="CE188">
            <v>664925</v>
          </cell>
          <cell r="CF188">
            <v>0</v>
          </cell>
          <cell r="CG188">
            <v>664925</v>
          </cell>
          <cell r="CH188">
            <v>664925</v>
          </cell>
          <cell r="CI188">
            <v>664925</v>
          </cell>
          <cell r="CJ188">
            <v>664925</v>
          </cell>
          <cell r="CK188">
            <v>0</v>
          </cell>
          <cell r="CL188">
            <v>0</v>
          </cell>
          <cell r="CM188">
            <v>0</v>
          </cell>
          <cell r="CN188">
            <v>0</v>
          </cell>
          <cell r="CO188">
            <v>0</v>
          </cell>
          <cell r="CP188">
            <v>-166</v>
          </cell>
          <cell r="CQ188">
            <v>822881</v>
          </cell>
          <cell r="CR188">
            <v>812308</v>
          </cell>
          <cell r="CS188">
            <v>790463</v>
          </cell>
          <cell r="CT188">
            <v>778716</v>
          </cell>
          <cell r="CU188">
            <v>788869</v>
          </cell>
          <cell r="CV188">
            <v>45288</v>
          </cell>
          <cell r="CW188">
            <v>0</v>
          </cell>
          <cell r="CX188">
            <v>0</v>
          </cell>
          <cell r="CY188">
            <v>0</v>
          </cell>
          <cell r="CZ188">
            <v>0</v>
          </cell>
          <cell r="DA188">
            <v>0</v>
          </cell>
          <cell r="DB188"/>
          <cell r="DC188">
            <v>0</v>
          </cell>
          <cell r="DD188">
            <v>0</v>
          </cell>
          <cell r="DE188">
            <v>0</v>
          </cell>
          <cell r="DF188">
            <v>0</v>
          </cell>
          <cell r="DG188">
            <v>0</v>
          </cell>
          <cell r="DH188">
            <v>0</v>
          </cell>
          <cell r="DI188">
            <v>0</v>
          </cell>
          <cell r="DJ188">
            <v>0</v>
          </cell>
          <cell r="DK188">
            <v>0</v>
          </cell>
          <cell r="DL188">
            <v>0</v>
          </cell>
          <cell r="DM188"/>
          <cell r="DN188"/>
          <cell r="DO188"/>
          <cell r="DP188"/>
        </row>
        <row r="189">
          <cell r="A189">
            <v>415</v>
          </cell>
          <cell r="B189" t="str">
            <v>Landsmeer</v>
          </cell>
          <cell r="C189">
            <v>7</v>
          </cell>
          <cell r="D189">
            <v>20370</v>
          </cell>
          <cell r="E189">
            <v>10185</v>
          </cell>
          <cell r="F189">
            <v>0</v>
          </cell>
          <cell r="G189">
            <v>0</v>
          </cell>
          <cell r="H189">
            <v>0</v>
          </cell>
          <cell r="I189">
            <v>-5530</v>
          </cell>
          <cell r="J189"/>
          <cell r="K189">
            <v>0</v>
          </cell>
          <cell r="L189">
            <v>32172</v>
          </cell>
          <cell r="M189">
            <v>28497</v>
          </cell>
          <cell r="N189">
            <v>0</v>
          </cell>
          <cell r="O189">
            <v>0</v>
          </cell>
          <cell r="P189">
            <v>0</v>
          </cell>
          <cell r="Q189">
            <v>0</v>
          </cell>
          <cell r="R189">
            <v>0</v>
          </cell>
          <cell r="S189">
            <v>0</v>
          </cell>
          <cell r="T189">
            <v>0</v>
          </cell>
          <cell r="U189">
            <v>0</v>
          </cell>
          <cell r="V189">
            <v>0</v>
          </cell>
          <cell r="W189">
            <v>17981</v>
          </cell>
          <cell r="X189">
            <v>0</v>
          </cell>
          <cell r="Y189"/>
          <cell r="Z189">
            <v>0</v>
          </cell>
          <cell r="AA189">
            <v>0</v>
          </cell>
          <cell r="AB189">
            <v>0</v>
          </cell>
          <cell r="AC189"/>
          <cell r="AD189">
            <v>0</v>
          </cell>
          <cell r="AE189">
            <v>0</v>
          </cell>
          <cell r="AF189">
            <v>0</v>
          </cell>
          <cell r="AG189">
            <v>0</v>
          </cell>
          <cell r="AH189">
            <v>0</v>
          </cell>
          <cell r="AI189">
            <v>0</v>
          </cell>
          <cell r="AJ189">
            <v>0</v>
          </cell>
          <cell r="AK189">
            <v>0</v>
          </cell>
          <cell r="AL189"/>
          <cell r="AM189">
            <v>22227</v>
          </cell>
          <cell r="AN189">
            <v>22738</v>
          </cell>
          <cell r="AO189">
            <v>23261</v>
          </cell>
          <cell r="AP189">
            <v>23796</v>
          </cell>
          <cell r="AQ189">
            <v>24344</v>
          </cell>
          <cell r="AR189">
            <v>24904</v>
          </cell>
          <cell r="AS189">
            <v>0</v>
          </cell>
          <cell r="AT189">
            <v>0</v>
          </cell>
          <cell r="AU189">
            <v>0</v>
          </cell>
          <cell r="AV189">
            <v>0</v>
          </cell>
          <cell r="AW189">
            <v>0</v>
          </cell>
          <cell r="AX189">
            <v>0</v>
          </cell>
          <cell r="AY189"/>
          <cell r="AZ189"/>
          <cell r="BA189">
            <v>0</v>
          </cell>
          <cell r="BB189"/>
          <cell r="BC189">
            <v>0</v>
          </cell>
          <cell r="BD189">
            <v>3958</v>
          </cell>
          <cell r="BE189"/>
          <cell r="BF189">
            <v>0</v>
          </cell>
          <cell r="BG189">
            <v>0</v>
          </cell>
          <cell r="BH189">
            <v>0</v>
          </cell>
          <cell r="BI189">
            <v>11001</v>
          </cell>
          <cell r="BJ189">
            <v>9055</v>
          </cell>
          <cell r="BK189">
            <v>9055</v>
          </cell>
          <cell r="BL189">
            <v>0</v>
          </cell>
          <cell r="BM189">
            <v>0</v>
          </cell>
          <cell r="BN189">
            <v>0</v>
          </cell>
          <cell r="BO189">
            <v>26267</v>
          </cell>
          <cell r="BP189">
            <v>0</v>
          </cell>
          <cell r="BQ189">
            <v>0</v>
          </cell>
          <cell r="BR189">
            <v>0</v>
          </cell>
          <cell r="BS189">
            <v>0</v>
          </cell>
          <cell r="BT189">
            <v>19501</v>
          </cell>
          <cell r="BU189"/>
          <cell r="BV189"/>
          <cell r="BW189"/>
          <cell r="BX189"/>
          <cell r="BY189">
            <v>0</v>
          </cell>
          <cell r="BZ189">
            <v>0</v>
          </cell>
          <cell r="CA189">
            <v>0</v>
          </cell>
          <cell r="CB189">
            <v>0</v>
          </cell>
          <cell r="CC189">
            <v>695621</v>
          </cell>
          <cell r="CD189">
            <v>2886394</v>
          </cell>
          <cell r="CE189">
            <v>233554</v>
          </cell>
          <cell r="CF189">
            <v>0</v>
          </cell>
          <cell r="CG189">
            <v>233554</v>
          </cell>
          <cell r="CH189">
            <v>233554</v>
          </cell>
          <cell r="CI189">
            <v>233554</v>
          </cell>
          <cell r="CJ189">
            <v>233554</v>
          </cell>
          <cell r="CK189">
            <v>0</v>
          </cell>
          <cell r="CL189">
            <v>0</v>
          </cell>
          <cell r="CM189">
            <v>0</v>
          </cell>
          <cell r="CN189">
            <v>0</v>
          </cell>
          <cell r="CO189">
            <v>0</v>
          </cell>
          <cell r="CP189">
            <v>-1928</v>
          </cell>
          <cell r="CQ189">
            <v>241077</v>
          </cell>
          <cell r="CR189">
            <v>240807</v>
          </cell>
          <cell r="CS189">
            <v>241872</v>
          </cell>
          <cell r="CT189">
            <v>236173</v>
          </cell>
          <cell r="CU189">
            <v>236701</v>
          </cell>
          <cell r="CV189">
            <v>32259</v>
          </cell>
          <cell r="CW189">
            <v>0</v>
          </cell>
          <cell r="CX189">
            <v>0</v>
          </cell>
          <cell r="CY189">
            <v>0</v>
          </cell>
          <cell r="CZ189">
            <v>0</v>
          </cell>
          <cell r="DA189">
            <v>0</v>
          </cell>
          <cell r="DB189"/>
          <cell r="DC189">
            <v>0</v>
          </cell>
          <cell r="DD189">
            <v>0</v>
          </cell>
          <cell r="DE189">
            <v>0</v>
          </cell>
          <cell r="DF189">
            <v>0</v>
          </cell>
          <cell r="DG189">
            <v>0</v>
          </cell>
          <cell r="DH189">
            <v>0</v>
          </cell>
          <cell r="DI189">
            <v>0</v>
          </cell>
          <cell r="DJ189">
            <v>0</v>
          </cell>
          <cell r="DK189">
            <v>0</v>
          </cell>
          <cell r="DL189">
            <v>0</v>
          </cell>
          <cell r="DM189"/>
          <cell r="DN189"/>
          <cell r="DO189"/>
          <cell r="DP189"/>
        </row>
        <row r="190">
          <cell r="A190">
            <v>416</v>
          </cell>
          <cell r="B190" t="str">
            <v>Langedijk</v>
          </cell>
          <cell r="C190">
            <v>7</v>
          </cell>
          <cell r="D190">
            <v>-23342</v>
          </cell>
          <cell r="E190">
            <v>-11671</v>
          </cell>
          <cell r="F190">
            <v>0</v>
          </cell>
          <cell r="G190">
            <v>0</v>
          </cell>
          <cell r="H190">
            <v>-3842</v>
          </cell>
          <cell r="I190">
            <v>0</v>
          </cell>
          <cell r="J190"/>
          <cell r="K190">
            <v>0</v>
          </cell>
          <cell r="L190">
            <v>111518</v>
          </cell>
          <cell r="M190">
            <v>102538</v>
          </cell>
          <cell r="N190">
            <v>0</v>
          </cell>
          <cell r="O190">
            <v>0</v>
          </cell>
          <cell r="P190">
            <v>0</v>
          </cell>
          <cell r="Q190">
            <v>0</v>
          </cell>
          <cell r="R190">
            <v>0</v>
          </cell>
          <cell r="S190">
            <v>0</v>
          </cell>
          <cell r="T190">
            <v>0</v>
          </cell>
          <cell r="U190">
            <v>0</v>
          </cell>
          <cell r="V190">
            <v>6000</v>
          </cell>
          <cell r="W190">
            <v>117793</v>
          </cell>
          <cell r="X190">
            <v>0</v>
          </cell>
          <cell r="Y190"/>
          <cell r="Z190">
            <v>0</v>
          </cell>
          <cell r="AA190">
            <v>0</v>
          </cell>
          <cell r="AB190">
            <v>0</v>
          </cell>
          <cell r="AC190"/>
          <cell r="AD190">
            <v>0</v>
          </cell>
          <cell r="AE190">
            <v>0</v>
          </cell>
          <cell r="AF190">
            <v>0</v>
          </cell>
          <cell r="AG190">
            <v>0</v>
          </cell>
          <cell r="AH190">
            <v>0</v>
          </cell>
          <cell r="AI190">
            <v>0</v>
          </cell>
          <cell r="AJ190">
            <v>0</v>
          </cell>
          <cell r="AK190">
            <v>0</v>
          </cell>
          <cell r="AL190"/>
          <cell r="AM190">
            <v>0</v>
          </cell>
          <cell r="AN190">
            <v>0</v>
          </cell>
          <cell r="AO190">
            <v>0</v>
          </cell>
          <cell r="AP190">
            <v>0</v>
          </cell>
          <cell r="AQ190">
            <v>0</v>
          </cell>
          <cell r="AR190">
            <v>0</v>
          </cell>
          <cell r="AS190">
            <v>0</v>
          </cell>
          <cell r="AT190">
            <v>0</v>
          </cell>
          <cell r="AU190">
            <v>4740</v>
          </cell>
          <cell r="AV190">
            <v>0</v>
          </cell>
          <cell r="AW190">
            <v>0</v>
          </cell>
          <cell r="AX190">
            <v>0</v>
          </cell>
          <cell r="AY190"/>
          <cell r="AZ190"/>
          <cell r="BA190">
            <v>0</v>
          </cell>
          <cell r="BB190"/>
          <cell r="BC190">
            <v>0</v>
          </cell>
          <cell r="BD190">
            <v>9691</v>
          </cell>
          <cell r="BE190"/>
          <cell r="BF190">
            <v>0</v>
          </cell>
          <cell r="BG190">
            <v>0</v>
          </cell>
          <cell r="BH190">
            <v>0</v>
          </cell>
          <cell r="BI190">
            <v>29193</v>
          </cell>
          <cell r="BJ190">
            <v>24030</v>
          </cell>
          <cell r="BK190">
            <v>24030</v>
          </cell>
          <cell r="BL190">
            <v>0</v>
          </cell>
          <cell r="BM190">
            <v>0</v>
          </cell>
          <cell r="BN190">
            <v>0</v>
          </cell>
          <cell r="BO190">
            <v>51561</v>
          </cell>
          <cell r="BP190">
            <v>18976.8</v>
          </cell>
          <cell r="BQ190">
            <v>34186.046511627901</v>
          </cell>
          <cell r="BR190">
            <v>0</v>
          </cell>
          <cell r="BS190">
            <v>0</v>
          </cell>
          <cell r="BT190">
            <v>44680</v>
          </cell>
          <cell r="BU190"/>
          <cell r="BV190"/>
          <cell r="BW190"/>
          <cell r="BX190"/>
          <cell r="BY190">
            <v>0</v>
          </cell>
          <cell r="BZ190">
            <v>0</v>
          </cell>
          <cell r="CA190">
            <v>0</v>
          </cell>
          <cell r="CB190">
            <v>0</v>
          </cell>
          <cell r="CC190">
            <v>1638790</v>
          </cell>
          <cell r="CD190">
            <v>10262945</v>
          </cell>
          <cell r="CE190">
            <v>931067</v>
          </cell>
          <cell r="CF190">
            <v>0</v>
          </cell>
          <cell r="CG190">
            <v>931067</v>
          </cell>
          <cell r="CH190">
            <v>931067</v>
          </cell>
          <cell r="CI190">
            <v>931067</v>
          </cell>
          <cell r="CJ190">
            <v>931067</v>
          </cell>
          <cell r="CK190">
            <v>0</v>
          </cell>
          <cell r="CL190">
            <v>0</v>
          </cell>
          <cell r="CM190">
            <v>0</v>
          </cell>
          <cell r="CN190">
            <v>0</v>
          </cell>
          <cell r="CO190">
            <v>0</v>
          </cell>
          <cell r="CP190">
            <v>0</v>
          </cell>
          <cell r="CQ190">
            <v>1508830</v>
          </cell>
          <cell r="CR190">
            <v>1471971</v>
          </cell>
          <cell r="CS190">
            <v>1457793</v>
          </cell>
          <cell r="CT190">
            <v>1451668</v>
          </cell>
          <cell r="CU190">
            <v>1446488</v>
          </cell>
          <cell r="CV190">
            <v>63421</v>
          </cell>
          <cell r="CW190">
            <v>0</v>
          </cell>
          <cell r="CX190">
            <v>0</v>
          </cell>
          <cell r="CY190">
            <v>0</v>
          </cell>
          <cell r="CZ190">
            <v>0</v>
          </cell>
          <cell r="DA190">
            <v>0</v>
          </cell>
          <cell r="DB190"/>
          <cell r="DC190">
            <v>0</v>
          </cell>
          <cell r="DD190">
            <v>0</v>
          </cell>
          <cell r="DE190">
            <v>0</v>
          </cell>
          <cell r="DF190">
            <v>0</v>
          </cell>
          <cell r="DG190">
            <v>0</v>
          </cell>
          <cell r="DH190">
            <v>0</v>
          </cell>
          <cell r="DI190">
            <v>0</v>
          </cell>
          <cell r="DJ190">
            <v>0</v>
          </cell>
          <cell r="DK190">
            <v>0</v>
          </cell>
          <cell r="DL190">
            <v>0</v>
          </cell>
          <cell r="DM190"/>
          <cell r="DN190"/>
          <cell r="DO190"/>
          <cell r="DP190"/>
        </row>
        <row r="191">
          <cell r="A191">
            <v>417</v>
          </cell>
          <cell r="B191" t="str">
            <v>Laren</v>
          </cell>
          <cell r="C191">
            <v>7</v>
          </cell>
          <cell r="D191">
            <v>-25967</v>
          </cell>
          <cell r="E191">
            <v>-12984</v>
          </cell>
          <cell r="F191">
            <v>0</v>
          </cell>
          <cell r="G191">
            <v>0</v>
          </cell>
          <cell r="H191">
            <v>0</v>
          </cell>
          <cell r="I191">
            <v>-2369</v>
          </cell>
          <cell r="J191"/>
          <cell r="K191">
            <v>0</v>
          </cell>
          <cell r="L191">
            <v>41782</v>
          </cell>
          <cell r="M191">
            <v>39996</v>
          </cell>
          <cell r="N191">
            <v>0</v>
          </cell>
          <cell r="O191">
            <v>0</v>
          </cell>
          <cell r="P191">
            <v>0</v>
          </cell>
          <cell r="Q191">
            <v>0</v>
          </cell>
          <cell r="R191">
            <v>0</v>
          </cell>
          <cell r="S191">
            <v>0</v>
          </cell>
          <cell r="T191">
            <v>0</v>
          </cell>
          <cell r="U191">
            <v>0</v>
          </cell>
          <cell r="V191">
            <v>0</v>
          </cell>
          <cell r="W191">
            <v>23032</v>
          </cell>
          <cell r="X191">
            <v>0</v>
          </cell>
          <cell r="Y191"/>
          <cell r="Z191">
            <v>0</v>
          </cell>
          <cell r="AA191">
            <v>0</v>
          </cell>
          <cell r="AB191">
            <v>0</v>
          </cell>
          <cell r="AC191"/>
          <cell r="AD191">
            <v>0</v>
          </cell>
          <cell r="AE191">
            <v>0</v>
          </cell>
          <cell r="AF191">
            <v>0</v>
          </cell>
          <cell r="AG191">
            <v>0</v>
          </cell>
          <cell r="AH191">
            <v>0</v>
          </cell>
          <cell r="AI191">
            <v>0</v>
          </cell>
          <cell r="AJ191">
            <v>0</v>
          </cell>
          <cell r="AK191">
            <v>0</v>
          </cell>
          <cell r="AL191"/>
          <cell r="AM191">
            <v>0</v>
          </cell>
          <cell r="AN191">
            <v>0</v>
          </cell>
          <cell r="AO191">
            <v>0</v>
          </cell>
          <cell r="AP191">
            <v>0</v>
          </cell>
          <cell r="AQ191">
            <v>0</v>
          </cell>
          <cell r="AR191">
            <v>0</v>
          </cell>
          <cell r="AS191">
            <v>0</v>
          </cell>
          <cell r="AT191">
            <v>0</v>
          </cell>
          <cell r="AU191">
            <v>2370</v>
          </cell>
          <cell r="AV191">
            <v>0</v>
          </cell>
          <cell r="AW191">
            <v>0</v>
          </cell>
          <cell r="AX191">
            <v>0</v>
          </cell>
          <cell r="AY191"/>
          <cell r="AZ191"/>
          <cell r="BA191">
            <v>0</v>
          </cell>
          <cell r="BB191"/>
          <cell r="BC191">
            <v>0</v>
          </cell>
          <cell r="BD191">
            <v>3892</v>
          </cell>
          <cell r="BE191"/>
          <cell r="BF191">
            <v>0</v>
          </cell>
          <cell r="BG191">
            <v>0</v>
          </cell>
          <cell r="BH191">
            <v>0</v>
          </cell>
          <cell r="BI191">
            <v>12833</v>
          </cell>
          <cell r="BJ191">
            <v>10563</v>
          </cell>
          <cell r="BK191">
            <v>10563</v>
          </cell>
          <cell r="BL191">
            <v>0</v>
          </cell>
          <cell r="BM191">
            <v>0</v>
          </cell>
          <cell r="BN191">
            <v>0</v>
          </cell>
          <cell r="BO191">
            <v>0</v>
          </cell>
          <cell r="BP191">
            <v>11069.8</v>
          </cell>
          <cell r="BQ191">
            <v>19941.8604651163</v>
          </cell>
          <cell r="BR191">
            <v>0</v>
          </cell>
          <cell r="BS191">
            <v>0</v>
          </cell>
          <cell r="BT191">
            <v>14040</v>
          </cell>
          <cell r="BU191"/>
          <cell r="BV191"/>
          <cell r="BW191"/>
          <cell r="BX191"/>
          <cell r="BY191">
            <v>0</v>
          </cell>
          <cell r="BZ191">
            <v>0</v>
          </cell>
          <cell r="CA191">
            <v>0</v>
          </cell>
          <cell r="CB191">
            <v>0</v>
          </cell>
          <cell r="CC191">
            <v>731707</v>
          </cell>
          <cell r="CD191">
            <v>2781832</v>
          </cell>
          <cell r="CE191">
            <v>71405</v>
          </cell>
          <cell r="CF191">
            <v>-2511</v>
          </cell>
          <cell r="CG191">
            <v>71405</v>
          </cell>
          <cell r="CH191">
            <v>71405</v>
          </cell>
          <cell r="CI191">
            <v>71405</v>
          </cell>
          <cell r="CJ191">
            <v>71405</v>
          </cell>
          <cell r="CK191">
            <v>0</v>
          </cell>
          <cell r="CL191">
            <v>0</v>
          </cell>
          <cell r="CM191">
            <v>0</v>
          </cell>
          <cell r="CN191">
            <v>0</v>
          </cell>
          <cell r="CO191">
            <v>0</v>
          </cell>
          <cell r="CP191">
            <v>-481</v>
          </cell>
          <cell r="CQ191">
            <v>319038</v>
          </cell>
          <cell r="CR191">
            <v>311005</v>
          </cell>
          <cell r="CS191">
            <v>309452</v>
          </cell>
          <cell r="CT191">
            <v>299972</v>
          </cell>
          <cell r="CU191">
            <v>269189</v>
          </cell>
          <cell r="CV191">
            <v>3611</v>
          </cell>
          <cell r="CW191">
            <v>0</v>
          </cell>
          <cell r="CX191">
            <v>0</v>
          </cell>
          <cell r="CY191">
            <v>0</v>
          </cell>
          <cell r="CZ191">
            <v>0</v>
          </cell>
          <cell r="DA191">
            <v>0</v>
          </cell>
          <cell r="DB191"/>
          <cell r="DC191">
            <v>0</v>
          </cell>
          <cell r="DD191">
            <v>0</v>
          </cell>
          <cell r="DE191">
            <v>0</v>
          </cell>
          <cell r="DF191">
            <v>0</v>
          </cell>
          <cell r="DG191">
            <v>0</v>
          </cell>
          <cell r="DH191">
            <v>0</v>
          </cell>
          <cell r="DI191">
            <v>0</v>
          </cell>
          <cell r="DJ191">
            <v>0</v>
          </cell>
          <cell r="DK191">
            <v>0</v>
          </cell>
          <cell r="DL191">
            <v>0</v>
          </cell>
          <cell r="DM191"/>
          <cell r="DN191"/>
          <cell r="DO191"/>
          <cell r="DP191"/>
        </row>
        <row r="192">
          <cell r="A192">
            <v>420</v>
          </cell>
          <cell r="B192" t="str">
            <v>Medemblik</v>
          </cell>
          <cell r="C192">
            <v>7</v>
          </cell>
          <cell r="D192">
            <v>-34601</v>
          </cell>
          <cell r="E192">
            <v>-17301</v>
          </cell>
          <cell r="F192">
            <v>0</v>
          </cell>
          <cell r="G192">
            <v>0</v>
          </cell>
          <cell r="H192">
            <v>-67561</v>
          </cell>
          <cell r="I192">
            <v>-46268</v>
          </cell>
          <cell r="J192"/>
          <cell r="K192">
            <v>0</v>
          </cell>
          <cell r="L192">
            <v>164760</v>
          </cell>
          <cell r="M192">
            <v>145153</v>
          </cell>
          <cell r="N192">
            <v>0</v>
          </cell>
          <cell r="O192">
            <v>0</v>
          </cell>
          <cell r="P192">
            <v>0</v>
          </cell>
          <cell r="Q192">
            <v>0</v>
          </cell>
          <cell r="R192">
            <v>0</v>
          </cell>
          <cell r="S192">
            <v>0</v>
          </cell>
          <cell r="T192">
            <v>0</v>
          </cell>
          <cell r="U192">
            <v>0</v>
          </cell>
          <cell r="V192">
            <v>24000</v>
          </cell>
          <cell r="W192">
            <v>180772</v>
          </cell>
          <cell r="X192">
            <v>0</v>
          </cell>
          <cell r="Y192"/>
          <cell r="Z192">
            <v>0</v>
          </cell>
          <cell r="AA192">
            <v>0</v>
          </cell>
          <cell r="AB192">
            <v>0</v>
          </cell>
          <cell r="AC192"/>
          <cell r="AD192">
            <v>0</v>
          </cell>
          <cell r="AE192">
            <v>0</v>
          </cell>
          <cell r="AF192">
            <v>0</v>
          </cell>
          <cell r="AG192">
            <v>0</v>
          </cell>
          <cell r="AH192">
            <v>0</v>
          </cell>
          <cell r="AI192">
            <v>0</v>
          </cell>
          <cell r="AJ192">
            <v>0</v>
          </cell>
          <cell r="AK192">
            <v>0</v>
          </cell>
          <cell r="AL192"/>
          <cell r="AM192">
            <v>100151</v>
          </cell>
          <cell r="AN192">
            <v>102455</v>
          </cell>
          <cell r="AO192">
            <v>104812</v>
          </cell>
          <cell r="AP192">
            <v>107222</v>
          </cell>
          <cell r="AQ192">
            <v>109688</v>
          </cell>
          <cell r="AR192">
            <v>112211</v>
          </cell>
          <cell r="AS192">
            <v>0</v>
          </cell>
          <cell r="AT192">
            <v>0</v>
          </cell>
          <cell r="AU192">
            <v>9480</v>
          </cell>
          <cell r="AV192">
            <v>0</v>
          </cell>
          <cell r="AW192">
            <v>0</v>
          </cell>
          <cell r="AX192">
            <v>0</v>
          </cell>
          <cell r="AY192"/>
          <cell r="AZ192"/>
          <cell r="BA192">
            <v>0</v>
          </cell>
          <cell r="BB192"/>
          <cell r="BC192">
            <v>0</v>
          </cell>
          <cell r="BD192">
            <v>15466</v>
          </cell>
          <cell r="BE192"/>
          <cell r="BF192">
            <v>0</v>
          </cell>
          <cell r="BG192">
            <v>0</v>
          </cell>
          <cell r="BH192">
            <v>0</v>
          </cell>
          <cell r="BI192">
            <v>58938</v>
          </cell>
          <cell r="BJ192">
            <v>48515</v>
          </cell>
          <cell r="BK192">
            <v>48515</v>
          </cell>
          <cell r="BL192">
            <v>0</v>
          </cell>
          <cell r="BM192">
            <v>0</v>
          </cell>
          <cell r="BN192">
            <v>0</v>
          </cell>
          <cell r="BO192">
            <v>116256</v>
          </cell>
          <cell r="BP192">
            <v>98046.8</v>
          </cell>
          <cell r="BQ192">
            <v>176627.90697674401</v>
          </cell>
          <cell r="BR192">
            <v>0</v>
          </cell>
          <cell r="BS192">
            <v>0</v>
          </cell>
          <cell r="BT192">
            <v>82127</v>
          </cell>
          <cell r="BU192"/>
          <cell r="BV192"/>
          <cell r="BW192"/>
          <cell r="BX192"/>
          <cell r="BY192">
            <v>0</v>
          </cell>
          <cell r="BZ192">
            <v>0</v>
          </cell>
          <cell r="CA192">
            <v>0</v>
          </cell>
          <cell r="CB192">
            <v>0</v>
          </cell>
          <cell r="CC192">
            <v>2989100</v>
          </cell>
          <cell r="CD192">
            <v>18212143</v>
          </cell>
          <cell r="CE192">
            <v>1957576</v>
          </cell>
          <cell r="CF192">
            <v>-72613</v>
          </cell>
          <cell r="CG192">
            <v>1957576</v>
          </cell>
          <cell r="CH192">
            <v>1957576</v>
          </cell>
          <cell r="CI192">
            <v>1957576</v>
          </cell>
          <cell r="CJ192">
            <v>1957576</v>
          </cell>
          <cell r="CK192">
            <v>0</v>
          </cell>
          <cell r="CL192">
            <v>0</v>
          </cell>
          <cell r="CM192">
            <v>0</v>
          </cell>
          <cell r="CN192">
            <v>0</v>
          </cell>
          <cell r="CO192">
            <v>0</v>
          </cell>
          <cell r="CP192">
            <v>-5757</v>
          </cell>
          <cell r="CQ192">
            <v>2557683</v>
          </cell>
          <cell r="CR192">
            <v>2457873</v>
          </cell>
          <cell r="CS192">
            <v>2453631</v>
          </cell>
          <cell r="CT192">
            <v>2405647</v>
          </cell>
          <cell r="CU192">
            <v>2354990</v>
          </cell>
          <cell r="CV192">
            <v>-408</v>
          </cell>
          <cell r="CW192">
            <v>0</v>
          </cell>
          <cell r="CX192">
            <v>0</v>
          </cell>
          <cell r="CY192">
            <v>0</v>
          </cell>
          <cell r="CZ192">
            <v>0</v>
          </cell>
          <cell r="DA192">
            <v>0</v>
          </cell>
          <cell r="DB192"/>
          <cell r="DC192">
            <v>0</v>
          </cell>
          <cell r="DD192">
            <v>0</v>
          </cell>
          <cell r="DE192">
            <v>0</v>
          </cell>
          <cell r="DF192">
            <v>0</v>
          </cell>
          <cell r="DG192">
            <v>0</v>
          </cell>
          <cell r="DH192">
            <v>0</v>
          </cell>
          <cell r="DI192">
            <v>0</v>
          </cell>
          <cell r="DJ192">
            <v>0</v>
          </cell>
          <cell r="DK192">
            <v>0</v>
          </cell>
          <cell r="DL192">
            <v>0</v>
          </cell>
          <cell r="DM192"/>
          <cell r="DN192"/>
          <cell r="DO192"/>
          <cell r="DP192"/>
        </row>
        <row r="193">
          <cell r="A193">
            <v>431</v>
          </cell>
          <cell r="B193" t="str">
            <v>Oostzaan</v>
          </cell>
          <cell r="C193">
            <v>7</v>
          </cell>
          <cell r="D193">
            <v>4977</v>
          </cell>
          <cell r="E193">
            <v>2489</v>
          </cell>
          <cell r="F193">
            <v>0</v>
          </cell>
          <cell r="G193">
            <v>0</v>
          </cell>
          <cell r="H193">
            <v>-7150</v>
          </cell>
          <cell r="I193">
            <v>-10177</v>
          </cell>
          <cell r="J193"/>
          <cell r="K193">
            <v>0</v>
          </cell>
          <cell r="L193">
            <v>24353</v>
          </cell>
          <cell r="M193">
            <v>22712</v>
          </cell>
          <cell r="N193">
            <v>0</v>
          </cell>
          <cell r="O193">
            <v>0</v>
          </cell>
          <cell r="P193">
            <v>0</v>
          </cell>
          <cell r="Q193">
            <v>0</v>
          </cell>
          <cell r="R193">
            <v>0</v>
          </cell>
          <cell r="S193">
            <v>0</v>
          </cell>
          <cell r="T193">
            <v>0</v>
          </cell>
          <cell r="U193">
            <v>0</v>
          </cell>
          <cell r="V193">
            <v>0</v>
          </cell>
          <cell r="W193">
            <v>29093</v>
          </cell>
          <cell r="X193">
            <v>0</v>
          </cell>
          <cell r="Y193"/>
          <cell r="Z193">
            <v>0</v>
          </cell>
          <cell r="AA193">
            <v>0</v>
          </cell>
          <cell r="AB193">
            <v>0</v>
          </cell>
          <cell r="AC193"/>
          <cell r="AD193">
            <v>0</v>
          </cell>
          <cell r="AE193">
            <v>0</v>
          </cell>
          <cell r="AF193">
            <v>0</v>
          </cell>
          <cell r="AG193">
            <v>0</v>
          </cell>
          <cell r="AH193">
            <v>0</v>
          </cell>
          <cell r="AI193">
            <v>0</v>
          </cell>
          <cell r="AJ193">
            <v>0</v>
          </cell>
          <cell r="AK193">
            <v>0</v>
          </cell>
          <cell r="AL193"/>
          <cell r="AM193">
            <v>12870</v>
          </cell>
          <cell r="AN193">
            <v>13166</v>
          </cell>
          <cell r="AO193">
            <v>13469</v>
          </cell>
          <cell r="AP193">
            <v>13779</v>
          </cell>
          <cell r="AQ193">
            <v>14096</v>
          </cell>
          <cell r="AR193">
            <v>14420</v>
          </cell>
          <cell r="AS193">
            <v>0</v>
          </cell>
          <cell r="AT193">
            <v>0</v>
          </cell>
          <cell r="AU193">
            <v>0</v>
          </cell>
          <cell r="AV193">
            <v>0</v>
          </cell>
          <cell r="AW193">
            <v>0</v>
          </cell>
          <cell r="AX193">
            <v>0</v>
          </cell>
          <cell r="AY193"/>
          <cell r="AZ193"/>
          <cell r="BA193">
            <v>0</v>
          </cell>
          <cell r="BB193"/>
          <cell r="BC193">
            <v>0</v>
          </cell>
          <cell r="BD193">
            <v>3388</v>
          </cell>
          <cell r="BE193"/>
          <cell r="BF193">
            <v>0</v>
          </cell>
          <cell r="BG193">
            <v>0</v>
          </cell>
          <cell r="BH193">
            <v>0</v>
          </cell>
          <cell r="BI193">
            <v>11022</v>
          </cell>
          <cell r="BJ193">
            <v>9072</v>
          </cell>
          <cell r="BK193">
            <v>9072</v>
          </cell>
          <cell r="BL193">
            <v>0</v>
          </cell>
          <cell r="BM193">
            <v>0</v>
          </cell>
          <cell r="BN193">
            <v>0</v>
          </cell>
          <cell r="BO193">
            <v>29672</v>
          </cell>
          <cell r="BP193">
            <v>4744.2</v>
          </cell>
          <cell r="BQ193">
            <v>8546.5116279069807</v>
          </cell>
          <cell r="BR193">
            <v>0</v>
          </cell>
          <cell r="BS193">
            <v>0</v>
          </cell>
          <cell r="BT193">
            <v>14855</v>
          </cell>
          <cell r="BU193"/>
          <cell r="BV193"/>
          <cell r="BW193"/>
          <cell r="BX193"/>
          <cell r="BY193">
            <v>0</v>
          </cell>
          <cell r="BZ193">
            <v>0</v>
          </cell>
          <cell r="CA193">
            <v>0</v>
          </cell>
          <cell r="CB193">
            <v>0</v>
          </cell>
          <cell r="CC193">
            <v>598841</v>
          </cell>
          <cell r="CD193">
            <v>2381841</v>
          </cell>
          <cell r="CE193">
            <v>119697</v>
          </cell>
          <cell r="CF193">
            <v>-6867</v>
          </cell>
          <cell r="CG193">
            <v>119697</v>
          </cell>
          <cell r="CH193">
            <v>119697</v>
          </cell>
          <cell r="CI193">
            <v>119697</v>
          </cell>
          <cell r="CJ193">
            <v>119697</v>
          </cell>
          <cell r="CK193">
            <v>0</v>
          </cell>
          <cell r="CL193">
            <v>0</v>
          </cell>
          <cell r="CM193">
            <v>0</v>
          </cell>
          <cell r="CN193">
            <v>0</v>
          </cell>
          <cell r="CO193">
            <v>0</v>
          </cell>
          <cell r="CP193">
            <v>-2631</v>
          </cell>
          <cell r="CQ193">
            <v>218354</v>
          </cell>
          <cell r="CR193">
            <v>215285</v>
          </cell>
          <cell r="CS193">
            <v>204006</v>
          </cell>
          <cell r="CT193">
            <v>201089</v>
          </cell>
          <cell r="CU193">
            <v>203167</v>
          </cell>
          <cell r="CV193">
            <v>23171</v>
          </cell>
          <cell r="CW193">
            <v>0</v>
          </cell>
          <cell r="CX193">
            <v>0</v>
          </cell>
          <cell r="CY193">
            <v>0</v>
          </cell>
          <cell r="CZ193">
            <v>0</v>
          </cell>
          <cell r="DA193">
            <v>0</v>
          </cell>
          <cell r="DB193"/>
          <cell r="DC193">
            <v>0</v>
          </cell>
          <cell r="DD193">
            <v>0</v>
          </cell>
          <cell r="DE193">
            <v>0</v>
          </cell>
          <cell r="DF193">
            <v>0</v>
          </cell>
          <cell r="DG193">
            <v>0</v>
          </cell>
          <cell r="DH193">
            <v>0</v>
          </cell>
          <cell r="DI193">
            <v>0</v>
          </cell>
          <cell r="DJ193">
            <v>0</v>
          </cell>
          <cell r="DK193">
            <v>0</v>
          </cell>
          <cell r="DL193">
            <v>0</v>
          </cell>
          <cell r="DM193"/>
          <cell r="DN193"/>
          <cell r="DO193"/>
          <cell r="DP193"/>
        </row>
        <row r="194">
          <cell r="A194">
            <v>432</v>
          </cell>
          <cell r="B194" t="str">
            <v>Opmeer</v>
          </cell>
          <cell r="C194">
            <v>7</v>
          </cell>
          <cell r="D194">
            <v>-8981</v>
          </cell>
          <cell r="E194">
            <v>-4490</v>
          </cell>
          <cell r="F194">
            <v>0</v>
          </cell>
          <cell r="G194">
            <v>0</v>
          </cell>
          <cell r="H194">
            <v>-2374</v>
          </cell>
          <cell r="I194">
            <v>0</v>
          </cell>
          <cell r="J194"/>
          <cell r="K194">
            <v>0</v>
          </cell>
          <cell r="L194">
            <v>31993</v>
          </cell>
          <cell r="M194">
            <v>34854</v>
          </cell>
          <cell r="N194">
            <v>0</v>
          </cell>
          <cell r="O194">
            <v>0</v>
          </cell>
          <cell r="P194">
            <v>0</v>
          </cell>
          <cell r="Q194">
            <v>0</v>
          </cell>
          <cell r="R194">
            <v>0</v>
          </cell>
          <cell r="S194">
            <v>0</v>
          </cell>
          <cell r="T194">
            <v>0</v>
          </cell>
          <cell r="U194">
            <v>0</v>
          </cell>
          <cell r="V194">
            <v>6000</v>
          </cell>
          <cell r="W194">
            <v>46468</v>
          </cell>
          <cell r="X194">
            <v>0</v>
          </cell>
          <cell r="Y194"/>
          <cell r="Z194">
            <v>0</v>
          </cell>
          <cell r="AA194">
            <v>0</v>
          </cell>
          <cell r="AB194">
            <v>0</v>
          </cell>
          <cell r="AC194"/>
          <cell r="AD194">
            <v>0</v>
          </cell>
          <cell r="AE194">
            <v>0</v>
          </cell>
          <cell r="AF194">
            <v>0</v>
          </cell>
          <cell r="AG194">
            <v>0</v>
          </cell>
          <cell r="AH194">
            <v>0</v>
          </cell>
          <cell r="AI194">
            <v>0</v>
          </cell>
          <cell r="AJ194">
            <v>0</v>
          </cell>
          <cell r="AK194">
            <v>0</v>
          </cell>
          <cell r="AL194"/>
          <cell r="AM194">
            <v>30909</v>
          </cell>
          <cell r="AN194">
            <v>31620</v>
          </cell>
          <cell r="AO194">
            <v>32347</v>
          </cell>
          <cell r="AP194">
            <v>33091</v>
          </cell>
          <cell r="AQ194">
            <v>33852</v>
          </cell>
          <cell r="AR194">
            <v>34631</v>
          </cell>
          <cell r="AS194">
            <v>0</v>
          </cell>
          <cell r="AT194">
            <v>0</v>
          </cell>
          <cell r="AU194">
            <v>0</v>
          </cell>
          <cell r="AV194">
            <v>0</v>
          </cell>
          <cell r="AW194">
            <v>0</v>
          </cell>
          <cell r="AX194">
            <v>0</v>
          </cell>
          <cell r="AY194"/>
          <cell r="AZ194"/>
          <cell r="BA194">
            <v>0</v>
          </cell>
          <cell r="BB194"/>
          <cell r="BC194">
            <v>0</v>
          </cell>
          <cell r="BD194">
            <v>4009</v>
          </cell>
          <cell r="BE194"/>
          <cell r="BF194">
            <v>0</v>
          </cell>
          <cell r="BG194">
            <v>0</v>
          </cell>
          <cell r="BH194">
            <v>0</v>
          </cell>
          <cell r="BI194">
            <v>14431</v>
          </cell>
          <cell r="BJ194">
            <v>11879</v>
          </cell>
          <cell r="BK194">
            <v>11879</v>
          </cell>
          <cell r="BL194">
            <v>0</v>
          </cell>
          <cell r="BM194">
            <v>0</v>
          </cell>
          <cell r="BN194">
            <v>0</v>
          </cell>
          <cell r="BO194">
            <v>0</v>
          </cell>
          <cell r="BP194">
            <v>0</v>
          </cell>
          <cell r="BQ194">
            <v>0</v>
          </cell>
          <cell r="BR194">
            <v>0</v>
          </cell>
          <cell r="BS194">
            <v>0</v>
          </cell>
          <cell r="BT194">
            <v>21168</v>
          </cell>
          <cell r="BU194"/>
          <cell r="BV194"/>
          <cell r="BW194"/>
          <cell r="BX194"/>
          <cell r="BY194">
            <v>0</v>
          </cell>
          <cell r="BZ194">
            <v>0</v>
          </cell>
          <cell r="CA194">
            <v>0</v>
          </cell>
          <cell r="CB194">
            <v>0</v>
          </cell>
          <cell r="CC194">
            <v>748820</v>
          </cell>
          <cell r="CD194">
            <v>3785523</v>
          </cell>
          <cell r="CE194">
            <v>467883</v>
          </cell>
          <cell r="CF194">
            <v>0</v>
          </cell>
          <cell r="CG194">
            <v>467883</v>
          </cell>
          <cell r="CH194">
            <v>467883</v>
          </cell>
          <cell r="CI194">
            <v>467883</v>
          </cell>
          <cell r="CJ194">
            <v>467883</v>
          </cell>
          <cell r="CK194">
            <v>0</v>
          </cell>
          <cell r="CL194">
            <v>0</v>
          </cell>
          <cell r="CM194">
            <v>0</v>
          </cell>
          <cell r="CN194">
            <v>0</v>
          </cell>
          <cell r="CO194">
            <v>0</v>
          </cell>
          <cell r="CP194">
            <v>0</v>
          </cell>
          <cell r="CQ194">
            <v>455280</v>
          </cell>
          <cell r="CR194">
            <v>439257</v>
          </cell>
          <cell r="CS194">
            <v>397890</v>
          </cell>
          <cell r="CT194">
            <v>377666</v>
          </cell>
          <cell r="CU194">
            <v>361053</v>
          </cell>
          <cell r="CV194">
            <v>1245</v>
          </cell>
          <cell r="CW194">
            <v>0</v>
          </cell>
          <cell r="CX194">
            <v>0</v>
          </cell>
          <cell r="CY194">
            <v>0</v>
          </cell>
          <cell r="CZ194">
            <v>0</v>
          </cell>
          <cell r="DA194">
            <v>0</v>
          </cell>
          <cell r="DB194"/>
          <cell r="DC194">
            <v>0</v>
          </cell>
          <cell r="DD194">
            <v>0</v>
          </cell>
          <cell r="DE194">
            <v>0</v>
          </cell>
          <cell r="DF194">
            <v>0</v>
          </cell>
          <cell r="DG194">
            <v>0</v>
          </cell>
          <cell r="DH194">
            <v>0</v>
          </cell>
          <cell r="DI194">
            <v>0</v>
          </cell>
          <cell r="DJ194">
            <v>0</v>
          </cell>
          <cell r="DK194">
            <v>0</v>
          </cell>
          <cell r="DL194">
            <v>0</v>
          </cell>
          <cell r="DM194"/>
          <cell r="DN194"/>
          <cell r="DO194"/>
          <cell r="DP194"/>
        </row>
        <row r="195">
          <cell r="A195">
            <v>437</v>
          </cell>
          <cell r="B195" t="str">
            <v>Ouder-Amstel</v>
          </cell>
          <cell r="C195">
            <v>7</v>
          </cell>
          <cell r="D195">
            <v>-12105</v>
          </cell>
          <cell r="E195">
            <v>-6052</v>
          </cell>
          <cell r="F195">
            <v>0</v>
          </cell>
          <cell r="G195">
            <v>0</v>
          </cell>
          <cell r="H195">
            <v>-3649</v>
          </cell>
          <cell r="I195">
            <v>-7876</v>
          </cell>
          <cell r="J195"/>
          <cell r="K195">
            <v>0</v>
          </cell>
          <cell r="L195">
            <v>44567</v>
          </cell>
          <cell r="M195">
            <v>42663</v>
          </cell>
          <cell r="N195">
            <v>0</v>
          </cell>
          <cell r="O195">
            <v>0</v>
          </cell>
          <cell r="P195">
            <v>0</v>
          </cell>
          <cell r="Q195">
            <v>0</v>
          </cell>
          <cell r="R195">
            <v>0</v>
          </cell>
          <cell r="S195">
            <v>0</v>
          </cell>
          <cell r="T195">
            <v>0</v>
          </cell>
          <cell r="U195">
            <v>0</v>
          </cell>
          <cell r="V195">
            <v>0</v>
          </cell>
          <cell r="W195">
            <v>53260</v>
          </cell>
          <cell r="X195">
            <v>0</v>
          </cell>
          <cell r="Y195"/>
          <cell r="Z195">
            <v>0</v>
          </cell>
          <cell r="AA195">
            <v>0</v>
          </cell>
          <cell r="AB195">
            <v>0</v>
          </cell>
          <cell r="AC195"/>
          <cell r="AD195">
            <v>0</v>
          </cell>
          <cell r="AE195">
            <v>0</v>
          </cell>
          <cell r="AF195">
            <v>0</v>
          </cell>
          <cell r="AG195">
            <v>0</v>
          </cell>
          <cell r="AH195">
            <v>0</v>
          </cell>
          <cell r="AI195">
            <v>0</v>
          </cell>
          <cell r="AJ195">
            <v>0</v>
          </cell>
          <cell r="AK195">
            <v>0</v>
          </cell>
          <cell r="AL195"/>
          <cell r="AM195">
            <v>0</v>
          </cell>
          <cell r="AN195">
            <v>0</v>
          </cell>
          <cell r="AO195">
            <v>0</v>
          </cell>
          <cell r="AP195">
            <v>0</v>
          </cell>
          <cell r="AQ195">
            <v>0</v>
          </cell>
          <cell r="AR195">
            <v>0</v>
          </cell>
          <cell r="AS195">
            <v>0</v>
          </cell>
          <cell r="AT195">
            <v>0</v>
          </cell>
          <cell r="AU195">
            <v>2370</v>
          </cell>
          <cell r="AV195">
            <v>0</v>
          </cell>
          <cell r="AW195">
            <v>0</v>
          </cell>
          <cell r="AX195">
            <v>0</v>
          </cell>
          <cell r="AY195"/>
          <cell r="AZ195"/>
          <cell r="BA195">
            <v>0</v>
          </cell>
          <cell r="BB195"/>
          <cell r="BC195">
            <v>0</v>
          </cell>
          <cell r="BD195">
            <v>4711</v>
          </cell>
          <cell r="BE195"/>
          <cell r="BF195">
            <v>0</v>
          </cell>
          <cell r="BG195">
            <v>0</v>
          </cell>
          <cell r="BH195">
            <v>0</v>
          </cell>
          <cell r="BI195">
            <v>15704</v>
          </cell>
          <cell r="BJ195">
            <v>12927</v>
          </cell>
          <cell r="BK195">
            <v>12927</v>
          </cell>
          <cell r="BL195">
            <v>0</v>
          </cell>
          <cell r="BM195">
            <v>0</v>
          </cell>
          <cell r="BN195">
            <v>0</v>
          </cell>
          <cell r="BO195">
            <v>79774</v>
          </cell>
          <cell r="BP195">
            <v>4744.2</v>
          </cell>
          <cell r="BQ195">
            <v>8546.5116279069807</v>
          </cell>
          <cell r="BR195">
            <v>0</v>
          </cell>
          <cell r="BS195">
            <v>0</v>
          </cell>
          <cell r="BT195">
            <v>21543</v>
          </cell>
          <cell r="BU195"/>
          <cell r="BV195"/>
          <cell r="BW195"/>
          <cell r="BX195"/>
          <cell r="BY195">
            <v>0</v>
          </cell>
          <cell r="BZ195">
            <v>0</v>
          </cell>
          <cell r="CA195">
            <v>0</v>
          </cell>
          <cell r="CB195">
            <v>0</v>
          </cell>
          <cell r="CC195">
            <v>780856</v>
          </cell>
          <cell r="CD195">
            <v>3466125</v>
          </cell>
          <cell r="CE195">
            <v>498537</v>
          </cell>
          <cell r="CF195">
            <v>0</v>
          </cell>
          <cell r="CG195">
            <v>498537</v>
          </cell>
          <cell r="CH195">
            <v>498537</v>
          </cell>
          <cell r="CI195">
            <v>498537</v>
          </cell>
          <cell r="CJ195">
            <v>498537</v>
          </cell>
          <cell r="CK195">
            <v>0</v>
          </cell>
          <cell r="CL195">
            <v>0</v>
          </cell>
          <cell r="CM195">
            <v>0</v>
          </cell>
          <cell r="CN195">
            <v>0</v>
          </cell>
          <cell r="CO195">
            <v>0</v>
          </cell>
          <cell r="CP195">
            <v>-2841</v>
          </cell>
          <cell r="CQ195">
            <v>210422</v>
          </cell>
          <cell r="CR195">
            <v>208916</v>
          </cell>
          <cell r="CS195">
            <v>207367</v>
          </cell>
          <cell r="CT195">
            <v>203413</v>
          </cell>
          <cell r="CU195">
            <v>206685</v>
          </cell>
          <cell r="CV195">
            <v>-15155</v>
          </cell>
          <cell r="CW195">
            <v>0</v>
          </cell>
          <cell r="CX195">
            <v>0</v>
          </cell>
          <cell r="CY195">
            <v>0</v>
          </cell>
          <cell r="CZ195">
            <v>0</v>
          </cell>
          <cell r="DA195">
            <v>0</v>
          </cell>
          <cell r="DB195"/>
          <cell r="DC195">
            <v>0</v>
          </cell>
          <cell r="DD195">
            <v>0</v>
          </cell>
          <cell r="DE195">
            <v>0</v>
          </cell>
          <cell r="DF195">
            <v>0</v>
          </cell>
          <cell r="DG195">
            <v>0</v>
          </cell>
          <cell r="DH195">
            <v>0</v>
          </cell>
          <cell r="DI195">
            <v>0</v>
          </cell>
          <cell r="DJ195">
            <v>0</v>
          </cell>
          <cell r="DK195">
            <v>0</v>
          </cell>
          <cell r="DL195">
            <v>0</v>
          </cell>
          <cell r="DM195"/>
          <cell r="DN195"/>
          <cell r="DO195"/>
          <cell r="DP195"/>
        </row>
        <row r="196">
          <cell r="A196">
            <v>439</v>
          </cell>
          <cell r="B196" t="str">
            <v>Purmerend</v>
          </cell>
          <cell r="C196">
            <v>7</v>
          </cell>
          <cell r="D196">
            <v>36673</v>
          </cell>
          <cell r="E196">
            <v>18337</v>
          </cell>
          <cell r="F196">
            <v>0</v>
          </cell>
          <cell r="G196">
            <v>0</v>
          </cell>
          <cell r="H196">
            <v>-30566</v>
          </cell>
          <cell r="I196">
            <v>-43160</v>
          </cell>
          <cell r="J196"/>
          <cell r="K196">
            <v>0</v>
          </cell>
          <cell r="L196">
            <v>379021</v>
          </cell>
          <cell r="M196">
            <v>371394</v>
          </cell>
          <cell r="N196">
            <v>0</v>
          </cell>
          <cell r="O196">
            <v>0</v>
          </cell>
          <cell r="P196">
            <v>0</v>
          </cell>
          <cell r="Q196">
            <v>0</v>
          </cell>
          <cell r="R196">
            <v>0</v>
          </cell>
          <cell r="S196">
            <v>0</v>
          </cell>
          <cell r="T196">
            <v>0</v>
          </cell>
          <cell r="U196">
            <v>0</v>
          </cell>
          <cell r="V196">
            <v>0</v>
          </cell>
          <cell r="W196">
            <v>314115</v>
          </cell>
          <cell r="X196">
            <v>0</v>
          </cell>
          <cell r="Y196"/>
          <cell r="Z196">
            <v>0</v>
          </cell>
          <cell r="AA196">
            <v>0</v>
          </cell>
          <cell r="AB196">
            <v>0</v>
          </cell>
          <cell r="AC196"/>
          <cell r="AD196">
            <v>33245</v>
          </cell>
          <cell r="AE196">
            <v>0</v>
          </cell>
          <cell r="AF196">
            <v>0</v>
          </cell>
          <cell r="AG196">
            <v>0</v>
          </cell>
          <cell r="AH196">
            <v>0</v>
          </cell>
          <cell r="AI196">
            <v>297554</v>
          </cell>
          <cell r="AJ196">
            <v>0</v>
          </cell>
          <cell r="AK196">
            <v>0</v>
          </cell>
          <cell r="AL196"/>
          <cell r="AM196">
            <v>12044</v>
          </cell>
          <cell r="AN196">
            <v>12321</v>
          </cell>
          <cell r="AO196">
            <v>12605</v>
          </cell>
          <cell r="AP196">
            <v>12895</v>
          </cell>
          <cell r="AQ196">
            <v>13191</v>
          </cell>
          <cell r="AR196">
            <v>13495</v>
          </cell>
          <cell r="AS196">
            <v>0</v>
          </cell>
          <cell r="AT196">
            <v>20000</v>
          </cell>
          <cell r="AU196">
            <v>4740</v>
          </cell>
          <cell r="AV196">
            <v>1494083.09906424</v>
          </cell>
          <cell r="AW196">
            <v>0</v>
          </cell>
          <cell r="AX196">
            <v>0</v>
          </cell>
          <cell r="AY196"/>
          <cell r="AZ196"/>
          <cell r="BA196">
            <v>0</v>
          </cell>
          <cell r="BB196"/>
          <cell r="BC196">
            <v>0</v>
          </cell>
          <cell r="BD196">
            <v>28058</v>
          </cell>
          <cell r="BE196"/>
          <cell r="BF196">
            <v>0</v>
          </cell>
          <cell r="BG196">
            <v>0</v>
          </cell>
          <cell r="BH196">
            <v>0</v>
          </cell>
          <cell r="BI196">
            <v>127543</v>
          </cell>
          <cell r="BJ196">
            <v>104987</v>
          </cell>
          <cell r="BK196">
            <v>104987</v>
          </cell>
          <cell r="BL196">
            <v>0</v>
          </cell>
          <cell r="BM196">
            <v>0</v>
          </cell>
          <cell r="BN196">
            <v>0</v>
          </cell>
          <cell r="BO196">
            <v>67613</v>
          </cell>
          <cell r="BP196">
            <v>17395.400000000001</v>
          </cell>
          <cell r="BQ196">
            <v>31337.209302325598</v>
          </cell>
          <cell r="BR196">
            <v>0</v>
          </cell>
          <cell r="BS196">
            <v>0</v>
          </cell>
          <cell r="BT196">
            <v>118062</v>
          </cell>
          <cell r="BU196"/>
          <cell r="BV196"/>
          <cell r="BW196"/>
          <cell r="BX196"/>
          <cell r="BY196">
            <v>0</v>
          </cell>
          <cell r="BZ196">
            <v>0</v>
          </cell>
          <cell r="CA196">
            <v>0</v>
          </cell>
          <cell r="CB196">
            <v>0</v>
          </cell>
          <cell r="CC196">
            <v>6915314</v>
          </cell>
          <cell r="CD196">
            <v>45106900</v>
          </cell>
          <cell r="CE196">
            <v>1185515</v>
          </cell>
          <cell r="CF196">
            <v>-41395</v>
          </cell>
          <cell r="CG196">
            <v>1185515</v>
          </cell>
          <cell r="CH196">
            <v>1185515</v>
          </cell>
          <cell r="CI196">
            <v>1185515</v>
          </cell>
          <cell r="CJ196">
            <v>1185515</v>
          </cell>
          <cell r="CK196">
            <v>6720073</v>
          </cell>
          <cell r="CL196">
            <v>6716881</v>
          </cell>
          <cell r="CM196">
            <v>6716829</v>
          </cell>
          <cell r="CN196">
            <v>6716716</v>
          </cell>
          <cell r="CO196">
            <v>6716873</v>
          </cell>
          <cell r="CP196">
            <v>-9400</v>
          </cell>
          <cell r="CQ196">
            <v>6478561</v>
          </cell>
          <cell r="CR196">
            <v>6287636</v>
          </cell>
          <cell r="CS196">
            <v>6163406</v>
          </cell>
          <cell r="CT196">
            <v>6009794</v>
          </cell>
          <cell r="CU196">
            <v>5946725</v>
          </cell>
          <cell r="CV196">
            <v>113357</v>
          </cell>
          <cell r="CW196">
            <v>0</v>
          </cell>
          <cell r="CX196">
            <v>0</v>
          </cell>
          <cell r="CY196">
            <v>0</v>
          </cell>
          <cell r="CZ196">
            <v>0</v>
          </cell>
          <cell r="DA196">
            <v>0</v>
          </cell>
          <cell r="DB196"/>
          <cell r="DC196">
            <v>0</v>
          </cell>
          <cell r="DD196">
            <v>0</v>
          </cell>
          <cell r="DE196">
            <v>0</v>
          </cell>
          <cell r="DF196">
            <v>0</v>
          </cell>
          <cell r="DG196">
            <v>0</v>
          </cell>
          <cell r="DH196">
            <v>0</v>
          </cell>
          <cell r="DI196">
            <v>0</v>
          </cell>
          <cell r="DJ196">
            <v>0</v>
          </cell>
          <cell r="DK196">
            <v>0</v>
          </cell>
          <cell r="DL196">
            <v>0</v>
          </cell>
          <cell r="DM196"/>
          <cell r="DN196"/>
          <cell r="DO196"/>
          <cell r="DP196"/>
        </row>
        <row r="197">
          <cell r="A197">
            <v>441</v>
          </cell>
          <cell r="B197" t="str">
            <v>Schagen</v>
          </cell>
          <cell r="C197">
            <v>7</v>
          </cell>
          <cell r="D197">
            <v>11263</v>
          </cell>
          <cell r="E197">
            <v>5632</v>
          </cell>
          <cell r="F197">
            <v>0</v>
          </cell>
          <cell r="G197">
            <v>0</v>
          </cell>
          <cell r="H197">
            <v>-46863</v>
          </cell>
          <cell r="I197">
            <v>-33373</v>
          </cell>
          <cell r="J197"/>
          <cell r="K197">
            <v>0</v>
          </cell>
          <cell r="L197">
            <v>151927</v>
          </cell>
          <cell r="M197">
            <v>129226</v>
          </cell>
          <cell r="N197">
            <v>0</v>
          </cell>
          <cell r="O197">
            <v>0</v>
          </cell>
          <cell r="P197">
            <v>0</v>
          </cell>
          <cell r="Q197">
            <v>0</v>
          </cell>
          <cell r="R197">
            <v>0</v>
          </cell>
          <cell r="S197">
            <v>0</v>
          </cell>
          <cell r="T197">
            <v>0</v>
          </cell>
          <cell r="U197">
            <v>0</v>
          </cell>
          <cell r="V197">
            <v>21000</v>
          </cell>
          <cell r="W197">
            <v>190490</v>
          </cell>
          <cell r="X197">
            <v>0</v>
          </cell>
          <cell r="Y197"/>
          <cell r="Z197">
            <v>0</v>
          </cell>
          <cell r="AA197">
            <v>0</v>
          </cell>
          <cell r="AB197">
            <v>0</v>
          </cell>
          <cell r="AC197"/>
          <cell r="AD197">
            <v>20000</v>
          </cell>
          <cell r="AE197">
            <v>0</v>
          </cell>
          <cell r="AF197">
            <v>0</v>
          </cell>
          <cell r="AG197">
            <v>0</v>
          </cell>
          <cell r="AH197">
            <v>0</v>
          </cell>
          <cell r="AI197">
            <v>0</v>
          </cell>
          <cell r="AJ197">
            <v>0</v>
          </cell>
          <cell r="AK197">
            <v>0</v>
          </cell>
          <cell r="AL197"/>
          <cell r="AM197">
            <v>88551</v>
          </cell>
          <cell r="AN197">
            <v>90588</v>
          </cell>
          <cell r="AO197">
            <v>92671</v>
          </cell>
          <cell r="AP197">
            <v>94803</v>
          </cell>
          <cell r="AQ197">
            <v>96983</v>
          </cell>
          <cell r="AR197">
            <v>99214</v>
          </cell>
          <cell r="AS197">
            <v>0</v>
          </cell>
          <cell r="AT197">
            <v>0</v>
          </cell>
          <cell r="AU197">
            <v>2370</v>
          </cell>
          <cell r="AV197">
            <v>0</v>
          </cell>
          <cell r="AW197">
            <v>0</v>
          </cell>
          <cell r="AX197">
            <v>0</v>
          </cell>
          <cell r="AY197"/>
          <cell r="AZ197"/>
          <cell r="BA197">
            <v>0</v>
          </cell>
          <cell r="BB197"/>
          <cell r="BC197">
            <v>0</v>
          </cell>
          <cell r="BD197">
            <v>16215</v>
          </cell>
          <cell r="BE197"/>
          <cell r="BF197">
            <v>0</v>
          </cell>
          <cell r="BG197">
            <v>0</v>
          </cell>
          <cell r="BH197">
            <v>0</v>
          </cell>
          <cell r="BI197">
            <v>56276</v>
          </cell>
          <cell r="BJ197">
            <v>46324</v>
          </cell>
          <cell r="BK197">
            <v>46324</v>
          </cell>
          <cell r="BL197">
            <v>0</v>
          </cell>
          <cell r="BM197">
            <v>0</v>
          </cell>
          <cell r="BN197">
            <v>0</v>
          </cell>
          <cell r="BO197">
            <v>175114</v>
          </cell>
          <cell r="BP197">
            <v>6325.6</v>
          </cell>
          <cell r="BQ197">
            <v>11395.3488372093</v>
          </cell>
          <cell r="BR197">
            <v>0</v>
          </cell>
          <cell r="BS197">
            <v>0</v>
          </cell>
          <cell r="BT197">
            <v>84562</v>
          </cell>
          <cell r="BU197"/>
          <cell r="BV197"/>
          <cell r="BW197"/>
          <cell r="BX197"/>
          <cell r="BY197">
            <v>0</v>
          </cell>
          <cell r="BZ197">
            <v>0</v>
          </cell>
          <cell r="CA197">
            <v>0</v>
          </cell>
          <cell r="CB197">
            <v>0</v>
          </cell>
          <cell r="CC197">
            <v>3451316</v>
          </cell>
          <cell r="CD197">
            <v>19320007</v>
          </cell>
          <cell r="CE197">
            <v>1144357</v>
          </cell>
          <cell r="CF197">
            <v>-53150</v>
          </cell>
          <cell r="CG197">
            <v>1144357</v>
          </cell>
          <cell r="CH197">
            <v>1144357</v>
          </cell>
          <cell r="CI197">
            <v>1144357</v>
          </cell>
          <cell r="CJ197">
            <v>1144357</v>
          </cell>
          <cell r="CK197">
            <v>0</v>
          </cell>
          <cell r="CL197">
            <v>0</v>
          </cell>
          <cell r="CM197">
            <v>0</v>
          </cell>
          <cell r="CN197">
            <v>0</v>
          </cell>
          <cell r="CO197">
            <v>0</v>
          </cell>
          <cell r="CP197">
            <v>-4073</v>
          </cell>
          <cell r="CQ197">
            <v>4382814</v>
          </cell>
          <cell r="CR197">
            <v>4203532</v>
          </cell>
          <cell r="CS197">
            <v>4149726</v>
          </cell>
          <cell r="CT197">
            <v>4128685</v>
          </cell>
          <cell r="CU197">
            <v>4062262</v>
          </cell>
          <cell r="CV197">
            <v>-2626</v>
          </cell>
          <cell r="CW197">
            <v>0</v>
          </cell>
          <cell r="CX197">
            <v>0</v>
          </cell>
          <cell r="CY197">
            <v>0</v>
          </cell>
          <cell r="CZ197">
            <v>0</v>
          </cell>
          <cell r="DA197">
            <v>0</v>
          </cell>
          <cell r="DB197"/>
          <cell r="DC197">
            <v>0</v>
          </cell>
          <cell r="DD197">
            <v>0</v>
          </cell>
          <cell r="DE197">
            <v>0</v>
          </cell>
          <cell r="DF197">
            <v>0</v>
          </cell>
          <cell r="DG197">
            <v>0</v>
          </cell>
          <cell r="DH197">
            <v>0</v>
          </cell>
          <cell r="DI197">
            <v>0</v>
          </cell>
          <cell r="DJ197">
            <v>0</v>
          </cell>
          <cell r="DK197">
            <v>0</v>
          </cell>
          <cell r="DL197">
            <v>0</v>
          </cell>
          <cell r="DM197"/>
          <cell r="DN197"/>
          <cell r="DO197"/>
          <cell r="DP197"/>
        </row>
        <row r="198">
          <cell r="A198">
            <v>532</v>
          </cell>
          <cell r="B198" t="str">
            <v>Stede Broec</v>
          </cell>
          <cell r="C198">
            <v>7</v>
          </cell>
          <cell r="D198">
            <v>3211</v>
          </cell>
          <cell r="E198">
            <v>1605</v>
          </cell>
          <cell r="F198">
            <v>0</v>
          </cell>
          <cell r="G198">
            <v>0</v>
          </cell>
          <cell r="H198">
            <v>-5274</v>
          </cell>
          <cell r="I198">
            <v>-1757</v>
          </cell>
          <cell r="J198"/>
          <cell r="K198">
            <v>0</v>
          </cell>
          <cell r="L198">
            <v>94009</v>
          </cell>
          <cell r="M198">
            <v>88920</v>
          </cell>
          <cell r="N198">
            <v>0</v>
          </cell>
          <cell r="O198">
            <v>0</v>
          </cell>
          <cell r="P198">
            <v>0</v>
          </cell>
          <cell r="Q198">
            <v>0</v>
          </cell>
          <cell r="R198">
            <v>0</v>
          </cell>
          <cell r="S198">
            <v>0</v>
          </cell>
          <cell r="T198">
            <v>0</v>
          </cell>
          <cell r="U198">
            <v>0</v>
          </cell>
          <cell r="V198">
            <v>9000</v>
          </cell>
          <cell r="W198">
            <v>82431</v>
          </cell>
          <cell r="X198">
            <v>0</v>
          </cell>
          <cell r="Y198"/>
          <cell r="Z198">
            <v>0</v>
          </cell>
          <cell r="AA198">
            <v>0</v>
          </cell>
          <cell r="AB198">
            <v>0</v>
          </cell>
          <cell r="AC198"/>
          <cell r="AD198">
            <v>0</v>
          </cell>
          <cell r="AE198">
            <v>0</v>
          </cell>
          <cell r="AF198">
            <v>0</v>
          </cell>
          <cell r="AG198">
            <v>0</v>
          </cell>
          <cell r="AH198">
            <v>0</v>
          </cell>
          <cell r="AI198">
            <v>0</v>
          </cell>
          <cell r="AJ198">
            <v>0</v>
          </cell>
          <cell r="AK198">
            <v>0</v>
          </cell>
          <cell r="AL198"/>
          <cell r="AM198">
            <v>12471</v>
          </cell>
          <cell r="AN198">
            <v>12758</v>
          </cell>
          <cell r="AO198">
            <v>13051</v>
          </cell>
          <cell r="AP198">
            <v>13351</v>
          </cell>
          <cell r="AQ198">
            <v>13658</v>
          </cell>
          <cell r="AR198">
            <v>13972</v>
          </cell>
          <cell r="AS198">
            <v>0</v>
          </cell>
          <cell r="AT198">
            <v>0</v>
          </cell>
          <cell r="AU198">
            <v>0</v>
          </cell>
          <cell r="AV198">
            <v>0</v>
          </cell>
          <cell r="AW198">
            <v>0</v>
          </cell>
          <cell r="AX198">
            <v>0</v>
          </cell>
          <cell r="AY198"/>
          <cell r="AZ198"/>
          <cell r="BA198">
            <v>0</v>
          </cell>
          <cell r="BB198"/>
          <cell r="BC198">
            <v>0</v>
          </cell>
          <cell r="BD198">
            <v>7566</v>
          </cell>
          <cell r="BE198"/>
          <cell r="BF198">
            <v>0</v>
          </cell>
          <cell r="BG198">
            <v>0</v>
          </cell>
          <cell r="BH198">
            <v>0</v>
          </cell>
          <cell r="BI198">
            <v>27937</v>
          </cell>
          <cell r="BJ198">
            <v>22996</v>
          </cell>
          <cell r="BK198">
            <v>22996</v>
          </cell>
          <cell r="BL198">
            <v>0</v>
          </cell>
          <cell r="BM198">
            <v>0</v>
          </cell>
          <cell r="BN198">
            <v>0</v>
          </cell>
          <cell r="BO198">
            <v>21403</v>
          </cell>
          <cell r="BP198">
            <v>1581.4</v>
          </cell>
          <cell r="BQ198">
            <v>2848.8372093023299</v>
          </cell>
          <cell r="BR198">
            <v>0</v>
          </cell>
          <cell r="BS198">
            <v>0</v>
          </cell>
          <cell r="BT198">
            <v>31311</v>
          </cell>
          <cell r="BU198"/>
          <cell r="BV198"/>
          <cell r="BW198"/>
          <cell r="BX198"/>
          <cell r="BY198">
            <v>0</v>
          </cell>
          <cell r="BZ198">
            <v>0</v>
          </cell>
          <cell r="CA198">
            <v>0</v>
          </cell>
          <cell r="CB198">
            <v>0</v>
          </cell>
          <cell r="CC198">
            <v>1499365</v>
          </cell>
          <cell r="CD198">
            <v>10155842</v>
          </cell>
          <cell r="CE198">
            <v>904100</v>
          </cell>
          <cell r="CF198">
            <v>0</v>
          </cell>
          <cell r="CG198">
            <v>904100</v>
          </cell>
          <cell r="CH198">
            <v>904100</v>
          </cell>
          <cell r="CI198">
            <v>904100</v>
          </cell>
          <cell r="CJ198">
            <v>904100</v>
          </cell>
          <cell r="CK198">
            <v>0</v>
          </cell>
          <cell r="CL198">
            <v>0</v>
          </cell>
          <cell r="CM198">
            <v>0</v>
          </cell>
          <cell r="CN198">
            <v>0</v>
          </cell>
          <cell r="CO198">
            <v>0</v>
          </cell>
          <cell r="CP198">
            <v>-634</v>
          </cell>
          <cell r="CQ198">
            <v>2029567</v>
          </cell>
          <cell r="CR198">
            <v>1969665</v>
          </cell>
          <cell r="CS198">
            <v>1936962</v>
          </cell>
          <cell r="CT198">
            <v>1899256</v>
          </cell>
          <cell r="CU198">
            <v>1891574</v>
          </cell>
          <cell r="CV198">
            <v>12928</v>
          </cell>
          <cell r="CW198">
            <v>0</v>
          </cell>
          <cell r="CX198">
            <v>0</v>
          </cell>
          <cell r="CY198">
            <v>0</v>
          </cell>
          <cell r="CZ198">
            <v>0</v>
          </cell>
          <cell r="DA198">
            <v>0</v>
          </cell>
          <cell r="DB198"/>
          <cell r="DC198">
            <v>0</v>
          </cell>
          <cell r="DD198">
            <v>0</v>
          </cell>
          <cell r="DE198">
            <v>0</v>
          </cell>
          <cell r="DF198">
            <v>0</v>
          </cell>
          <cell r="DG198">
            <v>0</v>
          </cell>
          <cell r="DH198">
            <v>0</v>
          </cell>
          <cell r="DI198">
            <v>0</v>
          </cell>
          <cell r="DJ198">
            <v>0</v>
          </cell>
          <cell r="DK198">
            <v>0</v>
          </cell>
          <cell r="DL198">
            <v>0</v>
          </cell>
          <cell r="DM198"/>
          <cell r="DN198"/>
          <cell r="DO198"/>
          <cell r="DP198"/>
        </row>
        <row r="199">
          <cell r="A199">
            <v>448</v>
          </cell>
          <cell r="B199" t="str">
            <v>Texel</v>
          </cell>
          <cell r="C199">
            <v>7</v>
          </cell>
          <cell r="D199">
            <v>-62468</v>
          </cell>
          <cell r="E199">
            <v>-31234</v>
          </cell>
          <cell r="F199">
            <v>0</v>
          </cell>
          <cell r="G199">
            <v>0</v>
          </cell>
          <cell r="H199">
            <v>-27267</v>
          </cell>
          <cell r="I199">
            <v>-23873</v>
          </cell>
          <cell r="J199"/>
          <cell r="K199">
            <v>0</v>
          </cell>
          <cell r="L199">
            <v>54714</v>
          </cell>
          <cell r="M199">
            <v>44044</v>
          </cell>
          <cell r="N199">
            <v>0</v>
          </cell>
          <cell r="O199">
            <v>0</v>
          </cell>
          <cell r="P199">
            <v>0</v>
          </cell>
          <cell r="Q199">
            <v>0</v>
          </cell>
          <cell r="R199">
            <v>0</v>
          </cell>
          <cell r="S199">
            <v>0</v>
          </cell>
          <cell r="T199">
            <v>0</v>
          </cell>
          <cell r="U199">
            <v>0</v>
          </cell>
          <cell r="V199">
            <v>6000</v>
          </cell>
          <cell r="W199">
            <v>55203</v>
          </cell>
          <cell r="X199">
            <v>0</v>
          </cell>
          <cell r="Y199"/>
          <cell r="Z199">
            <v>0</v>
          </cell>
          <cell r="AA199">
            <v>0</v>
          </cell>
          <cell r="AB199">
            <v>0</v>
          </cell>
          <cell r="AC199"/>
          <cell r="AD199">
            <v>0</v>
          </cell>
          <cell r="AE199">
            <v>0</v>
          </cell>
          <cell r="AF199">
            <v>0</v>
          </cell>
          <cell r="AG199">
            <v>0</v>
          </cell>
          <cell r="AH199">
            <v>0</v>
          </cell>
          <cell r="AI199">
            <v>0</v>
          </cell>
          <cell r="AJ199">
            <v>0</v>
          </cell>
          <cell r="AK199">
            <v>0</v>
          </cell>
          <cell r="AL199"/>
          <cell r="AM199">
            <v>0</v>
          </cell>
          <cell r="AN199">
            <v>0</v>
          </cell>
          <cell r="AO199">
            <v>0</v>
          </cell>
          <cell r="AP199">
            <v>0</v>
          </cell>
          <cell r="AQ199">
            <v>0</v>
          </cell>
          <cell r="AR199">
            <v>0</v>
          </cell>
          <cell r="AS199">
            <v>0</v>
          </cell>
          <cell r="AT199">
            <v>0</v>
          </cell>
          <cell r="AU199">
            <v>0</v>
          </cell>
          <cell r="AV199">
            <v>0</v>
          </cell>
          <cell r="AW199">
            <v>0</v>
          </cell>
          <cell r="AX199">
            <v>0</v>
          </cell>
          <cell r="AY199"/>
          <cell r="AZ199"/>
          <cell r="BA199">
            <v>0</v>
          </cell>
          <cell r="BB199"/>
          <cell r="BC199">
            <v>0</v>
          </cell>
          <cell r="BD199">
            <v>4755</v>
          </cell>
          <cell r="BE199"/>
          <cell r="BF199">
            <v>0</v>
          </cell>
          <cell r="BG199">
            <v>0</v>
          </cell>
          <cell r="BH199">
            <v>0</v>
          </cell>
          <cell r="BI199">
            <v>16271</v>
          </cell>
          <cell r="BJ199">
            <v>13394</v>
          </cell>
          <cell r="BK199">
            <v>13394</v>
          </cell>
          <cell r="BL199">
            <v>0</v>
          </cell>
          <cell r="BM199">
            <v>0</v>
          </cell>
          <cell r="BN199">
            <v>0</v>
          </cell>
          <cell r="BO199">
            <v>105068</v>
          </cell>
          <cell r="BP199">
            <v>11069.8</v>
          </cell>
          <cell r="BQ199">
            <v>19941.8604651163</v>
          </cell>
          <cell r="BR199">
            <v>0</v>
          </cell>
          <cell r="BS199">
            <v>0</v>
          </cell>
          <cell r="BT199">
            <v>37480</v>
          </cell>
          <cell r="BU199"/>
          <cell r="BV199"/>
          <cell r="BW199"/>
          <cell r="BX199"/>
          <cell r="BY199">
            <v>0</v>
          </cell>
          <cell r="BZ199">
            <v>0</v>
          </cell>
          <cell r="CA199">
            <v>0</v>
          </cell>
          <cell r="CB199">
            <v>0</v>
          </cell>
          <cell r="CC199">
            <v>1039341</v>
          </cell>
          <cell r="CD199">
            <v>7204333</v>
          </cell>
          <cell r="CE199">
            <v>333938</v>
          </cell>
          <cell r="CF199">
            <v>-46215</v>
          </cell>
          <cell r="CG199">
            <v>333938</v>
          </cell>
          <cell r="CH199">
            <v>333938</v>
          </cell>
          <cell r="CI199">
            <v>333938</v>
          </cell>
          <cell r="CJ199">
            <v>333938</v>
          </cell>
          <cell r="CK199">
            <v>0</v>
          </cell>
          <cell r="CL199">
            <v>0</v>
          </cell>
          <cell r="CM199">
            <v>0</v>
          </cell>
          <cell r="CN199">
            <v>0</v>
          </cell>
          <cell r="CO199">
            <v>0</v>
          </cell>
          <cell r="CP199">
            <v>-1701</v>
          </cell>
          <cell r="CQ199">
            <v>2477645</v>
          </cell>
          <cell r="CR199">
            <v>2379159</v>
          </cell>
          <cell r="CS199">
            <v>2324354</v>
          </cell>
          <cell r="CT199">
            <v>2228121</v>
          </cell>
          <cell r="CU199">
            <v>2165704</v>
          </cell>
          <cell r="CV199">
            <v>17171</v>
          </cell>
          <cell r="CW199">
            <v>0</v>
          </cell>
          <cell r="CX199">
            <v>0</v>
          </cell>
          <cell r="CY199">
            <v>0</v>
          </cell>
          <cell r="CZ199">
            <v>0</v>
          </cell>
          <cell r="DA199">
            <v>0</v>
          </cell>
          <cell r="DB199"/>
          <cell r="DC199">
            <v>0</v>
          </cell>
          <cell r="DD199">
            <v>0</v>
          </cell>
          <cell r="DE199">
            <v>0</v>
          </cell>
          <cell r="DF199">
            <v>0</v>
          </cell>
          <cell r="DG199">
            <v>0</v>
          </cell>
          <cell r="DH199">
            <v>0</v>
          </cell>
          <cell r="DI199">
            <v>0</v>
          </cell>
          <cell r="DJ199">
            <v>0</v>
          </cell>
          <cell r="DK199">
            <v>0</v>
          </cell>
          <cell r="DL199">
            <v>0</v>
          </cell>
          <cell r="DM199"/>
          <cell r="DN199"/>
          <cell r="DO199"/>
          <cell r="DP199"/>
        </row>
        <row r="200">
          <cell r="A200">
            <v>450</v>
          </cell>
          <cell r="B200" t="str">
            <v>Uitgeest</v>
          </cell>
          <cell r="C200">
            <v>7</v>
          </cell>
          <cell r="D200">
            <v>-9592</v>
          </cell>
          <cell r="E200">
            <v>-4796</v>
          </cell>
          <cell r="F200">
            <v>0</v>
          </cell>
          <cell r="G200">
            <v>0</v>
          </cell>
          <cell r="H200">
            <v>-10928</v>
          </cell>
          <cell r="I200">
            <v>-12971</v>
          </cell>
          <cell r="J200"/>
          <cell r="K200">
            <v>0</v>
          </cell>
          <cell r="L200">
            <v>38081</v>
          </cell>
          <cell r="M200">
            <v>39996</v>
          </cell>
          <cell r="N200">
            <v>0</v>
          </cell>
          <cell r="O200">
            <v>0</v>
          </cell>
          <cell r="P200">
            <v>0</v>
          </cell>
          <cell r="Q200">
            <v>0</v>
          </cell>
          <cell r="R200">
            <v>0</v>
          </cell>
          <cell r="S200">
            <v>0</v>
          </cell>
          <cell r="T200">
            <v>0</v>
          </cell>
          <cell r="U200">
            <v>0</v>
          </cell>
          <cell r="V200">
            <v>0</v>
          </cell>
          <cell r="W200">
            <v>24042</v>
          </cell>
          <cell r="X200">
            <v>0</v>
          </cell>
          <cell r="Y200"/>
          <cell r="Z200">
            <v>0</v>
          </cell>
          <cell r="AA200">
            <v>0</v>
          </cell>
          <cell r="AB200">
            <v>0</v>
          </cell>
          <cell r="AC200"/>
          <cell r="AD200">
            <v>0</v>
          </cell>
          <cell r="AE200">
            <v>0</v>
          </cell>
          <cell r="AF200">
            <v>0</v>
          </cell>
          <cell r="AG200">
            <v>0</v>
          </cell>
          <cell r="AH200">
            <v>0</v>
          </cell>
          <cell r="AI200">
            <v>0</v>
          </cell>
          <cell r="AJ200">
            <v>0</v>
          </cell>
          <cell r="AK200">
            <v>0</v>
          </cell>
          <cell r="AL200"/>
          <cell r="AM200">
            <v>16670</v>
          </cell>
          <cell r="AN200">
            <v>17054</v>
          </cell>
          <cell r="AO200">
            <v>17446</v>
          </cell>
          <cell r="AP200">
            <v>17847</v>
          </cell>
          <cell r="AQ200">
            <v>18258</v>
          </cell>
          <cell r="AR200">
            <v>18678</v>
          </cell>
          <cell r="AS200">
            <v>0</v>
          </cell>
          <cell r="AT200">
            <v>0</v>
          </cell>
          <cell r="AU200">
            <v>0</v>
          </cell>
          <cell r="AV200">
            <v>0</v>
          </cell>
          <cell r="AW200">
            <v>0</v>
          </cell>
          <cell r="AX200">
            <v>0</v>
          </cell>
          <cell r="AY200"/>
          <cell r="AZ200"/>
          <cell r="BA200">
            <v>0</v>
          </cell>
          <cell r="BB200"/>
          <cell r="BC200">
            <v>0</v>
          </cell>
          <cell r="BD200">
            <v>4727</v>
          </cell>
          <cell r="BE200"/>
          <cell r="BF200">
            <v>0</v>
          </cell>
          <cell r="BG200">
            <v>0</v>
          </cell>
          <cell r="BH200">
            <v>0</v>
          </cell>
          <cell r="BI200">
            <v>11044</v>
          </cell>
          <cell r="BJ200">
            <v>9091</v>
          </cell>
          <cell r="BK200">
            <v>9091</v>
          </cell>
          <cell r="BL200">
            <v>0</v>
          </cell>
          <cell r="BM200">
            <v>0</v>
          </cell>
          <cell r="BN200">
            <v>0</v>
          </cell>
          <cell r="BO200">
            <v>10215</v>
          </cell>
          <cell r="BP200">
            <v>3162.8</v>
          </cell>
          <cell r="BQ200">
            <v>5697.6744186046499</v>
          </cell>
          <cell r="BR200">
            <v>0</v>
          </cell>
          <cell r="BS200">
            <v>0</v>
          </cell>
          <cell r="BT200">
            <v>20348</v>
          </cell>
          <cell r="BU200"/>
          <cell r="BV200"/>
          <cell r="BW200"/>
          <cell r="BX200"/>
          <cell r="BY200">
            <v>0</v>
          </cell>
          <cell r="BZ200">
            <v>0</v>
          </cell>
          <cell r="CA200">
            <v>0</v>
          </cell>
          <cell r="CB200">
            <v>0</v>
          </cell>
          <cell r="CC200">
            <v>653105</v>
          </cell>
          <cell r="CD200">
            <v>3837883</v>
          </cell>
          <cell r="CE200">
            <v>116165</v>
          </cell>
          <cell r="CF200">
            <v>-21418</v>
          </cell>
          <cell r="CG200">
            <v>116165</v>
          </cell>
          <cell r="CH200">
            <v>116165</v>
          </cell>
          <cell r="CI200">
            <v>116165</v>
          </cell>
          <cell r="CJ200">
            <v>116165</v>
          </cell>
          <cell r="CK200">
            <v>0</v>
          </cell>
          <cell r="CL200">
            <v>0</v>
          </cell>
          <cell r="CM200">
            <v>0</v>
          </cell>
          <cell r="CN200">
            <v>0</v>
          </cell>
          <cell r="CO200">
            <v>0</v>
          </cell>
          <cell r="CP200">
            <v>-1466</v>
          </cell>
          <cell r="CQ200">
            <v>769953</v>
          </cell>
          <cell r="CR200">
            <v>749233</v>
          </cell>
          <cell r="CS200">
            <v>731733</v>
          </cell>
          <cell r="CT200">
            <v>736719</v>
          </cell>
          <cell r="CU200">
            <v>739754</v>
          </cell>
          <cell r="CV200">
            <v>-919</v>
          </cell>
          <cell r="CW200">
            <v>0</v>
          </cell>
          <cell r="CX200">
            <v>0</v>
          </cell>
          <cell r="CY200">
            <v>0</v>
          </cell>
          <cell r="CZ200">
            <v>0</v>
          </cell>
          <cell r="DA200">
            <v>0</v>
          </cell>
          <cell r="DB200"/>
          <cell r="DC200">
            <v>0</v>
          </cell>
          <cell r="DD200">
            <v>0</v>
          </cell>
          <cell r="DE200">
            <v>0</v>
          </cell>
          <cell r="DF200">
            <v>0</v>
          </cell>
          <cell r="DG200">
            <v>0</v>
          </cell>
          <cell r="DH200">
            <v>0</v>
          </cell>
          <cell r="DI200">
            <v>0</v>
          </cell>
          <cell r="DJ200">
            <v>0</v>
          </cell>
          <cell r="DK200">
            <v>0</v>
          </cell>
          <cell r="DL200">
            <v>0</v>
          </cell>
          <cell r="DM200"/>
          <cell r="DN200"/>
          <cell r="DO200"/>
          <cell r="DP200"/>
        </row>
        <row r="201">
          <cell r="A201">
            <v>451</v>
          </cell>
          <cell r="B201" t="str">
            <v>Uithoorn</v>
          </cell>
          <cell r="C201">
            <v>7</v>
          </cell>
          <cell r="D201">
            <v>-8967</v>
          </cell>
          <cell r="E201">
            <v>-4484</v>
          </cell>
          <cell r="F201">
            <v>0</v>
          </cell>
          <cell r="G201">
            <v>0</v>
          </cell>
          <cell r="H201">
            <v>0</v>
          </cell>
          <cell r="I201">
            <v>-6459</v>
          </cell>
          <cell r="J201"/>
          <cell r="K201">
            <v>0</v>
          </cell>
          <cell r="L201">
            <v>134717</v>
          </cell>
          <cell r="M201">
            <v>143772</v>
          </cell>
          <cell r="N201">
            <v>0</v>
          </cell>
          <cell r="O201">
            <v>0</v>
          </cell>
          <cell r="P201">
            <v>0</v>
          </cell>
          <cell r="Q201">
            <v>0</v>
          </cell>
          <cell r="R201">
            <v>0</v>
          </cell>
          <cell r="S201">
            <v>0</v>
          </cell>
          <cell r="T201">
            <v>0</v>
          </cell>
          <cell r="U201">
            <v>0</v>
          </cell>
          <cell r="V201">
            <v>6000</v>
          </cell>
          <cell r="W201">
            <v>115461</v>
          </cell>
          <cell r="X201">
            <v>0</v>
          </cell>
          <cell r="Y201"/>
          <cell r="Z201">
            <v>0</v>
          </cell>
          <cell r="AA201">
            <v>0</v>
          </cell>
          <cell r="AB201">
            <v>0</v>
          </cell>
          <cell r="AC201"/>
          <cell r="AD201">
            <v>0</v>
          </cell>
          <cell r="AE201">
            <v>0</v>
          </cell>
          <cell r="AF201">
            <v>0</v>
          </cell>
          <cell r="AG201">
            <v>0</v>
          </cell>
          <cell r="AH201">
            <v>0</v>
          </cell>
          <cell r="AI201">
            <v>0</v>
          </cell>
          <cell r="AJ201">
            <v>0</v>
          </cell>
          <cell r="AK201">
            <v>0</v>
          </cell>
          <cell r="AL201"/>
          <cell r="AM201">
            <v>0</v>
          </cell>
          <cell r="AN201">
            <v>0</v>
          </cell>
          <cell r="AO201">
            <v>0</v>
          </cell>
          <cell r="AP201">
            <v>0</v>
          </cell>
          <cell r="AQ201">
            <v>0</v>
          </cell>
          <cell r="AR201">
            <v>0</v>
          </cell>
          <cell r="AS201">
            <v>0</v>
          </cell>
          <cell r="AT201">
            <v>0</v>
          </cell>
          <cell r="AU201">
            <v>4740</v>
          </cell>
          <cell r="AV201">
            <v>0</v>
          </cell>
          <cell r="AW201">
            <v>0</v>
          </cell>
          <cell r="AX201">
            <v>0</v>
          </cell>
          <cell r="AY201"/>
          <cell r="AZ201"/>
          <cell r="BA201">
            <v>0</v>
          </cell>
          <cell r="BB201"/>
          <cell r="BC201">
            <v>0</v>
          </cell>
          <cell r="BD201">
            <v>10251</v>
          </cell>
          <cell r="BE201"/>
          <cell r="BF201">
            <v>0</v>
          </cell>
          <cell r="BG201">
            <v>0</v>
          </cell>
          <cell r="BH201">
            <v>0</v>
          </cell>
          <cell r="BI201">
            <v>35355</v>
          </cell>
          <cell r="BJ201">
            <v>29103</v>
          </cell>
          <cell r="BK201">
            <v>29103</v>
          </cell>
          <cell r="BL201">
            <v>0</v>
          </cell>
          <cell r="BM201">
            <v>0</v>
          </cell>
          <cell r="BN201">
            <v>0</v>
          </cell>
          <cell r="BO201">
            <v>55939</v>
          </cell>
          <cell r="BP201">
            <v>20558.2</v>
          </cell>
          <cell r="BQ201">
            <v>37034.8837209302</v>
          </cell>
          <cell r="BR201">
            <v>0</v>
          </cell>
          <cell r="BS201">
            <v>0</v>
          </cell>
          <cell r="BT201">
            <v>42381</v>
          </cell>
          <cell r="BU201"/>
          <cell r="BV201"/>
          <cell r="BW201"/>
          <cell r="BX201"/>
          <cell r="BY201">
            <v>0</v>
          </cell>
          <cell r="BZ201">
            <v>0</v>
          </cell>
          <cell r="CA201">
            <v>0</v>
          </cell>
          <cell r="CB201">
            <v>0</v>
          </cell>
          <cell r="CC201">
            <v>1942248</v>
          </cell>
          <cell r="CD201">
            <v>10274921</v>
          </cell>
          <cell r="CE201">
            <v>659527</v>
          </cell>
          <cell r="CF201">
            <v>0</v>
          </cell>
          <cell r="CG201">
            <v>659527</v>
          </cell>
          <cell r="CH201">
            <v>659527</v>
          </cell>
          <cell r="CI201">
            <v>659527</v>
          </cell>
          <cell r="CJ201">
            <v>659527</v>
          </cell>
          <cell r="CK201">
            <v>0</v>
          </cell>
          <cell r="CL201">
            <v>0</v>
          </cell>
          <cell r="CM201">
            <v>0</v>
          </cell>
          <cell r="CN201">
            <v>0</v>
          </cell>
          <cell r="CO201">
            <v>0</v>
          </cell>
          <cell r="CP201">
            <v>-2308</v>
          </cell>
          <cell r="CQ201">
            <v>1371959</v>
          </cell>
          <cell r="CR201">
            <v>1314000</v>
          </cell>
          <cell r="CS201">
            <v>1302606</v>
          </cell>
          <cell r="CT201">
            <v>1267701</v>
          </cell>
          <cell r="CU201">
            <v>1239160</v>
          </cell>
          <cell r="CV201">
            <v>-10835</v>
          </cell>
          <cell r="CW201">
            <v>0</v>
          </cell>
          <cell r="CX201">
            <v>0</v>
          </cell>
          <cell r="CY201">
            <v>0</v>
          </cell>
          <cell r="CZ201">
            <v>0</v>
          </cell>
          <cell r="DA201">
            <v>0</v>
          </cell>
          <cell r="DB201"/>
          <cell r="DC201">
            <v>0</v>
          </cell>
          <cell r="DD201">
            <v>0</v>
          </cell>
          <cell r="DE201">
            <v>0</v>
          </cell>
          <cell r="DF201">
            <v>0</v>
          </cell>
          <cell r="DG201">
            <v>0</v>
          </cell>
          <cell r="DH201">
            <v>0</v>
          </cell>
          <cell r="DI201">
            <v>0</v>
          </cell>
          <cell r="DJ201">
            <v>0</v>
          </cell>
          <cell r="DK201">
            <v>0</v>
          </cell>
          <cell r="DL201">
            <v>0</v>
          </cell>
          <cell r="DM201"/>
          <cell r="DN201"/>
          <cell r="DO201"/>
          <cell r="DP201"/>
        </row>
        <row r="202">
          <cell r="A202">
            <v>453</v>
          </cell>
          <cell r="B202" t="str">
            <v>Velsen</v>
          </cell>
          <cell r="C202">
            <v>7</v>
          </cell>
          <cell r="D202">
            <v>24016</v>
          </cell>
          <cell r="E202">
            <v>12008</v>
          </cell>
          <cell r="F202">
            <v>0</v>
          </cell>
          <cell r="G202">
            <v>170896</v>
          </cell>
          <cell r="H202">
            <v>0</v>
          </cell>
          <cell r="I202">
            <v>-10981</v>
          </cell>
          <cell r="J202"/>
          <cell r="K202">
            <v>0</v>
          </cell>
          <cell r="L202">
            <v>307992</v>
          </cell>
          <cell r="M202">
            <v>306400</v>
          </cell>
          <cell r="N202">
            <v>0</v>
          </cell>
          <cell r="O202">
            <v>0</v>
          </cell>
          <cell r="P202">
            <v>0</v>
          </cell>
          <cell r="Q202">
            <v>0</v>
          </cell>
          <cell r="R202">
            <v>0</v>
          </cell>
          <cell r="S202">
            <v>0</v>
          </cell>
          <cell r="T202">
            <v>0</v>
          </cell>
          <cell r="U202">
            <v>0</v>
          </cell>
          <cell r="V202">
            <v>0</v>
          </cell>
          <cell r="W202">
            <v>247090</v>
          </cell>
          <cell r="X202">
            <v>0</v>
          </cell>
          <cell r="Y202"/>
          <cell r="Z202">
            <v>0</v>
          </cell>
          <cell r="AA202">
            <v>0</v>
          </cell>
          <cell r="AB202">
            <v>0</v>
          </cell>
          <cell r="AC202"/>
          <cell r="AD202">
            <v>39112</v>
          </cell>
          <cell r="AE202">
            <v>0</v>
          </cell>
          <cell r="AF202">
            <v>0</v>
          </cell>
          <cell r="AG202">
            <v>0</v>
          </cell>
          <cell r="AH202">
            <v>0</v>
          </cell>
          <cell r="AI202">
            <v>0</v>
          </cell>
          <cell r="AJ202">
            <v>0</v>
          </cell>
          <cell r="AK202">
            <v>0</v>
          </cell>
          <cell r="AL202"/>
          <cell r="AM202">
            <v>0</v>
          </cell>
          <cell r="AN202">
            <v>0</v>
          </cell>
          <cell r="AO202">
            <v>0</v>
          </cell>
          <cell r="AP202">
            <v>0</v>
          </cell>
          <cell r="AQ202">
            <v>0</v>
          </cell>
          <cell r="AR202">
            <v>0</v>
          </cell>
          <cell r="AS202">
            <v>0</v>
          </cell>
          <cell r="AT202">
            <v>0</v>
          </cell>
          <cell r="AU202">
            <v>4740</v>
          </cell>
          <cell r="AV202">
            <v>0</v>
          </cell>
          <cell r="AW202">
            <v>0</v>
          </cell>
          <cell r="AX202">
            <v>0</v>
          </cell>
          <cell r="AY202"/>
          <cell r="AZ202"/>
          <cell r="BA202">
            <v>0</v>
          </cell>
          <cell r="BB202"/>
          <cell r="BC202">
            <v>0</v>
          </cell>
          <cell r="BD202">
            <v>23737</v>
          </cell>
          <cell r="BE202"/>
          <cell r="BF202">
            <v>0</v>
          </cell>
          <cell r="BG202">
            <v>0</v>
          </cell>
          <cell r="BH202">
            <v>0</v>
          </cell>
          <cell r="BI202">
            <v>105184</v>
          </cell>
          <cell r="BJ202">
            <v>86582</v>
          </cell>
          <cell r="BK202">
            <v>86582</v>
          </cell>
          <cell r="BL202">
            <v>0</v>
          </cell>
          <cell r="BM202">
            <v>0</v>
          </cell>
          <cell r="BN202">
            <v>0</v>
          </cell>
          <cell r="BO202">
            <v>160035</v>
          </cell>
          <cell r="BP202">
            <v>15814</v>
          </cell>
          <cell r="BQ202">
            <v>28488.372093023299</v>
          </cell>
          <cell r="BR202">
            <v>0</v>
          </cell>
          <cell r="BS202">
            <v>0</v>
          </cell>
          <cell r="BT202">
            <v>105156</v>
          </cell>
          <cell r="BU202"/>
          <cell r="BV202"/>
          <cell r="BW202"/>
          <cell r="BX202"/>
          <cell r="BY202">
            <v>0</v>
          </cell>
          <cell r="BZ202">
            <v>0</v>
          </cell>
          <cell r="CA202">
            <v>0</v>
          </cell>
          <cell r="CB202">
            <v>0</v>
          </cell>
          <cell r="CC202">
            <v>5336739</v>
          </cell>
          <cell r="CD202">
            <v>29896448</v>
          </cell>
          <cell r="CE202">
            <v>2520185</v>
          </cell>
          <cell r="CF202">
            <v>0</v>
          </cell>
          <cell r="CG202">
            <v>2520185</v>
          </cell>
          <cell r="CH202">
            <v>2520185</v>
          </cell>
          <cell r="CI202">
            <v>2520185</v>
          </cell>
          <cell r="CJ202">
            <v>2520185</v>
          </cell>
          <cell r="CK202">
            <v>0</v>
          </cell>
          <cell r="CL202">
            <v>0</v>
          </cell>
          <cell r="CM202">
            <v>0</v>
          </cell>
          <cell r="CN202">
            <v>0</v>
          </cell>
          <cell r="CO202">
            <v>0</v>
          </cell>
          <cell r="CP202">
            <v>-3970</v>
          </cell>
          <cell r="CQ202">
            <v>5458570</v>
          </cell>
          <cell r="CR202">
            <v>5346718</v>
          </cell>
          <cell r="CS202">
            <v>5294828</v>
          </cell>
          <cell r="CT202">
            <v>5247385</v>
          </cell>
          <cell r="CU202">
            <v>5179131</v>
          </cell>
          <cell r="CV202">
            <v>100490</v>
          </cell>
          <cell r="CW202">
            <v>0</v>
          </cell>
          <cell r="CX202">
            <v>0</v>
          </cell>
          <cell r="CY202">
            <v>0</v>
          </cell>
          <cell r="CZ202">
            <v>0</v>
          </cell>
          <cell r="DA202">
            <v>0</v>
          </cell>
          <cell r="DB202"/>
          <cell r="DC202">
            <v>0</v>
          </cell>
          <cell r="DD202">
            <v>0</v>
          </cell>
          <cell r="DE202">
            <v>0</v>
          </cell>
          <cell r="DF202">
            <v>0</v>
          </cell>
          <cell r="DG202">
            <v>0</v>
          </cell>
          <cell r="DH202">
            <v>0</v>
          </cell>
          <cell r="DI202">
            <v>0</v>
          </cell>
          <cell r="DJ202">
            <v>0</v>
          </cell>
          <cell r="DK202">
            <v>0</v>
          </cell>
          <cell r="DL202">
            <v>0</v>
          </cell>
          <cell r="DM202"/>
          <cell r="DN202"/>
          <cell r="DO202"/>
          <cell r="DP202"/>
        </row>
        <row r="203">
          <cell r="A203">
            <v>852</v>
          </cell>
          <cell r="B203" t="str">
            <v>Waterland</v>
          </cell>
          <cell r="C203">
            <v>7</v>
          </cell>
          <cell r="D203">
            <v>-11668</v>
          </cell>
          <cell r="E203">
            <v>-5834</v>
          </cell>
          <cell r="F203">
            <v>0</v>
          </cell>
          <cell r="G203">
            <v>0</v>
          </cell>
          <cell r="H203">
            <v>-12023</v>
          </cell>
          <cell r="I203">
            <v>-16770</v>
          </cell>
          <cell r="J203"/>
          <cell r="K203">
            <v>0</v>
          </cell>
          <cell r="L203">
            <v>40707</v>
          </cell>
          <cell r="M203">
            <v>40068</v>
          </cell>
          <cell r="N203">
            <v>0</v>
          </cell>
          <cell r="O203">
            <v>0</v>
          </cell>
          <cell r="P203">
            <v>0</v>
          </cell>
          <cell r="Q203">
            <v>0</v>
          </cell>
          <cell r="R203">
            <v>0</v>
          </cell>
          <cell r="S203">
            <v>0</v>
          </cell>
          <cell r="T203">
            <v>0</v>
          </cell>
          <cell r="U203">
            <v>0</v>
          </cell>
          <cell r="V203">
            <v>0</v>
          </cell>
          <cell r="W203">
            <v>67838</v>
          </cell>
          <cell r="X203">
            <v>0</v>
          </cell>
          <cell r="Y203"/>
          <cell r="Z203">
            <v>0</v>
          </cell>
          <cell r="AA203">
            <v>0</v>
          </cell>
          <cell r="AB203">
            <v>0</v>
          </cell>
          <cell r="AC203"/>
          <cell r="AD203">
            <v>0</v>
          </cell>
          <cell r="AE203">
            <v>0</v>
          </cell>
          <cell r="AF203">
            <v>0</v>
          </cell>
          <cell r="AG203">
            <v>0</v>
          </cell>
          <cell r="AH203">
            <v>0</v>
          </cell>
          <cell r="AI203">
            <v>0</v>
          </cell>
          <cell r="AJ203">
            <v>0</v>
          </cell>
          <cell r="AK203">
            <v>0</v>
          </cell>
          <cell r="AL203"/>
          <cell r="AM203">
            <v>43935</v>
          </cell>
          <cell r="AN203">
            <v>44946</v>
          </cell>
          <cell r="AO203">
            <v>45980</v>
          </cell>
          <cell r="AP203">
            <v>47037</v>
          </cell>
          <cell r="AQ203">
            <v>48119</v>
          </cell>
          <cell r="AR203">
            <v>49226</v>
          </cell>
          <cell r="AS203">
            <v>0</v>
          </cell>
          <cell r="AT203">
            <v>0</v>
          </cell>
          <cell r="AU203">
            <v>0</v>
          </cell>
          <cell r="AV203">
            <v>0</v>
          </cell>
          <cell r="AW203">
            <v>0</v>
          </cell>
          <cell r="AX203">
            <v>0</v>
          </cell>
          <cell r="AY203"/>
          <cell r="AZ203"/>
          <cell r="BA203">
            <v>0</v>
          </cell>
          <cell r="BB203"/>
          <cell r="BC203">
            <v>0</v>
          </cell>
          <cell r="BD203">
            <v>6069</v>
          </cell>
          <cell r="BE203"/>
          <cell r="BF203">
            <v>0</v>
          </cell>
          <cell r="BG203">
            <v>0</v>
          </cell>
          <cell r="BH203">
            <v>0</v>
          </cell>
          <cell r="BI203">
            <v>16972</v>
          </cell>
          <cell r="BJ203">
            <v>13971</v>
          </cell>
          <cell r="BK203">
            <v>13971</v>
          </cell>
          <cell r="BL203">
            <v>0</v>
          </cell>
          <cell r="BM203">
            <v>0</v>
          </cell>
          <cell r="BN203">
            <v>0</v>
          </cell>
          <cell r="BO203">
            <v>29186</v>
          </cell>
          <cell r="BP203">
            <v>6325.6</v>
          </cell>
          <cell r="BQ203">
            <v>11395.3488372093</v>
          </cell>
          <cell r="BR203">
            <v>0</v>
          </cell>
          <cell r="BS203">
            <v>0</v>
          </cell>
          <cell r="BT203">
            <v>30725</v>
          </cell>
          <cell r="BU203"/>
          <cell r="BV203"/>
          <cell r="BW203"/>
          <cell r="BX203"/>
          <cell r="BY203">
            <v>0</v>
          </cell>
          <cell r="BZ203">
            <v>0</v>
          </cell>
          <cell r="CA203">
            <v>0</v>
          </cell>
          <cell r="CB203">
            <v>0</v>
          </cell>
          <cell r="CC203">
            <v>1135166</v>
          </cell>
          <cell r="CD203">
            <v>4817206</v>
          </cell>
          <cell r="CE203">
            <v>203619</v>
          </cell>
          <cell r="CF203">
            <v>-10894</v>
          </cell>
          <cell r="CG203">
            <v>203619</v>
          </cell>
          <cell r="CH203">
            <v>203619</v>
          </cell>
          <cell r="CI203">
            <v>203619</v>
          </cell>
          <cell r="CJ203">
            <v>203619</v>
          </cell>
          <cell r="CK203">
            <v>0</v>
          </cell>
          <cell r="CL203">
            <v>0</v>
          </cell>
          <cell r="CM203">
            <v>0</v>
          </cell>
          <cell r="CN203">
            <v>0</v>
          </cell>
          <cell r="CO203">
            <v>0</v>
          </cell>
          <cell r="CP203">
            <v>-4427</v>
          </cell>
          <cell r="CQ203">
            <v>578309</v>
          </cell>
          <cell r="CR203">
            <v>550201</v>
          </cell>
          <cell r="CS203">
            <v>550644</v>
          </cell>
          <cell r="CT203">
            <v>546513</v>
          </cell>
          <cell r="CU203">
            <v>529512</v>
          </cell>
          <cell r="CV203">
            <v>-6146</v>
          </cell>
          <cell r="CW203">
            <v>0</v>
          </cell>
          <cell r="CX203">
            <v>0</v>
          </cell>
          <cell r="CY203">
            <v>0</v>
          </cell>
          <cell r="CZ203">
            <v>0</v>
          </cell>
          <cell r="DA203">
            <v>0</v>
          </cell>
          <cell r="DB203"/>
          <cell r="DC203">
            <v>0</v>
          </cell>
          <cell r="DD203">
            <v>0</v>
          </cell>
          <cell r="DE203">
            <v>0</v>
          </cell>
          <cell r="DF203">
            <v>0</v>
          </cell>
          <cell r="DG203">
            <v>0</v>
          </cell>
          <cell r="DH203">
            <v>0</v>
          </cell>
          <cell r="DI203">
            <v>0</v>
          </cell>
          <cell r="DJ203">
            <v>0</v>
          </cell>
          <cell r="DK203">
            <v>0</v>
          </cell>
          <cell r="DL203">
            <v>0</v>
          </cell>
          <cell r="DM203"/>
          <cell r="DN203"/>
          <cell r="DO203"/>
          <cell r="DP203"/>
        </row>
        <row r="204">
          <cell r="A204">
            <v>457</v>
          </cell>
          <cell r="B204" t="str">
            <v>Weesp</v>
          </cell>
          <cell r="C204">
            <v>7</v>
          </cell>
          <cell r="D204">
            <v>-13162</v>
          </cell>
          <cell r="E204">
            <v>-6581</v>
          </cell>
          <cell r="F204">
            <v>0</v>
          </cell>
          <cell r="G204">
            <v>0</v>
          </cell>
          <cell r="H204">
            <v>-9519</v>
          </cell>
          <cell r="I204">
            <v>-6140</v>
          </cell>
          <cell r="J204"/>
          <cell r="K204">
            <v>0</v>
          </cell>
          <cell r="L204">
            <v>87281</v>
          </cell>
          <cell r="M204">
            <v>79360</v>
          </cell>
          <cell r="N204">
            <v>0</v>
          </cell>
          <cell r="O204">
            <v>0</v>
          </cell>
          <cell r="P204">
            <v>0</v>
          </cell>
          <cell r="Q204">
            <v>0</v>
          </cell>
          <cell r="R204">
            <v>0</v>
          </cell>
          <cell r="S204">
            <v>0</v>
          </cell>
          <cell r="T204">
            <v>0</v>
          </cell>
          <cell r="U204">
            <v>0</v>
          </cell>
          <cell r="V204">
            <v>3000</v>
          </cell>
          <cell r="W204">
            <v>28285</v>
          </cell>
          <cell r="X204">
            <v>0</v>
          </cell>
          <cell r="Y204"/>
          <cell r="Z204">
            <v>0</v>
          </cell>
          <cell r="AA204">
            <v>0</v>
          </cell>
          <cell r="AB204">
            <v>0</v>
          </cell>
          <cell r="AC204"/>
          <cell r="AD204">
            <v>0</v>
          </cell>
          <cell r="AE204">
            <v>0</v>
          </cell>
          <cell r="AF204">
            <v>0</v>
          </cell>
          <cell r="AG204">
            <v>0</v>
          </cell>
          <cell r="AH204">
            <v>0</v>
          </cell>
          <cell r="AI204">
            <v>0</v>
          </cell>
          <cell r="AJ204">
            <v>0</v>
          </cell>
          <cell r="AK204">
            <v>0</v>
          </cell>
          <cell r="AL204"/>
          <cell r="AM204">
            <v>0</v>
          </cell>
          <cell r="AN204">
            <v>0</v>
          </cell>
          <cell r="AO204">
            <v>0</v>
          </cell>
          <cell r="AP204">
            <v>0</v>
          </cell>
          <cell r="AQ204">
            <v>0</v>
          </cell>
          <cell r="AR204">
            <v>0</v>
          </cell>
          <cell r="AS204">
            <v>0</v>
          </cell>
          <cell r="AT204">
            <v>0</v>
          </cell>
          <cell r="AU204">
            <v>0</v>
          </cell>
          <cell r="AV204">
            <v>0</v>
          </cell>
          <cell r="AW204">
            <v>0</v>
          </cell>
          <cell r="AX204">
            <v>0</v>
          </cell>
          <cell r="AY204"/>
          <cell r="AZ204"/>
          <cell r="BA204">
            <v>0</v>
          </cell>
          <cell r="BB204"/>
          <cell r="BC204">
            <v>0</v>
          </cell>
          <cell r="BD204">
            <v>6582</v>
          </cell>
          <cell r="BE204"/>
          <cell r="BF204">
            <v>0</v>
          </cell>
          <cell r="BG204">
            <v>0</v>
          </cell>
          <cell r="BH204">
            <v>0</v>
          </cell>
          <cell r="BI204">
            <v>33175</v>
          </cell>
          <cell r="BJ204">
            <v>27308</v>
          </cell>
          <cell r="BK204">
            <v>27308</v>
          </cell>
          <cell r="BL204">
            <v>0</v>
          </cell>
          <cell r="BM204">
            <v>0</v>
          </cell>
          <cell r="BN204">
            <v>0</v>
          </cell>
          <cell r="BO204">
            <v>10215</v>
          </cell>
          <cell r="BP204">
            <v>0</v>
          </cell>
          <cell r="BQ204">
            <v>0</v>
          </cell>
          <cell r="BR204">
            <v>0</v>
          </cell>
          <cell r="BS204">
            <v>0</v>
          </cell>
          <cell r="BT204">
            <v>29849</v>
          </cell>
          <cell r="BU204"/>
          <cell r="BV204"/>
          <cell r="BW204"/>
          <cell r="BX204"/>
          <cell r="BY204">
            <v>0</v>
          </cell>
          <cell r="BZ204">
            <v>0</v>
          </cell>
          <cell r="CA204">
            <v>0</v>
          </cell>
          <cell r="CB204">
            <v>0</v>
          </cell>
          <cell r="CC204">
            <v>1419797</v>
          </cell>
          <cell r="CD204">
            <v>6590907</v>
          </cell>
          <cell r="CE204">
            <v>468849</v>
          </cell>
          <cell r="CF204">
            <v>-14705</v>
          </cell>
          <cell r="CG204">
            <v>468849</v>
          </cell>
          <cell r="CH204">
            <v>468849</v>
          </cell>
          <cell r="CI204">
            <v>468849</v>
          </cell>
          <cell r="CJ204">
            <v>468849</v>
          </cell>
          <cell r="CK204">
            <v>0</v>
          </cell>
          <cell r="CL204">
            <v>0</v>
          </cell>
          <cell r="CM204">
            <v>0</v>
          </cell>
          <cell r="CN204">
            <v>0</v>
          </cell>
          <cell r="CO204">
            <v>0</v>
          </cell>
          <cell r="CP204">
            <v>0</v>
          </cell>
          <cell r="CQ204">
            <v>754415</v>
          </cell>
          <cell r="CR204">
            <v>729403</v>
          </cell>
          <cell r="CS204">
            <v>700950</v>
          </cell>
          <cell r="CT204">
            <v>694552</v>
          </cell>
          <cell r="CU204">
            <v>681653</v>
          </cell>
          <cell r="CV204">
            <v>-65591</v>
          </cell>
          <cell r="CW204">
            <v>0</v>
          </cell>
          <cell r="CX204">
            <v>0</v>
          </cell>
          <cell r="CY204">
            <v>0</v>
          </cell>
          <cell r="CZ204">
            <v>0</v>
          </cell>
          <cell r="DA204">
            <v>0</v>
          </cell>
          <cell r="DB204"/>
          <cell r="DC204">
            <v>0</v>
          </cell>
          <cell r="DD204">
            <v>0</v>
          </cell>
          <cell r="DE204">
            <v>0</v>
          </cell>
          <cell r="DF204">
            <v>0</v>
          </cell>
          <cell r="DG204">
            <v>0</v>
          </cell>
          <cell r="DH204">
            <v>0</v>
          </cell>
          <cell r="DI204">
            <v>0</v>
          </cell>
          <cell r="DJ204">
            <v>0</v>
          </cell>
          <cell r="DK204">
            <v>0</v>
          </cell>
          <cell r="DL204">
            <v>0</v>
          </cell>
          <cell r="DM204"/>
          <cell r="DN204"/>
          <cell r="DO204"/>
          <cell r="DP204"/>
        </row>
        <row r="205">
          <cell r="A205">
            <v>1696</v>
          </cell>
          <cell r="B205" t="str">
            <v>Wijdemeren</v>
          </cell>
          <cell r="C205">
            <v>7</v>
          </cell>
          <cell r="D205">
            <v>-9525</v>
          </cell>
          <cell r="E205">
            <v>-4762</v>
          </cell>
          <cell r="F205">
            <v>0</v>
          </cell>
          <cell r="G205">
            <v>0</v>
          </cell>
          <cell r="H205">
            <v>-2103</v>
          </cell>
          <cell r="I205">
            <v>-3244</v>
          </cell>
          <cell r="J205"/>
          <cell r="K205">
            <v>0</v>
          </cell>
          <cell r="L205">
            <v>71626</v>
          </cell>
          <cell r="M205">
            <v>65351</v>
          </cell>
          <cell r="N205">
            <v>0</v>
          </cell>
          <cell r="O205">
            <v>0</v>
          </cell>
          <cell r="P205">
            <v>0</v>
          </cell>
          <cell r="Q205">
            <v>0</v>
          </cell>
          <cell r="R205">
            <v>0</v>
          </cell>
          <cell r="S205">
            <v>0</v>
          </cell>
          <cell r="T205">
            <v>0</v>
          </cell>
          <cell r="U205">
            <v>0</v>
          </cell>
          <cell r="V205">
            <v>3000</v>
          </cell>
          <cell r="W205">
            <v>69905</v>
          </cell>
          <cell r="X205">
            <v>0</v>
          </cell>
          <cell r="Y205"/>
          <cell r="Z205">
            <v>0</v>
          </cell>
          <cell r="AA205">
            <v>0</v>
          </cell>
          <cell r="AB205">
            <v>0</v>
          </cell>
          <cell r="AC205"/>
          <cell r="AD205">
            <v>0</v>
          </cell>
          <cell r="AE205">
            <v>0</v>
          </cell>
          <cell r="AF205">
            <v>0</v>
          </cell>
          <cell r="AG205">
            <v>0</v>
          </cell>
          <cell r="AH205">
            <v>0</v>
          </cell>
          <cell r="AI205">
            <v>0</v>
          </cell>
          <cell r="AJ205">
            <v>0</v>
          </cell>
          <cell r="AK205">
            <v>0</v>
          </cell>
          <cell r="AL205"/>
          <cell r="AM205">
            <v>0</v>
          </cell>
          <cell r="AN205">
            <v>0</v>
          </cell>
          <cell r="AO205">
            <v>0</v>
          </cell>
          <cell r="AP205">
            <v>0</v>
          </cell>
          <cell r="AQ205">
            <v>0</v>
          </cell>
          <cell r="AR205">
            <v>0</v>
          </cell>
          <cell r="AS205">
            <v>0</v>
          </cell>
          <cell r="AT205">
            <v>0</v>
          </cell>
          <cell r="AU205">
            <v>0</v>
          </cell>
          <cell r="AV205">
            <v>0</v>
          </cell>
          <cell r="AW205">
            <v>0</v>
          </cell>
          <cell r="AX205">
            <v>0</v>
          </cell>
          <cell r="AY205"/>
          <cell r="AZ205"/>
          <cell r="BA205">
            <v>0</v>
          </cell>
          <cell r="BB205"/>
          <cell r="BC205">
            <v>0</v>
          </cell>
          <cell r="BD205">
            <v>8231</v>
          </cell>
          <cell r="BE205"/>
          <cell r="BF205">
            <v>0</v>
          </cell>
          <cell r="BG205">
            <v>0</v>
          </cell>
          <cell r="BH205">
            <v>0</v>
          </cell>
          <cell r="BI205">
            <v>23462</v>
          </cell>
          <cell r="BJ205">
            <v>19313</v>
          </cell>
          <cell r="BK205">
            <v>19313</v>
          </cell>
          <cell r="BL205">
            <v>0</v>
          </cell>
          <cell r="BM205">
            <v>0</v>
          </cell>
          <cell r="BN205">
            <v>0</v>
          </cell>
          <cell r="BO205">
            <v>58858</v>
          </cell>
          <cell r="BP205">
            <v>0</v>
          </cell>
          <cell r="BQ205">
            <v>0</v>
          </cell>
          <cell r="BR205">
            <v>0</v>
          </cell>
          <cell r="BS205">
            <v>0</v>
          </cell>
          <cell r="BT205">
            <v>43716</v>
          </cell>
          <cell r="BU205"/>
          <cell r="BV205"/>
          <cell r="BW205"/>
          <cell r="BX205"/>
          <cell r="BY205">
            <v>0</v>
          </cell>
          <cell r="BZ205">
            <v>0</v>
          </cell>
          <cell r="CA205">
            <v>0</v>
          </cell>
          <cell r="CB205">
            <v>0</v>
          </cell>
          <cell r="CC205">
            <v>1560665</v>
          </cell>
          <cell r="CD205">
            <v>5961545</v>
          </cell>
          <cell r="CE205">
            <v>213957</v>
          </cell>
          <cell r="CF205">
            <v>-6701</v>
          </cell>
          <cell r="CG205">
            <v>213957</v>
          </cell>
          <cell r="CH205">
            <v>213957</v>
          </cell>
          <cell r="CI205">
            <v>213957</v>
          </cell>
          <cell r="CJ205">
            <v>213957</v>
          </cell>
          <cell r="CK205">
            <v>0</v>
          </cell>
          <cell r="CL205">
            <v>0</v>
          </cell>
          <cell r="CM205">
            <v>0</v>
          </cell>
          <cell r="CN205">
            <v>0</v>
          </cell>
          <cell r="CO205">
            <v>0</v>
          </cell>
          <cell r="CP205">
            <v>-171</v>
          </cell>
          <cell r="CQ205">
            <v>671454</v>
          </cell>
          <cell r="CR205">
            <v>632101</v>
          </cell>
          <cell r="CS205">
            <v>632045</v>
          </cell>
          <cell r="CT205">
            <v>633338</v>
          </cell>
          <cell r="CU205">
            <v>621246</v>
          </cell>
          <cell r="CV205">
            <v>-29487</v>
          </cell>
          <cell r="CW205">
            <v>0</v>
          </cell>
          <cell r="CX205">
            <v>0</v>
          </cell>
          <cell r="CY205">
            <v>0</v>
          </cell>
          <cell r="CZ205">
            <v>0</v>
          </cell>
          <cell r="DA205">
            <v>0</v>
          </cell>
          <cell r="DB205"/>
          <cell r="DC205">
            <v>0</v>
          </cell>
          <cell r="DD205">
            <v>0</v>
          </cell>
          <cell r="DE205">
            <v>0</v>
          </cell>
          <cell r="DF205">
            <v>0</v>
          </cell>
          <cell r="DG205">
            <v>0</v>
          </cell>
          <cell r="DH205">
            <v>0</v>
          </cell>
          <cell r="DI205">
            <v>0</v>
          </cell>
          <cell r="DJ205">
            <v>0</v>
          </cell>
          <cell r="DK205">
            <v>0</v>
          </cell>
          <cell r="DL205">
            <v>0</v>
          </cell>
          <cell r="DM205"/>
          <cell r="DN205"/>
          <cell r="DO205"/>
          <cell r="DP205"/>
        </row>
        <row r="206">
          <cell r="A206">
            <v>880</v>
          </cell>
          <cell r="B206" t="str">
            <v>Wormerland</v>
          </cell>
          <cell r="C206">
            <v>7</v>
          </cell>
          <cell r="D206">
            <v>14422</v>
          </cell>
          <cell r="E206">
            <v>7211</v>
          </cell>
          <cell r="F206">
            <v>0</v>
          </cell>
          <cell r="G206">
            <v>0</v>
          </cell>
          <cell r="H206">
            <v>-2385</v>
          </cell>
          <cell r="I206">
            <v>-8685</v>
          </cell>
          <cell r="J206"/>
          <cell r="K206">
            <v>0</v>
          </cell>
          <cell r="L206">
            <v>58495</v>
          </cell>
          <cell r="M206">
            <v>59994</v>
          </cell>
          <cell r="N206">
            <v>0</v>
          </cell>
          <cell r="O206">
            <v>0</v>
          </cell>
          <cell r="P206">
            <v>0</v>
          </cell>
          <cell r="Q206">
            <v>0</v>
          </cell>
          <cell r="R206">
            <v>0</v>
          </cell>
          <cell r="S206">
            <v>0</v>
          </cell>
          <cell r="T206">
            <v>0</v>
          </cell>
          <cell r="U206">
            <v>0</v>
          </cell>
          <cell r="V206">
            <v>0</v>
          </cell>
          <cell r="W206">
            <v>48893</v>
          </cell>
          <cell r="X206">
            <v>0</v>
          </cell>
          <cell r="Y206"/>
          <cell r="Z206">
            <v>0</v>
          </cell>
          <cell r="AA206">
            <v>0</v>
          </cell>
          <cell r="AB206">
            <v>0</v>
          </cell>
          <cell r="AC206"/>
          <cell r="AD206">
            <v>0</v>
          </cell>
          <cell r="AE206">
            <v>0</v>
          </cell>
          <cell r="AF206">
            <v>0</v>
          </cell>
          <cell r="AG206">
            <v>0</v>
          </cell>
          <cell r="AH206">
            <v>0</v>
          </cell>
          <cell r="AI206">
            <v>0</v>
          </cell>
          <cell r="AJ206">
            <v>0</v>
          </cell>
          <cell r="AK206">
            <v>0</v>
          </cell>
          <cell r="AL206"/>
          <cell r="AM206">
            <v>36039</v>
          </cell>
          <cell r="AN206">
            <v>36868</v>
          </cell>
          <cell r="AO206">
            <v>37716</v>
          </cell>
          <cell r="AP206">
            <v>38584</v>
          </cell>
          <cell r="AQ206">
            <v>39471</v>
          </cell>
          <cell r="AR206">
            <v>40379</v>
          </cell>
          <cell r="AS206">
            <v>0</v>
          </cell>
          <cell r="AT206">
            <v>0</v>
          </cell>
          <cell r="AU206">
            <v>0</v>
          </cell>
          <cell r="AV206">
            <v>0</v>
          </cell>
          <cell r="AW206">
            <v>0</v>
          </cell>
          <cell r="AX206">
            <v>0</v>
          </cell>
          <cell r="AY206"/>
          <cell r="AZ206"/>
          <cell r="BA206">
            <v>0</v>
          </cell>
          <cell r="BB206"/>
          <cell r="BC206">
            <v>0</v>
          </cell>
          <cell r="BD206">
            <v>5553</v>
          </cell>
          <cell r="BE206"/>
          <cell r="BF206">
            <v>0</v>
          </cell>
          <cell r="BG206">
            <v>0</v>
          </cell>
          <cell r="BH206">
            <v>0</v>
          </cell>
          <cell r="BI206">
            <v>21174</v>
          </cell>
          <cell r="BJ206">
            <v>17429</v>
          </cell>
          <cell r="BK206">
            <v>17429</v>
          </cell>
          <cell r="BL206">
            <v>0</v>
          </cell>
          <cell r="BM206">
            <v>0</v>
          </cell>
          <cell r="BN206">
            <v>0</v>
          </cell>
          <cell r="BO206">
            <v>65668</v>
          </cell>
          <cell r="BP206">
            <v>0</v>
          </cell>
          <cell r="BQ206">
            <v>0</v>
          </cell>
          <cell r="BR206">
            <v>0</v>
          </cell>
          <cell r="BS206">
            <v>0</v>
          </cell>
          <cell r="BT206">
            <v>28159</v>
          </cell>
          <cell r="BU206"/>
          <cell r="BV206"/>
          <cell r="BW206"/>
          <cell r="BX206"/>
          <cell r="BY206">
            <v>0</v>
          </cell>
          <cell r="BZ206">
            <v>0</v>
          </cell>
          <cell r="CA206">
            <v>0</v>
          </cell>
          <cell r="CB206">
            <v>0</v>
          </cell>
          <cell r="CC206">
            <v>1225439</v>
          </cell>
          <cell r="CD206">
            <v>5166964</v>
          </cell>
          <cell r="CE206">
            <v>240024</v>
          </cell>
          <cell r="CF206">
            <v>0</v>
          </cell>
          <cell r="CG206">
            <v>240024</v>
          </cell>
          <cell r="CH206">
            <v>240024</v>
          </cell>
          <cell r="CI206">
            <v>240024</v>
          </cell>
          <cell r="CJ206">
            <v>240024</v>
          </cell>
          <cell r="CK206">
            <v>0</v>
          </cell>
          <cell r="CL206">
            <v>0</v>
          </cell>
          <cell r="CM206">
            <v>0</v>
          </cell>
          <cell r="CN206">
            <v>0</v>
          </cell>
          <cell r="CO206">
            <v>0</v>
          </cell>
          <cell r="CP206">
            <v>-3145</v>
          </cell>
          <cell r="CQ206">
            <v>580504</v>
          </cell>
          <cell r="CR206">
            <v>575976</v>
          </cell>
          <cell r="CS206">
            <v>560432</v>
          </cell>
          <cell r="CT206">
            <v>568180</v>
          </cell>
          <cell r="CU206">
            <v>558710</v>
          </cell>
          <cell r="CV206">
            <v>23800</v>
          </cell>
          <cell r="CW206">
            <v>0</v>
          </cell>
          <cell r="CX206">
            <v>0</v>
          </cell>
          <cell r="CY206">
            <v>0</v>
          </cell>
          <cell r="CZ206">
            <v>0</v>
          </cell>
          <cell r="DA206">
            <v>0</v>
          </cell>
          <cell r="DB206"/>
          <cell r="DC206">
            <v>0</v>
          </cell>
          <cell r="DD206">
            <v>0</v>
          </cell>
          <cell r="DE206">
            <v>0</v>
          </cell>
          <cell r="DF206">
            <v>0</v>
          </cell>
          <cell r="DG206">
            <v>0</v>
          </cell>
          <cell r="DH206">
            <v>0</v>
          </cell>
          <cell r="DI206">
            <v>0</v>
          </cell>
          <cell r="DJ206">
            <v>0</v>
          </cell>
          <cell r="DK206">
            <v>0</v>
          </cell>
          <cell r="DL206">
            <v>0</v>
          </cell>
          <cell r="DM206"/>
          <cell r="DN206"/>
          <cell r="DO206"/>
          <cell r="DP206"/>
        </row>
        <row r="207">
          <cell r="A207">
            <v>479</v>
          </cell>
          <cell r="B207" t="str">
            <v>Zaanstad</v>
          </cell>
          <cell r="C207">
            <v>7</v>
          </cell>
          <cell r="D207">
            <v>197008</v>
          </cell>
          <cell r="E207">
            <v>98504</v>
          </cell>
          <cell r="F207">
            <v>0</v>
          </cell>
          <cell r="G207">
            <v>0</v>
          </cell>
          <cell r="H207">
            <v>-179908</v>
          </cell>
          <cell r="I207">
            <v>-150280</v>
          </cell>
          <cell r="J207"/>
          <cell r="K207">
            <v>0</v>
          </cell>
          <cell r="L207">
            <v>895286</v>
          </cell>
          <cell r="M207">
            <v>901702</v>
          </cell>
          <cell r="N207">
            <v>0</v>
          </cell>
          <cell r="O207">
            <v>0</v>
          </cell>
          <cell r="P207">
            <v>150000</v>
          </cell>
          <cell r="Q207">
            <v>0</v>
          </cell>
          <cell r="R207">
            <v>0</v>
          </cell>
          <cell r="S207">
            <v>4558321</v>
          </cell>
          <cell r="T207">
            <v>3689196</v>
          </cell>
          <cell r="U207">
            <v>4251278</v>
          </cell>
          <cell r="V207">
            <v>6000</v>
          </cell>
          <cell r="W207">
            <v>555727</v>
          </cell>
          <cell r="X207">
            <v>0</v>
          </cell>
          <cell r="Y207"/>
          <cell r="Z207">
            <v>0</v>
          </cell>
          <cell r="AA207">
            <v>32000</v>
          </cell>
          <cell r="AB207">
            <v>0</v>
          </cell>
          <cell r="AC207"/>
          <cell r="AD207">
            <v>151559</v>
          </cell>
          <cell r="AE207">
            <v>0</v>
          </cell>
          <cell r="AF207">
            <v>0</v>
          </cell>
          <cell r="AG207">
            <v>0</v>
          </cell>
          <cell r="AH207">
            <v>0</v>
          </cell>
          <cell r="AI207">
            <v>0</v>
          </cell>
          <cell r="AJ207">
            <v>0</v>
          </cell>
          <cell r="AK207">
            <v>256374</v>
          </cell>
          <cell r="AL207"/>
          <cell r="AM207">
            <v>0</v>
          </cell>
          <cell r="AN207">
            <v>0</v>
          </cell>
          <cell r="AO207">
            <v>0</v>
          </cell>
          <cell r="AP207">
            <v>0</v>
          </cell>
          <cell r="AQ207">
            <v>0</v>
          </cell>
          <cell r="AR207">
            <v>0</v>
          </cell>
          <cell r="AS207">
            <v>0</v>
          </cell>
          <cell r="AT207">
            <v>19000</v>
          </cell>
          <cell r="AU207">
            <v>16590</v>
          </cell>
          <cell r="AV207">
            <v>2620141.4463412901</v>
          </cell>
          <cell r="AW207">
            <v>0</v>
          </cell>
          <cell r="AX207">
            <v>0</v>
          </cell>
          <cell r="AY207"/>
          <cell r="AZ207"/>
          <cell r="BA207">
            <v>0</v>
          </cell>
          <cell r="BB207"/>
          <cell r="BC207">
            <v>0</v>
          </cell>
          <cell r="BD207">
            <v>53947</v>
          </cell>
          <cell r="BE207"/>
          <cell r="BF207">
            <v>0</v>
          </cell>
          <cell r="BG207">
            <v>0</v>
          </cell>
          <cell r="BH207">
            <v>0</v>
          </cell>
          <cell r="BI207">
            <v>261385</v>
          </cell>
          <cell r="BJ207">
            <v>215158</v>
          </cell>
          <cell r="BK207">
            <v>215158</v>
          </cell>
          <cell r="BL207">
            <v>0</v>
          </cell>
          <cell r="BM207">
            <v>0</v>
          </cell>
          <cell r="BN207">
            <v>140910</v>
          </cell>
          <cell r="BO207">
            <v>301099</v>
          </cell>
          <cell r="BP207">
            <v>23721</v>
          </cell>
          <cell r="BQ207">
            <v>42732.5581395349</v>
          </cell>
          <cell r="BR207">
            <v>0</v>
          </cell>
          <cell r="BS207">
            <v>0</v>
          </cell>
          <cell r="BT207">
            <v>254416</v>
          </cell>
          <cell r="BU207"/>
          <cell r="BV207"/>
          <cell r="BW207"/>
          <cell r="BX207"/>
          <cell r="BY207">
            <v>2431006.8324027401</v>
          </cell>
          <cell r="BZ207">
            <v>2816676.4018651</v>
          </cell>
          <cell r="CA207">
            <v>2849623.04850259</v>
          </cell>
          <cell r="CB207">
            <v>2942648.87430256</v>
          </cell>
          <cell r="CC207">
            <v>11804901</v>
          </cell>
          <cell r="CD207">
            <v>82619208</v>
          </cell>
          <cell r="CE207">
            <v>3747322</v>
          </cell>
          <cell r="CF207">
            <v>-182795</v>
          </cell>
          <cell r="CG207">
            <v>3747322</v>
          </cell>
          <cell r="CH207">
            <v>3747322</v>
          </cell>
          <cell r="CI207">
            <v>3747322</v>
          </cell>
          <cell r="CJ207">
            <v>3747322</v>
          </cell>
          <cell r="CK207">
            <v>12045734</v>
          </cell>
          <cell r="CL207">
            <v>12039808</v>
          </cell>
          <cell r="CM207">
            <v>12039713</v>
          </cell>
          <cell r="CN207">
            <v>12039502</v>
          </cell>
          <cell r="CO207">
            <v>12039794</v>
          </cell>
          <cell r="CP207">
            <v>-26684</v>
          </cell>
          <cell r="CQ207">
            <v>9455521</v>
          </cell>
          <cell r="CR207">
            <v>9173680</v>
          </cell>
          <cell r="CS207">
            <v>9016167</v>
          </cell>
          <cell r="CT207">
            <v>8961994</v>
          </cell>
          <cell r="CU207">
            <v>8780260</v>
          </cell>
          <cell r="CV207">
            <v>-240307</v>
          </cell>
          <cell r="CW207">
            <v>0</v>
          </cell>
          <cell r="CX207">
            <v>0</v>
          </cell>
          <cell r="CY207">
            <v>0</v>
          </cell>
          <cell r="CZ207">
            <v>0</v>
          </cell>
          <cell r="DA207">
            <v>0</v>
          </cell>
          <cell r="DB207"/>
          <cell r="DC207">
            <v>150000</v>
          </cell>
          <cell r="DD207">
            <v>0</v>
          </cell>
          <cell r="DE207">
            <v>0</v>
          </cell>
          <cell r="DF207">
            <v>0</v>
          </cell>
          <cell r="DG207">
            <v>0</v>
          </cell>
          <cell r="DH207">
            <v>0</v>
          </cell>
          <cell r="DI207">
            <v>0</v>
          </cell>
          <cell r="DJ207">
            <v>0</v>
          </cell>
          <cell r="DK207">
            <v>0</v>
          </cell>
          <cell r="DL207">
            <v>0</v>
          </cell>
          <cell r="DM207"/>
          <cell r="DN207"/>
          <cell r="DO207"/>
          <cell r="DP207"/>
        </row>
        <row r="208">
          <cell r="A208">
            <v>473</v>
          </cell>
          <cell r="B208" t="str">
            <v>Zandvoort</v>
          </cell>
          <cell r="C208">
            <v>7</v>
          </cell>
          <cell r="D208">
            <v>1916</v>
          </cell>
          <cell r="E208">
            <v>958</v>
          </cell>
          <cell r="F208">
            <v>0</v>
          </cell>
          <cell r="G208">
            <v>0</v>
          </cell>
          <cell r="H208">
            <v>-29010</v>
          </cell>
          <cell r="I208">
            <v>-19354</v>
          </cell>
          <cell r="J208"/>
          <cell r="K208">
            <v>0</v>
          </cell>
          <cell r="L208">
            <v>85872</v>
          </cell>
          <cell r="M208">
            <v>85421</v>
          </cell>
          <cell r="N208">
            <v>0</v>
          </cell>
          <cell r="O208">
            <v>0</v>
          </cell>
          <cell r="P208">
            <v>0</v>
          </cell>
          <cell r="Q208">
            <v>0</v>
          </cell>
          <cell r="R208">
            <v>0</v>
          </cell>
          <cell r="S208">
            <v>0</v>
          </cell>
          <cell r="T208">
            <v>0</v>
          </cell>
          <cell r="U208">
            <v>0</v>
          </cell>
          <cell r="V208">
            <v>3000</v>
          </cell>
          <cell r="W208">
            <v>52288</v>
          </cell>
          <cell r="X208">
            <v>0</v>
          </cell>
          <cell r="Y208"/>
          <cell r="Z208">
            <v>0</v>
          </cell>
          <cell r="AA208">
            <v>0</v>
          </cell>
          <cell r="AB208">
            <v>0</v>
          </cell>
          <cell r="AC208"/>
          <cell r="AD208">
            <v>0</v>
          </cell>
          <cell r="AE208">
            <v>0</v>
          </cell>
          <cell r="AF208">
            <v>0</v>
          </cell>
          <cell r="AG208">
            <v>0</v>
          </cell>
          <cell r="AH208">
            <v>0</v>
          </cell>
          <cell r="AI208">
            <v>0</v>
          </cell>
          <cell r="AJ208">
            <v>0</v>
          </cell>
          <cell r="AK208">
            <v>0</v>
          </cell>
          <cell r="AL208"/>
          <cell r="AM208">
            <v>0</v>
          </cell>
          <cell r="AN208">
            <v>0</v>
          </cell>
          <cell r="AO208">
            <v>0</v>
          </cell>
          <cell r="AP208">
            <v>0</v>
          </cell>
          <cell r="AQ208">
            <v>0</v>
          </cell>
          <cell r="AR208">
            <v>0</v>
          </cell>
          <cell r="AS208">
            <v>0</v>
          </cell>
          <cell r="AT208">
            <v>0</v>
          </cell>
          <cell r="AU208">
            <v>0</v>
          </cell>
          <cell r="AV208">
            <v>0</v>
          </cell>
          <cell r="AW208">
            <v>0</v>
          </cell>
          <cell r="AX208">
            <v>0</v>
          </cell>
          <cell r="AY208"/>
          <cell r="AZ208"/>
          <cell r="BA208">
            <v>0</v>
          </cell>
          <cell r="BB208"/>
          <cell r="BC208">
            <v>0</v>
          </cell>
          <cell r="BD208">
            <v>5932</v>
          </cell>
          <cell r="BE208"/>
          <cell r="BF208">
            <v>0</v>
          </cell>
          <cell r="BG208">
            <v>0</v>
          </cell>
          <cell r="BH208">
            <v>0</v>
          </cell>
          <cell r="BI208">
            <v>33285</v>
          </cell>
          <cell r="BJ208">
            <v>27398</v>
          </cell>
          <cell r="BK208">
            <v>27398</v>
          </cell>
          <cell r="BL208">
            <v>0</v>
          </cell>
          <cell r="BM208">
            <v>0</v>
          </cell>
          <cell r="BN208">
            <v>0</v>
          </cell>
          <cell r="BO208">
            <v>51075</v>
          </cell>
          <cell r="BP208">
            <v>0</v>
          </cell>
          <cell r="BQ208">
            <v>0</v>
          </cell>
          <cell r="BR208">
            <v>0</v>
          </cell>
          <cell r="BS208">
            <v>0</v>
          </cell>
          <cell r="BT208">
            <v>24177</v>
          </cell>
          <cell r="BU208"/>
          <cell r="BV208"/>
          <cell r="BW208"/>
          <cell r="BX208"/>
          <cell r="BY208">
            <v>0</v>
          </cell>
          <cell r="BZ208">
            <v>0</v>
          </cell>
          <cell r="CA208">
            <v>0</v>
          </cell>
          <cell r="CB208">
            <v>0</v>
          </cell>
          <cell r="CC208">
            <v>1650434</v>
          </cell>
          <cell r="CD208">
            <v>6265530</v>
          </cell>
          <cell r="CE208">
            <v>200193</v>
          </cell>
          <cell r="CF208">
            <v>-21077</v>
          </cell>
          <cell r="CG208">
            <v>200193</v>
          </cell>
          <cell r="CH208">
            <v>200193</v>
          </cell>
          <cell r="CI208">
            <v>200193</v>
          </cell>
          <cell r="CJ208">
            <v>200193</v>
          </cell>
          <cell r="CK208">
            <v>0</v>
          </cell>
          <cell r="CL208">
            <v>0</v>
          </cell>
          <cell r="CM208">
            <v>0</v>
          </cell>
          <cell r="CN208">
            <v>0</v>
          </cell>
          <cell r="CO208">
            <v>0</v>
          </cell>
          <cell r="CP208">
            <v>-3793</v>
          </cell>
          <cell r="CQ208">
            <v>655397</v>
          </cell>
          <cell r="CR208">
            <v>639509</v>
          </cell>
          <cell r="CS208">
            <v>612024</v>
          </cell>
          <cell r="CT208">
            <v>614235</v>
          </cell>
          <cell r="CU208">
            <v>619828</v>
          </cell>
          <cell r="CV208">
            <v>3475</v>
          </cell>
          <cell r="CW208">
            <v>0</v>
          </cell>
          <cell r="CX208">
            <v>0</v>
          </cell>
          <cell r="CY208">
            <v>0</v>
          </cell>
          <cell r="CZ208">
            <v>0</v>
          </cell>
          <cell r="DA208">
            <v>0</v>
          </cell>
          <cell r="DB208"/>
          <cell r="DC208">
            <v>0</v>
          </cell>
          <cell r="DD208">
            <v>0</v>
          </cell>
          <cell r="DE208">
            <v>0</v>
          </cell>
          <cell r="DF208">
            <v>0</v>
          </cell>
          <cell r="DG208">
            <v>0</v>
          </cell>
          <cell r="DH208">
            <v>0</v>
          </cell>
          <cell r="DI208">
            <v>0</v>
          </cell>
          <cell r="DJ208">
            <v>0</v>
          </cell>
          <cell r="DK208">
            <v>0</v>
          </cell>
          <cell r="DL208">
            <v>0</v>
          </cell>
          <cell r="DM208"/>
          <cell r="DN208"/>
          <cell r="DO208"/>
          <cell r="DP208"/>
        </row>
        <row r="209">
          <cell r="A209">
            <v>482</v>
          </cell>
          <cell r="B209" t="str">
            <v>Alblasserdam</v>
          </cell>
          <cell r="C209">
            <v>8</v>
          </cell>
          <cell r="D209">
            <v>14585</v>
          </cell>
          <cell r="E209">
            <v>7293</v>
          </cell>
          <cell r="F209">
            <v>0</v>
          </cell>
          <cell r="G209">
            <v>141971</v>
          </cell>
          <cell r="H209">
            <v>-22133</v>
          </cell>
          <cell r="I209">
            <v>-18027</v>
          </cell>
          <cell r="J209"/>
          <cell r="K209">
            <v>0</v>
          </cell>
          <cell r="L209">
            <v>67726</v>
          </cell>
          <cell r="M209">
            <v>71184</v>
          </cell>
          <cell r="N209">
            <v>0</v>
          </cell>
          <cell r="O209">
            <v>0</v>
          </cell>
          <cell r="P209">
            <v>0</v>
          </cell>
          <cell r="Q209">
            <v>0</v>
          </cell>
          <cell r="R209">
            <v>0</v>
          </cell>
          <cell r="S209">
            <v>0</v>
          </cell>
          <cell r="T209">
            <v>0</v>
          </cell>
          <cell r="U209">
            <v>0</v>
          </cell>
          <cell r="V209">
            <v>0</v>
          </cell>
          <cell r="W209">
            <v>73945</v>
          </cell>
          <cell r="X209">
            <v>0</v>
          </cell>
          <cell r="Y209"/>
          <cell r="Z209">
            <v>0</v>
          </cell>
          <cell r="AA209">
            <v>0</v>
          </cell>
          <cell r="AB209">
            <v>0</v>
          </cell>
          <cell r="AC209"/>
          <cell r="AD209">
            <v>45956</v>
          </cell>
          <cell r="AE209">
            <v>0</v>
          </cell>
          <cell r="AF209">
            <v>0</v>
          </cell>
          <cell r="AG209">
            <v>0</v>
          </cell>
          <cell r="AH209">
            <v>0</v>
          </cell>
          <cell r="AI209">
            <v>0</v>
          </cell>
          <cell r="AJ209">
            <v>0</v>
          </cell>
          <cell r="AK209">
            <v>0</v>
          </cell>
          <cell r="AL209"/>
          <cell r="AM209">
            <v>4491</v>
          </cell>
          <cell r="AN209">
            <v>4594</v>
          </cell>
          <cell r="AO209">
            <v>4699</v>
          </cell>
          <cell r="AP209">
            <v>4808</v>
          </cell>
          <cell r="AQ209">
            <v>4918</v>
          </cell>
          <cell r="AR209">
            <v>5031</v>
          </cell>
          <cell r="AS209">
            <v>0</v>
          </cell>
          <cell r="AT209">
            <v>0</v>
          </cell>
          <cell r="AU209">
            <v>2370</v>
          </cell>
          <cell r="AV209">
            <v>0</v>
          </cell>
          <cell r="AW209">
            <v>0</v>
          </cell>
          <cell r="AX209">
            <v>0</v>
          </cell>
          <cell r="AY209"/>
          <cell r="AZ209"/>
          <cell r="BA209">
            <v>0</v>
          </cell>
          <cell r="BB209"/>
          <cell r="BC209">
            <v>0</v>
          </cell>
          <cell r="BD209">
            <v>7024</v>
          </cell>
          <cell r="BE209"/>
          <cell r="BF209">
            <v>0</v>
          </cell>
          <cell r="BG209">
            <v>0</v>
          </cell>
          <cell r="BH209">
            <v>0</v>
          </cell>
          <cell r="BI209">
            <v>27494</v>
          </cell>
          <cell r="BJ209">
            <v>22631</v>
          </cell>
          <cell r="BK209">
            <v>22631</v>
          </cell>
          <cell r="BL209">
            <v>0</v>
          </cell>
          <cell r="BM209">
            <v>0</v>
          </cell>
          <cell r="BN209">
            <v>0</v>
          </cell>
          <cell r="BO209">
            <v>85125</v>
          </cell>
          <cell r="BP209">
            <v>12651.2</v>
          </cell>
          <cell r="BQ209">
            <v>22790.697674418599</v>
          </cell>
          <cell r="BR209">
            <v>0</v>
          </cell>
          <cell r="BS209">
            <v>0</v>
          </cell>
          <cell r="BT209">
            <v>34176</v>
          </cell>
          <cell r="BU209"/>
          <cell r="BV209"/>
          <cell r="BW209"/>
          <cell r="BX209"/>
          <cell r="BY209">
            <v>0</v>
          </cell>
          <cell r="BZ209">
            <v>0</v>
          </cell>
          <cell r="CA209">
            <v>0</v>
          </cell>
          <cell r="CB209">
            <v>0</v>
          </cell>
          <cell r="CC209">
            <v>1570650</v>
          </cell>
          <cell r="CD209">
            <v>8650761</v>
          </cell>
          <cell r="CE209">
            <v>490204</v>
          </cell>
          <cell r="CF209">
            <v>-43491</v>
          </cell>
          <cell r="CG209">
            <v>490204</v>
          </cell>
          <cell r="CH209">
            <v>490204</v>
          </cell>
          <cell r="CI209">
            <v>490204</v>
          </cell>
          <cell r="CJ209">
            <v>490204</v>
          </cell>
          <cell r="CK209">
            <v>0</v>
          </cell>
          <cell r="CL209">
            <v>0</v>
          </cell>
          <cell r="CM209">
            <v>0</v>
          </cell>
          <cell r="CN209">
            <v>0</v>
          </cell>
          <cell r="CO209">
            <v>0</v>
          </cell>
          <cell r="CP209">
            <v>0</v>
          </cell>
          <cell r="CQ209">
            <v>1405723</v>
          </cell>
          <cell r="CR209">
            <v>1346505</v>
          </cell>
          <cell r="CS209">
            <v>1303384</v>
          </cell>
          <cell r="CT209">
            <v>1291521</v>
          </cell>
          <cell r="CU209">
            <v>1297764</v>
          </cell>
          <cell r="CV209">
            <v>-15429</v>
          </cell>
          <cell r="CW209">
            <v>0</v>
          </cell>
          <cell r="CX209">
            <v>0</v>
          </cell>
          <cell r="CY209">
            <v>0</v>
          </cell>
          <cell r="CZ209">
            <v>0</v>
          </cell>
          <cell r="DA209">
            <v>0</v>
          </cell>
          <cell r="DB209"/>
          <cell r="DC209">
            <v>0</v>
          </cell>
          <cell r="DD209">
            <v>0</v>
          </cell>
          <cell r="DE209">
            <v>0</v>
          </cell>
          <cell r="DF209">
            <v>0</v>
          </cell>
          <cell r="DG209">
            <v>0</v>
          </cell>
          <cell r="DH209">
            <v>0</v>
          </cell>
          <cell r="DI209">
            <v>0</v>
          </cell>
          <cell r="DJ209">
            <v>0</v>
          </cell>
          <cell r="DK209">
            <v>0</v>
          </cell>
          <cell r="DL209">
            <v>0</v>
          </cell>
          <cell r="DM209"/>
          <cell r="DN209"/>
          <cell r="DO209"/>
          <cell r="DP209"/>
        </row>
        <row r="210">
          <cell r="A210">
            <v>613</v>
          </cell>
          <cell r="B210" t="str">
            <v>Albrandswaard</v>
          </cell>
          <cell r="C210">
            <v>8</v>
          </cell>
          <cell r="D210">
            <v>16832</v>
          </cell>
          <cell r="E210">
            <v>8416</v>
          </cell>
          <cell r="F210">
            <v>0</v>
          </cell>
          <cell r="G210">
            <v>0</v>
          </cell>
          <cell r="H210">
            <v>-10660</v>
          </cell>
          <cell r="I210">
            <v>-12849</v>
          </cell>
          <cell r="J210"/>
          <cell r="K210">
            <v>0</v>
          </cell>
          <cell r="L210">
            <v>86906</v>
          </cell>
          <cell r="M210">
            <v>77326</v>
          </cell>
          <cell r="N210">
            <v>0</v>
          </cell>
          <cell r="O210">
            <v>0</v>
          </cell>
          <cell r="P210">
            <v>0</v>
          </cell>
          <cell r="Q210">
            <v>0</v>
          </cell>
          <cell r="R210">
            <v>0</v>
          </cell>
          <cell r="S210">
            <v>0</v>
          </cell>
          <cell r="T210">
            <v>0</v>
          </cell>
          <cell r="U210">
            <v>0</v>
          </cell>
          <cell r="V210">
            <v>0</v>
          </cell>
          <cell r="W210">
            <v>90386</v>
          </cell>
          <cell r="X210">
            <v>0</v>
          </cell>
          <cell r="Y210"/>
          <cell r="Z210">
            <v>0</v>
          </cell>
          <cell r="AA210">
            <v>0</v>
          </cell>
          <cell r="AB210">
            <v>0</v>
          </cell>
          <cell r="AC210"/>
          <cell r="AD210">
            <v>0</v>
          </cell>
          <cell r="AE210">
            <v>0</v>
          </cell>
          <cell r="AF210">
            <v>0</v>
          </cell>
          <cell r="AG210">
            <v>0</v>
          </cell>
          <cell r="AH210">
            <v>0</v>
          </cell>
          <cell r="AI210">
            <v>0</v>
          </cell>
          <cell r="AJ210">
            <v>0</v>
          </cell>
          <cell r="AK210">
            <v>0</v>
          </cell>
          <cell r="AL210"/>
          <cell r="AM210">
            <v>15181</v>
          </cell>
          <cell r="AN210">
            <v>15530</v>
          </cell>
          <cell r="AO210">
            <v>15887</v>
          </cell>
          <cell r="AP210">
            <v>16253</v>
          </cell>
          <cell r="AQ210">
            <v>16626</v>
          </cell>
          <cell r="AR210">
            <v>17009</v>
          </cell>
          <cell r="AS210">
            <v>0</v>
          </cell>
          <cell r="AT210">
            <v>0</v>
          </cell>
          <cell r="AU210">
            <v>4740</v>
          </cell>
          <cell r="AV210">
            <v>0</v>
          </cell>
          <cell r="AW210">
            <v>0</v>
          </cell>
          <cell r="AX210">
            <v>0</v>
          </cell>
          <cell r="AY210"/>
          <cell r="AZ210"/>
          <cell r="BA210">
            <v>0</v>
          </cell>
          <cell r="BB210"/>
          <cell r="BC210">
            <v>0</v>
          </cell>
          <cell r="BD210">
            <v>8813</v>
          </cell>
          <cell r="BE210"/>
          <cell r="BF210">
            <v>0</v>
          </cell>
          <cell r="BG210">
            <v>0</v>
          </cell>
          <cell r="BH210">
            <v>0</v>
          </cell>
          <cell r="BI210">
            <v>19503</v>
          </cell>
          <cell r="BJ210">
            <v>16054</v>
          </cell>
          <cell r="BK210">
            <v>16054</v>
          </cell>
          <cell r="BL210">
            <v>0</v>
          </cell>
          <cell r="BM210">
            <v>0</v>
          </cell>
          <cell r="BN210">
            <v>0</v>
          </cell>
          <cell r="BO210">
            <v>10215</v>
          </cell>
          <cell r="BP210">
            <v>26883.8</v>
          </cell>
          <cell r="BQ210">
            <v>48430.232558139498</v>
          </cell>
          <cell r="BR210">
            <v>0</v>
          </cell>
          <cell r="BS210">
            <v>0</v>
          </cell>
          <cell r="BT210">
            <v>38104</v>
          </cell>
          <cell r="BU210"/>
          <cell r="BV210"/>
          <cell r="BW210"/>
          <cell r="BX210"/>
          <cell r="BY210">
            <v>0</v>
          </cell>
          <cell r="BZ210">
            <v>0</v>
          </cell>
          <cell r="CA210">
            <v>0</v>
          </cell>
          <cell r="CB210">
            <v>0</v>
          </cell>
          <cell r="CC210">
            <v>1250356</v>
          </cell>
          <cell r="CD210">
            <v>6847034</v>
          </cell>
          <cell r="CE210">
            <v>329884</v>
          </cell>
          <cell r="CF210">
            <v>0</v>
          </cell>
          <cell r="CG210">
            <v>329884</v>
          </cell>
          <cell r="CH210">
            <v>329884</v>
          </cell>
          <cell r="CI210">
            <v>329884</v>
          </cell>
          <cell r="CJ210">
            <v>329884</v>
          </cell>
          <cell r="CK210">
            <v>0</v>
          </cell>
          <cell r="CL210">
            <v>0</v>
          </cell>
          <cell r="CM210">
            <v>0</v>
          </cell>
          <cell r="CN210">
            <v>0</v>
          </cell>
          <cell r="CO210">
            <v>0</v>
          </cell>
          <cell r="CP210">
            <v>-4627</v>
          </cell>
          <cell r="CQ210">
            <v>247909</v>
          </cell>
          <cell r="CR210">
            <v>275223</v>
          </cell>
          <cell r="CS210">
            <v>284498</v>
          </cell>
          <cell r="CT210">
            <v>309395</v>
          </cell>
          <cell r="CU210">
            <v>334179</v>
          </cell>
          <cell r="CV210">
            <v>27098</v>
          </cell>
          <cell r="CW210">
            <v>0</v>
          </cell>
          <cell r="CX210">
            <v>0</v>
          </cell>
          <cell r="CY210">
            <v>0</v>
          </cell>
          <cell r="CZ210">
            <v>0</v>
          </cell>
          <cell r="DA210">
            <v>0</v>
          </cell>
          <cell r="DB210"/>
          <cell r="DC210">
            <v>0</v>
          </cell>
          <cell r="DD210">
            <v>0</v>
          </cell>
          <cell r="DE210">
            <v>0</v>
          </cell>
          <cell r="DF210">
            <v>0</v>
          </cell>
          <cell r="DG210">
            <v>0</v>
          </cell>
          <cell r="DH210">
            <v>0</v>
          </cell>
          <cell r="DI210">
            <v>0</v>
          </cell>
          <cell r="DJ210">
            <v>0</v>
          </cell>
          <cell r="DK210">
            <v>0</v>
          </cell>
          <cell r="DL210">
            <v>0</v>
          </cell>
          <cell r="DM210"/>
          <cell r="DN210"/>
          <cell r="DO210"/>
          <cell r="DP210"/>
        </row>
        <row r="211">
          <cell r="A211">
            <v>484</v>
          </cell>
          <cell r="B211" t="str">
            <v>Alphen aan den Rijn</v>
          </cell>
          <cell r="C211">
            <v>8</v>
          </cell>
          <cell r="D211">
            <v>112471</v>
          </cell>
          <cell r="E211">
            <v>56235</v>
          </cell>
          <cell r="F211">
            <v>0</v>
          </cell>
          <cell r="G211">
            <v>47464</v>
          </cell>
          <cell r="H211">
            <v>0</v>
          </cell>
          <cell r="I211">
            <v>-37312</v>
          </cell>
          <cell r="J211"/>
          <cell r="K211">
            <v>0</v>
          </cell>
          <cell r="L211">
            <v>410020</v>
          </cell>
          <cell r="M211">
            <v>385679</v>
          </cell>
          <cell r="N211">
            <v>0</v>
          </cell>
          <cell r="O211">
            <v>0</v>
          </cell>
          <cell r="P211">
            <v>0</v>
          </cell>
          <cell r="Q211">
            <v>0</v>
          </cell>
          <cell r="R211">
            <v>0</v>
          </cell>
          <cell r="S211">
            <v>0</v>
          </cell>
          <cell r="T211">
            <v>0</v>
          </cell>
          <cell r="U211">
            <v>0</v>
          </cell>
          <cell r="V211">
            <v>68000</v>
          </cell>
          <cell r="W211">
            <v>440849</v>
          </cell>
          <cell r="X211">
            <v>0</v>
          </cell>
          <cell r="Y211"/>
          <cell r="Z211">
            <v>0</v>
          </cell>
          <cell r="AA211">
            <v>0</v>
          </cell>
          <cell r="AB211">
            <v>0</v>
          </cell>
          <cell r="AC211"/>
          <cell r="AD211">
            <v>30312</v>
          </cell>
          <cell r="AE211">
            <v>0</v>
          </cell>
          <cell r="AF211">
            <v>0</v>
          </cell>
          <cell r="AG211">
            <v>0</v>
          </cell>
          <cell r="AH211">
            <v>0</v>
          </cell>
          <cell r="AI211">
            <v>0</v>
          </cell>
          <cell r="AJ211">
            <v>0</v>
          </cell>
          <cell r="AK211">
            <v>0</v>
          </cell>
          <cell r="AL211"/>
          <cell r="AM211">
            <v>0</v>
          </cell>
          <cell r="AN211">
            <v>0</v>
          </cell>
          <cell r="AO211">
            <v>0</v>
          </cell>
          <cell r="AP211">
            <v>0</v>
          </cell>
          <cell r="AQ211">
            <v>0</v>
          </cell>
          <cell r="AR211">
            <v>0</v>
          </cell>
          <cell r="AS211">
            <v>0</v>
          </cell>
          <cell r="AT211">
            <v>0</v>
          </cell>
          <cell r="AU211">
            <v>7110</v>
          </cell>
          <cell r="AV211">
            <v>0</v>
          </cell>
          <cell r="AW211">
            <v>0</v>
          </cell>
          <cell r="AX211">
            <v>0</v>
          </cell>
          <cell r="AY211"/>
          <cell r="AZ211"/>
          <cell r="BA211">
            <v>0</v>
          </cell>
          <cell r="BB211"/>
          <cell r="BC211">
            <v>0</v>
          </cell>
          <cell r="BD211">
            <v>38233</v>
          </cell>
          <cell r="BE211"/>
          <cell r="BF211">
            <v>0</v>
          </cell>
          <cell r="BG211">
            <v>0</v>
          </cell>
          <cell r="BH211">
            <v>0</v>
          </cell>
          <cell r="BI211">
            <v>132594</v>
          </cell>
          <cell r="BJ211">
            <v>109144</v>
          </cell>
          <cell r="BK211">
            <v>109144</v>
          </cell>
          <cell r="BL211">
            <v>0</v>
          </cell>
          <cell r="BM211">
            <v>0</v>
          </cell>
          <cell r="BN211">
            <v>0</v>
          </cell>
          <cell r="BO211">
            <v>194085</v>
          </cell>
          <cell r="BP211">
            <v>34790.800000000003</v>
          </cell>
          <cell r="BQ211">
            <v>62674.418604651197</v>
          </cell>
          <cell r="BR211">
            <v>0</v>
          </cell>
          <cell r="BS211">
            <v>0</v>
          </cell>
          <cell r="BT211">
            <v>167667</v>
          </cell>
          <cell r="BU211"/>
          <cell r="BV211"/>
          <cell r="BW211"/>
          <cell r="BX211"/>
          <cell r="BY211">
            <v>0</v>
          </cell>
          <cell r="BZ211">
            <v>0</v>
          </cell>
          <cell r="CA211">
            <v>0</v>
          </cell>
          <cell r="CB211">
            <v>0</v>
          </cell>
          <cell r="CC211">
            <v>7432602</v>
          </cell>
          <cell r="CD211">
            <v>49986342</v>
          </cell>
          <cell r="CE211">
            <v>5627334</v>
          </cell>
          <cell r="CF211">
            <v>0</v>
          </cell>
          <cell r="CG211">
            <v>5627334</v>
          </cell>
          <cell r="CH211">
            <v>5627334</v>
          </cell>
          <cell r="CI211">
            <v>5627334</v>
          </cell>
          <cell r="CJ211">
            <v>5627334</v>
          </cell>
          <cell r="CK211">
            <v>0</v>
          </cell>
          <cell r="CL211">
            <v>0</v>
          </cell>
          <cell r="CM211">
            <v>0</v>
          </cell>
          <cell r="CN211">
            <v>0</v>
          </cell>
          <cell r="CO211">
            <v>0</v>
          </cell>
          <cell r="CP211">
            <v>-13402</v>
          </cell>
          <cell r="CQ211">
            <v>13470328</v>
          </cell>
          <cell r="CR211">
            <v>12823666</v>
          </cell>
          <cell r="CS211">
            <v>12465264</v>
          </cell>
          <cell r="CT211">
            <v>12110957</v>
          </cell>
          <cell r="CU211">
            <v>11786012</v>
          </cell>
          <cell r="CV211">
            <v>-4409</v>
          </cell>
          <cell r="CW211">
            <v>0</v>
          </cell>
          <cell r="CX211">
            <v>0</v>
          </cell>
          <cell r="CY211">
            <v>0</v>
          </cell>
          <cell r="CZ211">
            <v>0</v>
          </cell>
          <cell r="DA211">
            <v>0</v>
          </cell>
          <cell r="DB211"/>
          <cell r="DC211">
            <v>0</v>
          </cell>
          <cell r="DD211">
            <v>0</v>
          </cell>
          <cell r="DE211">
            <v>0</v>
          </cell>
          <cell r="DF211">
            <v>0</v>
          </cell>
          <cell r="DG211">
            <v>0</v>
          </cell>
          <cell r="DH211">
            <v>0</v>
          </cell>
          <cell r="DI211">
            <v>0</v>
          </cell>
          <cell r="DJ211">
            <v>0</v>
          </cell>
          <cell r="DK211">
            <v>0</v>
          </cell>
          <cell r="DL211">
            <v>0</v>
          </cell>
          <cell r="DM211"/>
          <cell r="DN211"/>
          <cell r="DO211"/>
          <cell r="DP211"/>
        </row>
        <row r="212">
          <cell r="A212">
            <v>489</v>
          </cell>
          <cell r="B212" t="str">
            <v>Barendrecht</v>
          </cell>
          <cell r="C212">
            <v>8</v>
          </cell>
          <cell r="D212">
            <v>42744</v>
          </cell>
          <cell r="E212">
            <v>21372</v>
          </cell>
          <cell r="F212">
            <v>0</v>
          </cell>
          <cell r="G212">
            <v>0</v>
          </cell>
          <cell r="H212">
            <v>0</v>
          </cell>
          <cell r="I212">
            <v>-5827</v>
          </cell>
          <cell r="J212"/>
          <cell r="K212">
            <v>0</v>
          </cell>
          <cell r="L212">
            <v>164899</v>
          </cell>
          <cell r="M212">
            <v>143987</v>
          </cell>
          <cell r="N212">
            <v>9900</v>
          </cell>
          <cell r="O212">
            <v>4900</v>
          </cell>
          <cell r="P212">
            <v>0</v>
          </cell>
          <cell r="Q212">
            <v>0</v>
          </cell>
          <cell r="R212">
            <v>0</v>
          </cell>
          <cell r="S212">
            <v>0</v>
          </cell>
          <cell r="T212">
            <v>0</v>
          </cell>
          <cell r="U212">
            <v>0</v>
          </cell>
          <cell r="V212">
            <v>0</v>
          </cell>
          <cell r="W212">
            <v>197294</v>
          </cell>
          <cell r="X212">
            <v>0</v>
          </cell>
          <cell r="Y212"/>
          <cell r="Z212">
            <v>0</v>
          </cell>
          <cell r="AA212">
            <v>0</v>
          </cell>
          <cell r="AB212">
            <v>0</v>
          </cell>
          <cell r="AC212"/>
          <cell r="AD212">
            <v>0</v>
          </cell>
          <cell r="AE212">
            <v>0</v>
          </cell>
          <cell r="AF212">
            <v>0</v>
          </cell>
          <cell r="AG212">
            <v>0</v>
          </cell>
          <cell r="AH212">
            <v>0</v>
          </cell>
          <cell r="AI212">
            <v>0</v>
          </cell>
          <cell r="AJ212">
            <v>0</v>
          </cell>
          <cell r="AK212">
            <v>0</v>
          </cell>
          <cell r="AL212"/>
          <cell r="AM212">
            <v>10197</v>
          </cell>
          <cell r="AN212">
            <v>10432</v>
          </cell>
          <cell r="AO212">
            <v>10672</v>
          </cell>
          <cell r="AP212">
            <v>10917</v>
          </cell>
          <cell r="AQ212">
            <v>11168</v>
          </cell>
          <cell r="AR212">
            <v>11425</v>
          </cell>
          <cell r="AS212">
            <v>0</v>
          </cell>
          <cell r="AT212">
            <v>0</v>
          </cell>
          <cell r="AU212">
            <v>0</v>
          </cell>
          <cell r="AV212">
            <v>0</v>
          </cell>
          <cell r="AW212">
            <v>0</v>
          </cell>
          <cell r="AX212">
            <v>0</v>
          </cell>
          <cell r="AY212"/>
          <cell r="AZ212"/>
          <cell r="BA212">
            <v>0</v>
          </cell>
          <cell r="BB212"/>
          <cell r="BC212">
            <v>0</v>
          </cell>
          <cell r="BD212">
            <v>16970</v>
          </cell>
          <cell r="BE212"/>
          <cell r="BF212">
            <v>0</v>
          </cell>
          <cell r="BG212">
            <v>0</v>
          </cell>
          <cell r="BH212">
            <v>0</v>
          </cell>
          <cell r="BI212">
            <v>31558</v>
          </cell>
          <cell r="BJ212">
            <v>25977</v>
          </cell>
          <cell r="BK212">
            <v>25977</v>
          </cell>
          <cell r="BL212">
            <v>0</v>
          </cell>
          <cell r="BM212">
            <v>0</v>
          </cell>
          <cell r="BN212">
            <v>0</v>
          </cell>
          <cell r="BO212">
            <v>45238</v>
          </cell>
          <cell r="BP212">
            <v>22139.599999999999</v>
          </cell>
          <cell r="BQ212">
            <v>39883.720930232601</v>
          </cell>
          <cell r="BR212">
            <v>0</v>
          </cell>
          <cell r="BS212">
            <v>0</v>
          </cell>
          <cell r="BT212">
            <v>76881</v>
          </cell>
          <cell r="BU212"/>
          <cell r="BV212"/>
          <cell r="BW212"/>
          <cell r="BX212"/>
          <cell r="BY212">
            <v>0</v>
          </cell>
          <cell r="BZ212">
            <v>0</v>
          </cell>
          <cell r="CA212">
            <v>0</v>
          </cell>
          <cell r="CB212">
            <v>0</v>
          </cell>
          <cell r="CC212">
            <v>2405475</v>
          </cell>
          <cell r="CD212">
            <v>12667009</v>
          </cell>
          <cell r="CE212">
            <v>1008092</v>
          </cell>
          <cell r="CF212">
            <v>0</v>
          </cell>
          <cell r="CG212">
            <v>1008092</v>
          </cell>
          <cell r="CH212">
            <v>1008092</v>
          </cell>
          <cell r="CI212">
            <v>1008092</v>
          </cell>
          <cell r="CJ212">
            <v>1008092</v>
          </cell>
          <cell r="CK212">
            <v>0</v>
          </cell>
          <cell r="CL212">
            <v>0</v>
          </cell>
          <cell r="CM212">
            <v>0</v>
          </cell>
          <cell r="CN212">
            <v>0</v>
          </cell>
          <cell r="CO212">
            <v>0</v>
          </cell>
          <cell r="CP212">
            <v>-2099</v>
          </cell>
          <cell r="CQ212">
            <v>166318</v>
          </cell>
          <cell r="CR212">
            <v>184802</v>
          </cell>
          <cell r="CS212">
            <v>190989</v>
          </cell>
          <cell r="CT212">
            <v>207825</v>
          </cell>
          <cell r="CU212">
            <v>224587</v>
          </cell>
          <cell r="CV212">
            <v>-48612</v>
          </cell>
          <cell r="CW212">
            <v>0</v>
          </cell>
          <cell r="CX212">
            <v>0</v>
          </cell>
          <cell r="CY212">
            <v>0</v>
          </cell>
          <cell r="CZ212">
            <v>0</v>
          </cell>
          <cell r="DA212">
            <v>0</v>
          </cell>
          <cell r="DB212"/>
          <cell r="DC212">
            <v>0</v>
          </cell>
          <cell r="DD212">
            <v>0</v>
          </cell>
          <cell r="DE212">
            <v>0</v>
          </cell>
          <cell r="DF212">
            <v>0</v>
          </cell>
          <cell r="DG212">
            <v>0</v>
          </cell>
          <cell r="DH212">
            <v>0</v>
          </cell>
          <cell r="DI212">
            <v>0</v>
          </cell>
          <cell r="DJ212">
            <v>0</v>
          </cell>
          <cell r="DK212">
            <v>0</v>
          </cell>
          <cell r="DL212">
            <v>0</v>
          </cell>
          <cell r="DM212"/>
          <cell r="DN212"/>
          <cell r="DO212"/>
          <cell r="DP212"/>
        </row>
        <row r="213">
          <cell r="A213">
            <v>585</v>
          </cell>
          <cell r="B213" t="str">
            <v>Binnenmaas</v>
          </cell>
          <cell r="C213">
            <v>8</v>
          </cell>
          <cell r="D213">
            <v>-2261</v>
          </cell>
          <cell r="E213">
            <v>-1130</v>
          </cell>
          <cell r="F213">
            <v>0</v>
          </cell>
          <cell r="G213">
            <v>0</v>
          </cell>
          <cell r="H213">
            <v>0</v>
          </cell>
          <cell r="I213">
            <v>-4099</v>
          </cell>
          <cell r="J213"/>
          <cell r="K213">
            <v>0</v>
          </cell>
          <cell r="L213">
            <v>73317</v>
          </cell>
          <cell r="M213">
            <v>68089</v>
          </cell>
          <cell r="N213">
            <v>0</v>
          </cell>
          <cell r="O213">
            <v>0</v>
          </cell>
          <cell r="P213">
            <v>0</v>
          </cell>
          <cell r="Q213">
            <v>0</v>
          </cell>
          <cell r="R213">
            <v>0</v>
          </cell>
          <cell r="S213">
            <v>0</v>
          </cell>
          <cell r="T213">
            <v>0</v>
          </cell>
          <cell r="U213">
            <v>0</v>
          </cell>
          <cell r="V213">
            <v>7750</v>
          </cell>
          <cell r="W213">
            <v>96977</v>
          </cell>
          <cell r="X213">
            <v>0</v>
          </cell>
          <cell r="Y213"/>
          <cell r="Z213">
            <v>0</v>
          </cell>
          <cell r="AA213">
            <v>0</v>
          </cell>
          <cell r="AB213">
            <v>0</v>
          </cell>
          <cell r="AC213"/>
          <cell r="AD213">
            <v>0</v>
          </cell>
          <cell r="AE213">
            <v>0</v>
          </cell>
          <cell r="AF213">
            <v>0</v>
          </cell>
          <cell r="AG213">
            <v>0</v>
          </cell>
          <cell r="AH213">
            <v>0</v>
          </cell>
          <cell r="AI213">
            <v>0</v>
          </cell>
          <cell r="AJ213">
            <v>0</v>
          </cell>
          <cell r="AK213">
            <v>0</v>
          </cell>
          <cell r="AL213"/>
          <cell r="AM213">
            <v>60288</v>
          </cell>
          <cell r="AN213">
            <v>61675</v>
          </cell>
          <cell r="AO213">
            <v>63093</v>
          </cell>
          <cell r="AP213">
            <v>64544</v>
          </cell>
          <cell r="AQ213">
            <v>66029</v>
          </cell>
          <cell r="AR213">
            <v>67548</v>
          </cell>
          <cell r="AS213">
            <v>0</v>
          </cell>
          <cell r="AT213">
            <v>0</v>
          </cell>
          <cell r="AU213">
            <v>0</v>
          </cell>
          <cell r="AV213">
            <v>0</v>
          </cell>
          <cell r="AW213">
            <v>0</v>
          </cell>
          <cell r="AX213">
            <v>0</v>
          </cell>
          <cell r="AY213"/>
          <cell r="AZ213"/>
          <cell r="BA213">
            <v>0</v>
          </cell>
          <cell r="BB213"/>
          <cell r="BC213">
            <v>0</v>
          </cell>
          <cell r="BD213">
            <v>51093</v>
          </cell>
          <cell r="BE213"/>
          <cell r="BF213">
            <v>0</v>
          </cell>
          <cell r="BG213">
            <v>0</v>
          </cell>
          <cell r="BH213">
            <v>0</v>
          </cell>
          <cell r="BI213">
            <v>29341</v>
          </cell>
          <cell r="BJ213">
            <v>24152</v>
          </cell>
          <cell r="BK213">
            <v>24152</v>
          </cell>
          <cell r="BL213">
            <v>0</v>
          </cell>
          <cell r="BM213">
            <v>0</v>
          </cell>
          <cell r="BN213">
            <v>0</v>
          </cell>
          <cell r="BO213">
            <v>60317</v>
          </cell>
          <cell r="BP213">
            <v>28465.200000000001</v>
          </cell>
          <cell r="BQ213">
            <v>51279.069767441899</v>
          </cell>
          <cell r="BR213">
            <v>0</v>
          </cell>
          <cell r="BS213">
            <v>0</v>
          </cell>
          <cell r="BT213">
            <v>43072</v>
          </cell>
          <cell r="BU213"/>
          <cell r="BV213"/>
          <cell r="BW213"/>
          <cell r="BX213"/>
          <cell r="BY213">
            <v>0</v>
          </cell>
          <cell r="BZ213">
            <v>0</v>
          </cell>
          <cell r="CA213">
            <v>0</v>
          </cell>
          <cell r="CB213">
            <v>0</v>
          </cell>
          <cell r="CC213">
            <v>2041709</v>
          </cell>
          <cell r="CD213">
            <v>8523983</v>
          </cell>
          <cell r="CE213">
            <v>338975</v>
          </cell>
          <cell r="CF213">
            <v>0</v>
          </cell>
          <cell r="CG213">
            <v>338975</v>
          </cell>
          <cell r="CH213">
            <v>338975</v>
          </cell>
          <cell r="CI213">
            <v>338975</v>
          </cell>
          <cell r="CJ213">
            <v>338975</v>
          </cell>
          <cell r="CK213">
            <v>0</v>
          </cell>
          <cell r="CL213">
            <v>0</v>
          </cell>
          <cell r="CM213">
            <v>0</v>
          </cell>
          <cell r="CN213">
            <v>0</v>
          </cell>
          <cell r="CO213">
            <v>0</v>
          </cell>
          <cell r="CP213">
            <v>-1484</v>
          </cell>
          <cell r="CQ213">
            <v>1061617</v>
          </cell>
          <cell r="CR213">
            <v>1032100</v>
          </cell>
          <cell r="CS213">
            <v>1033432</v>
          </cell>
          <cell r="CT213">
            <v>1013777</v>
          </cell>
          <cell r="CU213">
            <v>1011339</v>
          </cell>
          <cell r="CV213">
            <v>-94372</v>
          </cell>
          <cell r="CW213">
            <v>0</v>
          </cell>
          <cell r="CX213">
            <v>0</v>
          </cell>
          <cell r="CY213">
            <v>0</v>
          </cell>
          <cell r="CZ213">
            <v>0</v>
          </cell>
          <cell r="DA213">
            <v>0</v>
          </cell>
          <cell r="DB213"/>
          <cell r="DC213">
            <v>0</v>
          </cell>
          <cell r="DD213">
            <v>0</v>
          </cell>
          <cell r="DE213">
            <v>0</v>
          </cell>
          <cell r="DF213">
            <v>0</v>
          </cell>
          <cell r="DG213">
            <v>0</v>
          </cell>
          <cell r="DH213">
            <v>0</v>
          </cell>
          <cell r="DI213">
            <v>0</v>
          </cell>
          <cell r="DJ213">
            <v>0</v>
          </cell>
          <cell r="DK213">
            <v>0</v>
          </cell>
          <cell r="DL213">
            <v>0</v>
          </cell>
          <cell r="DM213"/>
          <cell r="DN213"/>
          <cell r="DO213"/>
          <cell r="DP213"/>
        </row>
        <row r="214">
          <cell r="A214">
            <v>1901</v>
          </cell>
          <cell r="B214" t="str">
            <v>Bodegraven-Reeuwijk</v>
          </cell>
          <cell r="C214">
            <v>8</v>
          </cell>
          <cell r="D214">
            <v>21144</v>
          </cell>
          <cell r="E214">
            <v>10572</v>
          </cell>
          <cell r="F214">
            <v>0</v>
          </cell>
          <cell r="G214">
            <v>38986</v>
          </cell>
          <cell r="H214">
            <v>0</v>
          </cell>
          <cell r="I214">
            <v>-14931</v>
          </cell>
          <cell r="J214"/>
          <cell r="K214">
            <v>0</v>
          </cell>
          <cell r="L214">
            <v>114741</v>
          </cell>
          <cell r="M214">
            <v>112966</v>
          </cell>
          <cell r="N214">
            <v>0</v>
          </cell>
          <cell r="O214">
            <v>0</v>
          </cell>
          <cell r="P214">
            <v>0</v>
          </cell>
          <cell r="Q214">
            <v>0</v>
          </cell>
          <cell r="R214">
            <v>0</v>
          </cell>
          <cell r="S214">
            <v>0</v>
          </cell>
          <cell r="T214">
            <v>0</v>
          </cell>
          <cell r="U214">
            <v>0</v>
          </cell>
          <cell r="V214">
            <v>3000</v>
          </cell>
          <cell r="W214">
            <v>144229</v>
          </cell>
          <cell r="X214">
            <v>0</v>
          </cell>
          <cell r="Y214"/>
          <cell r="Z214">
            <v>0</v>
          </cell>
          <cell r="AA214">
            <v>0</v>
          </cell>
          <cell r="AB214">
            <v>0</v>
          </cell>
          <cell r="AC214"/>
          <cell r="AD214">
            <v>0</v>
          </cell>
          <cell r="AE214">
            <v>0</v>
          </cell>
          <cell r="AF214">
            <v>0</v>
          </cell>
          <cell r="AG214">
            <v>0</v>
          </cell>
          <cell r="AH214">
            <v>0</v>
          </cell>
          <cell r="AI214">
            <v>0</v>
          </cell>
          <cell r="AJ214">
            <v>0</v>
          </cell>
          <cell r="AK214">
            <v>0</v>
          </cell>
          <cell r="AL214"/>
          <cell r="AM214">
            <v>0</v>
          </cell>
          <cell r="AN214">
            <v>0</v>
          </cell>
          <cell r="AO214">
            <v>0</v>
          </cell>
          <cell r="AP214">
            <v>0</v>
          </cell>
          <cell r="AQ214">
            <v>0</v>
          </cell>
          <cell r="AR214">
            <v>0</v>
          </cell>
          <cell r="AS214">
            <v>0</v>
          </cell>
          <cell r="AT214">
            <v>0</v>
          </cell>
          <cell r="AU214">
            <v>2370</v>
          </cell>
          <cell r="AV214">
            <v>0</v>
          </cell>
          <cell r="AW214">
            <v>0</v>
          </cell>
          <cell r="AX214">
            <v>0</v>
          </cell>
          <cell r="AY214"/>
          <cell r="AZ214"/>
          <cell r="BA214">
            <v>0</v>
          </cell>
          <cell r="BB214"/>
          <cell r="BC214">
            <v>0</v>
          </cell>
          <cell r="BD214">
            <v>11841</v>
          </cell>
          <cell r="BE214"/>
          <cell r="BF214">
            <v>0</v>
          </cell>
          <cell r="BG214">
            <v>0</v>
          </cell>
          <cell r="BH214">
            <v>0</v>
          </cell>
          <cell r="BI214">
            <v>29647</v>
          </cell>
          <cell r="BJ214">
            <v>24404</v>
          </cell>
          <cell r="BK214">
            <v>24404</v>
          </cell>
          <cell r="BL214">
            <v>0</v>
          </cell>
          <cell r="BM214">
            <v>0</v>
          </cell>
          <cell r="BN214">
            <v>0</v>
          </cell>
          <cell r="BO214">
            <v>63236</v>
          </cell>
          <cell r="BP214">
            <v>26883.8</v>
          </cell>
          <cell r="BQ214">
            <v>48430.232558139498</v>
          </cell>
          <cell r="BR214">
            <v>0</v>
          </cell>
          <cell r="BS214">
            <v>0</v>
          </cell>
          <cell r="BT214">
            <v>62145</v>
          </cell>
          <cell r="BU214"/>
          <cell r="BV214"/>
          <cell r="BW214"/>
          <cell r="BX214"/>
          <cell r="BY214">
            <v>0</v>
          </cell>
          <cell r="BZ214">
            <v>0</v>
          </cell>
          <cell r="CA214">
            <v>0</v>
          </cell>
          <cell r="CB214">
            <v>0</v>
          </cell>
          <cell r="CC214">
            <v>2013374</v>
          </cell>
          <cell r="CD214">
            <v>9701754</v>
          </cell>
          <cell r="CE214">
            <v>692760</v>
          </cell>
          <cell r="CF214">
            <v>0</v>
          </cell>
          <cell r="CG214">
            <v>692760</v>
          </cell>
          <cell r="CH214">
            <v>692760</v>
          </cell>
          <cell r="CI214">
            <v>692760</v>
          </cell>
          <cell r="CJ214">
            <v>692760</v>
          </cell>
          <cell r="CK214">
            <v>0</v>
          </cell>
          <cell r="CL214">
            <v>0</v>
          </cell>
          <cell r="CM214">
            <v>0</v>
          </cell>
          <cell r="CN214">
            <v>0</v>
          </cell>
          <cell r="CO214">
            <v>0</v>
          </cell>
          <cell r="CP214">
            <v>-5345</v>
          </cell>
          <cell r="CQ214">
            <v>1177448</v>
          </cell>
          <cell r="CR214">
            <v>1110278</v>
          </cell>
          <cell r="CS214">
            <v>1109468</v>
          </cell>
          <cell r="CT214">
            <v>1089085</v>
          </cell>
          <cell r="CU214">
            <v>1083043</v>
          </cell>
          <cell r="CV214">
            <v>-60823</v>
          </cell>
          <cell r="CW214">
            <v>0</v>
          </cell>
          <cell r="CX214">
            <v>0</v>
          </cell>
          <cell r="CY214">
            <v>0</v>
          </cell>
          <cell r="CZ214">
            <v>0</v>
          </cell>
          <cell r="DA214">
            <v>0</v>
          </cell>
          <cell r="DB214"/>
          <cell r="DC214">
            <v>0</v>
          </cell>
          <cell r="DD214">
            <v>0</v>
          </cell>
          <cell r="DE214">
            <v>0</v>
          </cell>
          <cell r="DF214">
            <v>0</v>
          </cell>
          <cell r="DG214">
            <v>0</v>
          </cell>
          <cell r="DH214">
            <v>0</v>
          </cell>
          <cell r="DI214">
            <v>0</v>
          </cell>
          <cell r="DJ214">
            <v>0</v>
          </cell>
          <cell r="DK214">
            <v>0</v>
          </cell>
          <cell r="DL214">
            <v>0</v>
          </cell>
          <cell r="DM214"/>
          <cell r="DN214"/>
          <cell r="DO214"/>
          <cell r="DP214"/>
        </row>
        <row r="215">
          <cell r="A215">
            <v>501</v>
          </cell>
          <cell r="B215" t="str">
            <v>Brielle</v>
          </cell>
          <cell r="C215">
            <v>8</v>
          </cell>
          <cell r="D215">
            <v>688</v>
          </cell>
          <cell r="E215">
            <v>344</v>
          </cell>
          <cell r="F215">
            <v>0</v>
          </cell>
          <cell r="G215">
            <v>0</v>
          </cell>
          <cell r="H215">
            <v>-14780</v>
          </cell>
          <cell r="I215">
            <v>-18173</v>
          </cell>
          <cell r="J215"/>
          <cell r="K215">
            <v>0</v>
          </cell>
          <cell r="L215">
            <v>57122</v>
          </cell>
          <cell r="M215">
            <v>54995</v>
          </cell>
          <cell r="N215">
            <v>2500</v>
          </cell>
          <cell r="O215">
            <v>1300</v>
          </cell>
          <cell r="P215">
            <v>0</v>
          </cell>
          <cell r="Q215">
            <v>0</v>
          </cell>
          <cell r="R215">
            <v>0</v>
          </cell>
          <cell r="S215">
            <v>0</v>
          </cell>
          <cell r="T215">
            <v>0</v>
          </cell>
          <cell r="U215">
            <v>0</v>
          </cell>
          <cell r="V215">
            <v>0</v>
          </cell>
          <cell r="W215">
            <v>27275</v>
          </cell>
          <cell r="X215">
            <v>0</v>
          </cell>
          <cell r="Y215"/>
          <cell r="Z215">
            <v>0</v>
          </cell>
          <cell r="AA215">
            <v>0</v>
          </cell>
          <cell r="AB215">
            <v>0</v>
          </cell>
          <cell r="AC215"/>
          <cell r="AD215">
            <v>0</v>
          </cell>
          <cell r="AE215">
            <v>0</v>
          </cell>
          <cell r="AF215">
            <v>0</v>
          </cell>
          <cell r="AG215">
            <v>0</v>
          </cell>
          <cell r="AH215">
            <v>0</v>
          </cell>
          <cell r="AI215">
            <v>0</v>
          </cell>
          <cell r="AJ215">
            <v>0</v>
          </cell>
          <cell r="AK215">
            <v>0</v>
          </cell>
          <cell r="AL215"/>
          <cell r="AM215">
            <v>24838</v>
          </cell>
          <cell r="AN215">
            <v>25409</v>
          </cell>
          <cell r="AO215">
            <v>25994</v>
          </cell>
          <cell r="AP215">
            <v>26591</v>
          </cell>
          <cell r="AQ215">
            <v>27203</v>
          </cell>
          <cell r="AR215">
            <v>27829</v>
          </cell>
          <cell r="AS215">
            <v>0</v>
          </cell>
          <cell r="AT215">
            <v>0</v>
          </cell>
          <cell r="AU215">
            <v>4740</v>
          </cell>
          <cell r="AV215">
            <v>0</v>
          </cell>
          <cell r="AW215">
            <v>0</v>
          </cell>
          <cell r="AX215">
            <v>0</v>
          </cell>
          <cell r="AY215"/>
          <cell r="AZ215"/>
          <cell r="BA215">
            <v>0</v>
          </cell>
          <cell r="BB215"/>
          <cell r="BC215">
            <v>0</v>
          </cell>
          <cell r="BD215">
            <v>5909</v>
          </cell>
          <cell r="BE215"/>
          <cell r="BF215">
            <v>0</v>
          </cell>
          <cell r="BG215">
            <v>0</v>
          </cell>
          <cell r="BH215">
            <v>0</v>
          </cell>
          <cell r="BI215">
            <v>16336</v>
          </cell>
          <cell r="BJ215">
            <v>13447</v>
          </cell>
          <cell r="BK215">
            <v>13447</v>
          </cell>
          <cell r="BL215">
            <v>0</v>
          </cell>
          <cell r="BM215">
            <v>0</v>
          </cell>
          <cell r="BN215">
            <v>0</v>
          </cell>
          <cell r="BO215">
            <v>15566</v>
          </cell>
          <cell r="BP215">
            <v>12651.2</v>
          </cell>
          <cell r="BQ215">
            <v>22790.697674418599</v>
          </cell>
          <cell r="BR215">
            <v>0</v>
          </cell>
          <cell r="BS215">
            <v>0</v>
          </cell>
          <cell r="BT215">
            <v>24728</v>
          </cell>
          <cell r="BU215"/>
          <cell r="BV215"/>
          <cell r="BW215"/>
          <cell r="BX215"/>
          <cell r="BY215">
            <v>0</v>
          </cell>
          <cell r="BZ215">
            <v>0</v>
          </cell>
          <cell r="CA215">
            <v>0</v>
          </cell>
          <cell r="CB215">
            <v>0</v>
          </cell>
          <cell r="CC215">
            <v>1177854</v>
          </cell>
          <cell r="CD215">
            <v>4372422</v>
          </cell>
          <cell r="CE215">
            <v>72499</v>
          </cell>
          <cell r="CF215">
            <v>0</v>
          </cell>
          <cell r="CG215">
            <v>72499</v>
          </cell>
          <cell r="CH215">
            <v>72499</v>
          </cell>
          <cell r="CI215">
            <v>72499</v>
          </cell>
          <cell r="CJ215">
            <v>72499</v>
          </cell>
          <cell r="CK215">
            <v>0</v>
          </cell>
          <cell r="CL215">
            <v>0</v>
          </cell>
          <cell r="CM215">
            <v>0</v>
          </cell>
          <cell r="CN215">
            <v>0</v>
          </cell>
          <cell r="CO215">
            <v>0</v>
          </cell>
          <cell r="CP215">
            <v>-6503</v>
          </cell>
          <cell r="CQ215">
            <v>59439</v>
          </cell>
          <cell r="CR215">
            <v>65972</v>
          </cell>
          <cell r="CS215">
            <v>68199</v>
          </cell>
          <cell r="CT215">
            <v>74155</v>
          </cell>
          <cell r="CU215">
            <v>80083</v>
          </cell>
          <cell r="CV215">
            <v>-22995</v>
          </cell>
          <cell r="CW215">
            <v>0</v>
          </cell>
          <cell r="CX215">
            <v>0</v>
          </cell>
          <cell r="CY215">
            <v>0</v>
          </cell>
          <cell r="CZ215">
            <v>0</v>
          </cell>
          <cell r="DA215">
            <v>0</v>
          </cell>
          <cell r="DB215"/>
          <cell r="DC215">
            <v>0</v>
          </cell>
          <cell r="DD215">
            <v>0</v>
          </cell>
          <cell r="DE215">
            <v>0</v>
          </cell>
          <cell r="DF215">
            <v>0</v>
          </cell>
          <cell r="DG215">
            <v>0</v>
          </cell>
          <cell r="DH215">
            <v>0</v>
          </cell>
          <cell r="DI215">
            <v>0</v>
          </cell>
          <cell r="DJ215">
            <v>0</v>
          </cell>
          <cell r="DK215">
            <v>0</v>
          </cell>
          <cell r="DL215">
            <v>0</v>
          </cell>
          <cell r="DM215"/>
          <cell r="DN215"/>
          <cell r="DO215"/>
          <cell r="DP215"/>
        </row>
        <row r="216">
          <cell r="A216">
            <v>502</v>
          </cell>
          <cell r="B216" t="str">
            <v>Capelle aan den IJssel</v>
          </cell>
          <cell r="C216">
            <v>8</v>
          </cell>
          <cell r="D216">
            <v>48043</v>
          </cell>
          <cell r="E216">
            <v>24022</v>
          </cell>
          <cell r="F216">
            <v>0</v>
          </cell>
          <cell r="G216">
            <v>0</v>
          </cell>
          <cell r="H216">
            <v>-13753</v>
          </cell>
          <cell r="I216">
            <v>-35324</v>
          </cell>
          <cell r="J216"/>
          <cell r="K216">
            <v>0</v>
          </cell>
          <cell r="L216">
            <v>449016</v>
          </cell>
          <cell r="M216">
            <v>479122</v>
          </cell>
          <cell r="N216">
            <v>8400</v>
          </cell>
          <cell r="O216">
            <v>4200</v>
          </cell>
          <cell r="P216">
            <v>0</v>
          </cell>
          <cell r="Q216">
            <v>0</v>
          </cell>
          <cell r="R216">
            <v>0</v>
          </cell>
          <cell r="S216">
            <v>0</v>
          </cell>
          <cell r="T216">
            <v>0</v>
          </cell>
          <cell r="U216">
            <v>0</v>
          </cell>
          <cell r="V216">
            <v>12000</v>
          </cell>
          <cell r="W216">
            <v>188500</v>
          </cell>
          <cell r="X216">
            <v>0</v>
          </cell>
          <cell r="Y216"/>
          <cell r="Z216">
            <v>0</v>
          </cell>
          <cell r="AA216">
            <v>0</v>
          </cell>
          <cell r="AB216">
            <v>0</v>
          </cell>
          <cell r="AC216"/>
          <cell r="AD216">
            <v>68446</v>
          </cell>
          <cell r="AE216">
            <v>0</v>
          </cell>
          <cell r="AF216">
            <v>0</v>
          </cell>
          <cell r="AG216">
            <v>0</v>
          </cell>
          <cell r="AH216">
            <v>0</v>
          </cell>
          <cell r="AI216">
            <v>0</v>
          </cell>
          <cell r="AJ216">
            <v>0</v>
          </cell>
          <cell r="AK216">
            <v>0</v>
          </cell>
          <cell r="AL216"/>
          <cell r="AM216">
            <v>0</v>
          </cell>
          <cell r="AN216">
            <v>0</v>
          </cell>
          <cell r="AO216">
            <v>0</v>
          </cell>
          <cell r="AP216">
            <v>0</v>
          </cell>
          <cell r="AQ216">
            <v>0</v>
          </cell>
          <cell r="AR216">
            <v>0</v>
          </cell>
          <cell r="AS216">
            <v>0</v>
          </cell>
          <cell r="AT216">
            <v>18000</v>
          </cell>
          <cell r="AU216">
            <v>11850</v>
          </cell>
          <cell r="AV216">
            <v>0</v>
          </cell>
          <cell r="AW216">
            <v>0</v>
          </cell>
          <cell r="AX216">
            <v>0</v>
          </cell>
          <cell r="AY216"/>
          <cell r="AZ216"/>
          <cell r="BA216">
            <v>0</v>
          </cell>
          <cell r="BB216"/>
          <cell r="BC216">
            <v>0</v>
          </cell>
          <cell r="BD216">
            <v>23316</v>
          </cell>
          <cell r="BE216"/>
          <cell r="BF216">
            <v>0</v>
          </cell>
          <cell r="BG216">
            <v>0</v>
          </cell>
          <cell r="BH216">
            <v>0</v>
          </cell>
          <cell r="BI216">
            <v>117541</v>
          </cell>
          <cell r="BJ216">
            <v>96753</v>
          </cell>
          <cell r="BK216">
            <v>96753</v>
          </cell>
          <cell r="BL216">
            <v>0</v>
          </cell>
          <cell r="BM216">
            <v>0</v>
          </cell>
          <cell r="BN216">
            <v>0</v>
          </cell>
          <cell r="BO216">
            <v>9242</v>
          </cell>
          <cell r="BP216">
            <v>47442</v>
          </cell>
          <cell r="BQ216">
            <v>85465.1162790698</v>
          </cell>
          <cell r="BR216">
            <v>0</v>
          </cell>
          <cell r="BS216">
            <v>0</v>
          </cell>
          <cell r="BT216">
            <v>116331</v>
          </cell>
          <cell r="BU216"/>
          <cell r="BV216"/>
          <cell r="BW216"/>
          <cell r="BX216"/>
          <cell r="BY216">
            <v>0</v>
          </cell>
          <cell r="BZ216">
            <v>0</v>
          </cell>
          <cell r="CA216">
            <v>0</v>
          </cell>
          <cell r="CB216">
            <v>0</v>
          </cell>
          <cell r="CC216">
            <v>5300772</v>
          </cell>
          <cell r="CD216">
            <v>35594794</v>
          </cell>
          <cell r="CE216">
            <v>2407511</v>
          </cell>
          <cell r="CF216">
            <v>0</v>
          </cell>
          <cell r="CG216">
            <v>2407511</v>
          </cell>
          <cell r="CH216">
            <v>2407511</v>
          </cell>
          <cell r="CI216">
            <v>2407511</v>
          </cell>
          <cell r="CJ216">
            <v>2407511</v>
          </cell>
          <cell r="CK216">
            <v>0</v>
          </cell>
          <cell r="CL216">
            <v>0</v>
          </cell>
          <cell r="CM216">
            <v>0</v>
          </cell>
          <cell r="CN216">
            <v>0</v>
          </cell>
          <cell r="CO216">
            <v>0</v>
          </cell>
          <cell r="CP216">
            <v>-12703</v>
          </cell>
          <cell r="CQ216">
            <v>6689794</v>
          </cell>
          <cell r="CR216">
            <v>6450333</v>
          </cell>
          <cell r="CS216">
            <v>6285992</v>
          </cell>
          <cell r="CT216">
            <v>6064112</v>
          </cell>
          <cell r="CU216">
            <v>5985169</v>
          </cell>
          <cell r="CV216">
            <v>48916</v>
          </cell>
          <cell r="CW216">
            <v>0</v>
          </cell>
          <cell r="CX216">
            <v>0</v>
          </cell>
          <cell r="CY216">
            <v>0</v>
          </cell>
          <cell r="CZ216">
            <v>0</v>
          </cell>
          <cell r="DA216">
            <v>0</v>
          </cell>
          <cell r="DB216"/>
          <cell r="DC216">
            <v>0</v>
          </cell>
          <cell r="DD216">
            <v>0</v>
          </cell>
          <cell r="DE216">
            <v>0</v>
          </cell>
          <cell r="DF216">
            <v>0</v>
          </cell>
          <cell r="DG216">
            <v>0</v>
          </cell>
          <cell r="DH216">
            <v>0</v>
          </cell>
          <cell r="DI216">
            <v>0</v>
          </cell>
          <cell r="DJ216">
            <v>0</v>
          </cell>
          <cell r="DK216">
            <v>0</v>
          </cell>
          <cell r="DL216">
            <v>0</v>
          </cell>
          <cell r="DM216"/>
          <cell r="DN216"/>
          <cell r="DO216"/>
          <cell r="DP216"/>
        </row>
        <row r="217">
          <cell r="A217">
            <v>611</v>
          </cell>
          <cell r="B217" t="str">
            <v>Cromstrijen</v>
          </cell>
          <cell r="C217">
            <v>8</v>
          </cell>
          <cell r="D217">
            <v>10398</v>
          </cell>
          <cell r="E217">
            <v>5199</v>
          </cell>
          <cell r="F217">
            <v>0</v>
          </cell>
          <cell r="G217">
            <v>78680</v>
          </cell>
          <cell r="H217">
            <v>0</v>
          </cell>
          <cell r="I217">
            <v>-11757</v>
          </cell>
          <cell r="J217"/>
          <cell r="K217">
            <v>0</v>
          </cell>
          <cell r="L217">
            <v>27695</v>
          </cell>
          <cell r="M217">
            <v>23998</v>
          </cell>
          <cell r="N217">
            <v>0</v>
          </cell>
          <cell r="O217">
            <v>0</v>
          </cell>
          <cell r="P217">
            <v>0</v>
          </cell>
          <cell r="Q217">
            <v>0</v>
          </cell>
          <cell r="R217">
            <v>0</v>
          </cell>
          <cell r="S217">
            <v>0</v>
          </cell>
          <cell r="T217">
            <v>0</v>
          </cell>
          <cell r="U217">
            <v>0</v>
          </cell>
          <cell r="V217">
            <v>3000</v>
          </cell>
          <cell r="W217">
            <v>50538</v>
          </cell>
          <cell r="X217">
            <v>0</v>
          </cell>
          <cell r="Y217"/>
          <cell r="Z217">
            <v>0</v>
          </cell>
          <cell r="AA217">
            <v>0</v>
          </cell>
          <cell r="AB217">
            <v>0</v>
          </cell>
          <cell r="AC217"/>
          <cell r="AD217">
            <v>0</v>
          </cell>
          <cell r="AE217">
            <v>0</v>
          </cell>
          <cell r="AF217">
            <v>0</v>
          </cell>
          <cell r="AG217">
            <v>0</v>
          </cell>
          <cell r="AH217">
            <v>0</v>
          </cell>
          <cell r="AI217">
            <v>0</v>
          </cell>
          <cell r="AJ217">
            <v>0</v>
          </cell>
          <cell r="AK217">
            <v>0</v>
          </cell>
          <cell r="AL217"/>
          <cell r="AM217">
            <v>56766</v>
          </cell>
          <cell r="AN217">
            <v>58071</v>
          </cell>
          <cell r="AO217">
            <v>59407</v>
          </cell>
          <cell r="AP217">
            <v>60773</v>
          </cell>
          <cell r="AQ217">
            <v>62171</v>
          </cell>
          <cell r="AR217">
            <v>63601</v>
          </cell>
          <cell r="AS217">
            <v>0</v>
          </cell>
          <cell r="AT217">
            <v>0</v>
          </cell>
          <cell r="AU217">
            <v>2370</v>
          </cell>
          <cell r="AV217">
            <v>0</v>
          </cell>
          <cell r="AW217">
            <v>0</v>
          </cell>
          <cell r="AX217">
            <v>0</v>
          </cell>
          <cell r="AY217"/>
          <cell r="AZ217"/>
          <cell r="BA217">
            <v>0</v>
          </cell>
          <cell r="BB217"/>
          <cell r="BC217">
            <v>0</v>
          </cell>
          <cell r="BD217">
            <v>22451</v>
          </cell>
          <cell r="BE217"/>
          <cell r="BF217">
            <v>0</v>
          </cell>
          <cell r="BG217">
            <v>0</v>
          </cell>
          <cell r="BH217">
            <v>0</v>
          </cell>
          <cell r="BI217">
            <v>12803</v>
          </cell>
          <cell r="BJ217">
            <v>10539</v>
          </cell>
          <cell r="BK217">
            <v>10539</v>
          </cell>
          <cell r="BL217">
            <v>0</v>
          </cell>
          <cell r="BM217">
            <v>0</v>
          </cell>
          <cell r="BN217">
            <v>0</v>
          </cell>
          <cell r="BO217">
            <v>11674</v>
          </cell>
          <cell r="BP217">
            <v>0</v>
          </cell>
          <cell r="BQ217">
            <v>0</v>
          </cell>
          <cell r="BR217">
            <v>0</v>
          </cell>
          <cell r="BS217">
            <v>0</v>
          </cell>
          <cell r="BT217">
            <v>19829</v>
          </cell>
          <cell r="BU217"/>
          <cell r="BV217"/>
          <cell r="BW217"/>
          <cell r="BX217"/>
          <cell r="BY217">
            <v>0</v>
          </cell>
          <cell r="BZ217">
            <v>0</v>
          </cell>
          <cell r="CA217">
            <v>0</v>
          </cell>
          <cell r="CB217">
            <v>0</v>
          </cell>
          <cell r="CC217">
            <v>947157</v>
          </cell>
          <cell r="CD217">
            <v>4052331</v>
          </cell>
          <cell r="CE217">
            <v>196294</v>
          </cell>
          <cell r="CF217">
            <v>0</v>
          </cell>
          <cell r="CG217">
            <v>196294</v>
          </cell>
          <cell r="CH217">
            <v>196294</v>
          </cell>
          <cell r="CI217">
            <v>196294</v>
          </cell>
          <cell r="CJ217">
            <v>196294</v>
          </cell>
          <cell r="CK217">
            <v>0</v>
          </cell>
          <cell r="CL217">
            <v>0</v>
          </cell>
          <cell r="CM217">
            <v>0</v>
          </cell>
          <cell r="CN217">
            <v>0</v>
          </cell>
          <cell r="CO217">
            <v>0</v>
          </cell>
          <cell r="CP217">
            <v>-4232</v>
          </cell>
          <cell r="CQ217">
            <v>630758</v>
          </cell>
          <cell r="CR217">
            <v>592443</v>
          </cell>
          <cell r="CS217">
            <v>570242</v>
          </cell>
          <cell r="CT217">
            <v>570620</v>
          </cell>
          <cell r="CU217">
            <v>541774</v>
          </cell>
          <cell r="CV217">
            <v>5875</v>
          </cell>
          <cell r="CW217">
            <v>0</v>
          </cell>
          <cell r="CX217">
            <v>0</v>
          </cell>
          <cell r="CY217">
            <v>0</v>
          </cell>
          <cell r="CZ217">
            <v>0</v>
          </cell>
          <cell r="DA217">
            <v>0</v>
          </cell>
          <cell r="DB217"/>
          <cell r="DC217">
            <v>0</v>
          </cell>
          <cell r="DD217">
            <v>0</v>
          </cell>
          <cell r="DE217">
            <v>0</v>
          </cell>
          <cell r="DF217">
            <v>0</v>
          </cell>
          <cell r="DG217">
            <v>0</v>
          </cell>
          <cell r="DH217">
            <v>0</v>
          </cell>
          <cell r="DI217">
            <v>0</v>
          </cell>
          <cell r="DJ217">
            <v>0</v>
          </cell>
          <cell r="DK217">
            <v>0</v>
          </cell>
          <cell r="DL217">
            <v>0</v>
          </cell>
          <cell r="DM217"/>
          <cell r="DN217"/>
          <cell r="DO217"/>
          <cell r="DP217"/>
        </row>
        <row r="218">
          <cell r="A218">
            <v>503</v>
          </cell>
          <cell r="B218" t="str">
            <v>Delft</v>
          </cell>
          <cell r="C218">
            <v>8</v>
          </cell>
          <cell r="D218">
            <v>185263</v>
          </cell>
          <cell r="E218">
            <v>92631</v>
          </cell>
          <cell r="F218">
            <v>0</v>
          </cell>
          <cell r="G218">
            <v>452793</v>
          </cell>
          <cell r="H218">
            <v>0</v>
          </cell>
          <cell r="I218">
            <v>-22049</v>
          </cell>
          <cell r="J218"/>
          <cell r="K218">
            <v>0</v>
          </cell>
          <cell r="L218">
            <v>521438</v>
          </cell>
          <cell r="M218">
            <v>538521</v>
          </cell>
          <cell r="N218">
            <v>0</v>
          </cell>
          <cell r="O218">
            <v>0</v>
          </cell>
          <cell r="P218">
            <v>150000</v>
          </cell>
          <cell r="Q218">
            <v>0</v>
          </cell>
          <cell r="R218">
            <v>0</v>
          </cell>
          <cell r="S218">
            <v>0</v>
          </cell>
          <cell r="T218">
            <v>0</v>
          </cell>
          <cell r="U218">
            <v>0</v>
          </cell>
          <cell r="V218">
            <v>21000</v>
          </cell>
          <cell r="W218">
            <v>297787</v>
          </cell>
          <cell r="X218">
            <v>0</v>
          </cell>
          <cell r="Y218"/>
          <cell r="Z218">
            <v>0</v>
          </cell>
          <cell r="AA218">
            <v>0</v>
          </cell>
          <cell r="AB218">
            <v>0</v>
          </cell>
          <cell r="AC218"/>
          <cell r="AD218">
            <v>220982</v>
          </cell>
          <cell r="AE218">
            <v>0</v>
          </cell>
          <cell r="AF218">
            <v>0</v>
          </cell>
          <cell r="AG218">
            <v>0</v>
          </cell>
          <cell r="AH218">
            <v>0</v>
          </cell>
          <cell r="AI218">
            <v>0</v>
          </cell>
          <cell r="AJ218">
            <v>0</v>
          </cell>
          <cell r="AK218">
            <v>0</v>
          </cell>
          <cell r="AL218"/>
          <cell r="AM218">
            <v>0</v>
          </cell>
          <cell r="AN218">
            <v>0</v>
          </cell>
          <cell r="AO218">
            <v>0</v>
          </cell>
          <cell r="AP218">
            <v>0</v>
          </cell>
          <cell r="AQ218">
            <v>0</v>
          </cell>
          <cell r="AR218">
            <v>0</v>
          </cell>
          <cell r="AS218">
            <v>0</v>
          </cell>
          <cell r="AT218">
            <v>20000</v>
          </cell>
          <cell r="AU218">
            <v>7110</v>
          </cell>
          <cell r="AV218">
            <v>2483935.6312998398</v>
          </cell>
          <cell r="AW218">
            <v>0</v>
          </cell>
          <cell r="AX218">
            <v>0</v>
          </cell>
          <cell r="AY218"/>
          <cell r="AZ218"/>
          <cell r="BA218">
            <v>0</v>
          </cell>
          <cell r="BB218"/>
          <cell r="BC218">
            <v>9916</v>
          </cell>
          <cell r="BD218">
            <v>35588</v>
          </cell>
          <cell r="BE218"/>
          <cell r="BF218">
            <v>0</v>
          </cell>
          <cell r="BG218">
            <v>0</v>
          </cell>
          <cell r="BH218">
            <v>0</v>
          </cell>
          <cell r="BI218">
            <v>164308</v>
          </cell>
          <cell r="BJ218">
            <v>135250</v>
          </cell>
          <cell r="BK218">
            <v>135250</v>
          </cell>
          <cell r="BL218">
            <v>0</v>
          </cell>
          <cell r="BM218">
            <v>0</v>
          </cell>
          <cell r="BN218">
            <v>0</v>
          </cell>
          <cell r="BO218">
            <v>86098</v>
          </cell>
          <cell r="BP218">
            <v>60093.2</v>
          </cell>
          <cell r="BQ218">
            <v>108255.813953488</v>
          </cell>
          <cell r="BR218">
            <v>372650</v>
          </cell>
          <cell r="BS218">
            <v>0</v>
          </cell>
          <cell r="BT218">
            <v>157124</v>
          </cell>
          <cell r="BU218"/>
          <cell r="BV218"/>
          <cell r="BW218"/>
          <cell r="BX218"/>
          <cell r="BY218">
            <v>1858875.7326807701</v>
          </cell>
          <cell r="BZ218">
            <v>2153287.8856008002</v>
          </cell>
          <cell r="CA218">
            <v>2178438.6725336602</v>
          </cell>
          <cell r="CB218">
            <v>2249452.6591676399</v>
          </cell>
          <cell r="CC218">
            <v>6645737</v>
          </cell>
          <cell r="CD218">
            <v>63134905</v>
          </cell>
          <cell r="CE218">
            <v>2279940</v>
          </cell>
          <cell r="CF218">
            <v>-23131</v>
          </cell>
          <cell r="CG218">
            <v>2279940</v>
          </cell>
          <cell r="CH218">
            <v>2279940</v>
          </cell>
          <cell r="CI218">
            <v>2279940</v>
          </cell>
          <cell r="CJ218">
            <v>2279940</v>
          </cell>
          <cell r="CK218">
            <v>18546989</v>
          </cell>
          <cell r="CL218">
            <v>18537680</v>
          </cell>
          <cell r="CM218">
            <v>18537530</v>
          </cell>
          <cell r="CN218">
            <v>18537199</v>
          </cell>
          <cell r="CO218">
            <v>18537658</v>
          </cell>
          <cell r="CP218">
            <v>-4432</v>
          </cell>
          <cell r="CQ218">
            <v>12383904</v>
          </cell>
          <cell r="CR218">
            <v>11887654</v>
          </cell>
          <cell r="CS218">
            <v>11533370</v>
          </cell>
          <cell r="CT218">
            <v>11198441</v>
          </cell>
          <cell r="CU218">
            <v>10896472</v>
          </cell>
          <cell r="CV218">
            <v>571624</v>
          </cell>
          <cell r="CW218">
            <v>0</v>
          </cell>
          <cell r="CX218">
            <v>0</v>
          </cell>
          <cell r="CY218">
            <v>0</v>
          </cell>
          <cell r="CZ218">
            <v>0</v>
          </cell>
          <cell r="DA218">
            <v>0</v>
          </cell>
          <cell r="DB218"/>
          <cell r="DC218">
            <v>0</v>
          </cell>
          <cell r="DD218">
            <v>0</v>
          </cell>
          <cell r="DE218">
            <v>0</v>
          </cell>
          <cell r="DF218">
            <v>0</v>
          </cell>
          <cell r="DG218">
            <v>0</v>
          </cell>
          <cell r="DH218">
            <v>0</v>
          </cell>
          <cell r="DI218">
            <v>0</v>
          </cell>
          <cell r="DJ218">
            <v>0</v>
          </cell>
          <cell r="DK218">
            <v>0</v>
          </cell>
          <cell r="DL218">
            <v>0</v>
          </cell>
          <cell r="DM218"/>
          <cell r="DN218"/>
          <cell r="DO218"/>
          <cell r="DP218"/>
        </row>
        <row r="219">
          <cell r="A219">
            <v>505</v>
          </cell>
          <cell r="B219" t="str">
            <v>Dordrecht</v>
          </cell>
          <cell r="C219">
            <v>8</v>
          </cell>
          <cell r="D219">
            <v>175068</v>
          </cell>
          <cell r="E219">
            <v>87534</v>
          </cell>
          <cell r="F219">
            <v>0</v>
          </cell>
          <cell r="G219">
            <v>0</v>
          </cell>
          <cell r="H219">
            <v>0</v>
          </cell>
          <cell r="I219">
            <v>-16641</v>
          </cell>
          <cell r="J219"/>
          <cell r="K219">
            <v>0</v>
          </cell>
          <cell r="L219">
            <v>711784</v>
          </cell>
          <cell r="M219">
            <v>755287</v>
          </cell>
          <cell r="N219">
            <v>31100</v>
          </cell>
          <cell r="O219">
            <v>15500</v>
          </cell>
          <cell r="P219">
            <v>150000</v>
          </cell>
          <cell r="Q219">
            <v>0</v>
          </cell>
          <cell r="R219">
            <v>0</v>
          </cell>
          <cell r="S219">
            <v>1537991</v>
          </cell>
          <cell r="T219">
            <v>1537991</v>
          </cell>
          <cell r="U219">
            <v>1537991</v>
          </cell>
          <cell r="V219">
            <v>12000</v>
          </cell>
          <cell r="W219">
            <v>468062</v>
          </cell>
          <cell r="X219">
            <v>0</v>
          </cell>
          <cell r="Y219"/>
          <cell r="Z219">
            <v>0</v>
          </cell>
          <cell r="AA219">
            <v>0</v>
          </cell>
          <cell r="AB219">
            <v>0</v>
          </cell>
          <cell r="AC219"/>
          <cell r="AD219">
            <v>201426</v>
          </cell>
          <cell r="AE219">
            <v>0</v>
          </cell>
          <cell r="AF219">
            <v>0</v>
          </cell>
          <cell r="AG219">
            <v>0</v>
          </cell>
          <cell r="AH219">
            <v>0</v>
          </cell>
          <cell r="AI219">
            <v>0</v>
          </cell>
          <cell r="AJ219">
            <v>0</v>
          </cell>
          <cell r="AK219">
            <v>525469</v>
          </cell>
          <cell r="AL219"/>
          <cell r="AM219">
            <v>0</v>
          </cell>
          <cell r="AN219">
            <v>0</v>
          </cell>
          <cell r="AO219">
            <v>0</v>
          </cell>
          <cell r="AP219">
            <v>0</v>
          </cell>
          <cell r="AQ219">
            <v>0</v>
          </cell>
          <cell r="AR219">
            <v>0</v>
          </cell>
          <cell r="AS219">
            <v>0</v>
          </cell>
          <cell r="AT219">
            <v>19000</v>
          </cell>
          <cell r="AU219">
            <v>4740</v>
          </cell>
          <cell r="AV219">
            <v>5769614.6181039196</v>
          </cell>
          <cell r="AW219">
            <v>88321</v>
          </cell>
          <cell r="AX219">
            <v>0</v>
          </cell>
          <cell r="AY219"/>
          <cell r="AZ219"/>
          <cell r="BA219">
            <v>0</v>
          </cell>
          <cell r="BB219"/>
          <cell r="BC219">
            <v>0</v>
          </cell>
          <cell r="BD219">
            <v>41679</v>
          </cell>
          <cell r="BE219"/>
          <cell r="BF219">
            <v>0</v>
          </cell>
          <cell r="BG219">
            <v>0</v>
          </cell>
          <cell r="BH219">
            <v>0</v>
          </cell>
          <cell r="BI219">
            <v>224804</v>
          </cell>
          <cell r="BJ219">
            <v>185047</v>
          </cell>
          <cell r="BK219">
            <v>185047</v>
          </cell>
          <cell r="BL219">
            <v>0</v>
          </cell>
          <cell r="BM219">
            <v>0</v>
          </cell>
          <cell r="BN219">
            <v>195580</v>
          </cell>
          <cell r="BO219">
            <v>359470</v>
          </cell>
          <cell r="BP219">
            <v>18976.8</v>
          </cell>
          <cell r="BQ219">
            <v>34186.046511627901</v>
          </cell>
          <cell r="BR219">
            <v>0</v>
          </cell>
          <cell r="BS219">
            <v>0</v>
          </cell>
          <cell r="BT219">
            <v>210231</v>
          </cell>
          <cell r="BU219"/>
          <cell r="BV219"/>
          <cell r="BW219"/>
          <cell r="BX219"/>
          <cell r="BY219">
            <v>2599909.8659244799</v>
          </cell>
          <cell r="BZ219">
            <v>3013902.7810077099</v>
          </cell>
          <cell r="CA219">
            <v>3049269.0099344202</v>
          </cell>
          <cell r="CB219">
            <v>3149126.5974921798</v>
          </cell>
          <cell r="CC219">
            <v>10011229</v>
          </cell>
          <cell r="CD219">
            <v>114548423</v>
          </cell>
          <cell r="CE219">
            <v>5651145</v>
          </cell>
          <cell r="CF219">
            <v>-34302</v>
          </cell>
          <cell r="CG219">
            <v>5651145</v>
          </cell>
          <cell r="CH219">
            <v>5651145</v>
          </cell>
          <cell r="CI219">
            <v>5651145</v>
          </cell>
          <cell r="CJ219">
            <v>5651145</v>
          </cell>
          <cell r="CK219">
            <v>41851459</v>
          </cell>
          <cell r="CL219">
            <v>41830453</v>
          </cell>
          <cell r="CM219">
            <v>41830113</v>
          </cell>
          <cell r="CN219">
            <v>41829366</v>
          </cell>
          <cell r="CO219">
            <v>41830402</v>
          </cell>
          <cell r="CP219">
            <v>-876</v>
          </cell>
          <cell r="CQ219">
            <v>20593391</v>
          </cell>
          <cell r="CR219">
            <v>19639942</v>
          </cell>
          <cell r="CS219">
            <v>19060084</v>
          </cell>
          <cell r="CT219">
            <v>18658814</v>
          </cell>
          <cell r="CU219">
            <v>18321918</v>
          </cell>
          <cell r="CV219">
            <v>-110394</v>
          </cell>
          <cell r="CW219">
            <v>0</v>
          </cell>
          <cell r="CX219">
            <v>0</v>
          </cell>
          <cell r="CY219">
            <v>0</v>
          </cell>
          <cell r="CZ219">
            <v>0</v>
          </cell>
          <cell r="DA219">
            <v>0</v>
          </cell>
          <cell r="DB219"/>
          <cell r="DC219">
            <v>0</v>
          </cell>
          <cell r="DD219">
            <v>0</v>
          </cell>
          <cell r="DE219">
            <v>0</v>
          </cell>
          <cell r="DF219">
            <v>0</v>
          </cell>
          <cell r="DG219">
            <v>0</v>
          </cell>
          <cell r="DH219">
            <v>0</v>
          </cell>
          <cell r="DI219">
            <v>0</v>
          </cell>
          <cell r="DJ219">
            <v>0</v>
          </cell>
          <cell r="DK219">
            <v>0</v>
          </cell>
          <cell r="DL219">
            <v>0</v>
          </cell>
          <cell r="DM219"/>
          <cell r="DN219"/>
          <cell r="DO219"/>
          <cell r="DP219"/>
        </row>
        <row r="220">
          <cell r="A220">
            <v>689</v>
          </cell>
          <cell r="B220" t="str">
            <v>Giessenlanden</v>
          </cell>
          <cell r="C220">
            <v>8</v>
          </cell>
          <cell r="D220">
            <v>-33370</v>
          </cell>
          <cell r="E220">
            <v>-16685</v>
          </cell>
          <cell r="F220">
            <v>0</v>
          </cell>
          <cell r="G220">
            <v>0</v>
          </cell>
          <cell r="H220">
            <v>0</v>
          </cell>
          <cell r="I220">
            <v>0</v>
          </cell>
          <cell r="J220"/>
          <cell r="K220">
            <v>0</v>
          </cell>
          <cell r="L220">
            <v>40111</v>
          </cell>
          <cell r="M220">
            <v>35044</v>
          </cell>
          <cell r="N220">
            <v>0</v>
          </cell>
          <cell r="O220">
            <v>0</v>
          </cell>
          <cell r="P220">
            <v>0</v>
          </cell>
          <cell r="Q220">
            <v>0</v>
          </cell>
          <cell r="R220">
            <v>0</v>
          </cell>
          <cell r="S220">
            <v>0</v>
          </cell>
          <cell r="T220">
            <v>0</v>
          </cell>
          <cell r="U220">
            <v>0</v>
          </cell>
          <cell r="V220">
            <v>0</v>
          </cell>
          <cell r="W220">
            <v>63756</v>
          </cell>
          <cell r="X220">
            <v>0</v>
          </cell>
          <cell r="Y220"/>
          <cell r="Z220">
            <v>0</v>
          </cell>
          <cell r="AA220">
            <v>0</v>
          </cell>
          <cell r="AB220">
            <v>0</v>
          </cell>
          <cell r="AC220"/>
          <cell r="AD220">
            <v>0</v>
          </cell>
          <cell r="AE220">
            <v>0</v>
          </cell>
          <cell r="AF220">
            <v>0</v>
          </cell>
          <cell r="AG220">
            <v>0</v>
          </cell>
          <cell r="AH220">
            <v>0</v>
          </cell>
          <cell r="AI220">
            <v>0</v>
          </cell>
          <cell r="AJ220">
            <v>0</v>
          </cell>
          <cell r="AK220">
            <v>0</v>
          </cell>
          <cell r="AL220"/>
          <cell r="AM220">
            <v>51185</v>
          </cell>
          <cell r="AN220">
            <v>52362</v>
          </cell>
          <cell r="AO220">
            <v>53567</v>
          </cell>
          <cell r="AP220">
            <v>54799</v>
          </cell>
          <cell r="AQ220">
            <v>56059</v>
          </cell>
          <cell r="AR220">
            <v>57349</v>
          </cell>
          <cell r="AS220">
            <v>0</v>
          </cell>
          <cell r="AT220">
            <v>0</v>
          </cell>
          <cell r="AU220">
            <v>0</v>
          </cell>
          <cell r="AV220">
            <v>0</v>
          </cell>
          <cell r="AW220">
            <v>0</v>
          </cell>
          <cell r="AX220">
            <v>0</v>
          </cell>
          <cell r="AY220"/>
          <cell r="AZ220"/>
          <cell r="BA220">
            <v>0</v>
          </cell>
          <cell r="BB220"/>
          <cell r="BC220">
            <v>0</v>
          </cell>
          <cell r="BD220">
            <v>25608</v>
          </cell>
          <cell r="BE220"/>
          <cell r="BF220">
            <v>0</v>
          </cell>
          <cell r="BG220">
            <v>0</v>
          </cell>
          <cell r="BH220">
            <v>0</v>
          </cell>
          <cell r="BI220">
            <v>12412</v>
          </cell>
          <cell r="BJ220">
            <v>10217</v>
          </cell>
          <cell r="BK220">
            <v>10217</v>
          </cell>
          <cell r="BL220">
            <v>0</v>
          </cell>
          <cell r="BM220">
            <v>0</v>
          </cell>
          <cell r="BN220">
            <v>0</v>
          </cell>
          <cell r="BO220">
            <v>54966</v>
          </cell>
          <cell r="BP220">
            <v>0</v>
          </cell>
          <cell r="BQ220">
            <v>0</v>
          </cell>
          <cell r="BR220">
            <v>0</v>
          </cell>
          <cell r="BS220">
            <v>0</v>
          </cell>
          <cell r="BT220">
            <v>26941</v>
          </cell>
          <cell r="BU220"/>
          <cell r="BV220"/>
          <cell r="BW220"/>
          <cell r="BX220"/>
          <cell r="BY220">
            <v>0</v>
          </cell>
          <cell r="BZ220">
            <v>0</v>
          </cell>
          <cell r="CA220">
            <v>0</v>
          </cell>
          <cell r="CB220">
            <v>0</v>
          </cell>
          <cell r="CC220">
            <v>872420</v>
          </cell>
          <cell r="CD220">
            <v>4181109</v>
          </cell>
          <cell r="CE220">
            <v>285647</v>
          </cell>
          <cell r="CF220">
            <v>0</v>
          </cell>
          <cell r="CG220">
            <v>285647</v>
          </cell>
          <cell r="CH220">
            <v>285647</v>
          </cell>
          <cell r="CI220">
            <v>285647</v>
          </cell>
          <cell r="CJ220">
            <v>285647</v>
          </cell>
          <cell r="CK220">
            <v>0</v>
          </cell>
          <cell r="CL220">
            <v>0</v>
          </cell>
          <cell r="CM220">
            <v>0</v>
          </cell>
          <cell r="CN220">
            <v>0</v>
          </cell>
          <cell r="CO220">
            <v>0</v>
          </cell>
          <cell r="CP220">
            <v>0</v>
          </cell>
          <cell r="CQ220">
            <v>532997</v>
          </cell>
          <cell r="CR220">
            <v>504515</v>
          </cell>
          <cell r="CS220">
            <v>494865</v>
          </cell>
          <cell r="CT220">
            <v>490811</v>
          </cell>
          <cell r="CU220">
            <v>470289</v>
          </cell>
          <cell r="CV220">
            <v>-1534</v>
          </cell>
          <cell r="CW220">
            <v>0</v>
          </cell>
          <cell r="CX220">
            <v>0</v>
          </cell>
          <cell r="CY220">
            <v>0</v>
          </cell>
          <cell r="CZ220">
            <v>0</v>
          </cell>
          <cell r="DA220">
            <v>0</v>
          </cell>
          <cell r="DB220"/>
          <cell r="DC220">
            <v>0</v>
          </cell>
          <cell r="DD220">
            <v>0</v>
          </cell>
          <cell r="DE220">
            <v>0</v>
          </cell>
          <cell r="DF220">
            <v>0</v>
          </cell>
          <cell r="DG220">
            <v>0</v>
          </cell>
          <cell r="DH220">
            <v>0</v>
          </cell>
          <cell r="DI220">
            <v>0</v>
          </cell>
          <cell r="DJ220">
            <v>0</v>
          </cell>
          <cell r="DK220">
            <v>0</v>
          </cell>
          <cell r="DL220">
            <v>0</v>
          </cell>
          <cell r="DM220"/>
          <cell r="DN220"/>
          <cell r="DO220"/>
          <cell r="DP220"/>
        </row>
        <row r="221">
          <cell r="A221">
            <v>1924</v>
          </cell>
          <cell r="B221" t="str">
            <v>Goeree-Overflakkee</v>
          </cell>
          <cell r="C221">
            <v>8</v>
          </cell>
          <cell r="D221">
            <v>-28043</v>
          </cell>
          <cell r="E221">
            <v>-14021</v>
          </cell>
          <cell r="F221">
            <v>0</v>
          </cell>
          <cell r="G221">
            <v>0</v>
          </cell>
          <cell r="H221">
            <v>-14091</v>
          </cell>
          <cell r="I221">
            <v>-7881</v>
          </cell>
          <cell r="J221"/>
          <cell r="K221">
            <v>0</v>
          </cell>
          <cell r="L221">
            <v>133941</v>
          </cell>
          <cell r="M221">
            <v>126179</v>
          </cell>
          <cell r="N221">
            <v>0</v>
          </cell>
          <cell r="O221">
            <v>0</v>
          </cell>
          <cell r="P221">
            <v>0</v>
          </cell>
          <cell r="Q221">
            <v>0</v>
          </cell>
          <cell r="R221">
            <v>0</v>
          </cell>
          <cell r="S221">
            <v>0</v>
          </cell>
          <cell r="T221">
            <v>0</v>
          </cell>
          <cell r="U221">
            <v>0</v>
          </cell>
          <cell r="V221">
            <v>6000</v>
          </cell>
          <cell r="W221">
            <v>197294</v>
          </cell>
          <cell r="X221">
            <v>0</v>
          </cell>
          <cell r="Y221"/>
          <cell r="Z221">
            <v>0</v>
          </cell>
          <cell r="AA221">
            <v>0</v>
          </cell>
          <cell r="AB221">
            <v>130000</v>
          </cell>
          <cell r="AC221"/>
          <cell r="AD221">
            <v>0</v>
          </cell>
          <cell r="AE221">
            <v>0</v>
          </cell>
          <cell r="AF221">
            <v>0</v>
          </cell>
          <cell r="AG221">
            <v>0</v>
          </cell>
          <cell r="AH221">
            <v>0</v>
          </cell>
          <cell r="AI221">
            <v>0</v>
          </cell>
          <cell r="AJ221">
            <v>0</v>
          </cell>
          <cell r="AK221">
            <v>0</v>
          </cell>
          <cell r="AL221"/>
          <cell r="AM221">
            <v>262897</v>
          </cell>
          <cell r="AN221">
            <v>268943</v>
          </cell>
          <cell r="AO221">
            <v>275130</v>
          </cell>
          <cell r="AP221">
            <v>281457</v>
          </cell>
          <cell r="AQ221">
            <v>287930</v>
          </cell>
          <cell r="AR221">
            <v>294553</v>
          </cell>
          <cell r="AS221">
            <v>0</v>
          </cell>
          <cell r="AT221">
            <v>0</v>
          </cell>
          <cell r="AU221">
            <v>7110</v>
          </cell>
          <cell r="AV221">
            <v>0</v>
          </cell>
          <cell r="AW221">
            <v>0</v>
          </cell>
          <cell r="AX221">
            <v>0</v>
          </cell>
          <cell r="AY221"/>
          <cell r="AZ221"/>
          <cell r="BA221">
            <v>0</v>
          </cell>
          <cell r="BB221"/>
          <cell r="BC221">
            <v>0</v>
          </cell>
          <cell r="BD221">
            <v>17079</v>
          </cell>
          <cell r="BE221"/>
          <cell r="BF221">
            <v>0</v>
          </cell>
          <cell r="BG221">
            <v>0</v>
          </cell>
          <cell r="BH221">
            <v>0</v>
          </cell>
          <cell r="BI221">
            <v>52924</v>
          </cell>
          <cell r="BJ221">
            <v>43564</v>
          </cell>
          <cell r="BK221">
            <v>43564</v>
          </cell>
          <cell r="BL221">
            <v>0</v>
          </cell>
          <cell r="BM221">
            <v>0</v>
          </cell>
          <cell r="BN221">
            <v>0</v>
          </cell>
          <cell r="BO221">
            <v>141064</v>
          </cell>
          <cell r="BP221">
            <v>25302.400000000001</v>
          </cell>
          <cell r="BQ221">
            <v>45581.395348837199</v>
          </cell>
          <cell r="BR221">
            <v>0</v>
          </cell>
          <cell r="BS221">
            <v>0</v>
          </cell>
          <cell r="BT221">
            <v>86541</v>
          </cell>
          <cell r="BU221"/>
          <cell r="BV221"/>
          <cell r="BW221"/>
          <cell r="BX221"/>
          <cell r="BY221">
            <v>0</v>
          </cell>
          <cell r="BZ221">
            <v>0</v>
          </cell>
          <cell r="CA221">
            <v>0</v>
          </cell>
          <cell r="CB221">
            <v>0</v>
          </cell>
          <cell r="CC221">
            <v>3838912</v>
          </cell>
          <cell r="CD221">
            <v>20919529</v>
          </cell>
          <cell r="CE221">
            <v>767196</v>
          </cell>
          <cell r="CF221">
            <v>0</v>
          </cell>
          <cell r="CG221">
            <v>767196</v>
          </cell>
          <cell r="CH221">
            <v>767196</v>
          </cell>
          <cell r="CI221">
            <v>767196</v>
          </cell>
          <cell r="CJ221">
            <v>767196</v>
          </cell>
          <cell r="CK221">
            <v>0</v>
          </cell>
          <cell r="CL221">
            <v>0</v>
          </cell>
          <cell r="CM221">
            <v>0</v>
          </cell>
          <cell r="CN221">
            <v>0</v>
          </cell>
          <cell r="CO221">
            <v>0</v>
          </cell>
          <cell r="CP221">
            <v>-2849</v>
          </cell>
          <cell r="CQ221">
            <v>5187225</v>
          </cell>
          <cell r="CR221">
            <v>4881664</v>
          </cell>
          <cell r="CS221">
            <v>4738161</v>
          </cell>
          <cell r="CT221">
            <v>4657491</v>
          </cell>
          <cell r="CU221">
            <v>4541376</v>
          </cell>
          <cell r="CV221">
            <v>-8964</v>
          </cell>
          <cell r="CW221">
            <v>0</v>
          </cell>
          <cell r="CX221">
            <v>0</v>
          </cell>
          <cell r="CY221">
            <v>0</v>
          </cell>
          <cell r="CZ221">
            <v>0</v>
          </cell>
          <cell r="DA221">
            <v>0</v>
          </cell>
          <cell r="DB221"/>
          <cell r="DC221">
            <v>0</v>
          </cell>
          <cell r="DD221">
            <v>0</v>
          </cell>
          <cell r="DE221">
            <v>0</v>
          </cell>
          <cell r="DF221">
            <v>0</v>
          </cell>
          <cell r="DG221">
            <v>0</v>
          </cell>
          <cell r="DH221">
            <v>0</v>
          </cell>
          <cell r="DI221">
            <v>0</v>
          </cell>
          <cell r="DJ221">
            <v>0</v>
          </cell>
          <cell r="DK221">
            <v>0</v>
          </cell>
          <cell r="DL221">
            <v>0</v>
          </cell>
          <cell r="DM221"/>
          <cell r="DN221"/>
          <cell r="DO221"/>
          <cell r="DP221"/>
        </row>
        <row r="222">
          <cell r="A222">
            <v>512</v>
          </cell>
          <cell r="B222" t="str">
            <v>Gorinchem</v>
          </cell>
          <cell r="C222">
            <v>8</v>
          </cell>
          <cell r="D222">
            <v>-23731</v>
          </cell>
          <cell r="E222">
            <v>-11865</v>
          </cell>
          <cell r="F222">
            <v>0</v>
          </cell>
          <cell r="G222">
            <v>0</v>
          </cell>
          <cell r="H222">
            <v>-7813</v>
          </cell>
          <cell r="I222">
            <v>-20003</v>
          </cell>
          <cell r="J222"/>
          <cell r="K222">
            <v>7500</v>
          </cell>
          <cell r="L222">
            <v>189093</v>
          </cell>
          <cell r="M222">
            <v>179983</v>
          </cell>
          <cell r="N222">
            <v>0</v>
          </cell>
          <cell r="O222">
            <v>0</v>
          </cell>
          <cell r="P222">
            <v>0</v>
          </cell>
          <cell r="Q222">
            <v>0</v>
          </cell>
          <cell r="R222">
            <v>0</v>
          </cell>
          <cell r="S222">
            <v>0</v>
          </cell>
          <cell r="T222">
            <v>0</v>
          </cell>
          <cell r="U222">
            <v>0</v>
          </cell>
          <cell r="V222">
            <v>15000</v>
          </cell>
          <cell r="W222">
            <v>136842</v>
          </cell>
          <cell r="X222">
            <v>0</v>
          </cell>
          <cell r="Y222"/>
          <cell r="Z222">
            <v>0</v>
          </cell>
          <cell r="AA222">
            <v>0</v>
          </cell>
          <cell r="AB222">
            <v>0</v>
          </cell>
          <cell r="AC222"/>
          <cell r="AD222">
            <v>34223</v>
          </cell>
          <cell r="AE222">
            <v>0</v>
          </cell>
          <cell r="AF222">
            <v>0</v>
          </cell>
          <cell r="AG222">
            <v>0</v>
          </cell>
          <cell r="AH222">
            <v>0</v>
          </cell>
          <cell r="AI222">
            <v>0</v>
          </cell>
          <cell r="AJ222">
            <v>0</v>
          </cell>
          <cell r="AK222">
            <v>0</v>
          </cell>
          <cell r="AL222"/>
          <cell r="AM222">
            <v>9838</v>
          </cell>
          <cell r="AN222">
            <v>10064</v>
          </cell>
          <cell r="AO222">
            <v>10296</v>
          </cell>
          <cell r="AP222">
            <v>10532</v>
          </cell>
          <cell r="AQ222">
            <v>10775</v>
          </cell>
          <cell r="AR222">
            <v>11023</v>
          </cell>
          <cell r="AS222">
            <v>0</v>
          </cell>
          <cell r="AT222">
            <v>0</v>
          </cell>
          <cell r="AU222">
            <v>7110</v>
          </cell>
          <cell r="AV222">
            <v>0</v>
          </cell>
          <cell r="AW222">
            <v>0</v>
          </cell>
          <cell r="AX222">
            <v>0</v>
          </cell>
          <cell r="AY222"/>
          <cell r="AZ222"/>
          <cell r="BA222">
            <v>0</v>
          </cell>
          <cell r="BB222"/>
          <cell r="BC222">
            <v>0</v>
          </cell>
          <cell r="BD222">
            <v>12551</v>
          </cell>
          <cell r="BE222"/>
          <cell r="BF222">
            <v>0</v>
          </cell>
          <cell r="BG222">
            <v>0</v>
          </cell>
          <cell r="BH222">
            <v>0</v>
          </cell>
          <cell r="BI222">
            <v>64815</v>
          </cell>
          <cell r="BJ222">
            <v>53352</v>
          </cell>
          <cell r="BK222">
            <v>53352</v>
          </cell>
          <cell r="BL222">
            <v>0</v>
          </cell>
          <cell r="BM222">
            <v>0</v>
          </cell>
          <cell r="BN222">
            <v>0</v>
          </cell>
          <cell r="BO222">
            <v>98745</v>
          </cell>
          <cell r="BP222">
            <v>12651.2</v>
          </cell>
          <cell r="BQ222">
            <v>22790.697674418599</v>
          </cell>
          <cell r="BR222">
            <v>0</v>
          </cell>
          <cell r="BS222">
            <v>0</v>
          </cell>
          <cell r="BT222">
            <v>56618</v>
          </cell>
          <cell r="BU222"/>
          <cell r="BV222"/>
          <cell r="BW222"/>
          <cell r="BX222"/>
          <cell r="BY222">
            <v>0</v>
          </cell>
          <cell r="BZ222">
            <v>0</v>
          </cell>
          <cell r="CA222">
            <v>0</v>
          </cell>
          <cell r="CB222">
            <v>0</v>
          </cell>
          <cell r="CC222">
            <v>2982500</v>
          </cell>
          <cell r="CD222">
            <v>20785789</v>
          </cell>
          <cell r="CE222">
            <v>799640</v>
          </cell>
          <cell r="CF222">
            <v>-20370</v>
          </cell>
          <cell r="CG222">
            <v>799640</v>
          </cell>
          <cell r="CH222">
            <v>799640</v>
          </cell>
          <cell r="CI222">
            <v>799640</v>
          </cell>
          <cell r="CJ222">
            <v>799640</v>
          </cell>
          <cell r="CK222">
            <v>0</v>
          </cell>
          <cell r="CL222">
            <v>0</v>
          </cell>
          <cell r="CM222">
            <v>0</v>
          </cell>
          <cell r="CN222">
            <v>0</v>
          </cell>
          <cell r="CO222">
            <v>0</v>
          </cell>
          <cell r="CP222">
            <v>-4163</v>
          </cell>
          <cell r="CQ222">
            <v>6134993</v>
          </cell>
          <cell r="CR222">
            <v>5890976</v>
          </cell>
          <cell r="CS222">
            <v>5751185</v>
          </cell>
          <cell r="CT222">
            <v>5553863</v>
          </cell>
          <cell r="CU222">
            <v>5447655</v>
          </cell>
          <cell r="CV222">
            <v>33314</v>
          </cell>
          <cell r="CW222">
            <v>0</v>
          </cell>
          <cell r="CX222">
            <v>0</v>
          </cell>
          <cell r="CY222">
            <v>0</v>
          </cell>
          <cell r="CZ222">
            <v>0</v>
          </cell>
          <cell r="DA222">
            <v>0</v>
          </cell>
          <cell r="DB222"/>
          <cell r="DC222">
            <v>0</v>
          </cell>
          <cell r="DD222">
            <v>0</v>
          </cell>
          <cell r="DE222">
            <v>0</v>
          </cell>
          <cell r="DF222">
            <v>0</v>
          </cell>
          <cell r="DG222">
            <v>0</v>
          </cell>
          <cell r="DH222">
            <v>0</v>
          </cell>
          <cell r="DI222">
            <v>0</v>
          </cell>
          <cell r="DJ222">
            <v>0</v>
          </cell>
          <cell r="DK222">
            <v>0</v>
          </cell>
          <cell r="DL222">
            <v>0</v>
          </cell>
          <cell r="DM222"/>
          <cell r="DN222"/>
          <cell r="DO222"/>
          <cell r="DP222"/>
        </row>
        <row r="223">
          <cell r="A223">
            <v>513</v>
          </cell>
          <cell r="B223" t="str">
            <v>Gouda</v>
          </cell>
          <cell r="C223">
            <v>8</v>
          </cell>
          <cell r="D223">
            <v>171033</v>
          </cell>
          <cell r="E223">
            <v>85517</v>
          </cell>
          <cell r="F223">
            <v>0</v>
          </cell>
          <cell r="G223">
            <v>50493</v>
          </cell>
          <cell r="H223">
            <v>205792</v>
          </cell>
          <cell r="I223">
            <v>195185</v>
          </cell>
          <cell r="J223"/>
          <cell r="K223">
            <v>7500</v>
          </cell>
          <cell r="L223">
            <v>388691</v>
          </cell>
          <cell r="M223">
            <v>401677</v>
          </cell>
          <cell r="N223">
            <v>0</v>
          </cell>
          <cell r="O223">
            <v>0</v>
          </cell>
          <cell r="P223">
            <v>0</v>
          </cell>
          <cell r="Q223">
            <v>0</v>
          </cell>
          <cell r="R223">
            <v>0</v>
          </cell>
          <cell r="S223">
            <v>0</v>
          </cell>
          <cell r="T223">
            <v>0</v>
          </cell>
          <cell r="U223">
            <v>0</v>
          </cell>
          <cell r="V223">
            <v>33000</v>
          </cell>
          <cell r="W223">
            <v>299342</v>
          </cell>
          <cell r="X223">
            <v>0</v>
          </cell>
          <cell r="Y223"/>
          <cell r="Z223">
            <v>0</v>
          </cell>
          <cell r="AA223">
            <v>0</v>
          </cell>
          <cell r="AB223">
            <v>0</v>
          </cell>
          <cell r="AC223"/>
          <cell r="AD223">
            <v>97780</v>
          </cell>
          <cell r="AE223">
            <v>0</v>
          </cell>
          <cell r="AF223">
            <v>0</v>
          </cell>
          <cell r="AG223">
            <v>0</v>
          </cell>
          <cell r="AH223">
            <v>0</v>
          </cell>
          <cell r="AI223">
            <v>0</v>
          </cell>
          <cell r="AJ223">
            <v>0</v>
          </cell>
          <cell r="AK223">
            <v>0</v>
          </cell>
          <cell r="AL223"/>
          <cell r="AM223">
            <v>0</v>
          </cell>
          <cell r="AN223">
            <v>0</v>
          </cell>
          <cell r="AO223">
            <v>0</v>
          </cell>
          <cell r="AP223">
            <v>0</v>
          </cell>
          <cell r="AQ223">
            <v>0</v>
          </cell>
          <cell r="AR223">
            <v>0</v>
          </cell>
          <cell r="AS223">
            <v>0</v>
          </cell>
          <cell r="AT223">
            <v>0</v>
          </cell>
          <cell r="AU223">
            <v>0</v>
          </cell>
          <cell r="AV223">
            <v>2095384.21829737</v>
          </cell>
          <cell r="AW223">
            <v>0</v>
          </cell>
          <cell r="AX223">
            <v>0</v>
          </cell>
          <cell r="AY223"/>
          <cell r="AZ223"/>
          <cell r="BA223">
            <v>0</v>
          </cell>
          <cell r="BB223"/>
          <cell r="BC223">
            <v>0</v>
          </cell>
          <cell r="BD223">
            <v>25187</v>
          </cell>
          <cell r="BE223"/>
          <cell r="BF223">
            <v>0</v>
          </cell>
          <cell r="BG223">
            <v>0</v>
          </cell>
          <cell r="BH223">
            <v>0</v>
          </cell>
          <cell r="BI223">
            <v>118890</v>
          </cell>
          <cell r="BJ223">
            <v>97864</v>
          </cell>
          <cell r="BK223">
            <v>97864</v>
          </cell>
          <cell r="BL223">
            <v>0</v>
          </cell>
          <cell r="BM223">
            <v>0</v>
          </cell>
          <cell r="BN223">
            <v>0</v>
          </cell>
          <cell r="BO223">
            <v>98258</v>
          </cell>
          <cell r="BP223">
            <v>26883.8</v>
          </cell>
          <cell r="BQ223">
            <v>48430.232558139498</v>
          </cell>
          <cell r="BR223">
            <v>156350</v>
          </cell>
          <cell r="BS223">
            <v>0</v>
          </cell>
          <cell r="BT223">
            <v>117396</v>
          </cell>
          <cell r="BU223"/>
          <cell r="BV223"/>
          <cell r="BW223"/>
          <cell r="BX223"/>
          <cell r="BY223">
            <v>1367456.82992564</v>
          </cell>
          <cell r="BZ223">
            <v>1585201.8551248501</v>
          </cell>
          <cell r="CA223">
            <v>1603803.18893584</v>
          </cell>
          <cell r="CB223">
            <v>1656324.6020492199</v>
          </cell>
          <cell r="CC223">
            <v>5529053</v>
          </cell>
          <cell r="CD223">
            <v>56795080</v>
          </cell>
          <cell r="CE223">
            <v>3414851</v>
          </cell>
          <cell r="CF223">
            <v>2745936</v>
          </cell>
          <cell r="CG223">
            <v>3414851</v>
          </cell>
          <cell r="CH223">
            <v>3414851</v>
          </cell>
          <cell r="CI223">
            <v>3414851</v>
          </cell>
          <cell r="CJ223">
            <v>3414851</v>
          </cell>
          <cell r="CK223">
            <v>16793830</v>
          </cell>
          <cell r="CL223">
            <v>16785401</v>
          </cell>
          <cell r="CM223">
            <v>16785265</v>
          </cell>
          <cell r="CN223">
            <v>16784965</v>
          </cell>
          <cell r="CO223">
            <v>16785381</v>
          </cell>
          <cell r="CP223">
            <v>-4190</v>
          </cell>
          <cell r="CQ223">
            <v>9957548</v>
          </cell>
          <cell r="CR223">
            <v>9437584</v>
          </cell>
          <cell r="CS223">
            <v>9238730</v>
          </cell>
          <cell r="CT223">
            <v>9100789</v>
          </cell>
          <cell r="CU223">
            <v>8903686</v>
          </cell>
          <cell r="CV223">
            <v>-214309</v>
          </cell>
          <cell r="CW223">
            <v>0</v>
          </cell>
          <cell r="CX223">
            <v>0</v>
          </cell>
          <cell r="CY223">
            <v>0</v>
          </cell>
          <cell r="CZ223">
            <v>0</v>
          </cell>
          <cell r="DA223">
            <v>0</v>
          </cell>
          <cell r="DB223"/>
          <cell r="DC223">
            <v>0</v>
          </cell>
          <cell r="DD223">
            <v>0</v>
          </cell>
          <cell r="DE223">
            <v>0</v>
          </cell>
          <cell r="DF223">
            <v>0</v>
          </cell>
          <cell r="DG223">
            <v>0</v>
          </cell>
          <cell r="DH223">
            <v>0</v>
          </cell>
          <cell r="DI223">
            <v>0</v>
          </cell>
          <cell r="DJ223">
            <v>0</v>
          </cell>
          <cell r="DK223">
            <v>0</v>
          </cell>
          <cell r="DL223">
            <v>0</v>
          </cell>
          <cell r="DM223"/>
          <cell r="DN223"/>
          <cell r="DO223"/>
          <cell r="DP223"/>
        </row>
        <row r="224">
          <cell r="A224">
            <v>523</v>
          </cell>
          <cell r="B224" t="str">
            <v>Hardinxveld-Giessendam</v>
          </cell>
          <cell r="C224">
            <v>8</v>
          </cell>
          <cell r="D224">
            <v>1598</v>
          </cell>
          <cell r="E224">
            <v>799</v>
          </cell>
          <cell r="F224">
            <v>0</v>
          </cell>
          <cell r="G224">
            <v>0</v>
          </cell>
          <cell r="H224">
            <v>-2508</v>
          </cell>
          <cell r="I224">
            <v>-5532</v>
          </cell>
          <cell r="J224"/>
          <cell r="K224">
            <v>0</v>
          </cell>
          <cell r="L224">
            <v>41782</v>
          </cell>
          <cell r="M224">
            <v>43996</v>
          </cell>
          <cell r="N224">
            <v>0</v>
          </cell>
          <cell r="O224">
            <v>0</v>
          </cell>
          <cell r="P224">
            <v>0</v>
          </cell>
          <cell r="Q224">
            <v>0</v>
          </cell>
          <cell r="R224">
            <v>0</v>
          </cell>
          <cell r="S224">
            <v>0</v>
          </cell>
          <cell r="T224">
            <v>0</v>
          </cell>
          <cell r="U224">
            <v>0</v>
          </cell>
          <cell r="V224">
            <v>0</v>
          </cell>
          <cell r="W224">
            <v>61621</v>
          </cell>
          <cell r="X224">
            <v>0</v>
          </cell>
          <cell r="Y224"/>
          <cell r="Z224">
            <v>0</v>
          </cell>
          <cell r="AA224">
            <v>0</v>
          </cell>
          <cell r="AB224">
            <v>0</v>
          </cell>
          <cell r="AC224"/>
          <cell r="AD224">
            <v>0</v>
          </cell>
          <cell r="AE224">
            <v>0</v>
          </cell>
          <cell r="AF224">
            <v>0</v>
          </cell>
          <cell r="AG224">
            <v>0</v>
          </cell>
          <cell r="AH224">
            <v>0</v>
          </cell>
          <cell r="AI224">
            <v>0</v>
          </cell>
          <cell r="AJ224">
            <v>0</v>
          </cell>
          <cell r="AK224">
            <v>0</v>
          </cell>
          <cell r="AL224"/>
          <cell r="AM224">
            <v>9441</v>
          </cell>
          <cell r="AN224">
            <v>9658</v>
          </cell>
          <cell r="AO224">
            <v>9880</v>
          </cell>
          <cell r="AP224">
            <v>10107</v>
          </cell>
          <cell r="AQ224">
            <v>10340</v>
          </cell>
          <cell r="AR224">
            <v>10578</v>
          </cell>
          <cell r="AS224">
            <v>0</v>
          </cell>
          <cell r="AT224">
            <v>0</v>
          </cell>
          <cell r="AU224">
            <v>4740</v>
          </cell>
          <cell r="AV224">
            <v>0</v>
          </cell>
          <cell r="AW224">
            <v>0</v>
          </cell>
          <cell r="AX224">
            <v>0</v>
          </cell>
          <cell r="AY224"/>
          <cell r="AZ224"/>
          <cell r="BA224">
            <v>0</v>
          </cell>
          <cell r="BB224"/>
          <cell r="BC224">
            <v>0</v>
          </cell>
          <cell r="BD224">
            <v>6274</v>
          </cell>
          <cell r="BE224"/>
          <cell r="BF224">
            <v>0</v>
          </cell>
          <cell r="BG224">
            <v>0</v>
          </cell>
          <cell r="BH224">
            <v>0</v>
          </cell>
          <cell r="BI224">
            <v>18792</v>
          </cell>
          <cell r="BJ224">
            <v>15469</v>
          </cell>
          <cell r="BK224">
            <v>15469</v>
          </cell>
          <cell r="BL224">
            <v>0</v>
          </cell>
          <cell r="BM224">
            <v>0</v>
          </cell>
          <cell r="BN224">
            <v>0</v>
          </cell>
          <cell r="BO224">
            <v>165385</v>
          </cell>
          <cell r="BP224">
            <v>1581.4</v>
          </cell>
          <cell r="BQ224">
            <v>2848.8372093023299</v>
          </cell>
          <cell r="BR224">
            <v>0</v>
          </cell>
          <cell r="BS224">
            <v>0</v>
          </cell>
          <cell r="BT224">
            <v>28998</v>
          </cell>
          <cell r="BU224"/>
          <cell r="BV224"/>
          <cell r="BW224"/>
          <cell r="BX224"/>
          <cell r="BY224">
            <v>0</v>
          </cell>
          <cell r="BZ224">
            <v>0</v>
          </cell>
          <cell r="CA224">
            <v>0</v>
          </cell>
          <cell r="CB224">
            <v>0</v>
          </cell>
          <cell r="CC224">
            <v>1217879</v>
          </cell>
          <cell r="CD224">
            <v>6507251</v>
          </cell>
          <cell r="CE224">
            <v>803481</v>
          </cell>
          <cell r="CF224">
            <v>-13343</v>
          </cell>
          <cell r="CG224">
            <v>803481</v>
          </cell>
          <cell r="CH224">
            <v>803481</v>
          </cell>
          <cell r="CI224">
            <v>803481</v>
          </cell>
          <cell r="CJ224">
            <v>803481</v>
          </cell>
          <cell r="CK224">
            <v>0</v>
          </cell>
          <cell r="CL224">
            <v>0</v>
          </cell>
          <cell r="CM224">
            <v>0</v>
          </cell>
          <cell r="CN224">
            <v>0</v>
          </cell>
          <cell r="CO224">
            <v>0</v>
          </cell>
          <cell r="CP224">
            <v>0</v>
          </cell>
          <cell r="CQ224">
            <v>1024845</v>
          </cell>
          <cell r="CR224">
            <v>993213</v>
          </cell>
          <cell r="CS224">
            <v>984234</v>
          </cell>
          <cell r="CT224">
            <v>956311</v>
          </cell>
          <cell r="CU224">
            <v>943675</v>
          </cell>
          <cell r="CV224">
            <v>-14665</v>
          </cell>
          <cell r="CW224">
            <v>0</v>
          </cell>
          <cell r="CX224">
            <v>0</v>
          </cell>
          <cell r="CY224">
            <v>0</v>
          </cell>
          <cell r="CZ224">
            <v>0</v>
          </cell>
          <cell r="DA224">
            <v>0</v>
          </cell>
          <cell r="DB224"/>
          <cell r="DC224">
            <v>0</v>
          </cell>
          <cell r="DD224">
            <v>0</v>
          </cell>
          <cell r="DE224">
            <v>0</v>
          </cell>
          <cell r="DF224">
            <v>0</v>
          </cell>
          <cell r="DG224">
            <v>0</v>
          </cell>
          <cell r="DH224">
            <v>0</v>
          </cell>
          <cell r="DI224">
            <v>0</v>
          </cell>
          <cell r="DJ224">
            <v>0</v>
          </cell>
          <cell r="DK224">
            <v>0</v>
          </cell>
          <cell r="DL224">
            <v>0</v>
          </cell>
          <cell r="DM224"/>
          <cell r="DN224"/>
          <cell r="DO224"/>
          <cell r="DP224"/>
        </row>
        <row r="225">
          <cell r="A225">
            <v>530</v>
          </cell>
          <cell r="B225" t="str">
            <v>Hellevoetsluis</v>
          </cell>
          <cell r="C225">
            <v>8</v>
          </cell>
          <cell r="D225">
            <v>-14074</v>
          </cell>
          <cell r="E225">
            <v>-7037</v>
          </cell>
          <cell r="F225">
            <v>0</v>
          </cell>
          <cell r="G225">
            <v>0</v>
          </cell>
          <cell r="H225">
            <v>0</v>
          </cell>
          <cell r="I225">
            <v>-25428</v>
          </cell>
          <cell r="J225"/>
          <cell r="K225">
            <v>0</v>
          </cell>
          <cell r="L225">
            <v>171385</v>
          </cell>
          <cell r="M225">
            <v>170318</v>
          </cell>
          <cell r="N225">
            <v>5900</v>
          </cell>
          <cell r="O225">
            <v>3000</v>
          </cell>
          <cell r="P225">
            <v>0</v>
          </cell>
          <cell r="Q225">
            <v>0</v>
          </cell>
          <cell r="R225">
            <v>0</v>
          </cell>
          <cell r="S225">
            <v>0</v>
          </cell>
          <cell r="T225">
            <v>0</v>
          </cell>
          <cell r="U225">
            <v>0</v>
          </cell>
          <cell r="V225">
            <v>3000</v>
          </cell>
          <cell r="W225">
            <v>69096</v>
          </cell>
          <cell r="X225">
            <v>0</v>
          </cell>
          <cell r="Y225"/>
          <cell r="Z225">
            <v>0</v>
          </cell>
          <cell r="AA225">
            <v>0</v>
          </cell>
          <cell r="AB225">
            <v>0</v>
          </cell>
          <cell r="AC225"/>
          <cell r="AD225">
            <v>0</v>
          </cell>
          <cell r="AE225">
            <v>0</v>
          </cell>
          <cell r="AF225">
            <v>0</v>
          </cell>
          <cell r="AG225">
            <v>0</v>
          </cell>
          <cell r="AH225">
            <v>0</v>
          </cell>
          <cell r="AI225">
            <v>0</v>
          </cell>
          <cell r="AJ225">
            <v>0</v>
          </cell>
          <cell r="AK225">
            <v>0</v>
          </cell>
          <cell r="AL225"/>
          <cell r="AM225">
            <v>32083</v>
          </cell>
          <cell r="AN225">
            <v>32821</v>
          </cell>
          <cell r="AO225">
            <v>33575</v>
          </cell>
          <cell r="AP225">
            <v>34348</v>
          </cell>
          <cell r="AQ225">
            <v>35138</v>
          </cell>
          <cell r="AR225">
            <v>35946</v>
          </cell>
          <cell r="AS225">
            <v>0</v>
          </cell>
          <cell r="AT225">
            <v>0</v>
          </cell>
          <cell r="AU225">
            <v>0</v>
          </cell>
          <cell r="AV225">
            <v>0</v>
          </cell>
          <cell r="AW225">
            <v>0</v>
          </cell>
          <cell r="AX225">
            <v>0</v>
          </cell>
          <cell r="AY225"/>
          <cell r="AZ225"/>
          <cell r="BA225">
            <v>0</v>
          </cell>
          <cell r="BB225"/>
          <cell r="BC225">
            <v>0</v>
          </cell>
          <cell r="BD225">
            <v>13593</v>
          </cell>
          <cell r="BE225"/>
          <cell r="BF225">
            <v>0</v>
          </cell>
          <cell r="BG225">
            <v>0</v>
          </cell>
          <cell r="BH225">
            <v>0</v>
          </cell>
          <cell r="BI225">
            <v>47794</v>
          </cell>
          <cell r="BJ225">
            <v>39342</v>
          </cell>
          <cell r="BK225">
            <v>39342</v>
          </cell>
          <cell r="BL225">
            <v>0</v>
          </cell>
          <cell r="BM225">
            <v>0</v>
          </cell>
          <cell r="BN225">
            <v>0</v>
          </cell>
          <cell r="BO225">
            <v>32104</v>
          </cell>
          <cell r="BP225">
            <v>28465.200000000001</v>
          </cell>
          <cell r="BQ225">
            <v>51279.069767441899</v>
          </cell>
          <cell r="BR225">
            <v>0</v>
          </cell>
          <cell r="BS225">
            <v>0</v>
          </cell>
          <cell r="BT225">
            <v>59340</v>
          </cell>
          <cell r="BU225"/>
          <cell r="BV225"/>
          <cell r="BW225"/>
          <cell r="BX225"/>
          <cell r="BY225">
            <v>0</v>
          </cell>
          <cell r="BZ225">
            <v>0</v>
          </cell>
          <cell r="CA225">
            <v>0</v>
          </cell>
          <cell r="CB225">
            <v>0</v>
          </cell>
          <cell r="CC225">
            <v>2940684</v>
          </cell>
          <cell r="CD225">
            <v>13764285</v>
          </cell>
          <cell r="CE225">
            <v>848675</v>
          </cell>
          <cell r="CF225">
            <v>0</v>
          </cell>
          <cell r="CG225">
            <v>848675</v>
          </cell>
          <cell r="CH225">
            <v>848675</v>
          </cell>
          <cell r="CI225">
            <v>848675</v>
          </cell>
          <cell r="CJ225">
            <v>848675</v>
          </cell>
          <cell r="CK225">
            <v>0</v>
          </cell>
          <cell r="CL225">
            <v>0</v>
          </cell>
          <cell r="CM225">
            <v>0</v>
          </cell>
          <cell r="CN225">
            <v>0</v>
          </cell>
          <cell r="CO225">
            <v>0</v>
          </cell>
          <cell r="CP225">
            <v>-9203</v>
          </cell>
          <cell r="CQ225">
            <v>231206</v>
          </cell>
          <cell r="CR225">
            <v>256171</v>
          </cell>
          <cell r="CS225">
            <v>264933</v>
          </cell>
          <cell r="CT225">
            <v>287728</v>
          </cell>
          <cell r="CU225">
            <v>310413</v>
          </cell>
          <cell r="CV225">
            <v>12629</v>
          </cell>
          <cell r="CW225">
            <v>0</v>
          </cell>
          <cell r="CX225">
            <v>0</v>
          </cell>
          <cell r="CY225">
            <v>0</v>
          </cell>
          <cell r="CZ225">
            <v>0</v>
          </cell>
          <cell r="DA225">
            <v>0</v>
          </cell>
          <cell r="DB225"/>
          <cell r="DC225">
            <v>0</v>
          </cell>
          <cell r="DD225">
            <v>0</v>
          </cell>
          <cell r="DE225">
            <v>0</v>
          </cell>
          <cell r="DF225">
            <v>0</v>
          </cell>
          <cell r="DG225">
            <v>0</v>
          </cell>
          <cell r="DH225">
            <v>0</v>
          </cell>
          <cell r="DI225">
            <v>0</v>
          </cell>
          <cell r="DJ225">
            <v>0</v>
          </cell>
          <cell r="DK225">
            <v>0</v>
          </cell>
          <cell r="DL225">
            <v>0</v>
          </cell>
          <cell r="DM225"/>
          <cell r="DN225"/>
          <cell r="DO225"/>
          <cell r="DP225"/>
        </row>
        <row r="226">
          <cell r="A226">
            <v>531</v>
          </cell>
          <cell r="B226" t="str">
            <v>Hendrik-Ido-Ambacht</v>
          </cell>
          <cell r="C226">
            <v>8</v>
          </cell>
          <cell r="D226">
            <v>43261</v>
          </cell>
          <cell r="E226">
            <v>21630</v>
          </cell>
          <cell r="F226">
            <v>0</v>
          </cell>
          <cell r="G226">
            <v>0</v>
          </cell>
          <cell r="H226">
            <v>0</v>
          </cell>
          <cell r="I226">
            <v>0</v>
          </cell>
          <cell r="J226"/>
          <cell r="K226">
            <v>0</v>
          </cell>
          <cell r="L226">
            <v>93313</v>
          </cell>
          <cell r="M226">
            <v>83326</v>
          </cell>
          <cell r="N226">
            <v>0</v>
          </cell>
          <cell r="O226">
            <v>0</v>
          </cell>
          <cell r="P226">
            <v>0</v>
          </cell>
          <cell r="Q226">
            <v>0</v>
          </cell>
          <cell r="R226">
            <v>0</v>
          </cell>
          <cell r="S226">
            <v>0</v>
          </cell>
          <cell r="T226">
            <v>0</v>
          </cell>
          <cell r="U226">
            <v>0</v>
          </cell>
          <cell r="V226">
            <v>3000</v>
          </cell>
          <cell r="W226">
            <v>116821</v>
          </cell>
          <cell r="X226">
            <v>0</v>
          </cell>
          <cell r="Y226"/>
          <cell r="Z226">
            <v>0</v>
          </cell>
          <cell r="AA226">
            <v>0</v>
          </cell>
          <cell r="AB226">
            <v>0</v>
          </cell>
          <cell r="AC226"/>
          <cell r="AD226">
            <v>0</v>
          </cell>
          <cell r="AE226">
            <v>0</v>
          </cell>
          <cell r="AF226">
            <v>0</v>
          </cell>
          <cell r="AG226">
            <v>0</v>
          </cell>
          <cell r="AH226">
            <v>0</v>
          </cell>
          <cell r="AI226">
            <v>0</v>
          </cell>
          <cell r="AJ226">
            <v>0</v>
          </cell>
          <cell r="AK226">
            <v>0</v>
          </cell>
          <cell r="AL226"/>
          <cell r="AM226">
            <v>4854</v>
          </cell>
          <cell r="AN226">
            <v>4965</v>
          </cell>
          <cell r="AO226">
            <v>5079</v>
          </cell>
          <cell r="AP226">
            <v>5196</v>
          </cell>
          <cell r="AQ226">
            <v>5316</v>
          </cell>
          <cell r="AR226">
            <v>5438</v>
          </cell>
          <cell r="AS226">
            <v>0</v>
          </cell>
          <cell r="AT226">
            <v>0</v>
          </cell>
          <cell r="AU226">
            <v>2370</v>
          </cell>
          <cell r="AV226">
            <v>0</v>
          </cell>
          <cell r="AW226">
            <v>0</v>
          </cell>
          <cell r="AX226">
            <v>0</v>
          </cell>
          <cell r="AY226"/>
          <cell r="AZ226"/>
          <cell r="BA226">
            <v>0</v>
          </cell>
          <cell r="BB226"/>
          <cell r="BC226">
            <v>0</v>
          </cell>
          <cell r="BD226">
            <v>10437</v>
          </cell>
          <cell r="BE226"/>
          <cell r="BF226">
            <v>0</v>
          </cell>
          <cell r="BG226">
            <v>0</v>
          </cell>
          <cell r="BH226">
            <v>0</v>
          </cell>
          <cell r="BI226">
            <v>24617</v>
          </cell>
          <cell r="BJ226">
            <v>20264</v>
          </cell>
          <cell r="BK226">
            <v>20264</v>
          </cell>
          <cell r="BL226">
            <v>0</v>
          </cell>
          <cell r="BM226">
            <v>0</v>
          </cell>
          <cell r="BN226">
            <v>0</v>
          </cell>
          <cell r="BO226">
            <v>151766</v>
          </cell>
          <cell r="BP226">
            <v>14232.6</v>
          </cell>
          <cell r="BQ226">
            <v>25639.534883720899</v>
          </cell>
          <cell r="BR226">
            <v>0</v>
          </cell>
          <cell r="BS226">
            <v>0</v>
          </cell>
          <cell r="BT226">
            <v>45223</v>
          </cell>
          <cell r="BU226"/>
          <cell r="BV226"/>
          <cell r="BW226"/>
          <cell r="BX226"/>
          <cell r="BY226">
            <v>0</v>
          </cell>
          <cell r="BZ226">
            <v>0</v>
          </cell>
          <cell r="CA226">
            <v>0</v>
          </cell>
          <cell r="CB226">
            <v>0</v>
          </cell>
          <cell r="CC226">
            <v>1737593</v>
          </cell>
          <cell r="CD226">
            <v>8947389</v>
          </cell>
          <cell r="CE226">
            <v>480283</v>
          </cell>
          <cell r="CF226">
            <v>0</v>
          </cell>
          <cell r="CG226">
            <v>480283</v>
          </cell>
          <cell r="CH226">
            <v>480283</v>
          </cell>
          <cell r="CI226">
            <v>480283</v>
          </cell>
          <cell r="CJ226">
            <v>480283</v>
          </cell>
          <cell r="CK226">
            <v>0</v>
          </cell>
          <cell r="CL226">
            <v>0</v>
          </cell>
          <cell r="CM226">
            <v>0</v>
          </cell>
          <cell r="CN226">
            <v>0</v>
          </cell>
          <cell r="CO226">
            <v>0</v>
          </cell>
          <cell r="CP226">
            <v>0</v>
          </cell>
          <cell r="CQ226">
            <v>1032658</v>
          </cell>
          <cell r="CR226">
            <v>1012679</v>
          </cell>
          <cell r="CS226">
            <v>1001287</v>
          </cell>
          <cell r="CT226">
            <v>1009204</v>
          </cell>
          <cell r="CU226">
            <v>1017346</v>
          </cell>
          <cell r="CV226">
            <v>-9701</v>
          </cell>
          <cell r="CW226">
            <v>0</v>
          </cell>
          <cell r="CX226">
            <v>0</v>
          </cell>
          <cell r="CY226">
            <v>0</v>
          </cell>
          <cell r="CZ226">
            <v>0</v>
          </cell>
          <cell r="DA226">
            <v>0</v>
          </cell>
          <cell r="DB226"/>
          <cell r="DC226">
            <v>0</v>
          </cell>
          <cell r="DD226">
            <v>0</v>
          </cell>
          <cell r="DE226">
            <v>0</v>
          </cell>
          <cell r="DF226">
            <v>0</v>
          </cell>
          <cell r="DG226">
            <v>0</v>
          </cell>
          <cell r="DH226">
            <v>0</v>
          </cell>
          <cell r="DI226">
            <v>0</v>
          </cell>
          <cell r="DJ226">
            <v>0</v>
          </cell>
          <cell r="DK226">
            <v>0</v>
          </cell>
          <cell r="DL226">
            <v>0</v>
          </cell>
          <cell r="DM226"/>
          <cell r="DN226"/>
          <cell r="DO226"/>
          <cell r="DP226"/>
        </row>
        <row r="227">
          <cell r="A227">
            <v>534</v>
          </cell>
          <cell r="B227" t="str">
            <v>Hillegom</v>
          </cell>
          <cell r="C227">
            <v>8</v>
          </cell>
          <cell r="D227">
            <v>346</v>
          </cell>
          <cell r="E227">
            <v>173</v>
          </cell>
          <cell r="F227">
            <v>0</v>
          </cell>
          <cell r="G227">
            <v>0</v>
          </cell>
          <cell r="H227">
            <v>-2574</v>
          </cell>
          <cell r="I227">
            <v>-6557</v>
          </cell>
          <cell r="J227"/>
          <cell r="K227">
            <v>0</v>
          </cell>
          <cell r="L227">
            <v>78311</v>
          </cell>
          <cell r="M227">
            <v>77112</v>
          </cell>
          <cell r="N227">
            <v>0</v>
          </cell>
          <cell r="O227">
            <v>0</v>
          </cell>
          <cell r="P227">
            <v>0</v>
          </cell>
          <cell r="Q227">
            <v>0</v>
          </cell>
          <cell r="R227">
            <v>0</v>
          </cell>
          <cell r="S227">
            <v>0</v>
          </cell>
          <cell r="T227">
            <v>0</v>
          </cell>
          <cell r="U227">
            <v>0</v>
          </cell>
          <cell r="V227">
            <v>0</v>
          </cell>
          <cell r="W227">
            <v>69500</v>
          </cell>
          <cell r="X227">
            <v>0</v>
          </cell>
          <cell r="Y227"/>
          <cell r="Z227">
            <v>0</v>
          </cell>
          <cell r="AA227">
            <v>0</v>
          </cell>
          <cell r="AB227">
            <v>0</v>
          </cell>
          <cell r="AC227"/>
          <cell r="AD227">
            <v>0</v>
          </cell>
          <cell r="AE227">
            <v>0</v>
          </cell>
          <cell r="AF227">
            <v>0</v>
          </cell>
          <cell r="AG227">
            <v>0</v>
          </cell>
          <cell r="AH227">
            <v>0</v>
          </cell>
          <cell r="AI227">
            <v>0</v>
          </cell>
          <cell r="AJ227">
            <v>0</v>
          </cell>
          <cell r="AK227">
            <v>0</v>
          </cell>
          <cell r="AL227"/>
          <cell r="AM227">
            <v>0</v>
          </cell>
          <cell r="AN227">
            <v>0</v>
          </cell>
          <cell r="AO227">
            <v>0</v>
          </cell>
          <cell r="AP227">
            <v>0</v>
          </cell>
          <cell r="AQ227">
            <v>0</v>
          </cell>
          <cell r="AR227">
            <v>0</v>
          </cell>
          <cell r="AS227">
            <v>0</v>
          </cell>
          <cell r="AT227">
            <v>0</v>
          </cell>
          <cell r="AU227">
            <v>7110</v>
          </cell>
          <cell r="AV227">
            <v>0</v>
          </cell>
          <cell r="AW227">
            <v>0</v>
          </cell>
          <cell r="AX227">
            <v>0</v>
          </cell>
          <cell r="AY227"/>
          <cell r="AZ227"/>
          <cell r="BA227">
            <v>0</v>
          </cell>
          <cell r="BB227"/>
          <cell r="BC227">
            <v>0</v>
          </cell>
          <cell r="BD227">
            <v>7483</v>
          </cell>
          <cell r="BE227"/>
          <cell r="BF227">
            <v>0</v>
          </cell>
          <cell r="BG227">
            <v>0</v>
          </cell>
          <cell r="BH227">
            <v>0</v>
          </cell>
          <cell r="BI227">
            <v>32068</v>
          </cell>
          <cell r="BJ227">
            <v>26397</v>
          </cell>
          <cell r="BK227">
            <v>26397</v>
          </cell>
          <cell r="BL227">
            <v>0</v>
          </cell>
          <cell r="BM227">
            <v>0</v>
          </cell>
          <cell r="BN227">
            <v>0</v>
          </cell>
          <cell r="BO227">
            <v>37455</v>
          </cell>
          <cell r="BP227">
            <v>28465.200000000001</v>
          </cell>
          <cell r="BQ227">
            <v>51279.069767441899</v>
          </cell>
          <cell r="BR227">
            <v>0</v>
          </cell>
          <cell r="BS227">
            <v>0</v>
          </cell>
          <cell r="BT227">
            <v>29394</v>
          </cell>
          <cell r="BU227"/>
          <cell r="BV227"/>
          <cell r="BW227"/>
          <cell r="BX227"/>
          <cell r="BY227">
            <v>0</v>
          </cell>
          <cell r="BZ227">
            <v>0</v>
          </cell>
          <cell r="CA227">
            <v>0</v>
          </cell>
          <cell r="CB227">
            <v>0</v>
          </cell>
          <cell r="CC227">
            <v>1632612</v>
          </cell>
          <cell r="CD227">
            <v>8504412</v>
          </cell>
          <cell r="CE227">
            <v>378057</v>
          </cell>
          <cell r="CF227">
            <v>-15737</v>
          </cell>
          <cell r="CG227">
            <v>378057</v>
          </cell>
          <cell r="CH227">
            <v>378057</v>
          </cell>
          <cell r="CI227">
            <v>378057</v>
          </cell>
          <cell r="CJ227">
            <v>378057</v>
          </cell>
          <cell r="CK227">
            <v>0</v>
          </cell>
          <cell r="CL227">
            <v>0</v>
          </cell>
          <cell r="CM227">
            <v>0</v>
          </cell>
          <cell r="CN227">
            <v>0</v>
          </cell>
          <cell r="CO227">
            <v>0</v>
          </cell>
          <cell r="CP227">
            <v>0</v>
          </cell>
          <cell r="CQ227">
            <v>1682506</v>
          </cell>
          <cell r="CR227">
            <v>1625292</v>
          </cell>
          <cell r="CS227">
            <v>1596630</v>
          </cell>
          <cell r="CT227">
            <v>1597417</v>
          </cell>
          <cell r="CU227">
            <v>1602287</v>
          </cell>
          <cell r="CV227">
            <v>9652</v>
          </cell>
          <cell r="CW227">
            <v>0</v>
          </cell>
          <cell r="CX227">
            <v>0</v>
          </cell>
          <cell r="CY227">
            <v>0</v>
          </cell>
          <cell r="CZ227">
            <v>0</v>
          </cell>
          <cell r="DA227">
            <v>0</v>
          </cell>
          <cell r="DB227"/>
          <cell r="DC227">
            <v>0</v>
          </cell>
          <cell r="DD227">
            <v>0</v>
          </cell>
          <cell r="DE227">
            <v>0</v>
          </cell>
          <cell r="DF227">
            <v>0</v>
          </cell>
          <cell r="DG227">
            <v>0</v>
          </cell>
          <cell r="DH227">
            <v>0</v>
          </cell>
          <cell r="DI227">
            <v>0</v>
          </cell>
          <cell r="DJ227">
            <v>0</v>
          </cell>
          <cell r="DK227">
            <v>0</v>
          </cell>
          <cell r="DL227">
            <v>0</v>
          </cell>
          <cell r="DM227"/>
          <cell r="DN227"/>
          <cell r="DO227"/>
          <cell r="DP227"/>
        </row>
        <row r="228">
          <cell r="A228">
            <v>1884</v>
          </cell>
          <cell r="B228" t="str">
            <v>Kaag en Braassem</v>
          </cell>
          <cell r="C228">
            <v>8</v>
          </cell>
          <cell r="D228">
            <v>-20887</v>
          </cell>
          <cell r="E228">
            <v>-10443</v>
          </cell>
          <cell r="F228">
            <v>0</v>
          </cell>
          <cell r="G228">
            <v>0</v>
          </cell>
          <cell r="H228">
            <v>-10097</v>
          </cell>
          <cell r="I228">
            <v>-11092</v>
          </cell>
          <cell r="J228"/>
          <cell r="K228">
            <v>0</v>
          </cell>
          <cell r="L228">
            <v>73457</v>
          </cell>
          <cell r="M228">
            <v>63137</v>
          </cell>
          <cell r="N228">
            <v>0</v>
          </cell>
          <cell r="O228">
            <v>0</v>
          </cell>
          <cell r="P228">
            <v>0</v>
          </cell>
          <cell r="Q228">
            <v>0</v>
          </cell>
          <cell r="R228">
            <v>0</v>
          </cell>
          <cell r="S228">
            <v>0</v>
          </cell>
          <cell r="T228">
            <v>0</v>
          </cell>
          <cell r="U228">
            <v>0</v>
          </cell>
          <cell r="V228">
            <v>0</v>
          </cell>
          <cell r="W228">
            <v>95563</v>
          </cell>
          <cell r="X228">
            <v>0</v>
          </cell>
          <cell r="Y228"/>
          <cell r="Z228">
            <v>0</v>
          </cell>
          <cell r="AA228">
            <v>0</v>
          </cell>
          <cell r="AB228">
            <v>0</v>
          </cell>
          <cell r="AC228"/>
          <cell r="AD228">
            <v>0</v>
          </cell>
          <cell r="AE228">
            <v>0</v>
          </cell>
          <cell r="AF228">
            <v>0</v>
          </cell>
          <cell r="AG228">
            <v>0</v>
          </cell>
          <cell r="AH228">
            <v>0</v>
          </cell>
          <cell r="AI228">
            <v>0</v>
          </cell>
          <cell r="AJ228">
            <v>0</v>
          </cell>
          <cell r="AK228">
            <v>0</v>
          </cell>
          <cell r="AL228"/>
          <cell r="AM228">
            <v>0</v>
          </cell>
          <cell r="AN228">
            <v>0</v>
          </cell>
          <cell r="AO228">
            <v>0</v>
          </cell>
          <cell r="AP228">
            <v>0</v>
          </cell>
          <cell r="AQ228">
            <v>0</v>
          </cell>
          <cell r="AR228">
            <v>0</v>
          </cell>
          <cell r="AS228">
            <v>0</v>
          </cell>
          <cell r="AT228">
            <v>0</v>
          </cell>
          <cell r="AU228">
            <v>4740</v>
          </cell>
          <cell r="AV228">
            <v>0</v>
          </cell>
          <cell r="AW228">
            <v>0</v>
          </cell>
          <cell r="AX228">
            <v>0</v>
          </cell>
          <cell r="AY228"/>
          <cell r="AZ228"/>
          <cell r="BA228">
            <v>0</v>
          </cell>
          <cell r="BB228"/>
          <cell r="BC228">
            <v>0</v>
          </cell>
          <cell r="BD228">
            <v>9258</v>
          </cell>
          <cell r="BE228"/>
          <cell r="BF228">
            <v>0</v>
          </cell>
          <cell r="BG228">
            <v>0</v>
          </cell>
          <cell r="BH228">
            <v>0</v>
          </cell>
          <cell r="BI228">
            <v>26437</v>
          </cell>
          <cell r="BJ228">
            <v>21762</v>
          </cell>
          <cell r="BK228">
            <v>21762</v>
          </cell>
          <cell r="BL228">
            <v>0</v>
          </cell>
          <cell r="BM228">
            <v>0</v>
          </cell>
          <cell r="BN228">
            <v>0</v>
          </cell>
          <cell r="BO228">
            <v>44751</v>
          </cell>
          <cell r="BP228">
            <v>6325.6</v>
          </cell>
          <cell r="BQ228">
            <v>11395.3488372093</v>
          </cell>
          <cell r="BR228">
            <v>0</v>
          </cell>
          <cell r="BS228">
            <v>0</v>
          </cell>
          <cell r="BT228">
            <v>48163</v>
          </cell>
          <cell r="BU228"/>
          <cell r="BV228"/>
          <cell r="BW228"/>
          <cell r="BX228"/>
          <cell r="BY228">
            <v>0</v>
          </cell>
          <cell r="BZ228">
            <v>0</v>
          </cell>
          <cell r="CA228">
            <v>0</v>
          </cell>
          <cell r="CB228">
            <v>0</v>
          </cell>
          <cell r="CC228">
            <v>1627909</v>
          </cell>
          <cell r="CD228">
            <v>6268628</v>
          </cell>
          <cell r="CE228">
            <v>798948</v>
          </cell>
          <cell r="CF228">
            <v>0</v>
          </cell>
          <cell r="CG228">
            <v>798948</v>
          </cell>
          <cell r="CH228">
            <v>798948</v>
          </cell>
          <cell r="CI228">
            <v>798948</v>
          </cell>
          <cell r="CJ228">
            <v>798948</v>
          </cell>
          <cell r="CK228">
            <v>0</v>
          </cell>
          <cell r="CL228">
            <v>0</v>
          </cell>
          <cell r="CM228">
            <v>0</v>
          </cell>
          <cell r="CN228">
            <v>0</v>
          </cell>
          <cell r="CO228">
            <v>0</v>
          </cell>
          <cell r="CP228">
            <v>-3991</v>
          </cell>
          <cell r="CQ228">
            <v>88048</v>
          </cell>
          <cell r="CR228">
            <v>98204</v>
          </cell>
          <cell r="CS228">
            <v>101399</v>
          </cell>
          <cell r="CT228">
            <v>110621</v>
          </cell>
          <cell r="CU228">
            <v>119807</v>
          </cell>
          <cell r="CV228">
            <v>89716</v>
          </cell>
          <cell r="CW228">
            <v>0</v>
          </cell>
          <cell r="CX228">
            <v>0</v>
          </cell>
          <cell r="CY228">
            <v>0</v>
          </cell>
          <cell r="CZ228">
            <v>0</v>
          </cell>
          <cell r="DA228">
            <v>0</v>
          </cell>
          <cell r="DB228"/>
          <cell r="DC228">
            <v>0</v>
          </cell>
          <cell r="DD228">
            <v>0</v>
          </cell>
          <cell r="DE228">
            <v>0</v>
          </cell>
          <cell r="DF228">
            <v>0</v>
          </cell>
          <cell r="DG228">
            <v>0</v>
          </cell>
          <cell r="DH228">
            <v>0</v>
          </cell>
          <cell r="DI228">
            <v>0</v>
          </cell>
          <cell r="DJ228">
            <v>0</v>
          </cell>
          <cell r="DK228">
            <v>0</v>
          </cell>
          <cell r="DL228">
            <v>0</v>
          </cell>
          <cell r="DM228"/>
          <cell r="DN228"/>
          <cell r="DO228"/>
          <cell r="DP228"/>
        </row>
        <row r="229">
          <cell r="A229">
            <v>537</v>
          </cell>
          <cell r="B229" t="str">
            <v>Katwijk</v>
          </cell>
          <cell r="C229">
            <v>8</v>
          </cell>
          <cell r="D229">
            <v>-26500</v>
          </cell>
          <cell r="E229">
            <v>-13250</v>
          </cell>
          <cell r="F229">
            <v>0</v>
          </cell>
          <cell r="G229">
            <v>0</v>
          </cell>
          <cell r="H229">
            <v>0</v>
          </cell>
          <cell r="I229">
            <v>-7803</v>
          </cell>
          <cell r="J229"/>
          <cell r="K229">
            <v>0</v>
          </cell>
          <cell r="L229">
            <v>217544</v>
          </cell>
          <cell r="M229">
            <v>204267</v>
          </cell>
          <cell r="N229">
            <v>0</v>
          </cell>
          <cell r="O229">
            <v>0</v>
          </cell>
          <cell r="P229">
            <v>0</v>
          </cell>
          <cell r="Q229">
            <v>0</v>
          </cell>
          <cell r="R229">
            <v>0</v>
          </cell>
          <cell r="S229">
            <v>0</v>
          </cell>
          <cell r="T229">
            <v>0</v>
          </cell>
          <cell r="U229">
            <v>0</v>
          </cell>
          <cell r="V229">
            <v>6000</v>
          </cell>
          <cell r="W229">
            <v>274073</v>
          </cell>
          <cell r="X229">
            <v>0</v>
          </cell>
          <cell r="Y229"/>
          <cell r="Z229">
            <v>0</v>
          </cell>
          <cell r="AA229">
            <v>0</v>
          </cell>
          <cell r="AB229">
            <v>0</v>
          </cell>
          <cell r="AC229"/>
          <cell r="AD229">
            <v>0</v>
          </cell>
          <cell r="AE229">
            <v>0</v>
          </cell>
          <cell r="AF229">
            <v>0</v>
          </cell>
          <cell r="AG229">
            <v>0</v>
          </cell>
          <cell r="AH229">
            <v>0</v>
          </cell>
          <cell r="AI229">
            <v>0</v>
          </cell>
          <cell r="AJ229">
            <v>0</v>
          </cell>
          <cell r="AK229">
            <v>0</v>
          </cell>
          <cell r="AL229"/>
          <cell r="AM229">
            <v>0</v>
          </cell>
          <cell r="AN229">
            <v>0</v>
          </cell>
          <cell r="AO229">
            <v>0</v>
          </cell>
          <cell r="AP229">
            <v>0</v>
          </cell>
          <cell r="AQ229">
            <v>0</v>
          </cell>
          <cell r="AR229">
            <v>0</v>
          </cell>
          <cell r="AS229">
            <v>0</v>
          </cell>
          <cell r="AT229">
            <v>0</v>
          </cell>
          <cell r="AU229">
            <v>9480</v>
          </cell>
          <cell r="AV229">
            <v>0</v>
          </cell>
          <cell r="AW229">
            <v>0</v>
          </cell>
          <cell r="AX229">
            <v>0</v>
          </cell>
          <cell r="AY229"/>
          <cell r="AZ229"/>
          <cell r="BA229">
            <v>0</v>
          </cell>
          <cell r="BB229"/>
          <cell r="BC229">
            <v>0</v>
          </cell>
          <cell r="BD229">
            <v>22653</v>
          </cell>
          <cell r="BE229"/>
          <cell r="BF229">
            <v>0</v>
          </cell>
          <cell r="BG229">
            <v>0</v>
          </cell>
          <cell r="BH229">
            <v>0</v>
          </cell>
          <cell r="BI229">
            <v>77445</v>
          </cell>
          <cell r="BJ229">
            <v>63748</v>
          </cell>
          <cell r="BK229">
            <v>63748</v>
          </cell>
          <cell r="BL229">
            <v>0</v>
          </cell>
          <cell r="BM229">
            <v>0</v>
          </cell>
          <cell r="BN229">
            <v>0</v>
          </cell>
          <cell r="BO229">
            <v>113824</v>
          </cell>
          <cell r="BP229">
            <v>42697.8</v>
          </cell>
          <cell r="BQ229">
            <v>76918.604651162794</v>
          </cell>
          <cell r="BR229">
            <v>0</v>
          </cell>
          <cell r="BS229">
            <v>0</v>
          </cell>
          <cell r="BT229">
            <v>101292</v>
          </cell>
          <cell r="BU229"/>
          <cell r="BV229"/>
          <cell r="BW229"/>
          <cell r="BX229"/>
          <cell r="BY229">
            <v>0</v>
          </cell>
          <cell r="BZ229">
            <v>0</v>
          </cell>
          <cell r="CA229">
            <v>0</v>
          </cell>
          <cell r="CB229">
            <v>0</v>
          </cell>
          <cell r="CC229">
            <v>4557347</v>
          </cell>
          <cell r="CD229">
            <v>26034808</v>
          </cell>
          <cell r="CE229">
            <v>1527556</v>
          </cell>
          <cell r="CF229">
            <v>0</v>
          </cell>
          <cell r="CG229">
            <v>1527556</v>
          </cell>
          <cell r="CH229">
            <v>1527556</v>
          </cell>
          <cell r="CI229">
            <v>1527556</v>
          </cell>
          <cell r="CJ229">
            <v>1527556</v>
          </cell>
          <cell r="CK229">
            <v>0</v>
          </cell>
          <cell r="CL229">
            <v>0</v>
          </cell>
          <cell r="CM229">
            <v>0</v>
          </cell>
          <cell r="CN229">
            <v>0</v>
          </cell>
          <cell r="CO229">
            <v>0</v>
          </cell>
          <cell r="CP229">
            <v>-2781</v>
          </cell>
          <cell r="CQ229">
            <v>6266333</v>
          </cell>
          <cell r="CR229">
            <v>5929618</v>
          </cell>
          <cell r="CS229">
            <v>5765305</v>
          </cell>
          <cell r="CT229">
            <v>5643094</v>
          </cell>
          <cell r="CU229">
            <v>5533797</v>
          </cell>
          <cell r="CV229">
            <v>-264424</v>
          </cell>
          <cell r="CW229">
            <v>0</v>
          </cell>
          <cell r="CX229">
            <v>0</v>
          </cell>
          <cell r="CY229">
            <v>0</v>
          </cell>
          <cell r="CZ229">
            <v>0</v>
          </cell>
          <cell r="DA229">
            <v>0</v>
          </cell>
          <cell r="DB229"/>
          <cell r="DC229">
            <v>0</v>
          </cell>
          <cell r="DD229">
            <v>0</v>
          </cell>
          <cell r="DE229">
            <v>0</v>
          </cell>
          <cell r="DF229">
            <v>0</v>
          </cell>
          <cell r="DG229">
            <v>0</v>
          </cell>
          <cell r="DH229">
            <v>0</v>
          </cell>
          <cell r="DI229">
            <v>0</v>
          </cell>
          <cell r="DJ229">
            <v>0</v>
          </cell>
          <cell r="DK229">
            <v>0</v>
          </cell>
          <cell r="DL229">
            <v>0</v>
          </cell>
          <cell r="DM229"/>
          <cell r="DN229"/>
          <cell r="DO229"/>
          <cell r="DP229"/>
        </row>
        <row r="230">
          <cell r="A230">
            <v>588</v>
          </cell>
          <cell r="B230" t="str">
            <v>Korendijk</v>
          </cell>
          <cell r="C230">
            <v>8</v>
          </cell>
          <cell r="D230">
            <v>-9723</v>
          </cell>
          <cell r="E230">
            <v>-4862</v>
          </cell>
          <cell r="F230">
            <v>0</v>
          </cell>
          <cell r="G230">
            <v>0</v>
          </cell>
          <cell r="H230">
            <v>0</v>
          </cell>
          <cell r="I230">
            <v>-4185</v>
          </cell>
          <cell r="J230"/>
          <cell r="K230">
            <v>0</v>
          </cell>
          <cell r="L230">
            <v>25169</v>
          </cell>
          <cell r="M230">
            <v>20260</v>
          </cell>
          <cell r="N230">
            <v>0</v>
          </cell>
          <cell r="O230">
            <v>0</v>
          </cell>
          <cell r="P230">
            <v>0</v>
          </cell>
          <cell r="Q230">
            <v>0</v>
          </cell>
          <cell r="R230">
            <v>0</v>
          </cell>
          <cell r="S230">
            <v>0</v>
          </cell>
          <cell r="T230">
            <v>0</v>
          </cell>
          <cell r="U230">
            <v>0</v>
          </cell>
          <cell r="V230">
            <v>0</v>
          </cell>
          <cell r="W230">
            <v>0</v>
          </cell>
          <cell r="X230">
            <v>0</v>
          </cell>
          <cell r="Y230"/>
          <cell r="Z230">
            <v>0</v>
          </cell>
          <cell r="AA230">
            <v>0</v>
          </cell>
          <cell r="AB230">
            <v>0</v>
          </cell>
          <cell r="AC230"/>
          <cell r="AD230">
            <v>0</v>
          </cell>
          <cell r="AE230">
            <v>0</v>
          </cell>
          <cell r="AF230">
            <v>0</v>
          </cell>
          <cell r="AG230">
            <v>0</v>
          </cell>
          <cell r="AH230">
            <v>0</v>
          </cell>
          <cell r="AI230">
            <v>0</v>
          </cell>
          <cell r="AJ230">
            <v>0</v>
          </cell>
          <cell r="AK230">
            <v>0</v>
          </cell>
          <cell r="AL230"/>
          <cell r="AM230">
            <v>79652</v>
          </cell>
          <cell r="AN230">
            <v>81484</v>
          </cell>
          <cell r="AO230">
            <v>83359</v>
          </cell>
          <cell r="AP230">
            <v>85276</v>
          </cell>
          <cell r="AQ230">
            <v>87237</v>
          </cell>
          <cell r="AR230">
            <v>89244</v>
          </cell>
          <cell r="AS230">
            <v>0</v>
          </cell>
          <cell r="AT230">
            <v>0</v>
          </cell>
          <cell r="AU230">
            <v>0</v>
          </cell>
          <cell r="AV230">
            <v>0</v>
          </cell>
          <cell r="AW230">
            <v>0</v>
          </cell>
          <cell r="AX230">
            <v>0</v>
          </cell>
          <cell r="AY230"/>
          <cell r="AZ230"/>
          <cell r="BA230">
            <v>0</v>
          </cell>
          <cell r="BB230"/>
          <cell r="BC230">
            <v>0</v>
          </cell>
          <cell r="BD230">
            <v>19227</v>
          </cell>
          <cell r="BE230"/>
          <cell r="BF230">
            <v>0</v>
          </cell>
          <cell r="BG230">
            <v>0</v>
          </cell>
          <cell r="BH230">
            <v>0</v>
          </cell>
          <cell r="BI230">
            <v>11467</v>
          </cell>
          <cell r="BJ230">
            <v>9439</v>
          </cell>
          <cell r="BK230">
            <v>9439</v>
          </cell>
          <cell r="BL230">
            <v>0</v>
          </cell>
          <cell r="BM230">
            <v>0</v>
          </cell>
          <cell r="BN230">
            <v>0</v>
          </cell>
          <cell r="BO230">
            <v>16052</v>
          </cell>
          <cell r="BP230">
            <v>0</v>
          </cell>
          <cell r="BQ230">
            <v>0</v>
          </cell>
          <cell r="BR230">
            <v>0</v>
          </cell>
          <cell r="BS230">
            <v>0</v>
          </cell>
          <cell r="BT230">
            <v>22359</v>
          </cell>
          <cell r="BU230"/>
          <cell r="BV230"/>
          <cell r="BW230"/>
          <cell r="BX230"/>
          <cell r="BY230">
            <v>0</v>
          </cell>
          <cell r="BZ230">
            <v>0</v>
          </cell>
          <cell r="CA230">
            <v>0</v>
          </cell>
          <cell r="CB230">
            <v>0</v>
          </cell>
          <cell r="CC230">
            <v>760116</v>
          </cell>
          <cell r="CD230">
            <v>3573452</v>
          </cell>
          <cell r="CE230">
            <v>268541</v>
          </cell>
          <cell r="CF230">
            <v>0</v>
          </cell>
          <cell r="CG230">
            <v>268541</v>
          </cell>
          <cell r="CH230">
            <v>268541</v>
          </cell>
          <cell r="CI230">
            <v>268541</v>
          </cell>
          <cell r="CJ230">
            <v>268541</v>
          </cell>
          <cell r="CK230">
            <v>0</v>
          </cell>
          <cell r="CL230">
            <v>0</v>
          </cell>
          <cell r="CM230">
            <v>0</v>
          </cell>
          <cell r="CN230">
            <v>0</v>
          </cell>
          <cell r="CO230">
            <v>0</v>
          </cell>
          <cell r="CP230">
            <v>-1501</v>
          </cell>
          <cell r="CQ230">
            <v>503084</v>
          </cell>
          <cell r="CR230">
            <v>485146</v>
          </cell>
          <cell r="CS230">
            <v>476730</v>
          </cell>
          <cell r="CT230">
            <v>468960</v>
          </cell>
          <cell r="CU230">
            <v>470762</v>
          </cell>
          <cell r="CV230">
            <v>21554</v>
          </cell>
          <cell r="CW230">
            <v>0</v>
          </cell>
          <cell r="CX230">
            <v>0</v>
          </cell>
          <cell r="CY230">
            <v>0</v>
          </cell>
          <cell r="CZ230">
            <v>0</v>
          </cell>
          <cell r="DA230">
            <v>0</v>
          </cell>
          <cell r="DB230"/>
          <cell r="DC230">
            <v>0</v>
          </cell>
          <cell r="DD230">
            <v>0</v>
          </cell>
          <cell r="DE230">
            <v>0</v>
          </cell>
          <cell r="DF230">
            <v>0</v>
          </cell>
          <cell r="DG230">
            <v>0</v>
          </cell>
          <cell r="DH230">
            <v>0</v>
          </cell>
          <cell r="DI230">
            <v>0</v>
          </cell>
          <cell r="DJ230">
            <v>0</v>
          </cell>
          <cell r="DK230">
            <v>0</v>
          </cell>
          <cell r="DL230">
            <v>0</v>
          </cell>
          <cell r="DM230"/>
          <cell r="DN230"/>
          <cell r="DO230"/>
          <cell r="DP230"/>
        </row>
        <row r="231">
          <cell r="A231">
            <v>542</v>
          </cell>
          <cell r="B231" t="str">
            <v>Krimpen aan den IJssel</v>
          </cell>
          <cell r="C231">
            <v>8</v>
          </cell>
          <cell r="D231">
            <v>99857</v>
          </cell>
          <cell r="E231">
            <v>49929</v>
          </cell>
          <cell r="F231">
            <v>0</v>
          </cell>
          <cell r="G231">
            <v>0</v>
          </cell>
          <cell r="H231">
            <v>0</v>
          </cell>
          <cell r="I231">
            <v>-8881</v>
          </cell>
          <cell r="J231"/>
          <cell r="K231">
            <v>0</v>
          </cell>
          <cell r="L231">
            <v>100953</v>
          </cell>
          <cell r="M231">
            <v>103943</v>
          </cell>
          <cell r="N231">
            <v>0</v>
          </cell>
          <cell r="O231">
            <v>0</v>
          </cell>
          <cell r="P231">
            <v>0</v>
          </cell>
          <cell r="Q231">
            <v>0</v>
          </cell>
          <cell r="R231">
            <v>0</v>
          </cell>
          <cell r="S231">
            <v>0</v>
          </cell>
          <cell r="T231">
            <v>0</v>
          </cell>
          <cell r="U231">
            <v>0</v>
          </cell>
          <cell r="V231">
            <v>3000</v>
          </cell>
          <cell r="W231">
            <v>119154</v>
          </cell>
          <cell r="X231">
            <v>0</v>
          </cell>
          <cell r="Y231"/>
          <cell r="Z231">
            <v>0</v>
          </cell>
          <cell r="AA231">
            <v>0</v>
          </cell>
          <cell r="AB231">
            <v>0</v>
          </cell>
          <cell r="AC231"/>
          <cell r="AD231">
            <v>0</v>
          </cell>
          <cell r="AE231">
            <v>0</v>
          </cell>
          <cell r="AF231">
            <v>0</v>
          </cell>
          <cell r="AG231">
            <v>0</v>
          </cell>
          <cell r="AH231">
            <v>0</v>
          </cell>
          <cell r="AI231">
            <v>0</v>
          </cell>
          <cell r="AJ231">
            <v>0</v>
          </cell>
          <cell r="AK231">
            <v>0</v>
          </cell>
          <cell r="AL231"/>
          <cell r="AM231">
            <v>3767</v>
          </cell>
          <cell r="AN231">
            <v>3853</v>
          </cell>
          <cell r="AO231">
            <v>3942</v>
          </cell>
          <cell r="AP231">
            <v>4032</v>
          </cell>
          <cell r="AQ231">
            <v>4125</v>
          </cell>
          <cell r="AR231">
            <v>4220</v>
          </cell>
          <cell r="AS231">
            <v>0</v>
          </cell>
          <cell r="AT231">
            <v>0</v>
          </cell>
          <cell r="AU231">
            <v>7110</v>
          </cell>
          <cell r="AV231">
            <v>0</v>
          </cell>
          <cell r="AW231">
            <v>0</v>
          </cell>
          <cell r="AX231">
            <v>0</v>
          </cell>
          <cell r="AY231"/>
          <cell r="AZ231"/>
          <cell r="BA231">
            <v>0</v>
          </cell>
          <cell r="BB231"/>
          <cell r="BC231">
            <v>0</v>
          </cell>
          <cell r="BD231">
            <v>10223</v>
          </cell>
          <cell r="BE231"/>
          <cell r="BF231">
            <v>0</v>
          </cell>
          <cell r="BG231">
            <v>0</v>
          </cell>
          <cell r="BH231">
            <v>0</v>
          </cell>
          <cell r="BI231">
            <v>36142</v>
          </cell>
          <cell r="BJ231">
            <v>29750</v>
          </cell>
          <cell r="BK231">
            <v>29750</v>
          </cell>
          <cell r="BL231">
            <v>0</v>
          </cell>
          <cell r="BM231">
            <v>0</v>
          </cell>
          <cell r="BN231">
            <v>0</v>
          </cell>
          <cell r="BO231">
            <v>103123</v>
          </cell>
          <cell r="BP231">
            <v>4744.2</v>
          </cell>
          <cell r="BQ231">
            <v>8546.5116279069807</v>
          </cell>
          <cell r="BR231">
            <v>0</v>
          </cell>
          <cell r="BS231">
            <v>0</v>
          </cell>
          <cell r="BT231">
            <v>43922</v>
          </cell>
          <cell r="BU231"/>
          <cell r="BV231"/>
          <cell r="BW231"/>
          <cell r="BX231"/>
          <cell r="BY231">
            <v>0</v>
          </cell>
          <cell r="BZ231">
            <v>0</v>
          </cell>
          <cell r="CA231">
            <v>0</v>
          </cell>
          <cell r="CB231">
            <v>0</v>
          </cell>
          <cell r="CC231">
            <v>2350053</v>
          </cell>
          <cell r="CD231">
            <v>12388994</v>
          </cell>
          <cell r="CE231">
            <v>1504166</v>
          </cell>
          <cell r="CF231">
            <v>0</v>
          </cell>
          <cell r="CG231">
            <v>1504166</v>
          </cell>
          <cell r="CH231">
            <v>1504166</v>
          </cell>
          <cell r="CI231">
            <v>1504166</v>
          </cell>
          <cell r="CJ231">
            <v>1504166</v>
          </cell>
          <cell r="CK231">
            <v>0</v>
          </cell>
          <cell r="CL231">
            <v>0</v>
          </cell>
          <cell r="CM231">
            <v>0</v>
          </cell>
          <cell r="CN231">
            <v>0</v>
          </cell>
          <cell r="CO231">
            <v>0</v>
          </cell>
          <cell r="CP231">
            <v>-3192</v>
          </cell>
          <cell r="CQ231">
            <v>2358187</v>
          </cell>
          <cell r="CR231">
            <v>2243546</v>
          </cell>
          <cell r="CS231">
            <v>2152909</v>
          </cell>
          <cell r="CT231">
            <v>2112427</v>
          </cell>
          <cell r="CU231">
            <v>2109624</v>
          </cell>
          <cell r="CV231">
            <v>-17605</v>
          </cell>
          <cell r="CW231">
            <v>0</v>
          </cell>
          <cell r="CX231">
            <v>0</v>
          </cell>
          <cell r="CY231">
            <v>0</v>
          </cell>
          <cell r="CZ231">
            <v>0</v>
          </cell>
          <cell r="DA231">
            <v>0</v>
          </cell>
          <cell r="DB231"/>
          <cell r="DC231">
            <v>0</v>
          </cell>
          <cell r="DD231">
            <v>0</v>
          </cell>
          <cell r="DE231">
            <v>0</v>
          </cell>
          <cell r="DF231">
            <v>0</v>
          </cell>
          <cell r="DG231">
            <v>0</v>
          </cell>
          <cell r="DH231">
            <v>0</v>
          </cell>
          <cell r="DI231">
            <v>0</v>
          </cell>
          <cell r="DJ231">
            <v>0</v>
          </cell>
          <cell r="DK231">
            <v>0</v>
          </cell>
          <cell r="DL231">
            <v>0</v>
          </cell>
          <cell r="DM231"/>
          <cell r="DN231"/>
          <cell r="DO231"/>
          <cell r="DP231"/>
        </row>
        <row r="232">
          <cell r="A232">
            <v>1931</v>
          </cell>
          <cell r="B232" t="str">
            <v>Krimpenerwaard</v>
          </cell>
          <cell r="C232">
            <v>8</v>
          </cell>
          <cell r="D232">
            <v>56693</v>
          </cell>
          <cell r="E232">
            <v>28347</v>
          </cell>
          <cell r="F232">
            <v>0</v>
          </cell>
          <cell r="G232">
            <v>0</v>
          </cell>
          <cell r="H232">
            <v>-11573</v>
          </cell>
          <cell r="I232">
            <v>-34343</v>
          </cell>
          <cell r="J232"/>
          <cell r="K232">
            <v>0</v>
          </cell>
          <cell r="L232">
            <v>175365</v>
          </cell>
          <cell r="M232">
            <v>182935</v>
          </cell>
          <cell r="N232">
            <v>0</v>
          </cell>
          <cell r="O232">
            <v>0</v>
          </cell>
          <cell r="P232">
            <v>0</v>
          </cell>
          <cell r="Q232">
            <v>0</v>
          </cell>
          <cell r="R232">
            <v>0</v>
          </cell>
          <cell r="S232">
            <v>0</v>
          </cell>
          <cell r="T232">
            <v>0</v>
          </cell>
          <cell r="U232">
            <v>0</v>
          </cell>
          <cell r="V232">
            <v>9000</v>
          </cell>
          <cell r="W232">
            <v>204865</v>
          </cell>
          <cell r="X232">
            <v>0</v>
          </cell>
          <cell r="Y232"/>
          <cell r="Z232">
            <v>0</v>
          </cell>
          <cell r="AA232">
            <v>0</v>
          </cell>
          <cell r="AB232">
            <v>0</v>
          </cell>
          <cell r="AC232"/>
          <cell r="AD232">
            <v>0</v>
          </cell>
          <cell r="AE232">
            <v>0</v>
          </cell>
          <cell r="AF232">
            <v>0</v>
          </cell>
          <cell r="AG232">
            <v>0</v>
          </cell>
          <cell r="AH232">
            <v>0</v>
          </cell>
          <cell r="AI232">
            <v>0</v>
          </cell>
          <cell r="AJ232">
            <v>0</v>
          </cell>
          <cell r="AK232">
            <v>0</v>
          </cell>
          <cell r="AL232"/>
          <cell r="AM232">
            <v>111635</v>
          </cell>
          <cell r="AN232">
            <v>114203</v>
          </cell>
          <cell r="AO232">
            <v>116830</v>
          </cell>
          <cell r="AP232">
            <v>119516</v>
          </cell>
          <cell r="AQ232">
            <v>122265</v>
          </cell>
          <cell r="AR232">
            <v>125078</v>
          </cell>
          <cell r="AS232">
            <v>0</v>
          </cell>
          <cell r="AT232">
            <v>0</v>
          </cell>
          <cell r="AU232">
            <v>4740</v>
          </cell>
          <cell r="AV232">
            <v>0</v>
          </cell>
          <cell r="AW232">
            <v>0</v>
          </cell>
          <cell r="AX232">
            <v>0</v>
          </cell>
          <cell r="AY232"/>
          <cell r="AZ232"/>
          <cell r="BA232">
            <v>0</v>
          </cell>
          <cell r="BB232"/>
          <cell r="BC232">
            <v>0</v>
          </cell>
          <cell r="BD232">
            <v>19379</v>
          </cell>
          <cell r="BE232"/>
          <cell r="BF232">
            <v>0</v>
          </cell>
          <cell r="BG232">
            <v>0</v>
          </cell>
          <cell r="BH232">
            <v>0</v>
          </cell>
          <cell r="BI232">
            <v>64877</v>
          </cell>
          <cell r="BJ232">
            <v>53403</v>
          </cell>
          <cell r="BK232">
            <v>53403</v>
          </cell>
          <cell r="BL232">
            <v>0</v>
          </cell>
          <cell r="BM232">
            <v>0</v>
          </cell>
          <cell r="BN232">
            <v>0</v>
          </cell>
          <cell r="BO232">
            <v>154198</v>
          </cell>
          <cell r="BP232">
            <v>45860.6</v>
          </cell>
          <cell r="BQ232">
            <v>82616.279069767406</v>
          </cell>
          <cell r="BR232">
            <v>0</v>
          </cell>
          <cell r="BS232">
            <v>0</v>
          </cell>
          <cell r="BT232">
            <v>99286</v>
          </cell>
          <cell r="BU232"/>
          <cell r="BV232"/>
          <cell r="BW232"/>
          <cell r="BX232"/>
          <cell r="BY232">
            <v>0</v>
          </cell>
          <cell r="BZ232">
            <v>0</v>
          </cell>
          <cell r="CA232">
            <v>0</v>
          </cell>
          <cell r="CB232">
            <v>0</v>
          </cell>
          <cell r="CC232">
            <v>3784721</v>
          </cell>
          <cell r="CD232">
            <v>19217982</v>
          </cell>
          <cell r="CE232">
            <v>1908709</v>
          </cell>
          <cell r="CF232">
            <v>0</v>
          </cell>
          <cell r="CG232">
            <v>1908709</v>
          </cell>
          <cell r="CH232">
            <v>1908709</v>
          </cell>
          <cell r="CI232">
            <v>1908709</v>
          </cell>
          <cell r="CJ232">
            <v>1908709</v>
          </cell>
          <cell r="CK232">
            <v>0</v>
          </cell>
          <cell r="CL232">
            <v>0</v>
          </cell>
          <cell r="CM232">
            <v>0</v>
          </cell>
          <cell r="CN232">
            <v>0</v>
          </cell>
          <cell r="CO232">
            <v>0</v>
          </cell>
          <cell r="CP232">
            <v>-12325</v>
          </cell>
          <cell r="CQ232">
            <v>3236066</v>
          </cell>
          <cell r="CR232">
            <v>3148136</v>
          </cell>
          <cell r="CS232">
            <v>3079824</v>
          </cell>
          <cell r="CT232">
            <v>2996363</v>
          </cell>
          <cell r="CU232">
            <v>2965422</v>
          </cell>
          <cell r="CV232">
            <v>-14341</v>
          </cell>
          <cell r="CW232">
            <v>0</v>
          </cell>
          <cell r="CX232">
            <v>0</v>
          </cell>
          <cell r="CY232">
            <v>0</v>
          </cell>
          <cell r="CZ232">
            <v>0</v>
          </cell>
          <cell r="DA232">
            <v>0</v>
          </cell>
          <cell r="DB232"/>
          <cell r="DC232">
            <v>0</v>
          </cell>
          <cell r="DD232">
            <v>0</v>
          </cell>
          <cell r="DE232">
            <v>0</v>
          </cell>
          <cell r="DF232">
            <v>0</v>
          </cell>
          <cell r="DG232">
            <v>0</v>
          </cell>
          <cell r="DH232">
            <v>0</v>
          </cell>
          <cell r="DI232">
            <v>0</v>
          </cell>
          <cell r="DJ232">
            <v>0</v>
          </cell>
          <cell r="DK232">
            <v>0</v>
          </cell>
          <cell r="DL232">
            <v>0</v>
          </cell>
          <cell r="DM232"/>
          <cell r="DN232"/>
          <cell r="DO232"/>
          <cell r="DP232"/>
        </row>
        <row r="233">
          <cell r="A233">
            <v>1621</v>
          </cell>
          <cell r="B233" t="str">
            <v>Lansingerland</v>
          </cell>
          <cell r="C233">
            <v>8</v>
          </cell>
          <cell r="D233">
            <v>39038</v>
          </cell>
          <cell r="E233">
            <v>19519</v>
          </cell>
          <cell r="F233">
            <v>0</v>
          </cell>
          <cell r="G233">
            <v>0</v>
          </cell>
          <cell r="H233">
            <v>-26593</v>
          </cell>
          <cell r="I233">
            <v>-29946</v>
          </cell>
          <cell r="J233"/>
          <cell r="K233">
            <v>0</v>
          </cell>
          <cell r="L233">
            <v>189730</v>
          </cell>
          <cell r="M233">
            <v>177365</v>
          </cell>
          <cell r="N233">
            <v>0</v>
          </cell>
          <cell r="O233">
            <v>0</v>
          </cell>
          <cell r="P233">
            <v>0</v>
          </cell>
          <cell r="Q233">
            <v>0</v>
          </cell>
          <cell r="R233">
            <v>0</v>
          </cell>
          <cell r="S233">
            <v>0</v>
          </cell>
          <cell r="T233">
            <v>0</v>
          </cell>
          <cell r="U233">
            <v>0</v>
          </cell>
          <cell r="V233">
            <v>0</v>
          </cell>
          <cell r="W233">
            <v>136981</v>
          </cell>
          <cell r="X233">
            <v>0</v>
          </cell>
          <cell r="Y233"/>
          <cell r="Z233">
            <v>0</v>
          </cell>
          <cell r="AA233">
            <v>0</v>
          </cell>
          <cell r="AB233">
            <v>0</v>
          </cell>
          <cell r="AC233"/>
          <cell r="AD233">
            <v>0</v>
          </cell>
          <cell r="AE233">
            <v>0</v>
          </cell>
          <cell r="AF233">
            <v>0</v>
          </cell>
          <cell r="AG233">
            <v>0</v>
          </cell>
          <cell r="AH233">
            <v>0</v>
          </cell>
          <cell r="AI233">
            <v>0</v>
          </cell>
          <cell r="AJ233">
            <v>0</v>
          </cell>
          <cell r="AK233">
            <v>0</v>
          </cell>
          <cell r="AL233"/>
          <cell r="AM233">
            <v>0</v>
          </cell>
          <cell r="AN233">
            <v>0</v>
          </cell>
          <cell r="AO233">
            <v>0</v>
          </cell>
          <cell r="AP233">
            <v>0</v>
          </cell>
          <cell r="AQ233">
            <v>0</v>
          </cell>
          <cell r="AR233">
            <v>0</v>
          </cell>
          <cell r="AS233">
            <v>0</v>
          </cell>
          <cell r="AT233">
            <v>0</v>
          </cell>
          <cell r="AU233">
            <v>4740</v>
          </cell>
          <cell r="AV233">
            <v>0</v>
          </cell>
          <cell r="AW233">
            <v>0</v>
          </cell>
          <cell r="AX233">
            <v>0</v>
          </cell>
          <cell r="AY233"/>
          <cell r="AZ233"/>
          <cell r="BA233">
            <v>0</v>
          </cell>
          <cell r="BB233"/>
          <cell r="BC233">
            <v>0</v>
          </cell>
          <cell r="BD233">
            <v>21099</v>
          </cell>
          <cell r="BE233"/>
          <cell r="BF233">
            <v>0</v>
          </cell>
          <cell r="BG233">
            <v>0</v>
          </cell>
          <cell r="BH233">
            <v>0</v>
          </cell>
          <cell r="BI233">
            <v>32190</v>
          </cell>
          <cell r="BJ233">
            <v>26497</v>
          </cell>
          <cell r="BK233">
            <v>26497</v>
          </cell>
          <cell r="BL233">
            <v>0</v>
          </cell>
          <cell r="BM233">
            <v>15026</v>
          </cell>
          <cell r="BN233">
            <v>0</v>
          </cell>
          <cell r="BO233">
            <v>68586</v>
          </cell>
          <cell r="BP233">
            <v>39535</v>
          </cell>
          <cell r="BQ233">
            <v>71220.930232558094</v>
          </cell>
          <cell r="BR233">
            <v>0</v>
          </cell>
          <cell r="BS233">
            <v>0</v>
          </cell>
          <cell r="BT233">
            <v>99762</v>
          </cell>
          <cell r="BU233"/>
          <cell r="BV233"/>
          <cell r="BW233"/>
          <cell r="BX233"/>
          <cell r="BY233">
            <v>0</v>
          </cell>
          <cell r="BZ233">
            <v>0</v>
          </cell>
          <cell r="CA233">
            <v>0</v>
          </cell>
          <cell r="CB233">
            <v>0</v>
          </cell>
          <cell r="CC233">
            <v>2441176</v>
          </cell>
          <cell r="CD233">
            <v>14233811</v>
          </cell>
          <cell r="CE233">
            <v>1398076</v>
          </cell>
          <cell r="CF233">
            <v>-42921</v>
          </cell>
          <cell r="CG233">
            <v>1398076</v>
          </cell>
          <cell r="CH233">
            <v>1398076</v>
          </cell>
          <cell r="CI233">
            <v>1398076</v>
          </cell>
          <cell r="CJ233">
            <v>1398076</v>
          </cell>
          <cell r="CK233">
            <v>0</v>
          </cell>
          <cell r="CL233">
            <v>0</v>
          </cell>
          <cell r="CM233">
            <v>0</v>
          </cell>
          <cell r="CN233">
            <v>0</v>
          </cell>
          <cell r="CO233">
            <v>0</v>
          </cell>
          <cell r="CP233">
            <v>-4217</v>
          </cell>
          <cell r="CQ233">
            <v>223395</v>
          </cell>
          <cell r="CR233">
            <v>238567</v>
          </cell>
          <cell r="CS233">
            <v>244169</v>
          </cell>
          <cell r="CT233">
            <v>259686</v>
          </cell>
          <cell r="CU233">
            <v>275182</v>
          </cell>
          <cell r="CV233">
            <v>99082</v>
          </cell>
          <cell r="CW233">
            <v>0</v>
          </cell>
          <cell r="CX233">
            <v>0</v>
          </cell>
          <cell r="CY233">
            <v>0</v>
          </cell>
          <cell r="CZ233">
            <v>0</v>
          </cell>
          <cell r="DA233">
            <v>0</v>
          </cell>
          <cell r="DB233"/>
          <cell r="DC233">
            <v>0</v>
          </cell>
          <cell r="DD233">
            <v>0</v>
          </cell>
          <cell r="DE233">
            <v>0</v>
          </cell>
          <cell r="DF233">
            <v>0</v>
          </cell>
          <cell r="DG233">
            <v>0</v>
          </cell>
          <cell r="DH233">
            <v>0</v>
          </cell>
          <cell r="DI233">
            <v>0</v>
          </cell>
          <cell r="DJ233">
            <v>0</v>
          </cell>
          <cell r="DK233">
            <v>0</v>
          </cell>
          <cell r="DL233">
            <v>0</v>
          </cell>
          <cell r="DM233"/>
          <cell r="DN233"/>
          <cell r="DO233"/>
          <cell r="DP233"/>
        </row>
        <row r="234">
          <cell r="A234">
            <v>545</v>
          </cell>
          <cell r="B234" t="str">
            <v>Leerdam</v>
          </cell>
          <cell r="C234">
            <v>8</v>
          </cell>
          <cell r="D234">
            <v>26736</v>
          </cell>
          <cell r="E234">
            <v>13368</v>
          </cell>
          <cell r="F234">
            <v>0</v>
          </cell>
          <cell r="G234">
            <v>12289</v>
          </cell>
          <cell r="H234">
            <v>-71243</v>
          </cell>
          <cell r="I234">
            <v>-56385</v>
          </cell>
          <cell r="J234"/>
          <cell r="K234">
            <v>0</v>
          </cell>
          <cell r="L234">
            <v>110364</v>
          </cell>
          <cell r="M234">
            <v>110561</v>
          </cell>
          <cell r="N234">
            <v>0</v>
          </cell>
          <cell r="O234">
            <v>0</v>
          </cell>
          <cell r="P234">
            <v>0</v>
          </cell>
          <cell r="Q234">
            <v>0</v>
          </cell>
          <cell r="R234">
            <v>0</v>
          </cell>
          <cell r="S234">
            <v>0</v>
          </cell>
          <cell r="T234">
            <v>0</v>
          </cell>
          <cell r="U234">
            <v>0</v>
          </cell>
          <cell r="V234">
            <v>0</v>
          </cell>
          <cell r="W234">
            <v>87664</v>
          </cell>
          <cell r="X234">
            <v>0</v>
          </cell>
          <cell r="Y234"/>
          <cell r="Z234">
            <v>0</v>
          </cell>
          <cell r="AA234">
            <v>0</v>
          </cell>
          <cell r="AB234">
            <v>0</v>
          </cell>
          <cell r="AC234"/>
          <cell r="AD234">
            <v>29334</v>
          </cell>
          <cell r="AE234">
            <v>0</v>
          </cell>
          <cell r="AF234">
            <v>0</v>
          </cell>
          <cell r="AG234">
            <v>0</v>
          </cell>
          <cell r="AH234">
            <v>0</v>
          </cell>
          <cell r="AI234">
            <v>0</v>
          </cell>
          <cell r="AJ234">
            <v>0</v>
          </cell>
          <cell r="AK234">
            <v>0</v>
          </cell>
          <cell r="AL234"/>
          <cell r="AM234">
            <v>26811</v>
          </cell>
          <cell r="AN234">
            <v>27428</v>
          </cell>
          <cell r="AO234">
            <v>28059</v>
          </cell>
          <cell r="AP234">
            <v>28704</v>
          </cell>
          <cell r="AQ234">
            <v>29364</v>
          </cell>
          <cell r="AR234">
            <v>30040</v>
          </cell>
          <cell r="AS234">
            <v>0</v>
          </cell>
          <cell r="AT234">
            <v>0</v>
          </cell>
          <cell r="AU234">
            <v>0</v>
          </cell>
          <cell r="AV234">
            <v>0</v>
          </cell>
          <cell r="AW234">
            <v>0</v>
          </cell>
          <cell r="AX234">
            <v>0</v>
          </cell>
          <cell r="AY234"/>
          <cell r="AZ234"/>
          <cell r="BA234">
            <v>0</v>
          </cell>
          <cell r="BB234"/>
          <cell r="BC234">
            <v>0</v>
          </cell>
          <cell r="BD234">
            <v>36676</v>
          </cell>
          <cell r="BE234"/>
          <cell r="BF234">
            <v>0</v>
          </cell>
          <cell r="BG234">
            <v>0</v>
          </cell>
          <cell r="BH234">
            <v>0</v>
          </cell>
          <cell r="BI234">
            <v>30173</v>
          </cell>
          <cell r="BJ234">
            <v>24837</v>
          </cell>
          <cell r="BK234">
            <v>24837</v>
          </cell>
          <cell r="BL234">
            <v>0</v>
          </cell>
          <cell r="BM234">
            <v>0</v>
          </cell>
          <cell r="BN234">
            <v>0</v>
          </cell>
          <cell r="BO234">
            <v>10215</v>
          </cell>
          <cell r="BP234">
            <v>0</v>
          </cell>
          <cell r="BQ234">
            <v>0</v>
          </cell>
          <cell r="BR234">
            <v>0</v>
          </cell>
          <cell r="BS234">
            <v>0</v>
          </cell>
          <cell r="BT234">
            <v>35031</v>
          </cell>
          <cell r="BU234"/>
          <cell r="BV234"/>
          <cell r="BW234"/>
          <cell r="BX234"/>
          <cell r="BY234">
            <v>0</v>
          </cell>
          <cell r="BZ234">
            <v>0</v>
          </cell>
          <cell r="CA234">
            <v>0</v>
          </cell>
          <cell r="CB234">
            <v>0</v>
          </cell>
          <cell r="CC234">
            <v>1805443</v>
          </cell>
          <cell r="CD234">
            <v>11170185</v>
          </cell>
          <cell r="CE234">
            <v>988514</v>
          </cell>
          <cell r="CF234">
            <v>-120200</v>
          </cell>
          <cell r="CG234">
            <v>988514</v>
          </cell>
          <cell r="CH234">
            <v>988514</v>
          </cell>
          <cell r="CI234">
            <v>988514</v>
          </cell>
          <cell r="CJ234">
            <v>988514</v>
          </cell>
          <cell r="CK234">
            <v>0</v>
          </cell>
          <cell r="CL234">
            <v>0</v>
          </cell>
          <cell r="CM234">
            <v>0</v>
          </cell>
          <cell r="CN234">
            <v>0</v>
          </cell>
          <cell r="CO234">
            <v>0</v>
          </cell>
          <cell r="CP234">
            <v>-2432</v>
          </cell>
          <cell r="CQ234">
            <v>1986179</v>
          </cell>
          <cell r="CR234">
            <v>1878266</v>
          </cell>
          <cell r="CS234">
            <v>1845011</v>
          </cell>
          <cell r="CT234">
            <v>1807163</v>
          </cell>
          <cell r="CU234">
            <v>1760136</v>
          </cell>
          <cell r="CV234">
            <v>40440</v>
          </cell>
          <cell r="CW234">
            <v>0</v>
          </cell>
          <cell r="CX234">
            <v>0</v>
          </cell>
          <cell r="CY234">
            <v>0</v>
          </cell>
          <cell r="CZ234">
            <v>0</v>
          </cell>
          <cell r="DA234">
            <v>0</v>
          </cell>
          <cell r="DB234"/>
          <cell r="DC234">
            <v>0</v>
          </cell>
          <cell r="DD234">
            <v>0</v>
          </cell>
          <cell r="DE234">
            <v>0</v>
          </cell>
          <cell r="DF234">
            <v>0</v>
          </cell>
          <cell r="DG234">
            <v>0</v>
          </cell>
          <cell r="DH234">
            <v>0</v>
          </cell>
          <cell r="DI234">
            <v>0</v>
          </cell>
          <cell r="DJ234">
            <v>0</v>
          </cell>
          <cell r="DK234">
            <v>0</v>
          </cell>
          <cell r="DL234">
            <v>0</v>
          </cell>
          <cell r="DM234"/>
          <cell r="DN234"/>
          <cell r="DO234"/>
          <cell r="DP234"/>
        </row>
        <row r="235">
          <cell r="A235">
            <v>546</v>
          </cell>
          <cell r="B235" t="str">
            <v>Leiden</v>
          </cell>
          <cell r="C235">
            <v>8</v>
          </cell>
          <cell r="D235">
            <v>1151595</v>
          </cell>
          <cell r="E235">
            <v>575797</v>
          </cell>
          <cell r="F235">
            <v>0</v>
          </cell>
          <cell r="G235">
            <v>791986</v>
          </cell>
          <cell r="H235">
            <v>-18567</v>
          </cell>
          <cell r="I235">
            <v>-19875</v>
          </cell>
          <cell r="J235"/>
          <cell r="K235">
            <v>7500</v>
          </cell>
          <cell r="L235">
            <v>541434</v>
          </cell>
          <cell r="M235">
            <v>554234</v>
          </cell>
          <cell r="N235">
            <v>0</v>
          </cell>
          <cell r="O235">
            <v>0</v>
          </cell>
          <cell r="P235">
            <v>150000</v>
          </cell>
          <cell r="Q235">
            <v>0</v>
          </cell>
          <cell r="R235">
            <v>0</v>
          </cell>
          <cell r="S235">
            <v>684285</v>
          </cell>
          <cell r="T235">
            <v>643160</v>
          </cell>
          <cell r="U235">
            <v>684285</v>
          </cell>
          <cell r="V235">
            <v>39500</v>
          </cell>
          <cell r="W235">
            <v>287497</v>
          </cell>
          <cell r="X235">
            <v>0</v>
          </cell>
          <cell r="Y235"/>
          <cell r="Z235">
            <v>0</v>
          </cell>
          <cell r="AA235">
            <v>0</v>
          </cell>
          <cell r="AB235">
            <v>0</v>
          </cell>
          <cell r="AC235"/>
          <cell r="AD235">
            <v>128091</v>
          </cell>
          <cell r="AE235">
            <v>0</v>
          </cell>
          <cell r="AF235">
            <v>0</v>
          </cell>
          <cell r="AG235">
            <v>0</v>
          </cell>
          <cell r="AH235">
            <v>0</v>
          </cell>
          <cell r="AI235">
            <v>0</v>
          </cell>
          <cell r="AJ235">
            <v>0</v>
          </cell>
          <cell r="AK235">
            <v>213580</v>
          </cell>
          <cell r="AL235"/>
          <cell r="AM235">
            <v>0</v>
          </cell>
          <cell r="AN235">
            <v>0</v>
          </cell>
          <cell r="AO235">
            <v>0</v>
          </cell>
          <cell r="AP235">
            <v>0</v>
          </cell>
          <cell r="AQ235">
            <v>0</v>
          </cell>
          <cell r="AR235">
            <v>0</v>
          </cell>
          <cell r="AS235">
            <v>0</v>
          </cell>
          <cell r="AT235">
            <v>0</v>
          </cell>
          <cell r="AU235">
            <v>0</v>
          </cell>
          <cell r="AV235">
            <v>7833265.0809511403</v>
          </cell>
          <cell r="AW235">
            <v>37852</v>
          </cell>
          <cell r="AX235">
            <v>0</v>
          </cell>
          <cell r="AY235"/>
          <cell r="AZ235"/>
          <cell r="BA235">
            <v>46358</v>
          </cell>
          <cell r="BB235"/>
          <cell r="BC235">
            <v>10670</v>
          </cell>
          <cell r="BD235">
            <v>43409</v>
          </cell>
          <cell r="BE235"/>
          <cell r="BF235">
            <v>0</v>
          </cell>
          <cell r="BG235">
            <v>0</v>
          </cell>
          <cell r="BH235">
            <v>0</v>
          </cell>
          <cell r="BI235">
            <v>208980</v>
          </cell>
          <cell r="BJ235">
            <v>172021</v>
          </cell>
          <cell r="BK235">
            <v>172021</v>
          </cell>
          <cell r="BL235">
            <v>0</v>
          </cell>
          <cell r="BM235">
            <v>0</v>
          </cell>
          <cell r="BN235">
            <v>294910</v>
          </cell>
          <cell r="BO235">
            <v>117229</v>
          </cell>
          <cell r="BP235">
            <v>25302.400000000001</v>
          </cell>
          <cell r="BQ235">
            <v>45581.395348837199</v>
          </cell>
          <cell r="BR235">
            <v>66000</v>
          </cell>
          <cell r="BS235">
            <v>0</v>
          </cell>
          <cell r="BT235">
            <v>187070</v>
          </cell>
          <cell r="BU235"/>
          <cell r="BV235"/>
          <cell r="BW235"/>
          <cell r="BX235"/>
          <cell r="BY235">
            <v>3523999.2327776202</v>
          </cell>
          <cell r="BZ235">
            <v>4085138.1915737698</v>
          </cell>
          <cell r="CA235">
            <v>4133074.6855412801</v>
          </cell>
          <cell r="CB235">
            <v>4268424.7861554204</v>
          </cell>
          <cell r="CC235">
            <v>7415100</v>
          </cell>
          <cell r="CD235">
            <v>91178028</v>
          </cell>
          <cell r="CE235">
            <v>3026129</v>
          </cell>
          <cell r="CF235">
            <v>0</v>
          </cell>
          <cell r="CG235">
            <v>3026129</v>
          </cell>
          <cell r="CH235">
            <v>3026129</v>
          </cell>
          <cell r="CI235">
            <v>3026129</v>
          </cell>
          <cell r="CJ235">
            <v>3026129</v>
          </cell>
          <cell r="CK235">
            <v>33148738</v>
          </cell>
          <cell r="CL235">
            <v>33132101</v>
          </cell>
          <cell r="CM235">
            <v>33131832</v>
          </cell>
          <cell r="CN235">
            <v>33131240</v>
          </cell>
          <cell r="CO235">
            <v>33132060</v>
          </cell>
          <cell r="CP235">
            <v>-7156</v>
          </cell>
          <cell r="CQ235">
            <v>20531303</v>
          </cell>
          <cell r="CR235">
            <v>19450071</v>
          </cell>
          <cell r="CS235">
            <v>18888358</v>
          </cell>
          <cell r="CT235">
            <v>18392855</v>
          </cell>
          <cell r="CU235">
            <v>18040660</v>
          </cell>
          <cell r="CV235">
            <v>488289</v>
          </cell>
          <cell r="CW235">
            <v>0</v>
          </cell>
          <cell r="CX235">
            <v>0</v>
          </cell>
          <cell r="CY235">
            <v>0</v>
          </cell>
          <cell r="CZ235">
            <v>0</v>
          </cell>
          <cell r="DA235">
            <v>0</v>
          </cell>
          <cell r="DB235"/>
          <cell r="DC235">
            <v>0</v>
          </cell>
          <cell r="DD235">
            <v>0</v>
          </cell>
          <cell r="DE235">
            <v>0</v>
          </cell>
          <cell r="DF235">
            <v>0</v>
          </cell>
          <cell r="DG235">
            <v>0</v>
          </cell>
          <cell r="DH235">
            <v>0</v>
          </cell>
          <cell r="DI235">
            <v>0</v>
          </cell>
          <cell r="DJ235">
            <v>0</v>
          </cell>
          <cell r="DK235">
            <v>0</v>
          </cell>
          <cell r="DL235">
            <v>0</v>
          </cell>
          <cell r="DM235"/>
          <cell r="DN235"/>
          <cell r="DO235"/>
          <cell r="DP235"/>
        </row>
        <row r="236">
          <cell r="A236">
            <v>547</v>
          </cell>
          <cell r="B236" t="str">
            <v>Leiderdorp</v>
          </cell>
          <cell r="C236">
            <v>8</v>
          </cell>
          <cell r="D236">
            <v>19442</v>
          </cell>
          <cell r="E236">
            <v>9721</v>
          </cell>
          <cell r="F236">
            <v>0</v>
          </cell>
          <cell r="G236">
            <v>0</v>
          </cell>
          <cell r="H236">
            <v>0</v>
          </cell>
          <cell r="I236">
            <v>0</v>
          </cell>
          <cell r="J236"/>
          <cell r="K236">
            <v>0</v>
          </cell>
          <cell r="L236">
            <v>83803</v>
          </cell>
          <cell r="M236">
            <v>82278</v>
          </cell>
          <cell r="N236">
            <v>0</v>
          </cell>
          <cell r="O236">
            <v>0</v>
          </cell>
          <cell r="P236">
            <v>0</v>
          </cell>
          <cell r="Q236">
            <v>0</v>
          </cell>
          <cell r="R236">
            <v>0</v>
          </cell>
          <cell r="S236">
            <v>0</v>
          </cell>
          <cell r="T236">
            <v>0</v>
          </cell>
          <cell r="U236">
            <v>0</v>
          </cell>
          <cell r="V236">
            <v>3000</v>
          </cell>
          <cell r="W236">
            <v>49499</v>
          </cell>
          <cell r="X236">
            <v>0</v>
          </cell>
          <cell r="Y236"/>
          <cell r="Z236">
            <v>0</v>
          </cell>
          <cell r="AA236">
            <v>0</v>
          </cell>
          <cell r="AB236">
            <v>0</v>
          </cell>
          <cell r="AC236"/>
          <cell r="AD236">
            <v>0</v>
          </cell>
          <cell r="AE236">
            <v>0</v>
          </cell>
          <cell r="AF236">
            <v>0</v>
          </cell>
          <cell r="AG236">
            <v>0</v>
          </cell>
          <cell r="AH236">
            <v>0</v>
          </cell>
          <cell r="AI236">
            <v>0</v>
          </cell>
          <cell r="AJ236">
            <v>0</v>
          </cell>
          <cell r="AK236">
            <v>0</v>
          </cell>
          <cell r="AL236"/>
          <cell r="AM236">
            <v>0</v>
          </cell>
          <cell r="AN236">
            <v>0</v>
          </cell>
          <cell r="AO236">
            <v>0</v>
          </cell>
          <cell r="AP236">
            <v>0</v>
          </cell>
          <cell r="AQ236">
            <v>0</v>
          </cell>
          <cell r="AR236">
            <v>0</v>
          </cell>
          <cell r="AS236">
            <v>0</v>
          </cell>
          <cell r="AT236">
            <v>0</v>
          </cell>
          <cell r="AU236">
            <v>4740</v>
          </cell>
          <cell r="AV236">
            <v>0</v>
          </cell>
          <cell r="AW236">
            <v>0</v>
          </cell>
          <cell r="AX236">
            <v>0</v>
          </cell>
          <cell r="AY236"/>
          <cell r="AZ236"/>
          <cell r="BA236">
            <v>0</v>
          </cell>
          <cell r="BB236"/>
          <cell r="BC236">
            <v>0</v>
          </cell>
          <cell r="BD236">
            <v>9523</v>
          </cell>
          <cell r="BE236"/>
          <cell r="BF236">
            <v>0</v>
          </cell>
          <cell r="BG236">
            <v>0</v>
          </cell>
          <cell r="BH236">
            <v>0</v>
          </cell>
          <cell r="BI236">
            <v>28064</v>
          </cell>
          <cell r="BJ236">
            <v>23101</v>
          </cell>
          <cell r="BK236">
            <v>23101</v>
          </cell>
          <cell r="BL236">
            <v>0</v>
          </cell>
          <cell r="BM236">
            <v>0</v>
          </cell>
          <cell r="BN236">
            <v>0</v>
          </cell>
          <cell r="BO236">
            <v>19457</v>
          </cell>
          <cell r="BP236">
            <v>11069.8</v>
          </cell>
          <cell r="BQ236">
            <v>19941.8604651163</v>
          </cell>
          <cell r="BR236">
            <v>0</v>
          </cell>
          <cell r="BS236">
            <v>0</v>
          </cell>
          <cell r="BT236">
            <v>40260</v>
          </cell>
          <cell r="BU236"/>
          <cell r="BV236"/>
          <cell r="BW236"/>
          <cell r="BX236"/>
          <cell r="BY236">
            <v>0</v>
          </cell>
          <cell r="BZ236">
            <v>0</v>
          </cell>
          <cell r="CA236">
            <v>0</v>
          </cell>
          <cell r="CB236">
            <v>0</v>
          </cell>
          <cell r="CC236">
            <v>2015693</v>
          </cell>
          <cell r="CD236">
            <v>7869310</v>
          </cell>
          <cell r="CE236">
            <v>560590</v>
          </cell>
          <cell r="CF236">
            <v>0</v>
          </cell>
          <cell r="CG236">
            <v>560590</v>
          </cell>
          <cell r="CH236">
            <v>560590</v>
          </cell>
          <cell r="CI236">
            <v>560590</v>
          </cell>
          <cell r="CJ236">
            <v>560590</v>
          </cell>
          <cell r="CK236">
            <v>0</v>
          </cell>
          <cell r="CL236">
            <v>0</v>
          </cell>
          <cell r="CM236">
            <v>0</v>
          </cell>
          <cell r="CN236">
            <v>0</v>
          </cell>
          <cell r="CO236">
            <v>0</v>
          </cell>
          <cell r="CP236">
            <v>0</v>
          </cell>
          <cell r="CQ236">
            <v>170087</v>
          </cell>
          <cell r="CR236">
            <v>191415</v>
          </cell>
          <cell r="CS236">
            <v>197212</v>
          </cell>
          <cell r="CT236">
            <v>216452</v>
          </cell>
          <cell r="CU236">
            <v>235644</v>
          </cell>
          <cell r="CV236">
            <v>8553</v>
          </cell>
          <cell r="CW236">
            <v>0</v>
          </cell>
          <cell r="CX236">
            <v>0</v>
          </cell>
          <cell r="CY236">
            <v>0</v>
          </cell>
          <cell r="CZ236">
            <v>0</v>
          </cell>
          <cell r="DA236">
            <v>0</v>
          </cell>
          <cell r="DB236"/>
          <cell r="DC236">
            <v>0</v>
          </cell>
          <cell r="DD236">
            <v>0</v>
          </cell>
          <cell r="DE236">
            <v>0</v>
          </cell>
          <cell r="DF236">
            <v>0</v>
          </cell>
          <cell r="DG236">
            <v>0</v>
          </cell>
          <cell r="DH236">
            <v>0</v>
          </cell>
          <cell r="DI236">
            <v>0</v>
          </cell>
          <cell r="DJ236">
            <v>0</v>
          </cell>
          <cell r="DK236">
            <v>0</v>
          </cell>
          <cell r="DL236">
            <v>0</v>
          </cell>
          <cell r="DM236"/>
          <cell r="DN236"/>
          <cell r="DO236"/>
          <cell r="DP236"/>
        </row>
        <row r="237">
          <cell r="A237">
            <v>1916</v>
          </cell>
          <cell r="B237" t="str">
            <v>Leidschendam-Voorburg</v>
          </cell>
          <cell r="C237">
            <v>8</v>
          </cell>
          <cell r="D237">
            <v>18395</v>
          </cell>
          <cell r="E237">
            <v>9197</v>
          </cell>
          <cell r="F237">
            <v>0</v>
          </cell>
          <cell r="G237">
            <v>0</v>
          </cell>
          <cell r="H237">
            <v>-31389</v>
          </cell>
          <cell r="I237">
            <v>-31319</v>
          </cell>
          <cell r="J237"/>
          <cell r="K237">
            <v>0</v>
          </cell>
          <cell r="L237">
            <v>320407</v>
          </cell>
          <cell r="M237">
            <v>307138</v>
          </cell>
          <cell r="N237">
            <v>0</v>
          </cell>
          <cell r="O237">
            <v>0</v>
          </cell>
          <cell r="P237">
            <v>0</v>
          </cell>
          <cell r="Q237">
            <v>0</v>
          </cell>
          <cell r="R237">
            <v>0</v>
          </cell>
          <cell r="S237">
            <v>0</v>
          </cell>
          <cell r="T237">
            <v>0</v>
          </cell>
          <cell r="U237">
            <v>0</v>
          </cell>
          <cell r="V237">
            <v>9750</v>
          </cell>
          <cell r="W237">
            <v>189712</v>
          </cell>
          <cell r="X237">
            <v>0</v>
          </cell>
          <cell r="Y237"/>
          <cell r="Z237">
            <v>0</v>
          </cell>
          <cell r="AA237">
            <v>0</v>
          </cell>
          <cell r="AB237">
            <v>0</v>
          </cell>
          <cell r="AC237"/>
          <cell r="AD237">
            <v>25422</v>
          </cell>
          <cell r="AE237">
            <v>0</v>
          </cell>
          <cell r="AF237">
            <v>0</v>
          </cell>
          <cell r="AG237">
            <v>0</v>
          </cell>
          <cell r="AH237">
            <v>0</v>
          </cell>
          <cell r="AI237">
            <v>0</v>
          </cell>
          <cell r="AJ237">
            <v>0</v>
          </cell>
          <cell r="AK237">
            <v>0</v>
          </cell>
          <cell r="AL237"/>
          <cell r="AM237">
            <v>0</v>
          </cell>
          <cell r="AN237">
            <v>0</v>
          </cell>
          <cell r="AO237">
            <v>0</v>
          </cell>
          <cell r="AP237">
            <v>0</v>
          </cell>
          <cell r="AQ237">
            <v>0</v>
          </cell>
          <cell r="AR237">
            <v>0</v>
          </cell>
          <cell r="AS237">
            <v>0</v>
          </cell>
          <cell r="AT237">
            <v>20000</v>
          </cell>
          <cell r="AU237">
            <v>11850</v>
          </cell>
          <cell r="AV237">
            <v>0</v>
          </cell>
          <cell r="AW237">
            <v>0</v>
          </cell>
          <cell r="AX237">
            <v>0</v>
          </cell>
          <cell r="AY237"/>
          <cell r="AZ237"/>
          <cell r="BA237">
            <v>0</v>
          </cell>
          <cell r="BB237"/>
          <cell r="BC237">
            <v>0</v>
          </cell>
          <cell r="BD237">
            <v>26189</v>
          </cell>
          <cell r="BE237"/>
          <cell r="BF237">
            <v>0</v>
          </cell>
          <cell r="BG237">
            <v>0</v>
          </cell>
          <cell r="BH237">
            <v>0</v>
          </cell>
          <cell r="BI237">
            <v>117360</v>
          </cell>
          <cell r="BJ237">
            <v>96605</v>
          </cell>
          <cell r="BK237">
            <v>96605</v>
          </cell>
          <cell r="BL237">
            <v>0</v>
          </cell>
          <cell r="BM237">
            <v>0</v>
          </cell>
          <cell r="BN237">
            <v>0</v>
          </cell>
          <cell r="BO237">
            <v>41346</v>
          </cell>
          <cell r="BP237">
            <v>22139.599999999999</v>
          </cell>
          <cell r="BQ237">
            <v>39883.720930232601</v>
          </cell>
          <cell r="BR237">
            <v>0</v>
          </cell>
          <cell r="BS237">
            <v>0</v>
          </cell>
          <cell r="BT237">
            <v>114690</v>
          </cell>
          <cell r="BU237"/>
          <cell r="BV237"/>
          <cell r="BW237"/>
          <cell r="BX237"/>
          <cell r="BY237">
            <v>0</v>
          </cell>
          <cell r="BZ237">
            <v>0</v>
          </cell>
          <cell r="CA237">
            <v>0</v>
          </cell>
          <cell r="CB237">
            <v>0</v>
          </cell>
          <cell r="CC237">
            <v>6122498</v>
          </cell>
          <cell r="CD237">
            <v>27118098</v>
          </cell>
          <cell r="CE237">
            <v>1818064</v>
          </cell>
          <cell r="CF237">
            <v>-67839</v>
          </cell>
          <cell r="CG237">
            <v>1818064</v>
          </cell>
          <cell r="CH237">
            <v>1818064</v>
          </cell>
          <cell r="CI237">
            <v>1818064</v>
          </cell>
          <cell r="CJ237">
            <v>1818064</v>
          </cell>
          <cell r="CK237">
            <v>0</v>
          </cell>
          <cell r="CL237">
            <v>0</v>
          </cell>
          <cell r="CM237">
            <v>0</v>
          </cell>
          <cell r="CN237">
            <v>0</v>
          </cell>
          <cell r="CO237">
            <v>0</v>
          </cell>
          <cell r="CP237">
            <v>-1083</v>
          </cell>
          <cell r="CQ237">
            <v>3128532</v>
          </cell>
          <cell r="CR237">
            <v>3034455</v>
          </cell>
          <cell r="CS237">
            <v>2920285</v>
          </cell>
          <cell r="CT237">
            <v>2854164</v>
          </cell>
          <cell r="CU237">
            <v>2836160</v>
          </cell>
          <cell r="CV237">
            <v>-78020</v>
          </cell>
          <cell r="CW237">
            <v>0</v>
          </cell>
          <cell r="CX237">
            <v>0</v>
          </cell>
          <cell r="CY237">
            <v>0</v>
          </cell>
          <cell r="CZ237">
            <v>0</v>
          </cell>
          <cell r="DA237">
            <v>0</v>
          </cell>
          <cell r="DB237"/>
          <cell r="DC237">
            <v>0</v>
          </cell>
          <cell r="DD237">
            <v>0</v>
          </cell>
          <cell r="DE237">
            <v>0</v>
          </cell>
          <cell r="DF237">
            <v>0</v>
          </cell>
          <cell r="DG237">
            <v>0</v>
          </cell>
          <cell r="DH237">
            <v>0</v>
          </cell>
          <cell r="DI237">
            <v>0</v>
          </cell>
          <cell r="DJ237">
            <v>0</v>
          </cell>
          <cell r="DK237">
            <v>0</v>
          </cell>
          <cell r="DL237">
            <v>0</v>
          </cell>
          <cell r="DM237"/>
          <cell r="DN237"/>
          <cell r="DO237"/>
          <cell r="DP237"/>
        </row>
        <row r="238">
          <cell r="A238">
            <v>553</v>
          </cell>
          <cell r="B238" t="str">
            <v>Lisse</v>
          </cell>
          <cell r="C238">
            <v>8</v>
          </cell>
          <cell r="D238">
            <v>-23456</v>
          </cell>
          <cell r="E238">
            <v>-11728</v>
          </cell>
          <cell r="F238">
            <v>0</v>
          </cell>
          <cell r="G238">
            <v>0</v>
          </cell>
          <cell r="H238">
            <v>0</v>
          </cell>
          <cell r="I238">
            <v>0</v>
          </cell>
          <cell r="J238"/>
          <cell r="K238">
            <v>0</v>
          </cell>
          <cell r="L238">
            <v>75207</v>
          </cell>
          <cell r="M238">
            <v>62137</v>
          </cell>
          <cell r="N238">
            <v>0</v>
          </cell>
          <cell r="O238">
            <v>0</v>
          </cell>
          <cell r="P238">
            <v>0</v>
          </cell>
          <cell r="Q238">
            <v>0</v>
          </cell>
          <cell r="R238">
            <v>0</v>
          </cell>
          <cell r="S238">
            <v>0</v>
          </cell>
          <cell r="T238">
            <v>0</v>
          </cell>
          <cell r="U238">
            <v>0</v>
          </cell>
          <cell r="V238">
            <v>0</v>
          </cell>
          <cell r="W238">
            <v>66672</v>
          </cell>
          <cell r="X238">
            <v>0</v>
          </cell>
          <cell r="Y238"/>
          <cell r="Z238">
            <v>0</v>
          </cell>
          <cell r="AA238">
            <v>0</v>
          </cell>
          <cell r="AB238">
            <v>0</v>
          </cell>
          <cell r="AC238"/>
          <cell r="AD238">
            <v>0</v>
          </cell>
          <cell r="AE238">
            <v>0</v>
          </cell>
          <cell r="AF238">
            <v>0</v>
          </cell>
          <cell r="AG238">
            <v>0</v>
          </cell>
          <cell r="AH238">
            <v>0</v>
          </cell>
          <cell r="AI238">
            <v>0</v>
          </cell>
          <cell r="AJ238">
            <v>0</v>
          </cell>
          <cell r="AK238">
            <v>0</v>
          </cell>
          <cell r="AL238"/>
          <cell r="AM238">
            <v>0</v>
          </cell>
          <cell r="AN238">
            <v>0</v>
          </cell>
          <cell r="AO238">
            <v>0</v>
          </cell>
          <cell r="AP238">
            <v>0</v>
          </cell>
          <cell r="AQ238">
            <v>0</v>
          </cell>
          <cell r="AR238">
            <v>0</v>
          </cell>
          <cell r="AS238">
            <v>0</v>
          </cell>
          <cell r="AT238">
            <v>0</v>
          </cell>
          <cell r="AU238">
            <v>2370</v>
          </cell>
          <cell r="AV238">
            <v>0</v>
          </cell>
          <cell r="AW238">
            <v>0</v>
          </cell>
          <cell r="AX238">
            <v>0</v>
          </cell>
          <cell r="AY238"/>
          <cell r="AZ238"/>
          <cell r="BA238">
            <v>0</v>
          </cell>
          <cell r="BB238"/>
          <cell r="BC238">
            <v>0</v>
          </cell>
          <cell r="BD238">
            <v>7974</v>
          </cell>
          <cell r="BE238"/>
          <cell r="BF238">
            <v>0</v>
          </cell>
          <cell r="BG238">
            <v>0</v>
          </cell>
          <cell r="BH238">
            <v>0</v>
          </cell>
          <cell r="BI238">
            <v>31803</v>
          </cell>
          <cell r="BJ238">
            <v>26179</v>
          </cell>
          <cell r="BK238">
            <v>26179</v>
          </cell>
          <cell r="BL238">
            <v>0</v>
          </cell>
          <cell r="BM238">
            <v>0</v>
          </cell>
          <cell r="BN238">
            <v>0</v>
          </cell>
          <cell r="BO238">
            <v>26267</v>
          </cell>
          <cell r="BP238">
            <v>4744.2</v>
          </cell>
          <cell r="BQ238">
            <v>8546.5116279069807</v>
          </cell>
          <cell r="BR238">
            <v>0</v>
          </cell>
          <cell r="BS238">
            <v>0</v>
          </cell>
          <cell r="BT238">
            <v>32316</v>
          </cell>
          <cell r="BU238"/>
          <cell r="BV238"/>
          <cell r="BW238"/>
          <cell r="BX238"/>
          <cell r="BY238">
            <v>0</v>
          </cell>
          <cell r="BZ238">
            <v>0</v>
          </cell>
          <cell r="CA238">
            <v>0</v>
          </cell>
          <cell r="CB238">
            <v>0</v>
          </cell>
          <cell r="CC238">
            <v>1766498</v>
          </cell>
          <cell r="CD238">
            <v>8028022</v>
          </cell>
          <cell r="CE238">
            <v>365543</v>
          </cell>
          <cell r="CF238">
            <v>0</v>
          </cell>
          <cell r="CG238">
            <v>365543</v>
          </cell>
          <cell r="CH238">
            <v>365543</v>
          </cell>
          <cell r="CI238">
            <v>365543</v>
          </cell>
          <cell r="CJ238">
            <v>365543</v>
          </cell>
          <cell r="CK238">
            <v>0</v>
          </cell>
          <cell r="CL238">
            <v>0</v>
          </cell>
          <cell r="CM238">
            <v>0</v>
          </cell>
          <cell r="CN238">
            <v>0</v>
          </cell>
          <cell r="CO238">
            <v>0</v>
          </cell>
          <cell r="CP238">
            <v>0</v>
          </cell>
          <cell r="CQ238">
            <v>1681618</v>
          </cell>
          <cell r="CR238">
            <v>1585573</v>
          </cell>
          <cell r="CS238">
            <v>1541574</v>
          </cell>
          <cell r="CT238">
            <v>1499396</v>
          </cell>
          <cell r="CU238">
            <v>1463667</v>
          </cell>
          <cell r="CV238">
            <v>-4170</v>
          </cell>
          <cell r="CW238">
            <v>0</v>
          </cell>
          <cell r="CX238">
            <v>0</v>
          </cell>
          <cell r="CY238">
            <v>0</v>
          </cell>
          <cell r="CZ238">
            <v>0</v>
          </cell>
          <cell r="DA238">
            <v>0</v>
          </cell>
          <cell r="DB238"/>
          <cell r="DC238">
            <v>0</v>
          </cell>
          <cell r="DD238">
            <v>0</v>
          </cell>
          <cell r="DE238">
            <v>0</v>
          </cell>
          <cell r="DF238">
            <v>0</v>
          </cell>
          <cell r="DG238">
            <v>0</v>
          </cell>
          <cell r="DH238">
            <v>0</v>
          </cell>
          <cell r="DI238">
            <v>0</v>
          </cell>
          <cell r="DJ238">
            <v>0</v>
          </cell>
          <cell r="DK238">
            <v>0</v>
          </cell>
          <cell r="DL238">
            <v>0</v>
          </cell>
          <cell r="DM238"/>
          <cell r="DN238"/>
          <cell r="DO238"/>
          <cell r="DP238"/>
        </row>
        <row r="239">
          <cell r="A239">
            <v>556</v>
          </cell>
          <cell r="B239" t="str">
            <v>Maassluis</v>
          </cell>
          <cell r="C239">
            <v>8</v>
          </cell>
          <cell r="D239">
            <v>1850</v>
          </cell>
          <cell r="E239">
            <v>925</v>
          </cell>
          <cell r="F239">
            <v>0</v>
          </cell>
          <cell r="G239">
            <v>0</v>
          </cell>
          <cell r="H239">
            <v>0</v>
          </cell>
          <cell r="I239">
            <v>-8467</v>
          </cell>
          <cell r="J239"/>
          <cell r="K239">
            <v>0</v>
          </cell>
          <cell r="L239">
            <v>187820</v>
          </cell>
          <cell r="M239">
            <v>208552</v>
          </cell>
          <cell r="N239">
            <v>7600</v>
          </cell>
          <cell r="O239">
            <v>3800</v>
          </cell>
          <cell r="P239">
            <v>0</v>
          </cell>
          <cell r="Q239">
            <v>0</v>
          </cell>
          <cell r="R239">
            <v>0</v>
          </cell>
          <cell r="S239">
            <v>0</v>
          </cell>
          <cell r="T239">
            <v>0</v>
          </cell>
          <cell r="U239">
            <v>0</v>
          </cell>
          <cell r="V239">
            <v>3000</v>
          </cell>
          <cell r="W239">
            <v>88492</v>
          </cell>
          <cell r="X239">
            <v>0</v>
          </cell>
          <cell r="Y239"/>
          <cell r="Z239">
            <v>0</v>
          </cell>
          <cell r="AA239">
            <v>0</v>
          </cell>
          <cell r="AB239">
            <v>0</v>
          </cell>
          <cell r="AC239"/>
          <cell r="AD239">
            <v>57690</v>
          </cell>
          <cell r="AE239">
            <v>0</v>
          </cell>
          <cell r="AF239">
            <v>0</v>
          </cell>
          <cell r="AG239">
            <v>0</v>
          </cell>
          <cell r="AH239">
            <v>0</v>
          </cell>
          <cell r="AI239">
            <v>0</v>
          </cell>
          <cell r="AJ239">
            <v>0</v>
          </cell>
          <cell r="AK239">
            <v>0</v>
          </cell>
          <cell r="AL239"/>
          <cell r="AM239">
            <v>0</v>
          </cell>
          <cell r="AN239">
            <v>0</v>
          </cell>
          <cell r="AO239">
            <v>0</v>
          </cell>
          <cell r="AP239">
            <v>0</v>
          </cell>
          <cell r="AQ239">
            <v>0</v>
          </cell>
          <cell r="AR239">
            <v>0</v>
          </cell>
          <cell r="AS239">
            <v>0</v>
          </cell>
          <cell r="AT239">
            <v>0</v>
          </cell>
          <cell r="AU239">
            <v>2370</v>
          </cell>
          <cell r="AV239">
            <v>0</v>
          </cell>
          <cell r="AW239">
            <v>0</v>
          </cell>
          <cell r="AX239">
            <v>0</v>
          </cell>
          <cell r="AY239"/>
          <cell r="AZ239"/>
          <cell r="BA239">
            <v>0</v>
          </cell>
          <cell r="BB239"/>
          <cell r="BC239">
            <v>0</v>
          </cell>
          <cell r="BD239">
            <v>11391</v>
          </cell>
          <cell r="BE239"/>
          <cell r="BF239">
            <v>0</v>
          </cell>
          <cell r="BG239">
            <v>0</v>
          </cell>
          <cell r="BH239">
            <v>0</v>
          </cell>
          <cell r="BI239">
            <v>52228</v>
          </cell>
          <cell r="BJ239">
            <v>42991</v>
          </cell>
          <cell r="BK239">
            <v>42991</v>
          </cell>
          <cell r="BL239">
            <v>0</v>
          </cell>
          <cell r="BM239">
            <v>0</v>
          </cell>
          <cell r="BN239">
            <v>0</v>
          </cell>
          <cell r="BO239">
            <v>22862</v>
          </cell>
          <cell r="BP239">
            <v>11069.8</v>
          </cell>
          <cell r="BQ239">
            <v>19941.8604651163</v>
          </cell>
          <cell r="BR239">
            <v>0</v>
          </cell>
          <cell r="BS239">
            <v>0</v>
          </cell>
          <cell r="BT239">
            <v>50213</v>
          </cell>
          <cell r="BU239"/>
          <cell r="BV239"/>
          <cell r="BW239"/>
          <cell r="BX239"/>
          <cell r="BY239">
            <v>0</v>
          </cell>
          <cell r="BZ239">
            <v>0</v>
          </cell>
          <cell r="CA239">
            <v>0</v>
          </cell>
          <cell r="CB239">
            <v>0</v>
          </cell>
          <cell r="CC239">
            <v>2771733</v>
          </cell>
          <cell r="CD239">
            <v>16457547</v>
          </cell>
          <cell r="CE239">
            <v>1127319</v>
          </cell>
          <cell r="CF239">
            <v>-20396</v>
          </cell>
          <cell r="CG239">
            <v>1127319</v>
          </cell>
          <cell r="CH239">
            <v>1127319</v>
          </cell>
          <cell r="CI239">
            <v>1127319</v>
          </cell>
          <cell r="CJ239">
            <v>1127319</v>
          </cell>
          <cell r="CK239">
            <v>0</v>
          </cell>
          <cell r="CL239">
            <v>0</v>
          </cell>
          <cell r="CM239">
            <v>0</v>
          </cell>
          <cell r="CN239">
            <v>0</v>
          </cell>
          <cell r="CO239">
            <v>0</v>
          </cell>
          <cell r="CP239">
            <v>0</v>
          </cell>
          <cell r="CQ239">
            <v>4193213</v>
          </cell>
          <cell r="CR239">
            <v>4013212</v>
          </cell>
          <cell r="CS239">
            <v>3901584</v>
          </cell>
          <cell r="CT239">
            <v>3813744</v>
          </cell>
          <cell r="CU239">
            <v>3664466</v>
          </cell>
          <cell r="CV239">
            <v>-29162</v>
          </cell>
          <cell r="CW239">
            <v>0</v>
          </cell>
          <cell r="CX239">
            <v>0</v>
          </cell>
          <cell r="CY239">
            <v>0</v>
          </cell>
          <cell r="CZ239">
            <v>0</v>
          </cell>
          <cell r="DA239">
            <v>0</v>
          </cell>
          <cell r="DB239"/>
          <cell r="DC239">
            <v>0</v>
          </cell>
          <cell r="DD239">
            <v>0</v>
          </cell>
          <cell r="DE239">
            <v>0</v>
          </cell>
          <cell r="DF239">
            <v>0</v>
          </cell>
          <cell r="DG239">
            <v>0</v>
          </cell>
          <cell r="DH239">
            <v>0</v>
          </cell>
          <cell r="DI239">
            <v>0</v>
          </cell>
          <cell r="DJ239">
            <v>0</v>
          </cell>
          <cell r="DK239">
            <v>0</v>
          </cell>
          <cell r="DL239">
            <v>0</v>
          </cell>
          <cell r="DM239"/>
          <cell r="DN239"/>
          <cell r="DO239"/>
          <cell r="DP239"/>
        </row>
        <row r="240">
          <cell r="A240">
            <v>1842</v>
          </cell>
          <cell r="B240" t="str">
            <v>Midden-Delfland</v>
          </cell>
          <cell r="C240">
            <v>8</v>
          </cell>
          <cell r="D240">
            <v>10258</v>
          </cell>
          <cell r="E240">
            <v>5129</v>
          </cell>
          <cell r="F240">
            <v>0</v>
          </cell>
          <cell r="G240">
            <v>0</v>
          </cell>
          <cell r="H240">
            <v>-15000</v>
          </cell>
          <cell r="I240">
            <v>-4472</v>
          </cell>
          <cell r="J240"/>
          <cell r="K240">
            <v>0</v>
          </cell>
          <cell r="L240">
            <v>40787</v>
          </cell>
          <cell r="M240">
            <v>36116</v>
          </cell>
          <cell r="N240">
            <v>0</v>
          </cell>
          <cell r="O240">
            <v>0</v>
          </cell>
          <cell r="P240">
            <v>0</v>
          </cell>
          <cell r="Q240">
            <v>0</v>
          </cell>
          <cell r="R240">
            <v>0</v>
          </cell>
          <cell r="S240">
            <v>0</v>
          </cell>
          <cell r="T240">
            <v>0</v>
          </cell>
          <cell r="U240">
            <v>0</v>
          </cell>
          <cell r="V240">
            <v>0</v>
          </cell>
          <cell r="W240">
            <v>0</v>
          </cell>
          <cell r="X240">
            <v>0</v>
          </cell>
          <cell r="Y240"/>
          <cell r="Z240">
            <v>0</v>
          </cell>
          <cell r="AA240">
            <v>0</v>
          </cell>
          <cell r="AB240">
            <v>0</v>
          </cell>
          <cell r="AC240"/>
          <cell r="AD240">
            <v>0</v>
          </cell>
          <cell r="AE240">
            <v>0</v>
          </cell>
          <cell r="AF240">
            <v>0</v>
          </cell>
          <cell r="AG240">
            <v>0</v>
          </cell>
          <cell r="AH240">
            <v>0</v>
          </cell>
          <cell r="AI240">
            <v>0</v>
          </cell>
          <cell r="AJ240">
            <v>0</v>
          </cell>
          <cell r="AK240">
            <v>0</v>
          </cell>
          <cell r="AL240"/>
          <cell r="AM240">
            <v>0</v>
          </cell>
          <cell r="AN240">
            <v>0</v>
          </cell>
          <cell r="AO240">
            <v>0</v>
          </cell>
          <cell r="AP240">
            <v>0</v>
          </cell>
          <cell r="AQ240">
            <v>0</v>
          </cell>
          <cell r="AR240">
            <v>0</v>
          </cell>
          <cell r="AS240">
            <v>0</v>
          </cell>
          <cell r="AT240">
            <v>0</v>
          </cell>
          <cell r="AU240">
            <v>0</v>
          </cell>
          <cell r="AV240">
            <v>0</v>
          </cell>
          <cell r="AW240">
            <v>0</v>
          </cell>
          <cell r="AX240">
            <v>0</v>
          </cell>
          <cell r="AY240"/>
          <cell r="AZ240"/>
          <cell r="BA240">
            <v>0</v>
          </cell>
          <cell r="BB240"/>
          <cell r="BC240">
            <v>0</v>
          </cell>
          <cell r="BD240">
            <v>6682</v>
          </cell>
          <cell r="BE240"/>
          <cell r="BF240">
            <v>0</v>
          </cell>
          <cell r="BG240">
            <v>0</v>
          </cell>
          <cell r="BH240">
            <v>0</v>
          </cell>
          <cell r="BI240">
            <v>12795</v>
          </cell>
          <cell r="BJ240">
            <v>10532</v>
          </cell>
          <cell r="BK240">
            <v>10532</v>
          </cell>
          <cell r="BL240">
            <v>0</v>
          </cell>
          <cell r="BM240">
            <v>0</v>
          </cell>
          <cell r="BN240">
            <v>0</v>
          </cell>
          <cell r="BO240">
            <v>38428</v>
          </cell>
          <cell r="BP240">
            <v>7907</v>
          </cell>
          <cell r="BQ240">
            <v>14244.186046511601</v>
          </cell>
          <cell r="BR240">
            <v>0</v>
          </cell>
          <cell r="BS240">
            <v>0</v>
          </cell>
          <cell r="BT240">
            <v>35702</v>
          </cell>
          <cell r="BU240"/>
          <cell r="BV240"/>
          <cell r="BW240"/>
          <cell r="BX240"/>
          <cell r="BY240">
            <v>0</v>
          </cell>
          <cell r="BZ240">
            <v>0</v>
          </cell>
          <cell r="CA240">
            <v>0</v>
          </cell>
          <cell r="CB240">
            <v>0</v>
          </cell>
          <cell r="CC240">
            <v>937546</v>
          </cell>
          <cell r="CD240">
            <v>3543940</v>
          </cell>
          <cell r="CE240">
            <v>202284</v>
          </cell>
          <cell r="CF240">
            <v>-10668</v>
          </cell>
          <cell r="CG240">
            <v>202284</v>
          </cell>
          <cell r="CH240">
            <v>202284</v>
          </cell>
          <cell r="CI240">
            <v>202284</v>
          </cell>
          <cell r="CJ240">
            <v>202284</v>
          </cell>
          <cell r="CK240">
            <v>0</v>
          </cell>
          <cell r="CL240">
            <v>0</v>
          </cell>
          <cell r="CM240">
            <v>0</v>
          </cell>
          <cell r="CN240">
            <v>0</v>
          </cell>
          <cell r="CO240">
            <v>0</v>
          </cell>
          <cell r="CP240">
            <v>0</v>
          </cell>
          <cell r="CQ240">
            <v>89896</v>
          </cell>
          <cell r="CR240">
            <v>99981</v>
          </cell>
          <cell r="CS240">
            <v>103305</v>
          </cell>
          <cell r="CT240">
            <v>112483</v>
          </cell>
          <cell r="CU240">
            <v>121623</v>
          </cell>
          <cell r="CV240">
            <v>19259</v>
          </cell>
          <cell r="CW240">
            <v>0</v>
          </cell>
          <cell r="CX240">
            <v>0</v>
          </cell>
          <cell r="CY240">
            <v>0</v>
          </cell>
          <cell r="CZ240">
            <v>0</v>
          </cell>
          <cell r="DA240">
            <v>0</v>
          </cell>
          <cell r="DB240"/>
          <cell r="DC240">
            <v>0</v>
          </cell>
          <cell r="DD240">
            <v>0</v>
          </cell>
          <cell r="DE240">
            <v>0</v>
          </cell>
          <cell r="DF240">
            <v>0</v>
          </cell>
          <cell r="DG240">
            <v>0</v>
          </cell>
          <cell r="DH240">
            <v>0</v>
          </cell>
          <cell r="DI240">
            <v>0</v>
          </cell>
          <cell r="DJ240">
            <v>0</v>
          </cell>
          <cell r="DK240">
            <v>0</v>
          </cell>
          <cell r="DL240">
            <v>0</v>
          </cell>
          <cell r="DM240"/>
          <cell r="DN240"/>
          <cell r="DO240"/>
          <cell r="DP240"/>
        </row>
        <row r="241">
          <cell r="A241">
            <v>1927</v>
          </cell>
          <cell r="B241" t="str">
            <v>Molenwaard</v>
          </cell>
          <cell r="C241">
            <v>8</v>
          </cell>
          <cell r="D241">
            <v>-1203</v>
          </cell>
          <cell r="E241">
            <v>-601</v>
          </cell>
          <cell r="F241">
            <v>0</v>
          </cell>
          <cell r="G241">
            <v>0</v>
          </cell>
          <cell r="H241">
            <v>0</v>
          </cell>
          <cell r="I241">
            <v>0</v>
          </cell>
          <cell r="J241"/>
          <cell r="K241">
            <v>0</v>
          </cell>
          <cell r="L241">
            <v>67726</v>
          </cell>
          <cell r="M241">
            <v>60828</v>
          </cell>
          <cell r="N241">
            <v>0</v>
          </cell>
          <cell r="O241">
            <v>0</v>
          </cell>
          <cell r="P241">
            <v>0</v>
          </cell>
          <cell r="Q241">
            <v>0</v>
          </cell>
          <cell r="R241">
            <v>0</v>
          </cell>
          <cell r="S241">
            <v>0</v>
          </cell>
          <cell r="T241">
            <v>0</v>
          </cell>
          <cell r="U241">
            <v>0</v>
          </cell>
          <cell r="V241">
            <v>12000</v>
          </cell>
          <cell r="W241">
            <v>111120</v>
          </cell>
          <cell r="X241">
            <v>0</v>
          </cell>
          <cell r="Y241"/>
          <cell r="Z241">
            <v>0</v>
          </cell>
          <cell r="AA241">
            <v>0</v>
          </cell>
          <cell r="AB241">
            <v>0</v>
          </cell>
          <cell r="AC241"/>
          <cell r="AD241">
            <v>20000</v>
          </cell>
          <cell r="AE241">
            <v>0</v>
          </cell>
          <cell r="AF241">
            <v>0</v>
          </cell>
          <cell r="AG241">
            <v>0</v>
          </cell>
          <cell r="AH241">
            <v>0</v>
          </cell>
          <cell r="AI241">
            <v>0</v>
          </cell>
          <cell r="AJ241">
            <v>0</v>
          </cell>
          <cell r="AK241">
            <v>0</v>
          </cell>
          <cell r="AL241"/>
          <cell r="AM241">
            <v>100651</v>
          </cell>
          <cell r="AN241">
            <v>102967</v>
          </cell>
          <cell r="AO241">
            <v>105336</v>
          </cell>
          <cell r="AP241">
            <v>107758</v>
          </cell>
          <cell r="AQ241">
            <v>110236</v>
          </cell>
          <cell r="AR241">
            <v>112772</v>
          </cell>
          <cell r="AS241">
            <v>0</v>
          </cell>
          <cell r="AT241">
            <v>0</v>
          </cell>
          <cell r="AU241">
            <v>0</v>
          </cell>
          <cell r="AV241">
            <v>0</v>
          </cell>
          <cell r="AW241">
            <v>0</v>
          </cell>
          <cell r="AX241">
            <v>0</v>
          </cell>
          <cell r="AY241"/>
          <cell r="AZ241"/>
          <cell r="BA241">
            <v>0</v>
          </cell>
          <cell r="BB241"/>
          <cell r="BC241">
            <v>0</v>
          </cell>
          <cell r="BD241">
            <v>51250</v>
          </cell>
          <cell r="BE241"/>
          <cell r="BF241">
            <v>0</v>
          </cell>
          <cell r="BG241">
            <v>0</v>
          </cell>
          <cell r="BH241">
            <v>0</v>
          </cell>
          <cell r="BI241">
            <v>24528</v>
          </cell>
          <cell r="BJ241">
            <v>20190</v>
          </cell>
          <cell r="BK241">
            <v>20190</v>
          </cell>
          <cell r="BL241">
            <v>0</v>
          </cell>
          <cell r="BM241">
            <v>0</v>
          </cell>
          <cell r="BN241">
            <v>0</v>
          </cell>
          <cell r="BO241">
            <v>149333</v>
          </cell>
          <cell r="BP241">
            <v>9488.4</v>
          </cell>
          <cell r="BQ241">
            <v>17093.023255814001</v>
          </cell>
          <cell r="BR241">
            <v>0</v>
          </cell>
          <cell r="BS241">
            <v>0</v>
          </cell>
          <cell r="BT241">
            <v>64244</v>
          </cell>
          <cell r="BU241"/>
          <cell r="BV241"/>
          <cell r="BW241"/>
          <cell r="BX241"/>
          <cell r="BY241">
            <v>0</v>
          </cell>
          <cell r="BZ241">
            <v>0</v>
          </cell>
          <cell r="CA241">
            <v>0</v>
          </cell>
          <cell r="CB241">
            <v>0</v>
          </cell>
          <cell r="CC241">
            <v>1542832</v>
          </cell>
          <cell r="CD241">
            <v>9228171</v>
          </cell>
          <cell r="CE241">
            <v>1638422</v>
          </cell>
          <cell r="CF241">
            <v>0</v>
          </cell>
          <cell r="CG241">
            <v>1638422</v>
          </cell>
          <cell r="CH241">
            <v>1638422</v>
          </cell>
          <cell r="CI241">
            <v>1638422</v>
          </cell>
          <cell r="CJ241">
            <v>1638422</v>
          </cell>
          <cell r="CK241">
            <v>0</v>
          </cell>
          <cell r="CL241">
            <v>0</v>
          </cell>
          <cell r="CM241">
            <v>0</v>
          </cell>
          <cell r="CN241">
            <v>0</v>
          </cell>
          <cell r="CO241">
            <v>0</v>
          </cell>
          <cell r="CP241">
            <v>0</v>
          </cell>
          <cell r="CQ241">
            <v>691806</v>
          </cell>
          <cell r="CR241">
            <v>669790</v>
          </cell>
          <cell r="CS241">
            <v>669633</v>
          </cell>
          <cell r="CT241">
            <v>645629</v>
          </cell>
          <cell r="CU241">
            <v>636688</v>
          </cell>
          <cell r="CV241">
            <v>-53439</v>
          </cell>
          <cell r="CW241">
            <v>0</v>
          </cell>
          <cell r="CX241">
            <v>0</v>
          </cell>
          <cell r="CY241">
            <v>0</v>
          </cell>
          <cell r="CZ241">
            <v>0</v>
          </cell>
          <cell r="DA241">
            <v>0</v>
          </cell>
          <cell r="DB241"/>
          <cell r="DC241">
            <v>0</v>
          </cell>
          <cell r="DD241">
            <v>0</v>
          </cell>
          <cell r="DE241">
            <v>0</v>
          </cell>
          <cell r="DF241">
            <v>0</v>
          </cell>
          <cell r="DG241">
            <v>0</v>
          </cell>
          <cell r="DH241">
            <v>0</v>
          </cell>
          <cell r="DI241">
            <v>0</v>
          </cell>
          <cell r="DJ241">
            <v>0</v>
          </cell>
          <cell r="DK241">
            <v>0</v>
          </cell>
          <cell r="DL241">
            <v>0</v>
          </cell>
          <cell r="DM241"/>
          <cell r="DN241"/>
          <cell r="DO241"/>
          <cell r="DP241"/>
        </row>
        <row r="242">
          <cell r="A242">
            <v>569</v>
          </cell>
          <cell r="B242" t="str">
            <v>Nieuwkoop</v>
          </cell>
          <cell r="C242">
            <v>8</v>
          </cell>
          <cell r="D242">
            <v>36630</v>
          </cell>
          <cell r="E242">
            <v>18315</v>
          </cell>
          <cell r="F242">
            <v>0</v>
          </cell>
          <cell r="G242">
            <v>0</v>
          </cell>
          <cell r="H242">
            <v>0</v>
          </cell>
          <cell r="I242">
            <v>-20503</v>
          </cell>
          <cell r="J242"/>
          <cell r="K242">
            <v>0</v>
          </cell>
          <cell r="L242">
            <v>60166</v>
          </cell>
          <cell r="M242">
            <v>65565</v>
          </cell>
          <cell r="N242">
            <v>0</v>
          </cell>
          <cell r="O242">
            <v>0</v>
          </cell>
          <cell r="P242">
            <v>0</v>
          </cell>
          <cell r="Q242">
            <v>0</v>
          </cell>
          <cell r="R242">
            <v>0</v>
          </cell>
          <cell r="S242">
            <v>0</v>
          </cell>
          <cell r="T242">
            <v>0</v>
          </cell>
          <cell r="U242">
            <v>0</v>
          </cell>
          <cell r="V242">
            <v>12000</v>
          </cell>
          <cell r="W242">
            <v>85461</v>
          </cell>
          <cell r="X242">
            <v>0</v>
          </cell>
          <cell r="Y242"/>
          <cell r="Z242">
            <v>0</v>
          </cell>
          <cell r="AA242">
            <v>0</v>
          </cell>
          <cell r="AB242">
            <v>0</v>
          </cell>
          <cell r="AC242"/>
          <cell r="AD242">
            <v>0</v>
          </cell>
          <cell r="AE242">
            <v>0</v>
          </cell>
          <cell r="AF242">
            <v>0</v>
          </cell>
          <cell r="AG242">
            <v>0</v>
          </cell>
          <cell r="AH242">
            <v>0</v>
          </cell>
          <cell r="AI242">
            <v>0</v>
          </cell>
          <cell r="AJ242">
            <v>0</v>
          </cell>
          <cell r="AK242">
            <v>0</v>
          </cell>
          <cell r="AL242"/>
          <cell r="AM242">
            <v>0</v>
          </cell>
          <cell r="AN242">
            <v>0</v>
          </cell>
          <cell r="AO242">
            <v>0</v>
          </cell>
          <cell r="AP242">
            <v>0</v>
          </cell>
          <cell r="AQ242">
            <v>0</v>
          </cell>
          <cell r="AR242">
            <v>0</v>
          </cell>
          <cell r="AS242">
            <v>0</v>
          </cell>
          <cell r="AT242">
            <v>0</v>
          </cell>
          <cell r="AU242">
            <v>0</v>
          </cell>
          <cell r="AV242">
            <v>0</v>
          </cell>
          <cell r="AW242">
            <v>0</v>
          </cell>
          <cell r="AX242">
            <v>0</v>
          </cell>
          <cell r="AY242"/>
          <cell r="AZ242"/>
          <cell r="BA242">
            <v>0</v>
          </cell>
          <cell r="BB242"/>
          <cell r="BC242">
            <v>0</v>
          </cell>
          <cell r="BD242">
            <v>9799</v>
          </cell>
          <cell r="BE242"/>
          <cell r="BF242">
            <v>0</v>
          </cell>
          <cell r="BG242">
            <v>0</v>
          </cell>
          <cell r="BH242">
            <v>0</v>
          </cell>
          <cell r="BI242">
            <v>25937</v>
          </cell>
          <cell r="BJ242">
            <v>21350</v>
          </cell>
          <cell r="BK242">
            <v>21350</v>
          </cell>
          <cell r="BL242">
            <v>0</v>
          </cell>
          <cell r="BM242">
            <v>0</v>
          </cell>
          <cell r="BN242">
            <v>0</v>
          </cell>
          <cell r="BO242">
            <v>35509</v>
          </cell>
          <cell r="BP242">
            <v>0</v>
          </cell>
          <cell r="BQ242">
            <v>0</v>
          </cell>
          <cell r="BR242">
            <v>0</v>
          </cell>
          <cell r="BS242">
            <v>0</v>
          </cell>
          <cell r="BT242">
            <v>48647</v>
          </cell>
          <cell r="BU242"/>
          <cell r="BV242"/>
          <cell r="BW242"/>
          <cell r="BX242"/>
          <cell r="BY242">
            <v>0</v>
          </cell>
          <cell r="BZ242">
            <v>0</v>
          </cell>
          <cell r="CA242">
            <v>0</v>
          </cell>
          <cell r="CB242">
            <v>0</v>
          </cell>
          <cell r="CC242">
            <v>1870729</v>
          </cell>
          <cell r="CD242">
            <v>7165715</v>
          </cell>
          <cell r="CE242">
            <v>339683</v>
          </cell>
          <cell r="CF242">
            <v>0</v>
          </cell>
          <cell r="CG242">
            <v>339683</v>
          </cell>
          <cell r="CH242">
            <v>339683</v>
          </cell>
          <cell r="CI242">
            <v>339683</v>
          </cell>
          <cell r="CJ242">
            <v>339683</v>
          </cell>
          <cell r="CK242">
            <v>0</v>
          </cell>
          <cell r="CL242">
            <v>0</v>
          </cell>
          <cell r="CM242">
            <v>0</v>
          </cell>
          <cell r="CN242">
            <v>0</v>
          </cell>
          <cell r="CO242">
            <v>0</v>
          </cell>
          <cell r="CP242">
            <v>-7404</v>
          </cell>
          <cell r="CQ242">
            <v>125633</v>
          </cell>
          <cell r="CR242">
            <v>139621</v>
          </cell>
          <cell r="CS242">
            <v>144067</v>
          </cell>
          <cell r="CT242">
            <v>156857</v>
          </cell>
          <cell r="CU242">
            <v>169578</v>
          </cell>
          <cell r="CV242">
            <v>76252</v>
          </cell>
          <cell r="CW242">
            <v>0</v>
          </cell>
          <cell r="CX242">
            <v>0</v>
          </cell>
          <cell r="CY242">
            <v>0</v>
          </cell>
          <cell r="CZ242">
            <v>0</v>
          </cell>
          <cell r="DA242">
            <v>0</v>
          </cell>
          <cell r="DB242"/>
          <cell r="DC242">
            <v>0</v>
          </cell>
          <cell r="DD242">
            <v>0</v>
          </cell>
          <cell r="DE242">
            <v>0</v>
          </cell>
          <cell r="DF242">
            <v>0</v>
          </cell>
          <cell r="DG242">
            <v>0</v>
          </cell>
          <cell r="DH242">
            <v>0</v>
          </cell>
          <cell r="DI242">
            <v>0</v>
          </cell>
          <cell r="DJ242">
            <v>0</v>
          </cell>
          <cell r="DK242">
            <v>0</v>
          </cell>
          <cell r="DL242">
            <v>0</v>
          </cell>
          <cell r="DM242"/>
          <cell r="DN242"/>
          <cell r="DO242"/>
          <cell r="DP242"/>
        </row>
        <row r="243">
          <cell r="A243">
            <v>1930</v>
          </cell>
          <cell r="B243" t="str">
            <v>Nissewaard</v>
          </cell>
          <cell r="C243">
            <v>8</v>
          </cell>
          <cell r="D243">
            <v>88477</v>
          </cell>
          <cell r="E243">
            <v>44238</v>
          </cell>
          <cell r="F243">
            <v>0</v>
          </cell>
          <cell r="G243">
            <v>0</v>
          </cell>
          <cell r="H243">
            <v>0</v>
          </cell>
          <cell r="I243">
            <v>-40011</v>
          </cell>
          <cell r="J243"/>
          <cell r="K243">
            <v>0</v>
          </cell>
          <cell r="L243">
            <v>484113</v>
          </cell>
          <cell r="M243">
            <v>494954</v>
          </cell>
          <cell r="N243">
            <v>12900</v>
          </cell>
          <cell r="O243">
            <v>6500</v>
          </cell>
          <cell r="P243">
            <v>0</v>
          </cell>
          <cell r="Q243">
            <v>0</v>
          </cell>
          <cell r="R243">
            <v>0</v>
          </cell>
          <cell r="S243">
            <v>0</v>
          </cell>
          <cell r="T243">
            <v>0</v>
          </cell>
          <cell r="U243">
            <v>0</v>
          </cell>
          <cell r="V243">
            <v>18000</v>
          </cell>
          <cell r="W243">
            <v>333358</v>
          </cell>
          <cell r="X243">
            <v>0</v>
          </cell>
          <cell r="Y243"/>
          <cell r="Z243">
            <v>0</v>
          </cell>
          <cell r="AA243">
            <v>0</v>
          </cell>
          <cell r="AB243">
            <v>0</v>
          </cell>
          <cell r="AC243"/>
          <cell r="AD243">
            <v>99735</v>
          </cell>
          <cell r="AE243">
            <v>0</v>
          </cell>
          <cell r="AF243">
            <v>0</v>
          </cell>
          <cell r="AG243">
            <v>0</v>
          </cell>
          <cell r="AH243">
            <v>0</v>
          </cell>
          <cell r="AI243">
            <v>0</v>
          </cell>
          <cell r="AJ243">
            <v>0</v>
          </cell>
          <cell r="AK243">
            <v>0</v>
          </cell>
          <cell r="AL243"/>
          <cell r="AM243">
            <v>65634</v>
          </cell>
          <cell r="AN243">
            <v>67143</v>
          </cell>
          <cell r="AO243">
            <v>68688</v>
          </cell>
          <cell r="AP243">
            <v>70268</v>
          </cell>
          <cell r="AQ243">
            <v>71884</v>
          </cell>
          <cell r="AR243">
            <v>73537</v>
          </cell>
          <cell r="AS243">
            <v>0</v>
          </cell>
          <cell r="AT243">
            <v>0</v>
          </cell>
          <cell r="AU243">
            <v>0</v>
          </cell>
          <cell r="AV243">
            <v>2609766.94047869</v>
          </cell>
          <cell r="AW243">
            <v>0</v>
          </cell>
          <cell r="AX243">
            <v>0</v>
          </cell>
          <cell r="AY243"/>
          <cell r="AZ243"/>
          <cell r="BA243">
            <v>0</v>
          </cell>
          <cell r="BB243"/>
          <cell r="BC243">
            <v>0</v>
          </cell>
          <cell r="BD243">
            <v>29979</v>
          </cell>
          <cell r="BE243"/>
          <cell r="BF243">
            <v>0</v>
          </cell>
          <cell r="BG243">
            <v>0</v>
          </cell>
          <cell r="BH243">
            <v>0</v>
          </cell>
          <cell r="BI243">
            <v>132288</v>
          </cell>
          <cell r="BJ243">
            <v>108892</v>
          </cell>
          <cell r="BK243">
            <v>108892</v>
          </cell>
          <cell r="BL243">
            <v>0</v>
          </cell>
          <cell r="BM243">
            <v>0</v>
          </cell>
          <cell r="BN243">
            <v>0</v>
          </cell>
          <cell r="BO243">
            <v>85611</v>
          </cell>
          <cell r="BP243">
            <v>47442</v>
          </cell>
          <cell r="BQ243">
            <v>85465.1162790698</v>
          </cell>
          <cell r="BR243">
            <v>0</v>
          </cell>
          <cell r="BS243">
            <v>0</v>
          </cell>
          <cell r="BT243">
            <v>138913</v>
          </cell>
          <cell r="BU243"/>
          <cell r="BV243"/>
          <cell r="BW243"/>
          <cell r="BX243"/>
          <cell r="BY243">
            <v>1745095.9621204101</v>
          </cell>
          <cell r="BZ243">
            <v>2022973.81239786</v>
          </cell>
          <cell r="CA243">
            <v>2046712.12121553</v>
          </cell>
          <cell r="CB243">
            <v>2113737.9343477702</v>
          </cell>
          <cell r="CC243">
            <v>6812364</v>
          </cell>
          <cell r="CD243">
            <v>58530673</v>
          </cell>
          <cell r="CE243">
            <v>3339015</v>
          </cell>
          <cell r="CF243">
            <v>0</v>
          </cell>
          <cell r="CG243">
            <v>3339015</v>
          </cell>
          <cell r="CH243">
            <v>3339015</v>
          </cell>
          <cell r="CI243">
            <v>3339015</v>
          </cell>
          <cell r="CJ243">
            <v>3339015</v>
          </cell>
          <cell r="CK243">
            <v>16158248</v>
          </cell>
          <cell r="CL243">
            <v>16150138</v>
          </cell>
          <cell r="CM243">
            <v>16150007</v>
          </cell>
          <cell r="CN243">
            <v>16149718</v>
          </cell>
          <cell r="CO243">
            <v>16150118</v>
          </cell>
          <cell r="CP243">
            <v>-14421</v>
          </cell>
          <cell r="CQ243">
            <v>8842258</v>
          </cell>
          <cell r="CR243">
            <v>8462145</v>
          </cell>
          <cell r="CS243">
            <v>8347961</v>
          </cell>
          <cell r="CT243">
            <v>8240822</v>
          </cell>
          <cell r="CU243">
            <v>8065711</v>
          </cell>
          <cell r="CV243">
            <v>26562</v>
          </cell>
          <cell r="CW243">
            <v>0</v>
          </cell>
          <cell r="CX243">
            <v>0</v>
          </cell>
          <cell r="CY243">
            <v>0</v>
          </cell>
          <cell r="CZ243">
            <v>0</v>
          </cell>
          <cell r="DA243">
            <v>0</v>
          </cell>
          <cell r="DB243"/>
          <cell r="DC243">
            <v>0</v>
          </cell>
          <cell r="DD243">
            <v>0</v>
          </cell>
          <cell r="DE243">
            <v>0</v>
          </cell>
          <cell r="DF243">
            <v>0</v>
          </cell>
          <cell r="DG243">
            <v>0</v>
          </cell>
          <cell r="DH243">
            <v>0</v>
          </cell>
          <cell r="DI243">
            <v>0</v>
          </cell>
          <cell r="DJ243">
            <v>0</v>
          </cell>
          <cell r="DK243">
            <v>0</v>
          </cell>
          <cell r="DL243">
            <v>0</v>
          </cell>
          <cell r="DM243"/>
          <cell r="DN243"/>
          <cell r="DO243"/>
          <cell r="DP243"/>
        </row>
        <row r="244">
          <cell r="A244">
            <v>575</v>
          </cell>
          <cell r="B244" t="str">
            <v>Noordwijk</v>
          </cell>
          <cell r="C244">
            <v>8</v>
          </cell>
          <cell r="D244">
            <v>16973</v>
          </cell>
          <cell r="E244">
            <v>8486</v>
          </cell>
          <cell r="F244">
            <v>0</v>
          </cell>
          <cell r="G244">
            <v>15023</v>
          </cell>
          <cell r="H244">
            <v>-5663</v>
          </cell>
          <cell r="I244">
            <v>-15638</v>
          </cell>
          <cell r="J244"/>
          <cell r="K244">
            <v>0</v>
          </cell>
          <cell r="L244">
            <v>82370</v>
          </cell>
          <cell r="M244">
            <v>70089</v>
          </cell>
          <cell r="N244">
            <v>0</v>
          </cell>
          <cell r="O244">
            <v>0</v>
          </cell>
          <cell r="P244">
            <v>0</v>
          </cell>
          <cell r="Q244">
            <v>0</v>
          </cell>
          <cell r="R244">
            <v>0</v>
          </cell>
          <cell r="S244">
            <v>0</v>
          </cell>
          <cell r="T244">
            <v>0</v>
          </cell>
          <cell r="U244">
            <v>0</v>
          </cell>
          <cell r="V244">
            <v>0</v>
          </cell>
          <cell r="W244">
            <v>87664</v>
          </cell>
          <cell r="X244">
            <v>0</v>
          </cell>
          <cell r="Y244"/>
          <cell r="Z244">
            <v>0</v>
          </cell>
          <cell r="AA244">
            <v>0</v>
          </cell>
          <cell r="AB244">
            <v>0</v>
          </cell>
          <cell r="AC244"/>
          <cell r="AD244">
            <v>0</v>
          </cell>
          <cell r="AE244">
            <v>0</v>
          </cell>
          <cell r="AF244">
            <v>0</v>
          </cell>
          <cell r="AG244">
            <v>0</v>
          </cell>
          <cell r="AH244">
            <v>0</v>
          </cell>
          <cell r="AI244">
            <v>0</v>
          </cell>
          <cell r="AJ244">
            <v>0</v>
          </cell>
          <cell r="AK244">
            <v>0</v>
          </cell>
          <cell r="AL244"/>
          <cell r="AM244">
            <v>0</v>
          </cell>
          <cell r="AN244">
            <v>0</v>
          </cell>
          <cell r="AO244">
            <v>0</v>
          </cell>
          <cell r="AP244">
            <v>0</v>
          </cell>
          <cell r="AQ244">
            <v>0</v>
          </cell>
          <cell r="AR244">
            <v>0</v>
          </cell>
          <cell r="AS244">
            <v>0</v>
          </cell>
          <cell r="AT244">
            <v>0</v>
          </cell>
          <cell r="AU244">
            <v>0</v>
          </cell>
          <cell r="AV244">
            <v>0</v>
          </cell>
          <cell r="AW244">
            <v>0</v>
          </cell>
          <cell r="AX244">
            <v>0</v>
          </cell>
          <cell r="AY244"/>
          <cell r="AZ244"/>
          <cell r="BA244">
            <v>0</v>
          </cell>
          <cell r="BB244"/>
          <cell r="BC244">
            <v>0</v>
          </cell>
          <cell r="BD244">
            <v>45382</v>
          </cell>
          <cell r="BE244"/>
          <cell r="BF244">
            <v>0</v>
          </cell>
          <cell r="BG244">
            <v>0</v>
          </cell>
          <cell r="BH244">
            <v>0</v>
          </cell>
          <cell r="BI244">
            <v>33310</v>
          </cell>
          <cell r="BJ244">
            <v>27419</v>
          </cell>
          <cell r="BK244">
            <v>27419</v>
          </cell>
          <cell r="BL244">
            <v>0</v>
          </cell>
          <cell r="BM244">
            <v>0</v>
          </cell>
          <cell r="BN244">
            <v>0</v>
          </cell>
          <cell r="BO244">
            <v>12161</v>
          </cell>
          <cell r="BP244">
            <v>0</v>
          </cell>
          <cell r="BQ244">
            <v>0</v>
          </cell>
          <cell r="BR244">
            <v>0</v>
          </cell>
          <cell r="BS244">
            <v>0</v>
          </cell>
          <cell r="BT244">
            <v>35073</v>
          </cell>
          <cell r="BU244"/>
          <cell r="BV244"/>
          <cell r="BW244"/>
          <cell r="BX244"/>
          <cell r="BY244">
            <v>0</v>
          </cell>
          <cell r="BZ244">
            <v>0</v>
          </cell>
          <cell r="CA244">
            <v>0</v>
          </cell>
          <cell r="CB244">
            <v>0</v>
          </cell>
          <cell r="CC244">
            <v>2022503</v>
          </cell>
          <cell r="CD244">
            <v>8889487</v>
          </cell>
          <cell r="CE244">
            <v>1281245</v>
          </cell>
          <cell r="CF244">
            <v>-25244</v>
          </cell>
          <cell r="CG244">
            <v>1281245</v>
          </cell>
          <cell r="CH244">
            <v>1281245</v>
          </cell>
          <cell r="CI244">
            <v>1281245</v>
          </cell>
          <cell r="CJ244">
            <v>1281245</v>
          </cell>
          <cell r="CK244">
            <v>0</v>
          </cell>
          <cell r="CL244">
            <v>0</v>
          </cell>
          <cell r="CM244">
            <v>0</v>
          </cell>
          <cell r="CN244">
            <v>0</v>
          </cell>
          <cell r="CO244">
            <v>0</v>
          </cell>
          <cell r="CP244">
            <v>-1897</v>
          </cell>
          <cell r="CQ244">
            <v>1683441</v>
          </cell>
          <cell r="CR244">
            <v>1635914</v>
          </cell>
          <cell r="CS244">
            <v>1563745</v>
          </cell>
          <cell r="CT244">
            <v>1495883</v>
          </cell>
          <cell r="CU244">
            <v>1471473</v>
          </cell>
          <cell r="CV244">
            <v>34396</v>
          </cell>
          <cell r="CW244">
            <v>0</v>
          </cell>
          <cell r="CX244">
            <v>0</v>
          </cell>
          <cell r="CY244">
            <v>0</v>
          </cell>
          <cell r="CZ244">
            <v>0</v>
          </cell>
          <cell r="DA244">
            <v>0</v>
          </cell>
          <cell r="DB244"/>
          <cell r="DC244">
            <v>0</v>
          </cell>
          <cell r="DD244">
            <v>0</v>
          </cell>
          <cell r="DE244">
            <v>0</v>
          </cell>
          <cell r="DF244">
            <v>0</v>
          </cell>
          <cell r="DG244">
            <v>0</v>
          </cell>
          <cell r="DH244">
            <v>0</v>
          </cell>
          <cell r="DI244">
            <v>0</v>
          </cell>
          <cell r="DJ244">
            <v>0</v>
          </cell>
          <cell r="DK244">
            <v>0</v>
          </cell>
          <cell r="DL244">
            <v>0</v>
          </cell>
          <cell r="DM244"/>
          <cell r="DN244"/>
          <cell r="DO244"/>
          <cell r="DP244"/>
        </row>
        <row r="245">
          <cell r="A245">
            <v>576</v>
          </cell>
          <cell r="B245" t="str">
            <v>Noordwijkerhout</v>
          </cell>
          <cell r="C245">
            <v>8</v>
          </cell>
          <cell r="D245">
            <v>-32691</v>
          </cell>
          <cell r="E245">
            <v>-16345</v>
          </cell>
          <cell r="F245">
            <v>0</v>
          </cell>
          <cell r="G245">
            <v>0</v>
          </cell>
          <cell r="H245">
            <v>-3524</v>
          </cell>
          <cell r="I245">
            <v>-2298</v>
          </cell>
          <cell r="J245"/>
          <cell r="K245">
            <v>0</v>
          </cell>
          <cell r="L245">
            <v>60484</v>
          </cell>
          <cell r="M245">
            <v>61709</v>
          </cell>
          <cell r="N245">
            <v>0</v>
          </cell>
          <cell r="O245">
            <v>0</v>
          </cell>
          <cell r="P245">
            <v>0</v>
          </cell>
          <cell r="Q245">
            <v>0</v>
          </cell>
          <cell r="R245">
            <v>0</v>
          </cell>
          <cell r="S245">
            <v>0</v>
          </cell>
          <cell r="T245">
            <v>0</v>
          </cell>
          <cell r="U245">
            <v>0</v>
          </cell>
          <cell r="V245">
            <v>3000</v>
          </cell>
          <cell r="W245">
            <v>45660</v>
          </cell>
          <cell r="X245">
            <v>0</v>
          </cell>
          <cell r="Y245"/>
          <cell r="Z245">
            <v>0</v>
          </cell>
          <cell r="AA245">
            <v>0</v>
          </cell>
          <cell r="AB245">
            <v>0</v>
          </cell>
          <cell r="AC245"/>
          <cell r="AD245">
            <v>0</v>
          </cell>
          <cell r="AE245">
            <v>0</v>
          </cell>
          <cell r="AF245">
            <v>0</v>
          </cell>
          <cell r="AG245">
            <v>0</v>
          </cell>
          <cell r="AH245">
            <v>0</v>
          </cell>
          <cell r="AI245">
            <v>0</v>
          </cell>
          <cell r="AJ245">
            <v>0</v>
          </cell>
          <cell r="AK245">
            <v>0</v>
          </cell>
          <cell r="AL245"/>
          <cell r="AM245">
            <v>0</v>
          </cell>
          <cell r="AN245">
            <v>0</v>
          </cell>
          <cell r="AO245">
            <v>0</v>
          </cell>
          <cell r="AP245">
            <v>0</v>
          </cell>
          <cell r="AQ245">
            <v>0</v>
          </cell>
          <cell r="AR245">
            <v>0</v>
          </cell>
          <cell r="AS245">
            <v>0</v>
          </cell>
          <cell r="AT245">
            <v>0</v>
          </cell>
          <cell r="AU245">
            <v>0</v>
          </cell>
          <cell r="AV245">
            <v>0</v>
          </cell>
          <cell r="AW245">
            <v>0</v>
          </cell>
          <cell r="AX245">
            <v>0</v>
          </cell>
          <cell r="AY245"/>
          <cell r="AZ245"/>
          <cell r="BA245">
            <v>0</v>
          </cell>
          <cell r="BB245"/>
          <cell r="BC245">
            <v>0</v>
          </cell>
          <cell r="BD245">
            <v>28629</v>
          </cell>
          <cell r="BE245"/>
          <cell r="BF245">
            <v>0</v>
          </cell>
          <cell r="BG245">
            <v>0</v>
          </cell>
          <cell r="BH245">
            <v>0</v>
          </cell>
          <cell r="BI245">
            <v>20302</v>
          </cell>
          <cell r="BJ245">
            <v>16712</v>
          </cell>
          <cell r="BK245">
            <v>16712</v>
          </cell>
          <cell r="BL245">
            <v>0</v>
          </cell>
          <cell r="BM245">
            <v>0</v>
          </cell>
          <cell r="BN245">
            <v>0</v>
          </cell>
          <cell r="BO245">
            <v>24321</v>
          </cell>
          <cell r="BP245">
            <v>0</v>
          </cell>
          <cell r="BQ245">
            <v>0</v>
          </cell>
          <cell r="BR245">
            <v>0</v>
          </cell>
          <cell r="BS245">
            <v>0</v>
          </cell>
          <cell r="BT245">
            <v>26756</v>
          </cell>
          <cell r="BU245"/>
          <cell r="BV245"/>
          <cell r="BW245"/>
          <cell r="BX245"/>
          <cell r="BY245">
            <v>0</v>
          </cell>
          <cell r="BZ245">
            <v>0</v>
          </cell>
          <cell r="CA245">
            <v>0</v>
          </cell>
          <cell r="CB245">
            <v>0</v>
          </cell>
          <cell r="CC245">
            <v>1216806</v>
          </cell>
          <cell r="CD245">
            <v>5929358</v>
          </cell>
          <cell r="CE245">
            <v>231744</v>
          </cell>
          <cell r="CF245">
            <v>0</v>
          </cell>
          <cell r="CG245">
            <v>231744</v>
          </cell>
          <cell r="CH245">
            <v>231744</v>
          </cell>
          <cell r="CI245">
            <v>231744</v>
          </cell>
          <cell r="CJ245">
            <v>231744</v>
          </cell>
          <cell r="CK245">
            <v>0</v>
          </cell>
          <cell r="CL245">
            <v>0</v>
          </cell>
          <cell r="CM245">
            <v>0</v>
          </cell>
          <cell r="CN245">
            <v>0</v>
          </cell>
          <cell r="CO245">
            <v>0</v>
          </cell>
          <cell r="CP245">
            <v>-825</v>
          </cell>
          <cell r="CQ245">
            <v>960100</v>
          </cell>
          <cell r="CR245">
            <v>940614</v>
          </cell>
          <cell r="CS245">
            <v>922671</v>
          </cell>
          <cell r="CT245">
            <v>927249</v>
          </cell>
          <cell r="CU245">
            <v>923092</v>
          </cell>
          <cell r="CV245">
            <v>71751</v>
          </cell>
          <cell r="CW245">
            <v>0</v>
          </cell>
          <cell r="CX245">
            <v>0</v>
          </cell>
          <cell r="CY245">
            <v>0</v>
          </cell>
          <cell r="CZ245">
            <v>0</v>
          </cell>
          <cell r="DA245">
            <v>0</v>
          </cell>
          <cell r="DB245"/>
          <cell r="DC245">
            <v>0</v>
          </cell>
          <cell r="DD245">
            <v>0</v>
          </cell>
          <cell r="DE245">
            <v>0</v>
          </cell>
          <cell r="DF245">
            <v>0</v>
          </cell>
          <cell r="DG245">
            <v>0</v>
          </cell>
          <cell r="DH245">
            <v>0</v>
          </cell>
          <cell r="DI245">
            <v>0</v>
          </cell>
          <cell r="DJ245">
            <v>0</v>
          </cell>
          <cell r="DK245">
            <v>0</v>
          </cell>
          <cell r="DL245">
            <v>0</v>
          </cell>
          <cell r="DM245"/>
          <cell r="DN245"/>
          <cell r="DO245"/>
          <cell r="DP245"/>
        </row>
        <row r="246">
          <cell r="A246">
            <v>579</v>
          </cell>
          <cell r="B246" t="str">
            <v>Oegstgeest</v>
          </cell>
          <cell r="C246">
            <v>8</v>
          </cell>
          <cell r="D246">
            <v>-17273</v>
          </cell>
          <cell r="E246">
            <v>-8636</v>
          </cell>
          <cell r="F246">
            <v>0</v>
          </cell>
          <cell r="G246">
            <v>0</v>
          </cell>
          <cell r="H246">
            <v>124660</v>
          </cell>
          <cell r="I246">
            <v>78666</v>
          </cell>
          <cell r="J246"/>
          <cell r="K246">
            <v>0</v>
          </cell>
          <cell r="L246">
            <v>60444</v>
          </cell>
          <cell r="M246">
            <v>48995</v>
          </cell>
          <cell r="N246">
            <v>0</v>
          </cell>
          <cell r="O246">
            <v>0</v>
          </cell>
          <cell r="P246">
            <v>0</v>
          </cell>
          <cell r="Q246">
            <v>0</v>
          </cell>
          <cell r="R246">
            <v>0</v>
          </cell>
          <cell r="S246">
            <v>0</v>
          </cell>
          <cell r="T246">
            <v>0</v>
          </cell>
          <cell r="U246">
            <v>0</v>
          </cell>
          <cell r="V246">
            <v>0</v>
          </cell>
          <cell r="W246">
            <v>0</v>
          </cell>
          <cell r="X246">
            <v>0</v>
          </cell>
          <cell r="Y246"/>
          <cell r="Z246">
            <v>0</v>
          </cell>
          <cell r="AA246">
            <v>0</v>
          </cell>
          <cell r="AB246">
            <v>0</v>
          </cell>
          <cell r="AC246"/>
          <cell r="AD246">
            <v>0</v>
          </cell>
          <cell r="AE246">
            <v>0</v>
          </cell>
          <cell r="AF246">
            <v>0</v>
          </cell>
          <cell r="AG246">
            <v>0</v>
          </cell>
          <cell r="AH246">
            <v>0</v>
          </cell>
          <cell r="AI246">
            <v>0</v>
          </cell>
          <cell r="AJ246">
            <v>0</v>
          </cell>
          <cell r="AK246">
            <v>0</v>
          </cell>
          <cell r="AL246"/>
          <cell r="AM246">
            <v>0</v>
          </cell>
          <cell r="AN246">
            <v>0</v>
          </cell>
          <cell r="AO246">
            <v>0</v>
          </cell>
          <cell r="AP246">
            <v>0</v>
          </cell>
          <cell r="AQ246">
            <v>0</v>
          </cell>
          <cell r="AR246">
            <v>0</v>
          </cell>
          <cell r="AS246">
            <v>0</v>
          </cell>
          <cell r="AT246">
            <v>0</v>
          </cell>
          <cell r="AU246">
            <v>0</v>
          </cell>
          <cell r="AV246">
            <v>0</v>
          </cell>
          <cell r="AW246">
            <v>0</v>
          </cell>
          <cell r="AX246">
            <v>0</v>
          </cell>
          <cell r="AY246"/>
          <cell r="AZ246"/>
          <cell r="BA246">
            <v>0</v>
          </cell>
          <cell r="BB246"/>
          <cell r="BC246">
            <v>0</v>
          </cell>
          <cell r="BD246">
            <v>8287</v>
          </cell>
          <cell r="BE246"/>
          <cell r="BF246">
            <v>0</v>
          </cell>
          <cell r="BG246">
            <v>0</v>
          </cell>
          <cell r="BH246">
            <v>0</v>
          </cell>
          <cell r="BI246">
            <v>18455</v>
          </cell>
          <cell r="BJ246">
            <v>15191</v>
          </cell>
          <cell r="BK246">
            <v>15191</v>
          </cell>
          <cell r="BL246">
            <v>0</v>
          </cell>
          <cell r="BM246">
            <v>0</v>
          </cell>
          <cell r="BN246">
            <v>0</v>
          </cell>
          <cell r="BO246">
            <v>10215</v>
          </cell>
          <cell r="BP246">
            <v>3162.8</v>
          </cell>
          <cell r="BQ246">
            <v>5697.6744186046499</v>
          </cell>
          <cell r="BR246">
            <v>0</v>
          </cell>
          <cell r="BS246">
            <v>0</v>
          </cell>
          <cell r="BT246">
            <v>33824</v>
          </cell>
          <cell r="BU246"/>
          <cell r="BV246"/>
          <cell r="BW246"/>
          <cell r="BX246"/>
          <cell r="BY246">
            <v>0</v>
          </cell>
          <cell r="BZ246">
            <v>0</v>
          </cell>
          <cell r="CA246">
            <v>0</v>
          </cell>
          <cell r="CB246">
            <v>0</v>
          </cell>
          <cell r="CC246">
            <v>1258269</v>
          </cell>
          <cell r="CD246">
            <v>6389468</v>
          </cell>
          <cell r="CE246">
            <v>306101</v>
          </cell>
          <cell r="CF246">
            <v>0</v>
          </cell>
          <cell r="CG246">
            <v>306101</v>
          </cell>
          <cell r="CH246">
            <v>306101</v>
          </cell>
          <cell r="CI246">
            <v>306101</v>
          </cell>
          <cell r="CJ246">
            <v>306101</v>
          </cell>
          <cell r="CK246">
            <v>0</v>
          </cell>
          <cell r="CL246">
            <v>0</v>
          </cell>
          <cell r="CM246">
            <v>0</v>
          </cell>
          <cell r="CN246">
            <v>0</v>
          </cell>
          <cell r="CO246">
            <v>0</v>
          </cell>
          <cell r="CP246">
            <v>0</v>
          </cell>
          <cell r="CQ246">
            <v>686564</v>
          </cell>
          <cell r="CR246">
            <v>657859</v>
          </cell>
          <cell r="CS246">
            <v>643755</v>
          </cell>
          <cell r="CT246">
            <v>638046</v>
          </cell>
          <cell r="CU246">
            <v>626638</v>
          </cell>
          <cell r="CV246">
            <v>-13967</v>
          </cell>
          <cell r="CW246">
            <v>0</v>
          </cell>
          <cell r="CX246">
            <v>0</v>
          </cell>
          <cell r="CY246">
            <v>0</v>
          </cell>
          <cell r="CZ246">
            <v>0</v>
          </cell>
          <cell r="DA246">
            <v>0</v>
          </cell>
          <cell r="DB246"/>
          <cell r="DC246">
            <v>0</v>
          </cell>
          <cell r="DD246">
            <v>0</v>
          </cell>
          <cell r="DE246">
            <v>0</v>
          </cell>
          <cell r="DF246">
            <v>0</v>
          </cell>
          <cell r="DG246">
            <v>0</v>
          </cell>
          <cell r="DH246">
            <v>0</v>
          </cell>
          <cell r="DI246">
            <v>0</v>
          </cell>
          <cell r="DJ246">
            <v>0</v>
          </cell>
          <cell r="DK246">
            <v>0</v>
          </cell>
          <cell r="DL246">
            <v>0</v>
          </cell>
          <cell r="DM246"/>
          <cell r="DN246"/>
          <cell r="DO246"/>
          <cell r="DP246"/>
        </row>
        <row r="247">
          <cell r="A247">
            <v>584</v>
          </cell>
          <cell r="B247" t="str">
            <v>Oud-Beijerland</v>
          </cell>
          <cell r="C247">
            <v>8</v>
          </cell>
          <cell r="D247">
            <v>56452</v>
          </cell>
          <cell r="E247">
            <v>28226</v>
          </cell>
          <cell r="F247">
            <v>0</v>
          </cell>
          <cell r="G247">
            <v>0</v>
          </cell>
          <cell r="H247">
            <v>-2863</v>
          </cell>
          <cell r="I247">
            <v>-11141</v>
          </cell>
          <cell r="J247"/>
          <cell r="K247">
            <v>0</v>
          </cell>
          <cell r="L247">
            <v>71029</v>
          </cell>
          <cell r="M247">
            <v>57066</v>
          </cell>
          <cell r="N247">
            <v>0</v>
          </cell>
          <cell r="O247">
            <v>0</v>
          </cell>
          <cell r="P247">
            <v>0</v>
          </cell>
          <cell r="Q247">
            <v>0</v>
          </cell>
          <cell r="R247">
            <v>0</v>
          </cell>
          <cell r="S247">
            <v>0</v>
          </cell>
          <cell r="T247">
            <v>0</v>
          </cell>
          <cell r="U247">
            <v>0</v>
          </cell>
          <cell r="V247">
            <v>3000</v>
          </cell>
          <cell r="W247">
            <v>92331</v>
          </cell>
          <cell r="X247">
            <v>0</v>
          </cell>
          <cell r="Y247"/>
          <cell r="Z247">
            <v>0</v>
          </cell>
          <cell r="AA247">
            <v>0</v>
          </cell>
          <cell r="AB247">
            <v>0</v>
          </cell>
          <cell r="AC247"/>
          <cell r="AD247">
            <v>0</v>
          </cell>
          <cell r="AE247">
            <v>0</v>
          </cell>
          <cell r="AF247">
            <v>0</v>
          </cell>
          <cell r="AG247">
            <v>0</v>
          </cell>
          <cell r="AH247">
            <v>0</v>
          </cell>
          <cell r="AI247">
            <v>0</v>
          </cell>
          <cell r="AJ247">
            <v>0</v>
          </cell>
          <cell r="AK247">
            <v>0</v>
          </cell>
          <cell r="AL247"/>
          <cell r="AM247">
            <v>14244</v>
          </cell>
          <cell r="AN247">
            <v>14572</v>
          </cell>
          <cell r="AO247">
            <v>14907</v>
          </cell>
          <cell r="AP247">
            <v>15250</v>
          </cell>
          <cell r="AQ247">
            <v>15601</v>
          </cell>
          <cell r="AR247">
            <v>15959</v>
          </cell>
          <cell r="AS247">
            <v>0</v>
          </cell>
          <cell r="AT247">
            <v>0</v>
          </cell>
          <cell r="AU247">
            <v>0</v>
          </cell>
          <cell r="AV247">
            <v>0</v>
          </cell>
          <cell r="AW247">
            <v>0</v>
          </cell>
          <cell r="AX247">
            <v>0</v>
          </cell>
          <cell r="AY247"/>
          <cell r="AZ247"/>
          <cell r="BA247">
            <v>0</v>
          </cell>
          <cell r="BB247"/>
          <cell r="BC247">
            <v>0</v>
          </cell>
          <cell r="BD247">
            <v>42133</v>
          </cell>
          <cell r="BE247"/>
          <cell r="BF247">
            <v>0</v>
          </cell>
          <cell r="BG247">
            <v>0</v>
          </cell>
          <cell r="BH247">
            <v>0</v>
          </cell>
          <cell r="BI247">
            <v>24688</v>
          </cell>
          <cell r="BJ247">
            <v>20322</v>
          </cell>
          <cell r="BK247">
            <v>20322</v>
          </cell>
          <cell r="BL247">
            <v>0</v>
          </cell>
          <cell r="BM247">
            <v>0</v>
          </cell>
          <cell r="BN247">
            <v>0</v>
          </cell>
          <cell r="BO247">
            <v>22376</v>
          </cell>
          <cell r="BP247">
            <v>0</v>
          </cell>
          <cell r="BQ247">
            <v>0</v>
          </cell>
          <cell r="BR247">
            <v>0</v>
          </cell>
          <cell r="BS247">
            <v>0</v>
          </cell>
          <cell r="BT247">
            <v>35471</v>
          </cell>
          <cell r="BU247"/>
          <cell r="BV247"/>
          <cell r="BW247"/>
          <cell r="BX247"/>
          <cell r="BY247">
            <v>0</v>
          </cell>
          <cell r="BZ247">
            <v>0</v>
          </cell>
          <cell r="CA247">
            <v>0</v>
          </cell>
          <cell r="CB247">
            <v>0</v>
          </cell>
          <cell r="CC247">
            <v>1735313</v>
          </cell>
          <cell r="CD247">
            <v>8770013</v>
          </cell>
          <cell r="CE247">
            <v>566822</v>
          </cell>
          <cell r="CF247">
            <v>0</v>
          </cell>
          <cell r="CG247">
            <v>566822</v>
          </cell>
          <cell r="CH247">
            <v>566822</v>
          </cell>
          <cell r="CI247">
            <v>566822</v>
          </cell>
          <cell r="CJ247">
            <v>566822</v>
          </cell>
          <cell r="CK247">
            <v>0</v>
          </cell>
          <cell r="CL247">
            <v>0</v>
          </cell>
          <cell r="CM247">
            <v>0</v>
          </cell>
          <cell r="CN247">
            <v>0</v>
          </cell>
          <cell r="CO247">
            <v>0</v>
          </cell>
          <cell r="CP247">
            <v>-4027</v>
          </cell>
          <cell r="CQ247">
            <v>1475446</v>
          </cell>
          <cell r="CR247">
            <v>1439004</v>
          </cell>
          <cell r="CS247">
            <v>1439485</v>
          </cell>
          <cell r="CT247">
            <v>1445053</v>
          </cell>
          <cell r="CU247">
            <v>1449034</v>
          </cell>
          <cell r="CV247">
            <v>63338</v>
          </cell>
          <cell r="CW247">
            <v>0</v>
          </cell>
          <cell r="CX247">
            <v>0</v>
          </cell>
          <cell r="CY247">
            <v>0</v>
          </cell>
          <cell r="CZ247">
            <v>0</v>
          </cell>
          <cell r="DA247">
            <v>0</v>
          </cell>
          <cell r="DB247"/>
          <cell r="DC247">
            <v>0</v>
          </cell>
          <cell r="DD247">
            <v>0</v>
          </cell>
          <cell r="DE247">
            <v>0</v>
          </cell>
          <cell r="DF247">
            <v>0</v>
          </cell>
          <cell r="DG247">
            <v>0</v>
          </cell>
          <cell r="DH247">
            <v>0</v>
          </cell>
          <cell r="DI247">
            <v>0</v>
          </cell>
          <cell r="DJ247">
            <v>0</v>
          </cell>
          <cell r="DK247">
            <v>0</v>
          </cell>
          <cell r="DL247">
            <v>0</v>
          </cell>
          <cell r="DM247"/>
          <cell r="DN247"/>
          <cell r="DO247"/>
          <cell r="DP247"/>
        </row>
        <row r="248">
          <cell r="A248">
            <v>590</v>
          </cell>
          <cell r="B248" t="str">
            <v>Papendrecht</v>
          </cell>
          <cell r="C248">
            <v>8</v>
          </cell>
          <cell r="D248">
            <v>-4702</v>
          </cell>
          <cell r="E248">
            <v>-2351</v>
          </cell>
          <cell r="F248">
            <v>0</v>
          </cell>
          <cell r="G248">
            <v>0</v>
          </cell>
          <cell r="H248">
            <v>0</v>
          </cell>
          <cell r="I248">
            <v>-11183</v>
          </cell>
          <cell r="J248"/>
          <cell r="K248">
            <v>0</v>
          </cell>
          <cell r="L248">
            <v>122122</v>
          </cell>
          <cell r="M248">
            <v>120989</v>
          </cell>
          <cell r="N248">
            <v>0</v>
          </cell>
          <cell r="O248">
            <v>0</v>
          </cell>
          <cell r="P248">
            <v>0</v>
          </cell>
          <cell r="Q248">
            <v>0</v>
          </cell>
          <cell r="R248">
            <v>0</v>
          </cell>
          <cell r="S248">
            <v>0</v>
          </cell>
          <cell r="T248">
            <v>0</v>
          </cell>
          <cell r="U248">
            <v>0</v>
          </cell>
          <cell r="V248">
            <v>0</v>
          </cell>
          <cell r="W248">
            <v>0</v>
          </cell>
          <cell r="X248">
            <v>0</v>
          </cell>
          <cell r="Y248"/>
          <cell r="Z248">
            <v>0</v>
          </cell>
          <cell r="AA248">
            <v>0</v>
          </cell>
          <cell r="AB248">
            <v>0</v>
          </cell>
          <cell r="AC248"/>
          <cell r="AD248">
            <v>0</v>
          </cell>
          <cell r="AE248">
            <v>0</v>
          </cell>
          <cell r="AF248">
            <v>0</v>
          </cell>
          <cell r="AG248">
            <v>0</v>
          </cell>
          <cell r="AH248">
            <v>0</v>
          </cell>
          <cell r="AI248">
            <v>0</v>
          </cell>
          <cell r="AJ248">
            <v>0</v>
          </cell>
          <cell r="AK248">
            <v>0</v>
          </cell>
          <cell r="AL248"/>
          <cell r="AM248">
            <v>2235</v>
          </cell>
          <cell r="AN248">
            <v>2286</v>
          </cell>
          <cell r="AO248">
            <v>2339</v>
          </cell>
          <cell r="AP248">
            <v>2393</v>
          </cell>
          <cell r="AQ248">
            <v>2448</v>
          </cell>
          <cell r="AR248">
            <v>2504</v>
          </cell>
          <cell r="AS248">
            <v>0</v>
          </cell>
          <cell r="AT248">
            <v>0</v>
          </cell>
          <cell r="AU248">
            <v>0</v>
          </cell>
          <cell r="AV248">
            <v>0</v>
          </cell>
          <cell r="AW248">
            <v>0</v>
          </cell>
          <cell r="AX248">
            <v>0</v>
          </cell>
          <cell r="AY248"/>
          <cell r="AZ248"/>
          <cell r="BA248">
            <v>0</v>
          </cell>
          <cell r="BB248"/>
          <cell r="BC248">
            <v>0</v>
          </cell>
          <cell r="BD248">
            <v>11336</v>
          </cell>
          <cell r="BE248"/>
          <cell r="BF248">
            <v>0</v>
          </cell>
          <cell r="BG248">
            <v>0</v>
          </cell>
          <cell r="BH248">
            <v>0</v>
          </cell>
          <cell r="BI248">
            <v>37586</v>
          </cell>
          <cell r="BJ248">
            <v>30939</v>
          </cell>
          <cell r="BK248">
            <v>30939</v>
          </cell>
          <cell r="BL248">
            <v>0</v>
          </cell>
          <cell r="BM248">
            <v>0</v>
          </cell>
          <cell r="BN248">
            <v>0</v>
          </cell>
          <cell r="BO248">
            <v>177060</v>
          </cell>
          <cell r="BP248">
            <v>6325.6</v>
          </cell>
          <cell r="BQ248">
            <v>11395.3488372093</v>
          </cell>
          <cell r="BR248">
            <v>0</v>
          </cell>
          <cell r="BS248">
            <v>0</v>
          </cell>
          <cell r="BT248">
            <v>47470</v>
          </cell>
          <cell r="BU248"/>
          <cell r="BV248"/>
          <cell r="BW248"/>
          <cell r="BX248"/>
          <cell r="BY248">
            <v>0</v>
          </cell>
          <cell r="BZ248">
            <v>0</v>
          </cell>
          <cell r="CA248">
            <v>0</v>
          </cell>
          <cell r="CB248">
            <v>0</v>
          </cell>
          <cell r="CC248">
            <v>2481494</v>
          </cell>
          <cell r="CD248">
            <v>12575689</v>
          </cell>
          <cell r="CE248">
            <v>758696</v>
          </cell>
          <cell r="CF248">
            <v>0</v>
          </cell>
          <cell r="CG248">
            <v>758696</v>
          </cell>
          <cell r="CH248">
            <v>758696</v>
          </cell>
          <cell r="CI248">
            <v>758696</v>
          </cell>
          <cell r="CJ248">
            <v>758696</v>
          </cell>
          <cell r="CK248">
            <v>0</v>
          </cell>
          <cell r="CL248">
            <v>0</v>
          </cell>
          <cell r="CM248">
            <v>0</v>
          </cell>
          <cell r="CN248">
            <v>0</v>
          </cell>
          <cell r="CO248">
            <v>0</v>
          </cell>
          <cell r="CP248">
            <v>-4031</v>
          </cell>
          <cell r="CQ248">
            <v>1992092</v>
          </cell>
          <cell r="CR248">
            <v>1903440</v>
          </cell>
          <cell r="CS248">
            <v>1854259</v>
          </cell>
          <cell r="CT248">
            <v>1814291</v>
          </cell>
          <cell r="CU248">
            <v>1776156</v>
          </cell>
          <cell r="CV248">
            <v>46061</v>
          </cell>
          <cell r="CW248">
            <v>0</v>
          </cell>
          <cell r="CX248">
            <v>0</v>
          </cell>
          <cell r="CY248">
            <v>0</v>
          </cell>
          <cell r="CZ248">
            <v>0</v>
          </cell>
          <cell r="DA248">
            <v>0</v>
          </cell>
          <cell r="DB248"/>
          <cell r="DC248">
            <v>0</v>
          </cell>
          <cell r="DD248">
            <v>0</v>
          </cell>
          <cell r="DE248">
            <v>0</v>
          </cell>
          <cell r="DF248">
            <v>0</v>
          </cell>
          <cell r="DG248">
            <v>0</v>
          </cell>
          <cell r="DH248">
            <v>0</v>
          </cell>
          <cell r="DI248">
            <v>0</v>
          </cell>
          <cell r="DJ248">
            <v>0</v>
          </cell>
          <cell r="DK248">
            <v>0</v>
          </cell>
          <cell r="DL248">
            <v>0</v>
          </cell>
          <cell r="DM248"/>
          <cell r="DN248"/>
          <cell r="DO248"/>
          <cell r="DP248"/>
        </row>
        <row r="249">
          <cell r="A249">
            <v>1926</v>
          </cell>
          <cell r="B249" t="str">
            <v>Pijnacker-Nootdorp</v>
          </cell>
          <cell r="C249">
            <v>8</v>
          </cell>
          <cell r="D249">
            <v>13598</v>
          </cell>
          <cell r="E249">
            <v>6799</v>
          </cell>
          <cell r="F249">
            <v>0</v>
          </cell>
          <cell r="G249">
            <v>0</v>
          </cell>
          <cell r="H249">
            <v>-63988</v>
          </cell>
          <cell r="I249">
            <v>-73935</v>
          </cell>
          <cell r="J249"/>
          <cell r="K249">
            <v>0</v>
          </cell>
          <cell r="L249">
            <v>188814</v>
          </cell>
          <cell r="M249">
            <v>170222</v>
          </cell>
          <cell r="N249">
            <v>0</v>
          </cell>
          <cell r="O249">
            <v>0</v>
          </cell>
          <cell r="P249">
            <v>0</v>
          </cell>
          <cell r="Q249">
            <v>0</v>
          </cell>
          <cell r="R249">
            <v>0</v>
          </cell>
          <cell r="S249">
            <v>0</v>
          </cell>
          <cell r="T249">
            <v>0</v>
          </cell>
          <cell r="U249">
            <v>0</v>
          </cell>
          <cell r="V249">
            <v>0</v>
          </cell>
          <cell r="W249">
            <v>192338</v>
          </cell>
          <cell r="X249">
            <v>0</v>
          </cell>
          <cell r="Y249"/>
          <cell r="Z249">
            <v>0</v>
          </cell>
          <cell r="AA249">
            <v>0</v>
          </cell>
          <cell r="AB249">
            <v>0</v>
          </cell>
          <cell r="AC249"/>
          <cell r="AD249">
            <v>0</v>
          </cell>
          <cell r="AE249">
            <v>0</v>
          </cell>
          <cell r="AF249">
            <v>0</v>
          </cell>
          <cell r="AG249">
            <v>0</v>
          </cell>
          <cell r="AH249">
            <v>0</v>
          </cell>
          <cell r="AI249">
            <v>0</v>
          </cell>
          <cell r="AJ249">
            <v>0</v>
          </cell>
          <cell r="AK249">
            <v>0</v>
          </cell>
          <cell r="AL249"/>
          <cell r="AM249">
            <v>0</v>
          </cell>
          <cell r="AN249">
            <v>0</v>
          </cell>
          <cell r="AO249">
            <v>0</v>
          </cell>
          <cell r="AP249">
            <v>0</v>
          </cell>
          <cell r="AQ249">
            <v>0</v>
          </cell>
          <cell r="AR249">
            <v>0</v>
          </cell>
          <cell r="AS249">
            <v>0</v>
          </cell>
          <cell r="AT249">
            <v>0</v>
          </cell>
          <cell r="AU249">
            <v>4740</v>
          </cell>
          <cell r="AV249">
            <v>0</v>
          </cell>
          <cell r="AW249">
            <v>0</v>
          </cell>
          <cell r="AX249">
            <v>0</v>
          </cell>
          <cell r="AY249"/>
          <cell r="AZ249"/>
          <cell r="BA249">
            <v>0</v>
          </cell>
          <cell r="BB249"/>
          <cell r="BC249">
            <v>0</v>
          </cell>
          <cell r="BD249">
            <v>18484</v>
          </cell>
          <cell r="BE249"/>
          <cell r="BF249">
            <v>0</v>
          </cell>
          <cell r="BG249">
            <v>0</v>
          </cell>
          <cell r="BH249">
            <v>0</v>
          </cell>
          <cell r="BI249">
            <v>31650</v>
          </cell>
          <cell r="BJ249">
            <v>26053</v>
          </cell>
          <cell r="BK249">
            <v>26053</v>
          </cell>
          <cell r="BL249">
            <v>0</v>
          </cell>
          <cell r="BM249">
            <v>13164</v>
          </cell>
          <cell r="BN249">
            <v>0</v>
          </cell>
          <cell r="BO249">
            <v>31131</v>
          </cell>
          <cell r="BP249">
            <v>20558.2</v>
          </cell>
          <cell r="BQ249">
            <v>37034.8837209302</v>
          </cell>
          <cell r="BR249">
            <v>0</v>
          </cell>
          <cell r="BS249">
            <v>0</v>
          </cell>
          <cell r="BT249">
            <v>90833</v>
          </cell>
          <cell r="BU249"/>
          <cell r="BV249"/>
          <cell r="BW249"/>
          <cell r="BX249"/>
          <cell r="BY249">
            <v>0</v>
          </cell>
          <cell r="BZ249">
            <v>0</v>
          </cell>
          <cell r="CA249">
            <v>0</v>
          </cell>
          <cell r="CB249">
            <v>0</v>
          </cell>
          <cell r="CC249">
            <v>2498202</v>
          </cell>
          <cell r="CD249">
            <v>14613022</v>
          </cell>
          <cell r="CE249">
            <v>1523518</v>
          </cell>
          <cell r="CF249">
            <v>-150546</v>
          </cell>
          <cell r="CG249">
            <v>1523518</v>
          </cell>
          <cell r="CH249">
            <v>1523518</v>
          </cell>
          <cell r="CI249">
            <v>1523518</v>
          </cell>
          <cell r="CJ249">
            <v>1523518</v>
          </cell>
          <cell r="CK249">
            <v>0</v>
          </cell>
          <cell r="CL249">
            <v>0</v>
          </cell>
          <cell r="CM249">
            <v>0</v>
          </cell>
          <cell r="CN249">
            <v>0</v>
          </cell>
          <cell r="CO249">
            <v>0</v>
          </cell>
          <cell r="CP249">
            <v>-4148</v>
          </cell>
          <cell r="CQ249">
            <v>224376</v>
          </cell>
          <cell r="CR249">
            <v>248659</v>
          </cell>
          <cell r="CS249">
            <v>257149</v>
          </cell>
          <cell r="CT249">
            <v>279318</v>
          </cell>
          <cell r="CU249">
            <v>301378</v>
          </cell>
          <cell r="CV249">
            <v>84100</v>
          </cell>
          <cell r="CW249">
            <v>0</v>
          </cell>
          <cell r="CX249">
            <v>0</v>
          </cell>
          <cell r="CY249">
            <v>0</v>
          </cell>
          <cell r="CZ249">
            <v>0</v>
          </cell>
          <cell r="DA249">
            <v>0</v>
          </cell>
          <cell r="DB249"/>
          <cell r="DC249">
            <v>0</v>
          </cell>
          <cell r="DD249">
            <v>0</v>
          </cell>
          <cell r="DE249">
            <v>0</v>
          </cell>
          <cell r="DF249">
            <v>0</v>
          </cell>
          <cell r="DG249">
            <v>0</v>
          </cell>
          <cell r="DH249">
            <v>0</v>
          </cell>
          <cell r="DI249">
            <v>0</v>
          </cell>
          <cell r="DJ249">
            <v>0</v>
          </cell>
          <cell r="DK249">
            <v>0</v>
          </cell>
          <cell r="DL249">
            <v>0</v>
          </cell>
          <cell r="DM249"/>
          <cell r="DN249"/>
          <cell r="DO249"/>
          <cell r="DP249"/>
        </row>
        <row r="250">
          <cell r="A250">
            <v>597</v>
          </cell>
          <cell r="B250" t="str">
            <v>Ridderkerk</v>
          </cell>
          <cell r="C250">
            <v>8</v>
          </cell>
          <cell r="D250">
            <v>-2425</v>
          </cell>
          <cell r="E250">
            <v>-1212</v>
          </cell>
          <cell r="F250">
            <v>0</v>
          </cell>
          <cell r="G250">
            <v>462277</v>
          </cell>
          <cell r="H250">
            <v>-45831</v>
          </cell>
          <cell r="I250">
            <v>-52331</v>
          </cell>
          <cell r="J250"/>
          <cell r="K250">
            <v>0</v>
          </cell>
          <cell r="L250">
            <v>172261</v>
          </cell>
          <cell r="M250">
            <v>163152</v>
          </cell>
          <cell r="N250">
            <v>3400</v>
          </cell>
          <cell r="O250">
            <v>1700</v>
          </cell>
          <cell r="P250">
            <v>0</v>
          </cell>
          <cell r="Q250">
            <v>0</v>
          </cell>
          <cell r="R250">
            <v>0</v>
          </cell>
          <cell r="S250">
            <v>0</v>
          </cell>
          <cell r="T250">
            <v>0</v>
          </cell>
          <cell r="U250">
            <v>0</v>
          </cell>
          <cell r="V250">
            <v>3000</v>
          </cell>
          <cell r="W250">
            <v>153364</v>
          </cell>
          <cell r="X250">
            <v>0</v>
          </cell>
          <cell r="Y250"/>
          <cell r="Z250">
            <v>0</v>
          </cell>
          <cell r="AA250">
            <v>0</v>
          </cell>
          <cell r="AB250">
            <v>0</v>
          </cell>
          <cell r="AC250"/>
          <cell r="AD250">
            <v>28356</v>
          </cell>
          <cell r="AE250">
            <v>0</v>
          </cell>
          <cell r="AF250">
            <v>0</v>
          </cell>
          <cell r="AG250">
            <v>0</v>
          </cell>
          <cell r="AH250">
            <v>0</v>
          </cell>
          <cell r="AI250">
            <v>0</v>
          </cell>
          <cell r="AJ250">
            <v>0</v>
          </cell>
          <cell r="AK250">
            <v>0</v>
          </cell>
          <cell r="AL250"/>
          <cell r="AM250">
            <v>17509</v>
          </cell>
          <cell r="AN250">
            <v>17911</v>
          </cell>
          <cell r="AO250">
            <v>18323</v>
          </cell>
          <cell r="AP250">
            <v>18745</v>
          </cell>
          <cell r="AQ250">
            <v>19176</v>
          </cell>
          <cell r="AR250">
            <v>19617</v>
          </cell>
          <cell r="AS250">
            <v>0</v>
          </cell>
          <cell r="AT250">
            <v>0</v>
          </cell>
          <cell r="AU250">
            <v>4740</v>
          </cell>
          <cell r="AV250">
            <v>0</v>
          </cell>
          <cell r="AW250">
            <v>0</v>
          </cell>
          <cell r="AX250">
            <v>0</v>
          </cell>
          <cell r="AY250"/>
          <cell r="AZ250"/>
          <cell r="BA250">
            <v>0</v>
          </cell>
          <cell r="BB250"/>
          <cell r="BC250">
            <v>0</v>
          </cell>
          <cell r="BD250">
            <v>15940</v>
          </cell>
          <cell r="BE250"/>
          <cell r="BF250">
            <v>0</v>
          </cell>
          <cell r="BG250">
            <v>0</v>
          </cell>
          <cell r="BH250">
            <v>0</v>
          </cell>
          <cell r="BI250">
            <v>74218</v>
          </cell>
          <cell r="BJ250">
            <v>61092</v>
          </cell>
          <cell r="BK250">
            <v>61092</v>
          </cell>
          <cell r="BL250">
            <v>0</v>
          </cell>
          <cell r="BM250">
            <v>0</v>
          </cell>
          <cell r="BN250">
            <v>0</v>
          </cell>
          <cell r="BO250">
            <v>28213</v>
          </cell>
          <cell r="BP250">
            <v>25302.400000000001</v>
          </cell>
          <cell r="BQ250">
            <v>45581.395348837199</v>
          </cell>
          <cell r="BR250">
            <v>0</v>
          </cell>
          <cell r="BS250">
            <v>0</v>
          </cell>
          <cell r="BT250">
            <v>60019</v>
          </cell>
          <cell r="BU250"/>
          <cell r="BV250"/>
          <cell r="BW250"/>
          <cell r="BX250"/>
          <cell r="BY250">
            <v>0</v>
          </cell>
          <cell r="BZ250">
            <v>0</v>
          </cell>
          <cell r="CA250">
            <v>0</v>
          </cell>
          <cell r="CB250">
            <v>0</v>
          </cell>
          <cell r="CC250">
            <v>4396629</v>
          </cell>
          <cell r="CD250">
            <v>14195370</v>
          </cell>
          <cell r="CE250">
            <v>1043797</v>
          </cell>
          <cell r="CF250">
            <v>-41850</v>
          </cell>
          <cell r="CG250">
            <v>1043797</v>
          </cell>
          <cell r="CH250">
            <v>1043797</v>
          </cell>
          <cell r="CI250">
            <v>1043797</v>
          </cell>
          <cell r="CJ250">
            <v>1043797</v>
          </cell>
          <cell r="CK250">
            <v>0</v>
          </cell>
          <cell r="CL250">
            <v>0</v>
          </cell>
          <cell r="CM250">
            <v>0</v>
          </cell>
          <cell r="CN250">
            <v>0</v>
          </cell>
          <cell r="CO250">
            <v>0</v>
          </cell>
          <cell r="CP250">
            <v>-12696</v>
          </cell>
          <cell r="CQ250">
            <v>260282</v>
          </cell>
          <cell r="CR250">
            <v>288066</v>
          </cell>
          <cell r="CS250">
            <v>298000</v>
          </cell>
          <cell r="CT250">
            <v>323395</v>
          </cell>
          <cell r="CU250">
            <v>348661</v>
          </cell>
          <cell r="CV250">
            <v>-32835</v>
          </cell>
          <cell r="CW250">
            <v>0</v>
          </cell>
          <cell r="CX250">
            <v>0</v>
          </cell>
          <cell r="CY250">
            <v>0</v>
          </cell>
          <cell r="CZ250">
            <v>0</v>
          </cell>
          <cell r="DA250">
            <v>0</v>
          </cell>
          <cell r="DB250"/>
          <cell r="DC250">
            <v>0</v>
          </cell>
          <cell r="DD250">
            <v>0</v>
          </cell>
          <cell r="DE250">
            <v>0</v>
          </cell>
          <cell r="DF250">
            <v>0</v>
          </cell>
          <cell r="DG250">
            <v>0</v>
          </cell>
          <cell r="DH250">
            <v>0</v>
          </cell>
          <cell r="DI250">
            <v>0</v>
          </cell>
          <cell r="DJ250">
            <v>0</v>
          </cell>
          <cell r="DK250">
            <v>0</v>
          </cell>
          <cell r="DL250">
            <v>0</v>
          </cell>
          <cell r="DM250"/>
          <cell r="DN250"/>
          <cell r="DO250"/>
          <cell r="DP250"/>
        </row>
        <row r="251">
          <cell r="A251">
            <v>603</v>
          </cell>
          <cell r="B251" t="str">
            <v>Rijswijk</v>
          </cell>
          <cell r="C251">
            <v>8</v>
          </cell>
          <cell r="D251">
            <v>25712</v>
          </cell>
          <cell r="E251">
            <v>12856</v>
          </cell>
          <cell r="F251">
            <v>0</v>
          </cell>
          <cell r="G251">
            <v>196531</v>
          </cell>
          <cell r="H251">
            <v>0</v>
          </cell>
          <cell r="I251">
            <v>0</v>
          </cell>
          <cell r="J251"/>
          <cell r="K251">
            <v>0</v>
          </cell>
          <cell r="L251">
            <v>270667</v>
          </cell>
          <cell r="M251">
            <v>274975</v>
          </cell>
          <cell r="N251">
            <v>11100</v>
          </cell>
          <cell r="O251">
            <v>5500</v>
          </cell>
          <cell r="P251">
            <v>0</v>
          </cell>
          <cell r="Q251">
            <v>0</v>
          </cell>
          <cell r="R251">
            <v>0</v>
          </cell>
          <cell r="S251">
            <v>0</v>
          </cell>
          <cell r="T251">
            <v>0</v>
          </cell>
          <cell r="U251">
            <v>0</v>
          </cell>
          <cell r="V251">
            <v>9000</v>
          </cell>
          <cell r="W251">
            <v>140730</v>
          </cell>
          <cell r="X251">
            <v>0</v>
          </cell>
          <cell r="Y251"/>
          <cell r="Z251">
            <v>0</v>
          </cell>
          <cell r="AA251">
            <v>0</v>
          </cell>
          <cell r="AB251">
            <v>0</v>
          </cell>
          <cell r="AC251"/>
          <cell r="AD251">
            <v>0</v>
          </cell>
          <cell r="AE251">
            <v>0</v>
          </cell>
          <cell r="AF251">
            <v>0</v>
          </cell>
          <cell r="AG251">
            <v>0</v>
          </cell>
          <cell r="AH251">
            <v>0</v>
          </cell>
          <cell r="AI251">
            <v>0</v>
          </cell>
          <cell r="AJ251">
            <v>0</v>
          </cell>
          <cell r="AK251">
            <v>0</v>
          </cell>
          <cell r="AL251"/>
          <cell r="AM251">
            <v>0</v>
          </cell>
          <cell r="AN251">
            <v>0</v>
          </cell>
          <cell r="AO251">
            <v>0</v>
          </cell>
          <cell r="AP251">
            <v>0</v>
          </cell>
          <cell r="AQ251">
            <v>0</v>
          </cell>
          <cell r="AR251">
            <v>0</v>
          </cell>
          <cell r="AS251">
            <v>0</v>
          </cell>
          <cell r="AT251">
            <v>0</v>
          </cell>
          <cell r="AU251">
            <v>4740</v>
          </cell>
          <cell r="AV251">
            <v>0</v>
          </cell>
          <cell r="AW251">
            <v>0</v>
          </cell>
          <cell r="AX251">
            <v>0</v>
          </cell>
          <cell r="AY251"/>
          <cell r="AZ251"/>
          <cell r="BA251">
            <v>0</v>
          </cell>
          <cell r="BB251"/>
          <cell r="BC251">
            <v>0</v>
          </cell>
          <cell r="BD251">
            <v>17912</v>
          </cell>
          <cell r="BE251"/>
          <cell r="BF251">
            <v>0</v>
          </cell>
          <cell r="BG251">
            <v>0</v>
          </cell>
          <cell r="BH251">
            <v>0</v>
          </cell>
          <cell r="BI251">
            <v>102919</v>
          </cell>
          <cell r="BJ251">
            <v>84718</v>
          </cell>
          <cell r="BK251">
            <v>84718</v>
          </cell>
          <cell r="BL251">
            <v>0</v>
          </cell>
          <cell r="BM251">
            <v>0</v>
          </cell>
          <cell r="BN251">
            <v>0</v>
          </cell>
          <cell r="BO251">
            <v>36969</v>
          </cell>
          <cell r="BP251">
            <v>6325.6</v>
          </cell>
          <cell r="BQ251">
            <v>11395.3488372093</v>
          </cell>
          <cell r="BR251">
            <v>0</v>
          </cell>
          <cell r="BS251">
            <v>0</v>
          </cell>
          <cell r="BT251">
            <v>71273</v>
          </cell>
          <cell r="BU251"/>
          <cell r="BV251"/>
          <cell r="BW251"/>
          <cell r="BX251"/>
          <cell r="BY251">
            <v>0</v>
          </cell>
          <cell r="BZ251">
            <v>0</v>
          </cell>
          <cell r="CA251">
            <v>0</v>
          </cell>
          <cell r="CB251">
            <v>0</v>
          </cell>
          <cell r="CC251">
            <v>5035809</v>
          </cell>
          <cell r="CD251">
            <v>20315020</v>
          </cell>
          <cell r="CE251">
            <v>1182325</v>
          </cell>
          <cell r="CF251">
            <v>0</v>
          </cell>
          <cell r="CG251">
            <v>1182325</v>
          </cell>
          <cell r="CH251">
            <v>1182325</v>
          </cell>
          <cell r="CI251">
            <v>1182325</v>
          </cell>
          <cell r="CJ251">
            <v>1182325</v>
          </cell>
          <cell r="CK251">
            <v>0</v>
          </cell>
          <cell r="CL251">
            <v>0</v>
          </cell>
          <cell r="CM251">
            <v>0</v>
          </cell>
          <cell r="CN251">
            <v>0</v>
          </cell>
          <cell r="CO251">
            <v>0</v>
          </cell>
          <cell r="CP251">
            <v>0</v>
          </cell>
          <cell r="CQ251">
            <v>2266409</v>
          </cell>
          <cell r="CR251">
            <v>2187009</v>
          </cell>
          <cell r="CS251">
            <v>2124882</v>
          </cell>
          <cell r="CT251">
            <v>2096316</v>
          </cell>
          <cell r="CU251">
            <v>2105015</v>
          </cell>
          <cell r="CV251">
            <v>35248</v>
          </cell>
          <cell r="CW251">
            <v>0</v>
          </cell>
          <cell r="CX251">
            <v>0</v>
          </cell>
          <cell r="CY251">
            <v>0</v>
          </cell>
          <cell r="CZ251">
            <v>0</v>
          </cell>
          <cell r="DA251">
            <v>0</v>
          </cell>
          <cell r="DB251"/>
          <cell r="DC251">
            <v>0</v>
          </cell>
          <cell r="DD251">
            <v>0</v>
          </cell>
          <cell r="DE251">
            <v>0</v>
          </cell>
          <cell r="DF251">
            <v>0</v>
          </cell>
          <cell r="DG251">
            <v>0</v>
          </cell>
          <cell r="DH251">
            <v>0</v>
          </cell>
          <cell r="DI251">
            <v>0</v>
          </cell>
          <cell r="DJ251">
            <v>0</v>
          </cell>
          <cell r="DK251">
            <v>0</v>
          </cell>
          <cell r="DL251">
            <v>0</v>
          </cell>
          <cell r="DM251"/>
          <cell r="DN251"/>
          <cell r="DO251"/>
          <cell r="DP251"/>
        </row>
        <row r="252">
          <cell r="A252">
            <v>599</v>
          </cell>
          <cell r="B252" t="str">
            <v>Rotterdam</v>
          </cell>
          <cell r="C252">
            <v>8</v>
          </cell>
          <cell r="D252">
            <v>1647030</v>
          </cell>
          <cell r="E252">
            <v>823515</v>
          </cell>
          <cell r="F252">
            <v>0</v>
          </cell>
          <cell r="G252">
            <v>2113294</v>
          </cell>
          <cell r="H252">
            <v>-707280</v>
          </cell>
          <cell r="I252">
            <v>-417431</v>
          </cell>
          <cell r="J252"/>
          <cell r="K252">
            <v>0</v>
          </cell>
          <cell r="L252">
            <v>6167186</v>
          </cell>
          <cell r="M252">
            <v>6627528</v>
          </cell>
          <cell r="N252">
            <v>235300</v>
          </cell>
          <cell r="O252">
            <v>117500</v>
          </cell>
          <cell r="P252">
            <v>2111492</v>
          </cell>
          <cell r="Q252">
            <v>0</v>
          </cell>
          <cell r="R252">
            <v>0</v>
          </cell>
          <cell r="S252">
            <v>9259554</v>
          </cell>
          <cell r="T252">
            <v>9020433</v>
          </cell>
          <cell r="U252">
            <v>8980580</v>
          </cell>
          <cell r="V252">
            <v>75000</v>
          </cell>
          <cell r="W252">
            <v>2194528</v>
          </cell>
          <cell r="X252">
            <v>0</v>
          </cell>
          <cell r="Y252"/>
          <cell r="Z252">
            <v>0</v>
          </cell>
          <cell r="AA252">
            <v>30000</v>
          </cell>
          <cell r="AB252">
            <v>0</v>
          </cell>
          <cell r="AC252"/>
          <cell r="AD252">
            <v>1949733</v>
          </cell>
          <cell r="AE252">
            <v>0</v>
          </cell>
          <cell r="AF252">
            <v>0</v>
          </cell>
          <cell r="AG252">
            <v>0</v>
          </cell>
          <cell r="AH252">
            <v>0</v>
          </cell>
          <cell r="AI252">
            <v>0</v>
          </cell>
          <cell r="AJ252">
            <v>0</v>
          </cell>
          <cell r="AK252">
            <v>4407313</v>
          </cell>
          <cell r="AL252"/>
          <cell r="AM252">
            <v>4372</v>
          </cell>
          <cell r="AN252">
            <v>4472</v>
          </cell>
          <cell r="AO252">
            <v>4575</v>
          </cell>
          <cell r="AP252">
            <v>4681</v>
          </cell>
          <cell r="AQ252">
            <v>4788</v>
          </cell>
          <cell r="AR252">
            <v>4898</v>
          </cell>
          <cell r="AS252">
            <v>0</v>
          </cell>
          <cell r="AT252">
            <v>50000</v>
          </cell>
          <cell r="AU252">
            <v>26070</v>
          </cell>
          <cell r="AV252">
            <v>43072377.8062758</v>
          </cell>
          <cell r="AW252">
            <v>237716</v>
          </cell>
          <cell r="AX252">
            <v>333333</v>
          </cell>
          <cell r="AY252"/>
          <cell r="AZ252"/>
          <cell r="BA252">
            <v>0</v>
          </cell>
          <cell r="BB252"/>
          <cell r="BC252">
            <v>0</v>
          </cell>
          <cell r="BD252">
            <v>222788</v>
          </cell>
          <cell r="BE252"/>
          <cell r="BF252">
            <v>0</v>
          </cell>
          <cell r="BG252">
            <v>0</v>
          </cell>
          <cell r="BH252">
            <v>0</v>
          </cell>
          <cell r="BI252">
            <v>1535187</v>
          </cell>
          <cell r="BJ252">
            <v>1263687</v>
          </cell>
          <cell r="BK252">
            <v>1263687</v>
          </cell>
          <cell r="BL252">
            <v>0</v>
          </cell>
          <cell r="BM252">
            <v>158665</v>
          </cell>
          <cell r="BN252">
            <v>773850</v>
          </cell>
          <cell r="BO252">
            <v>2249243</v>
          </cell>
          <cell r="BP252">
            <v>254605.4</v>
          </cell>
          <cell r="BQ252">
            <v>458662.79069767398</v>
          </cell>
          <cell r="BR252">
            <v>644760</v>
          </cell>
          <cell r="BS252">
            <v>0</v>
          </cell>
          <cell r="BT252">
            <v>1416569</v>
          </cell>
          <cell r="BU252"/>
          <cell r="BV252"/>
          <cell r="BW252"/>
          <cell r="BX252"/>
          <cell r="BY252">
            <v>10758560.249068599</v>
          </cell>
          <cell r="BZ252">
            <v>12395945.472114099</v>
          </cell>
          <cell r="CA252">
            <v>12535822.601721</v>
          </cell>
          <cell r="CB252">
            <v>12930769.7911993</v>
          </cell>
          <cell r="CC252">
            <v>51963423</v>
          </cell>
          <cell r="CD252">
            <v>470009961</v>
          </cell>
          <cell r="CE252">
            <v>29968754</v>
          </cell>
          <cell r="CF252">
            <v>-1000745</v>
          </cell>
          <cell r="CG252">
            <v>29968754</v>
          </cell>
          <cell r="CH252">
            <v>29968754</v>
          </cell>
          <cell r="CI252">
            <v>29968754</v>
          </cell>
          <cell r="CJ252">
            <v>29968754</v>
          </cell>
          <cell r="CK252">
            <v>110162014</v>
          </cell>
          <cell r="CL252">
            <v>110106724</v>
          </cell>
          <cell r="CM252">
            <v>110105829</v>
          </cell>
          <cell r="CN252">
            <v>110103863</v>
          </cell>
          <cell r="CO252">
            <v>110106589</v>
          </cell>
          <cell r="CP252">
            <v>0</v>
          </cell>
          <cell r="CQ252">
            <v>53407895</v>
          </cell>
          <cell r="CR252">
            <v>50700144</v>
          </cell>
          <cell r="CS252">
            <v>49310149</v>
          </cell>
          <cell r="CT252">
            <v>48007455</v>
          </cell>
          <cell r="CU252">
            <v>46688892</v>
          </cell>
          <cell r="CV252">
            <v>-1153241</v>
          </cell>
          <cell r="CW252">
            <v>0</v>
          </cell>
          <cell r="CX252">
            <v>0</v>
          </cell>
          <cell r="CY252">
            <v>0</v>
          </cell>
          <cell r="CZ252">
            <v>250000</v>
          </cell>
          <cell r="DA252">
            <v>0</v>
          </cell>
          <cell r="DB252"/>
          <cell r="DC252">
            <v>0</v>
          </cell>
          <cell r="DD252">
            <v>0</v>
          </cell>
          <cell r="DE252">
            <v>0</v>
          </cell>
          <cell r="DF252">
            <v>0</v>
          </cell>
          <cell r="DG252">
            <v>0</v>
          </cell>
          <cell r="DH252">
            <v>0</v>
          </cell>
          <cell r="DI252">
            <v>0</v>
          </cell>
          <cell r="DJ252">
            <v>0</v>
          </cell>
          <cell r="DK252">
            <v>0</v>
          </cell>
          <cell r="DL252">
            <v>0</v>
          </cell>
          <cell r="DM252"/>
          <cell r="DN252"/>
          <cell r="DO252"/>
          <cell r="DP252"/>
        </row>
        <row r="253">
          <cell r="A253">
            <v>606</v>
          </cell>
          <cell r="B253" t="str">
            <v>Schiedam</v>
          </cell>
          <cell r="C253">
            <v>8</v>
          </cell>
          <cell r="D253">
            <v>43902</v>
          </cell>
          <cell r="E253">
            <v>21951</v>
          </cell>
          <cell r="F253">
            <v>0</v>
          </cell>
          <cell r="G253">
            <v>177799</v>
          </cell>
          <cell r="H253">
            <v>-17693</v>
          </cell>
          <cell r="I253">
            <v>-62924</v>
          </cell>
          <cell r="J253"/>
          <cell r="K253">
            <v>0</v>
          </cell>
          <cell r="L253">
            <v>597362</v>
          </cell>
          <cell r="M253">
            <v>612205</v>
          </cell>
          <cell r="N253">
            <v>0</v>
          </cell>
          <cell r="O253">
            <v>0</v>
          </cell>
          <cell r="P253">
            <v>0</v>
          </cell>
          <cell r="Q253">
            <v>0</v>
          </cell>
          <cell r="R253">
            <v>0</v>
          </cell>
          <cell r="S253">
            <v>494975</v>
          </cell>
          <cell r="T253">
            <v>494975</v>
          </cell>
          <cell r="U253">
            <v>494975</v>
          </cell>
          <cell r="V253">
            <v>9000</v>
          </cell>
          <cell r="W253">
            <v>281848</v>
          </cell>
          <cell r="X253">
            <v>0</v>
          </cell>
          <cell r="Y253"/>
          <cell r="Z253">
            <v>0</v>
          </cell>
          <cell r="AA253">
            <v>0</v>
          </cell>
          <cell r="AB253">
            <v>0</v>
          </cell>
          <cell r="AC253"/>
          <cell r="AD253">
            <v>109513</v>
          </cell>
          <cell r="AE253">
            <v>0</v>
          </cell>
          <cell r="AF253">
            <v>0</v>
          </cell>
          <cell r="AG253">
            <v>0</v>
          </cell>
          <cell r="AH253">
            <v>0</v>
          </cell>
          <cell r="AI253">
            <v>0</v>
          </cell>
          <cell r="AJ253">
            <v>0</v>
          </cell>
          <cell r="AK253">
            <v>316901</v>
          </cell>
          <cell r="AL253"/>
          <cell r="AM253">
            <v>0</v>
          </cell>
          <cell r="AN253">
            <v>0</v>
          </cell>
          <cell r="AO253">
            <v>0</v>
          </cell>
          <cell r="AP253">
            <v>0</v>
          </cell>
          <cell r="AQ253">
            <v>0</v>
          </cell>
          <cell r="AR253">
            <v>0</v>
          </cell>
          <cell r="AS253">
            <v>0</v>
          </cell>
          <cell r="AT253">
            <v>20000</v>
          </cell>
          <cell r="AU253">
            <v>4740</v>
          </cell>
          <cell r="AV253">
            <v>0</v>
          </cell>
          <cell r="AW253">
            <v>0</v>
          </cell>
          <cell r="AX253">
            <v>0</v>
          </cell>
          <cell r="AY253"/>
          <cell r="AZ253"/>
          <cell r="BA253">
            <v>0</v>
          </cell>
          <cell r="BB253"/>
          <cell r="BC253">
            <v>0</v>
          </cell>
          <cell r="BD253">
            <v>27324</v>
          </cell>
          <cell r="BE253"/>
          <cell r="BF253">
            <v>0</v>
          </cell>
          <cell r="BG253">
            <v>0</v>
          </cell>
          <cell r="BH253">
            <v>0</v>
          </cell>
          <cell r="BI253">
            <v>166610</v>
          </cell>
          <cell r="BJ253">
            <v>137145</v>
          </cell>
          <cell r="BK253">
            <v>137145</v>
          </cell>
          <cell r="BL253">
            <v>0</v>
          </cell>
          <cell r="BM253">
            <v>0</v>
          </cell>
          <cell r="BN253">
            <v>0</v>
          </cell>
          <cell r="BO253">
            <v>138632</v>
          </cell>
          <cell r="BP253">
            <v>9488.4</v>
          </cell>
          <cell r="BQ253">
            <v>17093.023255814001</v>
          </cell>
          <cell r="BR253">
            <v>155000</v>
          </cell>
          <cell r="BS253">
            <v>0</v>
          </cell>
          <cell r="BT253">
            <v>133174</v>
          </cell>
          <cell r="BU253"/>
          <cell r="BV253"/>
          <cell r="BW253"/>
          <cell r="BX253"/>
          <cell r="BY253">
            <v>0</v>
          </cell>
          <cell r="BZ253">
            <v>0</v>
          </cell>
          <cell r="CA253">
            <v>0</v>
          </cell>
          <cell r="CB253">
            <v>0</v>
          </cell>
          <cell r="CC253">
            <v>6413141</v>
          </cell>
          <cell r="CD253">
            <v>42240612</v>
          </cell>
          <cell r="CE253">
            <v>2001777</v>
          </cell>
          <cell r="CF253">
            <v>-79538</v>
          </cell>
          <cell r="CG253">
            <v>2001777</v>
          </cell>
          <cell r="CH253">
            <v>2001777</v>
          </cell>
          <cell r="CI253">
            <v>2001777</v>
          </cell>
          <cell r="CJ253">
            <v>2001777</v>
          </cell>
          <cell r="CK253">
            <v>0</v>
          </cell>
          <cell r="CL253">
            <v>0</v>
          </cell>
          <cell r="CM253">
            <v>0</v>
          </cell>
          <cell r="CN253">
            <v>0</v>
          </cell>
          <cell r="CO253">
            <v>0</v>
          </cell>
          <cell r="CP253">
            <v>-10724</v>
          </cell>
          <cell r="CQ253">
            <v>10971086</v>
          </cell>
          <cell r="CR253">
            <v>10526195</v>
          </cell>
          <cell r="CS253">
            <v>10282854</v>
          </cell>
          <cell r="CT253">
            <v>10037191</v>
          </cell>
          <cell r="CU253">
            <v>9689206</v>
          </cell>
          <cell r="CV253">
            <v>-33818</v>
          </cell>
          <cell r="CW253">
            <v>0</v>
          </cell>
          <cell r="CX253">
            <v>0</v>
          </cell>
          <cell r="CY253">
            <v>0</v>
          </cell>
          <cell r="CZ253">
            <v>0</v>
          </cell>
          <cell r="DA253">
            <v>0</v>
          </cell>
          <cell r="DB253"/>
          <cell r="DC253">
            <v>0</v>
          </cell>
          <cell r="DD253">
            <v>0</v>
          </cell>
          <cell r="DE253">
            <v>0</v>
          </cell>
          <cell r="DF253">
            <v>0</v>
          </cell>
          <cell r="DG253">
            <v>0</v>
          </cell>
          <cell r="DH253">
            <v>0</v>
          </cell>
          <cell r="DI253">
            <v>0</v>
          </cell>
          <cell r="DJ253">
            <v>0</v>
          </cell>
          <cell r="DK253">
            <v>0</v>
          </cell>
          <cell r="DL253">
            <v>0</v>
          </cell>
          <cell r="DM253"/>
          <cell r="DN253"/>
          <cell r="DO253"/>
          <cell r="DP253"/>
        </row>
        <row r="254">
          <cell r="A254">
            <v>518</v>
          </cell>
          <cell r="B254" t="str">
            <v>'s-Gravenhage</v>
          </cell>
          <cell r="C254">
            <v>8</v>
          </cell>
          <cell r="D254">
            <v>328493</v>
          </cell>
          <cell r="E254">
            <v>164247</v>
          </cell>
          <cell r="F254">
            <v>0</v>
          </cell>
          <cell r="G254">
            <v>300822</v>
          </cell>
          <cell r="H254">
            <v>-649117</v>
          </cell>
          <cell r="I254">
            <v>-356921</v>
          </cell>
          <cell r="J254"/>
          <cell r="K254">
            <v>7500</v>
          </cell>
          <cell r="L254">
            <v>4477347</v>
          </cell>
          <cell r="M254">
            <v>4510820</v>
          </cell>
          <cell r="N254">
            <v>75900</v>
          </cell>
          <cell r="O254">
            <v>37900</v>
          </cell>
          <cell r="P254">
            <v>1654253</v>
          </cell>
          <cell r="Q254">
            <v>0</v>
          </cell>
          <cell r="R254">
            <v>0</v>
          </cell>
          <cell r="S254">
            <v>1537435</v>
          </cell>
          <cell r="T254">
            <v>1537435</v>
          </cell>
          <cell r="U254">
            <v>1537435</v>
          </cell>
          <cell r="V254">
            <v>373250</v>
          </cell>
          <cell r="W254">
            <v>1788472</v>
          </cell>
          <cell r="X254">
            <v>0</v>
          </cell>
          <cell r="Y254"/>
          <cell r="Z254">
            <v>0</v>
          </cell>
          <cell r="AA254">
            <v>40000</v>
          </cell>
          <cell r="AB254">
            <v>0</v>
          </cell>
          <cell r="AC254"/>
          <cell r="AD254">
            <v>766595</v>
          </cell>
          <cell r="AE254">
            <v>0</v>
          </cell>
          <cell r="AF254">
            <v>0</v>
          </cell>
          <cell r="AG254">
            <v>0</v>
          </cell>
          <cell r="AH254">
            <v>0</v>
          </cell>
          <cell r="AI254">
            <v>0</v>
          </cell>
          <cell r="AJ254">
            <v>0</v>
          </cell>
          <cell r="AK254">
            <v>2139274</v>
          </cell>
          <cell r="AL254"/>
          <cell r="AM254">
            <v>0</v>
          </cell>
          <cell r="AN254">
            <v>0</v>
          </cell>
          <cell r="AO254">
            <v>0</v>
          </cell>
          <cell r="AP254">
            <v>0</v>
          </cell>
          <cell r="AQ254">
            <v>0</v>
          </cell>
          <cell r="AR254">
            <v>0</v>
          </cell>
          <cell r="AS254">
            <v>0</v>
          </cell>
          <cell r="AT254">
            <v>50000</v>
          </cell>
          <cell r="AU254">
            <v>40290</v>
          </cell>
          <cell r="AV254">
            <v>30927456.724216599</v>
          </cell>
          <cell r="AW254">
            <v>63086</v>
          </cell>
          <cell r="AX254">
            <v>0</v>
          </cell>
          <cell r="AY254"/>
          <cell r="AZ254"/>
          <cell r="BA254">
            <v>4376</v>
          </cell>
          <cell r="BB254"/>
          <cell r="BC254">
            <v>0</v>
          </cell>
          <cell r="BD254">
            <v>184252</v>
          </cell>
          <cell r="BE254"/>
          <cell r="BF254">
            <v>0</v>
          </cell>
          <cell r="BG254">
            <v>0</v>
          </cell>
          <cell r="BH254">
            <v>0</v>
          </cell>
          <cell r="BI254">
            <v>1061820</v>
          </cell>
          <cell r="BJ254">
            <v>874035</v>
          </cell>
          <cell r="BK254">
            <v>874035</v>
          </cell>
          <cell r="BL254">
            <v>0</v>
          </cell>
          <cell r="BM254">
            <v>131221</v>
          </cell>
          <cell r="BN254">
            <v>585200</v>
          </cell>
          <cell r="BO254">
            <v>305963</v>
          </cell>
          <cell r="BP254">
            <v>270419.40000000002</v>
          </cell>
          <cell r="BQ254">
            <v>487151.162790698</v>
          </cell>
          <cell r="BR254">
            <v>1142770</v>
          </cell>
          <cell r="BS254">
            <v>0</v>
          </cell>
          <cell r="BT254">
            <v>1055189</v>
          </cell>
          <cell r="BU254"/>
          <cell r="BV254"/>
          <cell r="BW254"/>
          <cell r="BX254"/>
          <cell r="BY254">
            <v>9961140.2722748108</v>
          </cell>
          <cell r="BZ254">
            <v>11408407.6255688</v>
          </cell>
          <cell r="CA254">
            <v>11532043.5301215</v>
          </cell>
          <cell r="CB254">
            <v>11881133.1429764</v>
          </cell>
          <cell r="CC254">
            <v>36964959</v>
          </cell>
          <cell r="CD254">
            <v>344795852</v>
          </cell>
          <cell r="CE254">
            <v>16581150</v>
          </cell>
          <cell r="CF254">
            <v>-853082</v>
          </cell>
          <cell r="CG254">
            <v>16441150</v>
          </cell>
          <cell r="CH254">
            <v>16441150</v>
          </cell>
          <cell r="CI254">
            <v>16441150</v>
          </cell>
          <cell r="CJ254">
            <v>16441150</v>
          </cell>
          <cell r="CK254">
            <v>81457502</v>
          </cell>
          <cell r="CL254">
            <v>81416618</v>
          </cell>
          <cell r="CM254">
            <v>81415957</v>
          </cell>
          <cell r="CN254">
            <v>81414502</v>
          </cell>
          <cell r="CO254">
            <v>81416518</v>
          </cell>
          <cell r="CP254">
            <v>0</v>
          </cell>
          <cell r="CQ254">
            <v>44044289</v>
          </cell>
          <cell r="CR254">
            <v>41948269</v>
          </cell>
          <cell r="CS254">
            <v>40514075</v>
          </cell>
          <cell r="CT254">
            <v>39433871</v>
          </cell>
          <cell r="CU254">
            <v>38469868</v>
          </cell>
          <cell r="CV254">
            <v>-1217832</v>
          </cell>
          <cell r="CW254">
            <v>0</v>
          </cell>
          <cell r="CX254">
            <v>0</v>
          </cell>
          <cell r="CY254">
            <v>0</v>
          </cell>
          <cell r="CZ254">
            <v>0</v>
          </cell>
          <cell r="DA254">
            <v>0</v>
          </cell>
          <cell r="DB254"/>
          <cell r="DC254">
            <v>300000</v>
          </cell>
          <cell r="DD254">
            <v>0</v>
          </cell>
          <cell r="DE254">
            <v>0</v>
          </cell>
          <cell r="DF254">
            <v>0</v>
          </cell>
          <cell r="DG254">
            <v>0</v>
          </cell>
          <cell r="DH254">
            <v>0</v>
          </cell>
          <cell r="DI254">
            <v>0</v>
          </cell>
          <cell r="DJ254">
            <v>0</v>
          </cell>
          <cell r="DK254">
            <v>0</v>
          </cell>
          <cell r="DL254">
            <v>0</v>
          </cell>
          <cell r="DM254"/>
          <cell r="DN254"/>
          <cell r="DO254"/>
          <cell r="DP254"/>
        </row>
        <row r="255">
          <cell r="A255">
            <v>610</v>
          </cell>
          <cell r="B255" t="str">
            <v>Sliedrecht</v>
          </cell>
          <cell r="C255">
            <v>8</v>
          </cell>
          <cell r="D255">
            <v>-16896</v>
          </cell>
          <cell r="E255">
            <v>-8448</v>
          </cell>
          <cell r="F255">
            <v>0</v>
          </cell>
          <cell r="G255">
            <v>0</v>
          </cell>
          <cell r="H255">
            <v>-57637</v>
          </cell>
          <cell r="I255">
            <v>-52772</v>
          </cell>
          <cell r="J255"/>
          <cell r="K255">
            <v>0</v>
          </cell>
          <cell r="L255">
            <v>106504</v>
          </cell>
          <cell r="M255">
            <v>104728</v>
          </cell>
          <cell r="N255">
            <v>0</v>
          </cell>
          <cell r="O255">
            <v>0</v>
          </cell>
          <cell r="P255">
            <v>0</v>
          </cell>
          <cell r="Q255">
            <v>0</v>
          </cell>
          <cell r="R255">
            <v>0</v>
          </cell>
          <cell r="S255">
            <v>0</v>
          </cell>
          <cell r="T255">
            <v>0</v>
          </cell>
          <cell r="U255">
            <v>0</v>
          </cell>
          <cell r="V255">
            <v>3000</v>
          </cell>
          <cell r="W255">
            <v>71925</v>
          </cell>
          <cell r="X255">
            <v>0</v>
          </cell>
          <cell r="Y255"/>
          <cell r="Z255">
            <v>0</v>
          </cell>
          <cell r="AA255">
            <v>0</v>
          </cell>
          <cell r="AB255">
            <v>0</v>
          </cell>
          <cell r="AC255"/>
          <cell r="AD255">
            <v>0</v>
          </cell>
          <cell r="AE255">
            <v>0</v>
          </cell>
          <cell r="AF255">
            <v>0</v>
          </cell>
          <cell r="AG255">
            <v>0</v>
          </cell>
          <cell r="AH255">
            <v>0</v>
          </cell>
          <cell r="AI255">
            <v>0</v>
          </cell>
          <cell r="AJ255">
            <v>0</v>
          </cell>
          <cell r="AK255">
            <v>0</v>
          </cell>
          <cell r="AL255"/>
          <cell r="AM255">
            <v>10350</v>
          </cell>
          <cell r="AN255">
            <v>10588</v>
          </cell>
          <cell r="AO255">
            <v>10831</v>
          </cell>
          <cell r="AP255">
            <v>11081</v>
          </cell>
          <cell r="AQ255">
            <v>11335</v>
          </cell>
          <cell r="AR255">
            <v>11596</v>
          </cell>
          <cell r="AS255">
            <v>0</v>
          </cell>
          <cell r="AT255">
            <v>0</v>
          </cell>
          <cell r="AU255">
            <v>0</v>
          </cell>
          <cell r="AV255">
            <v>0</v>
          </cell>
          <cell r="AW255">
            <v>0</v>
          </cell>
          <cell r="AX255">
            <v>0</v>
          </cell>
          <cell r="AY255"/>
          <cell r="AZ255"/>
          <cell r="BA255">
            <v>0</v>
          </cell>
          <cell r="BB255"/>
          <cell r="BC255">
            <v>0</v>
          </cell>
          <cell r="BD255">
            <v>8780</v>
          </cell>
          <cell r="BE255"/>
          <cell r="BF255">
            <v>0</v>
          </cell>
          <cell r="BG255">
            <v>0</v>
          </cell>
          <cell r="BH255">
            <v>0</v>
          </cell>
          <cell r="BI255">
            <v>37802</v>
          </cell>
          <cell r="BJ255">
            <v>31117</v>
          </cell>
          <cell r="BK255">
            <v>31117</v>
          </cell>
          <cell r="BL255">
            <v>0</v>
          </cell>
          <cell r="BM255">
            <v>0</v>
          </cell>
          <cell r="BN255">
            <v>0</v>
          </cell>
          <cell r="BO255">
            <v>148361</v>
          </cell>
          <cell r="BP255">
            <v>0</v>
          </cell>
          <cell r="BQ255">
            <v>0</v>
          </cell>
          <cell r="BR255">
            <v>0</v>
          </cell>
          <cell r="BS255">
            <v>0</v>
          </cell>
          <cell r="BT255">
            <v>38160</v>
          </cell>
          <cell r="BU255"/>
          <cell r="BV255"/>
          <cell r="BW255"/>
          <cell r="BX255"/>
          <cell r="BY255">
            <v>0</v>
          </cell>
          <cell r="BZ255">
            <v>0</v>
          </cell>
          <cell r="CA255">
            <v>0</v>
          </cell>
          <cell r="CB255">
            <v>0</v>
          </cell>
          <cell r="CC255">
            <v>2320195</v>
          </cell>
          <cell r="CD255">
            <v>13026516</v>
          </cell>
          <cell r="CE255">
            <v>738295</v>
          </cell>
          <cell r="CF255">
            <v>-60962</v>
          </cell>
          <cell r="CG255">
            <v>738295</v>
          </cell>
          <cell r="CH255">
            <v>738295</v>
          </cell>
          <cell r="CI255">
            <v>738295</v>
          </cell>
          <cell r="CJ255">
            <v>738295</v>
          </cell>
          <cell r="CK255">
            <v>0</v>
          </cell>
          <cell r="CL255">
            <v>0</v>
          </cell>
          <cell r="CM255">
            <v>0</v>
          </cell>
          <cell r="CN255">
            <v>0</v>
          </cell>
          <cell r="CO255">
            <v>0</v>
          </cell>
          <cell r="CP255">
            <v>-9779</v>
          </cell>
          <cell r="CQ255">
            <v>2354196</v>
          </cell>
          <cell r="CR255">
            <v>2268764</v>
          </cell>
          <cell r="CS255">
            <v>2166500</v>
          </cell>
          <cell r="CT255">
            <v>2096732</v>
          </cell>
          <cell r="CU255">
            <v>2012333</v>
          </cell>
          <cell r="CV255">
            <v>2529</v>
          </cell>
          <cell r="CW255">
            <v>0</v>
          </cell>
          <cell r="CX255">
            <v>0</v>
          </cell>
          <cell r="CY255">
            <v>0</v>
          </cell>
          <cell r="CZ255">
            <v>0</v>
          </cell>
          <cell r="DA255">
            <v>0</v>
          </cell>
          <cell r="DB255"/>
          <cell r="DC255">
            <v>0</v>
          </cell>
          <cell r="DD255">
            <v>0</v>
          </cell>
          <cell r="DE255">
            <v>0</v>
          </cell>
          <cell r="DF255">
            <v>0</v>
          </cell>
          <cell r="DG255">
            <v>0</v>
          </cell>
          <cell r="DH255">
            <v>0</v>
          </cell>
          <cell r="DI255">
            <v>0</v>
          </cell>
          <cell r="DJ255">
            <v>0</v>
          </cell>
          <cell r="DK255">
            <v>0</v>
          </cell>
          <cell r="DL255">
            <v>0</v>
          </cell>
          <cell r="DM255"/>
          <cell r="DN255"/>
          <cell r="DO255"/>
          <cell r="DP255"/>
        </row>
        <row r="256">
          <cell r="A256">
            <v>617</v>
          </cell>
          <cell r="B256" t="str">
            <v>Strijen</v>
          </cell>
          <cell r="C256">
            <v>8</v>
          </cell>
          <cell r="D256">
            <v>-6918</v>
          </cell>
          <cell r="E256">
            <v>-3459</v>
          </cell>
          <cell r="F256">
            <v>0</v>
          </cell>
          <cell r="G256">
            <v>0</v>
          </cell>
          <cell r="H256">
            <v>-196</v>
          </cell>
          <cell r="I256">
            <v>0</v>
          </cell>
          <cell r="J256"/>
          <cell r="K256">
            <v>0</v>
          </cell>
          <cell r="L256">
            <v>19100</v>
          </cell>
          <cell r="M256">
            <v>19998</v>
          </cell>
          <cell r="N256">
            <v>0</v>
          </cell>
          <cell r="O256">
            <v>0</v>
          </cell>
          <cell r="P256">
            <v>0</v>
          </cell>
          <cell r="Q256">
            <v>0</v>
          </cell>
          <cell r="R256">
            <v>0</v>
          </cell>
          <cell r="S256">
            <v>0</v>
          </cell>
          <cell r="T256">
            <v>0</v>
          </cell>
          <cell r="U256">
            <v>0</v>
          </cell>
          <cell r="V256">
            <v>0</v>
          </cell>
          <cell r="W256">
            <v>32730</v>
          </cell>
          <cell r="X256">
            <v>0</v>
          </cell>
          <cell r="Y256"/>
          <cell r="Z256">
            <v>0</v>
          </cell>
          <cell r="AA256">
            <v>0</v>
          </cell>
          <cell r="AB256">
            <v>0</v>
          </cell>
          <cell r="AC256"/>
          <cell r="AD256">
            <v>0</v>
          </cell>
          <cell r="AE256">
            <v>0</v>
          </cell>
          <cell r="AF256">
            <v>0</v>
          </cell>
          <cell r="AG256">
            <v>0</v>
          </cell>
          <cell r="AH256">
            <v>0</v>
          </cell>
          <cell r="AI256">
            <v>0</v>
          </cell>
          <cell r="AJ256">
            <v>0</v>
          </cell>
          <cell r="AK256">
            <v>0</v>
          </cell>
          <cell r="AL256"/>
          <cell r="AM256">
            <v>45907</v>
          </cell>
          <cell r="AN256">
            <v>46962</v>
          </cell>
          <cell r="AO256">
            <v>48043</v>
          </cell>
          <cell r="AP256">
            <v>49148</v>
          </cell>
          <cell r="AQ256">
            <v>50278</v>
          </cell>
          <cell r="AR256">
            <v>51434</v>
          </cell>
          <cell r="AS256">
            <v>0</v>
          </cell>
          <cell r="AT256">
            <v>0</v>
          </cell>
          <cell r="AU256">
            <v>2370</v>
          </cell>
          <cell r="AV256">
            <v>0</v>
          </cell>
          <cell r="AW256">
            <v>0</v>
          </cell>
          <cell r="AX256">
            <v>0</v>
          </cell>
          <cell r="AY256"/>
          <cell r="AZ256"/>
          <cell r="BA256">
            <v>0</v>
          </cell>
          <cell r="BB256"/>
          <cell r="BC256">
            <v>0</v>
          </cell>
          <cell r="BD256">
            <v>15413</v>
          </cell>
          <cell r="BE256"/>
          <cell r="BF256">
            <v>0</v>
          </cell>
          <cell r="BG256">
            <v>0</v>
          </cell>
          <cell r="BH256">
            <v>0</v>
          </cell>
          <cell r="BI256">
            <v>10767</v>
          </cell>
          <cell r="BJ256">
            <v>8863</v>
          </cell>
          <cell r="BK256">
            <v>8863</v>
          </cell>
          <cell r="BL256">
            <v>0</v>
          </cell>
          <cell r="BM256">
            <v>0</v>
          </cell>
          <cell r="BN256">
            <v>0</v>
          </cell>
          <cell r="BO256">
            <v>41346</v>
          </cell>
          <cell r="BP256">
            <v>11069.8</v>
          </cell>
          <cell r="BQ256">
            <v>19941.8604651163</v>
          </cell>
          <cell r="BR256">
            <v>0</v>
          </cell>
          <cell r="BS256">
            <v>0</v>
          </cell>
          <cell r="BT256">
            <v>14807</v>
          </cell>
          <cell r="BU256"/>
          <cell r="BV256"/>
          <cell r="BW256"/>
          <cell r="BX256"/>
          <cell r="BY256">
            <v>0</v>
          </cell>
          <cell r="BZ256">
            <v>0</v>
          </cell>
          <cell r="CA256">
            <v>0</v>
          </cell>
          <cell r="CB256">
            <v>0</v>
          </cell>
          <cell r="CC256">
            <v>641484</v>
          </cell>
          <cell r="CD256">
            <v>3479105</v>
          </cell>
          <cell r="CE256">
            <v>611494</v>
          </cell>
          <cell r="CF256">
            <v>0</v>
          </cell>
          <cell r="CG256">
            <v>611494</v>
          </cell>
          <cell r="CH256">
            <v>611494</v>
          </cell>
          <cell r="CI256">
            <v>611494</v>
          </cell>
          <cell r="CJ256">
            <v>611494</v>
          </cell>
          <cell r="CK256">
            <v>0</v>
          </cell>
          <cell r="CL256">
            <v>0</v>
          </cell>
          <cell r="CM256">
            <v>0</v>
          </cell>
          <cell r="CN256">
            <v>0</v>
          </cell>
          <cell r="CO256">
            <v>0</v>
          </cell>
          <cell r="CP256">
            <v>0</v>
          </cell>
          <cell r="CQ256">
            <v>569301</v>
          </cell>
          <cell r="CR256">
            <v>542338</v>
          </cell>
          <cell r="CS256">
            <v>524328</v>
          </cell>
          <cell r="CT256">
            <v>526874</v>
          </cell>
          <cell r="CU256">
            <v>521670</v>
          </cell>
          <cell r="CV256">
            <v>16132</v>
          </cell>
          <cell r="CW256">
            <v>0</v>
          </cell>
          <cell r="CX256">
            <v>0</v>
          </cell>
          <cell r="CY256">
            <v>0</v>
          </cell>
          <cell r="CZ256">
            <v>0</v>
          </cell>
          <cell r="DA256">
            <v>0</v>
          </cell>
          <cell r="DB256"/>
          <cell r="DC256">
            <v>0</v>
          </cell>
          <cell r="DD256">
            <v>0</v>
          </cell>
          <cell r="DE256">
            <v>0</v>
          </cell>
          <cell r="DF256">
            <v>0</v>
          </cell>
          <cell r="DG256">
            <v>0</v>
          </cell>
          <cell r="DH256">
            <v>0</v>
          </cell>
          <cell r="DI256">
            <v>0</v>
          </cell>
          <cell r="DJ256">
            <v>0</v>
          </cell>
          <cell r="DK256">
            <v>0</v>
          </cell>
          <cell r="DL256">
            <v>0</v>
          </cell>
          <cell r="DM256"/>
          <cell r="DN256"/>
          <cell r="DO256"/>
          <cell r="DP256"/>
        </row>
        <row r="257">
          <cell r="A257">
            <v>1525</v>
          </cell>
          <cell r="B257" t="str">
            <v>Teylingen</v>
          </cell>
          <cell r="C257">
            <v>8</v>
          </cell>
          <cell r="D257">
            <v>-48101</v>
          </cell>
          <cell r="E257">
            <v>-24051</v>
          </cell>
          <cell r="F257">
            <v>0</v>
          </cell>
          <cell r="G257">
            <v>11369</v>
          </cell>
          <cell r="H257">
            <v>0</v>
          </cell>
          <cell r="I257">
            <v>0</v>
          </cell>
          <cell r="J257"/>
          <cell r="K257">
            <v>0</v>
          </cell>
          <cell r="L257">
            <v>86190</v>
          </cell>
          <cell r="M257">
            <v>78826</v>
          </cell>
          <cell r="N257">
            <v>0</v>
          </cell>
          <cell r="O257">
            <v>0</v>
          </cell>
          <cell r="P257">
            <v>0</v>
          </cell>
          <cell r="Q257">
            <v>0</v>
          </cell>
          <cell r="R257">
            <v>0</v>
          </cell>
          <cell r="S257">
            <v>0</v>
          </cell>
          <cell r="T257">
            <v>0</v>
          </cell>
          <cell r="U257">
            <v>0</v>
          </cell>
          <cell r="V257">
            <v>9000</v>
          </cell>
          <cell r="W257">
            <v>70713</v>
          </cell>
          <cell r="X257">
            <v>0</v>
          </cell>
          <cell r="Y257"/>
          <cell r="Z257">
            <v>0</v>
          </cell>
          <cell r="AA257">
            <v>0</v>
          </cell>
          <cell r="AB257">
            <v>0</v>
          </cell>
          <cell r="AC257"/>
          <cell r="AD257">
            <v>0</v>
          </cell>
          <cell r="AE257">
            <v>0</v>
          </cell>
          <cell r="AF257">
            <v>0</v>
          </cell>
          <cell r="AG257">
            <v>0</v>
          </cell>
          <cell r="AH257">
            <v>0</v>
          </cell>
          <cell r="AI257">
            <v>0</v>
          </cell>
          <cell r="AJ257">
            <v>0</v>
          </cell>
          <cell r="AK257">
            <v>0</v>
          </cell>
          <cell r="AL257"/>
          <cell r="AM257">
            <v>0</v>
          </cell>
          <cell r="AN257">
            <v>0</v>
          </cell>
          <cell r="AO257">
            <v>0</v>
          </cell>
          <cell r="AP257">
            <v>0</v>
          </cell>
          <cell r="AQ257">
            <v>0</v>
          </cell>
          <cell r="AR257">
            <v>0</v>
          </cell>
          <cell r="AS257">
            <v>0</v>
          </cell>
          <cell r="AT257">
            <v>0</v>
          </cell>
          <cell r="AU257">
            <v>9480</v>
          </cell>
          <cell r="AV257">
            <v>0</v>
          </cell>
          <cell r="AW257">
            <v>0</v>
          </cell>
          <cell r="AX257">
            <v>0</v>
          </cell>
          <cell r="AY257"/>
          <cell r="AZ257"/>
          <cell r="BA257">
            <v>0</v>
          </cell>
          <cell r="BB257"/>
          <cell r="BC257">
            <v>0</v>
          </cell>
          <cell r="BD257">
            <v>12670</v>
          </cell>
          <cell r="BE257"/>
          <cell r="BF257">
            <v>0</v>
          </cell>
          <cell r="BG257">
            <v>0</v>
          </cell>
          <cell r="BH257">
            <v>0</v>
          </cell>
          <cell r="BI257">
            <v>36372</v>
          </cell>
          <cell r="BJ257">
            <v>29940</v>
          </cell>
          <cell r="BK257">
            <v>29940</v>
          </cell>
          <cell r="BL257">
            <v>0</v>
          </cell>
          <cell r="BM257">
            <v>0</v>
          </cell>
          <cell r="BN257">
            <v>0</v>
          </cell>
          <cell r="BO257">
            <v>57885</v>
          </cell>
          <cell r="BP257">
            <v>41116.400000000001</v>
          </cell>
          <cell r="BQ257">
            <v>74069.767441860502</v>
          </cell>
          <cell r="BR257">
            <v>0</v>
          </cell>
          <cell r="BS257">
            <v>0</v>
          </cell>
          <cell r="BT257">
            <v>55944</v>
          </cell>
          <cell r="BU257"/>
          <cell r="BV257"/>
          <cell r="BW257"/>
          <cell r="BX257"/>
          <cell r="BY257">
            <v>0</v>
          </cell>
          <cell r="BZ257">
            <v>0</v>
          </cell>
          <cell r="CA257">
            <v>0</v>
          </cell>
          <cell r="CB257">
            <v>0</v>
          </cell>
          <cell r="CC257">
            <v>2087675</v>
          </cell>
          <cell r="CD257">
            <v>13156836</v>
          </cell>
          <cell r="CE257">
            <v>1337343</v>
          </cell>
          <cell r="CF257">
            <v>0</v>
          </cell>
          <cell r="CG257">
            <v>1337343</v>
          </cell>
          <cell r="CH257">
            <v>1337343</v>
          </cell>
          <cell r="CI257">
            <v>1337343</v>
          </cell>
          <cell r="CJ257">
            <v>1337343</v>
          </cell>
          <cell r="CK257">
            <v>0</v>
          </cell>
          <cell r="CL257">
            <v>0</v>
          </cell>
          <cell r="CM257">
            <v>0</v>
          </cell>
          <cell r="CN257">
            <v>0</v>
          </cell>
          <cell r="CO257">
            <v>0</v>
          </cell>
          <cell r="CP257">
            <v>0</v>
          </cell>
          <cell r="CQ257">
            <v>2753973</v>
          </cell>
          <cell r="CR257">
            <v>2638765</v>
          </cell>
          <cell r="CS257">
            <v>2551249</v>
          </cell>
          <cell r="CT257">
            <v>2465043</v>
          </cell>
          <cell r="CU257">
            <v>2417987</v>
          </cell>
          <cell r="CV257">
            <v>73093</v>
          </cell>
          <cell r="CW257">
            <v>0</v>
          </cell>
          <cell r="CX257">
            <v>0</v>
          </cell>
          <cell r="CY257">
            <v>0</v>
          </cell>
          <cell r="CZ257">
            <v>0</v>
          </cell>
          <cell r="DA257">
            <v>0</v>
          </cell>
          <cell r="DB257"/>
          <cell r="DC257">
            <v>0</v>
          </cell>
          <cell r="DD257">
            <v>0</v>
          </cell>
          <cell r="DE257">
            <v>0</v>
          </cell>
          <cell r="DF257">
            <v>0</v>
          </cell>
          <cell r="DG257">
            <v>0</v>
          </cell>
          <cell r="DH257">
            <v>0</v>
          </cell>
          <cell r="DI257">
            <v>0</v>
          </cell>
          <cell r="DJ257">
            <v>0</v>
          </cell>
          <cell r="DK257">
            <v>0</v>
          </cell>
          <cell r="DL257">
            <v>0</v>
          </cell>
          <cell r="DM257"/>
          <cell r="DN257"/>
          <cell r="DO257"/>
          <cell r="DP257"/>
        </row>
        <row r="258">
          <cell r="A258">
            <v>622</v>
          </cell>
          <cell r="B258" t="str">
            <v>Vlaardingen</v>
          </cell>
          <cell r="C258">
            <v>8</v>
          </cell>
          <cell r="D258">
            <v>124146</v>
          </cell>
          <cell r="E258">
            <v>62073</v>
          </cell>
          <cell r="F258">
            <v>0</v>
          </cell>
          <cell r="G258">
            <v>93439</v>
          </cell>
          <cell r="H258">
            <v>0</v>
          </cell>
          <cell r="I258">
            <v>-8785</v>
          </cell>
          <cell r="J258"/>
          <cell r="K258">
            <v>0</v>
          </cell>
          <cell r="L258">
            <v>515469</v>
          </cell>
          <cell r="M258">
            <v>539379</v>
          </cell>
          <cell r="N258">
            <v>8500</v>
          </cell>
          <cell r="O258">
            <v>4300</v>
          </cell>
          <cell r="P258">
            <v>0</v>
          </cell>
          <cell r="Q258">
            <v>0</v>
          </cell>
          <cell r="R258">
            <v>0</v>
          </cell>
          <cell r="S258">
            <v>0</v>
          </cell>
          <cell r="T258">
            <v>0</v>
          </cell>
          <cell r="U258">
            <v>0</v>
          </cell>
          <cell r="V258">
            <v>12000</v>
          </cell>
          <cell r="W258">
            <v>254441</v>
          </cell>
          <cell r="X258">
            <v>0</v>
          </cell>
          <cell r="Y258"/>
          <cell r="Z258">
            <v>0</v>
          </cell>
          <cell r="AA258">
            <v>0</v>
          </cell>
          <cell r="AB258">
            <v>0</v>
          </cell>
          <cell r="AC258"/>
          <cell r="AD258">
            <v>111469</v>
          </cell>
          <cell r="AE258">
            <v>0</v>
          </cell>
          <cell r="AF258">
            <v>0</v>
          </cell>
          <cell r="AG258">
            <v>0</v>
          </cell>
          <cell r="AH258">
            <v>0</v>
          </cell>
          <cell r="AI258">
            <v>0</v>
          </cell>
          <cell r="AJ258">
            <v>0</v>
          </cell>
          <cell r="AK258">
            <v>0</v>
          </cell>
          <cell r="AL258"/>
          <cell r="AM258">
            <v>0</v>
          </cell>
          <cell r="AN258">
            <v>0</v>
          </cell>
          <cell r="AO258">
            <v>0</v>
          </cell>
          <cell r="AP258">
            <v>0</v>
          </cell>
          <cell r="AQ258">
            <v>0</v>
          </cell>
          <cell r="AR258">
            <v>0</v>
          </cell>
          <cell r="AS258">
            <v>0</v>
          </cell>
          <cell r="AT258">
            <v>0</v>
          </cell>
          <cell r="AU258">
            <v>11850</v>
          </cell>
          <cell r="AV258">
            <v>2419041.9524798701</v>
          </cell>
          <cell r="AW258">
            <v>0</v>
          </cell>
          <cell r="AX258">
            <v>0</v>
          </cell>
          <cell r="AY258"/>
          <cell r="AZ258"/>
          <cell r="BA258">
            <v>0</v>
          </cell>
          <cell r="BB258"/>
          <cell r="BC258">
            <v>0</v>
          </cell>
          <cell r="BD258">
            <v>25274</v>
          </cell>
          <cell r="BE258"/>
          <cell r="BF258">
            <v>0</v>
          </cell>
          <cell r="BG258">
            <v>0</v>
          </cell>
          <cell r="BH258">
            <v>0</v>
          </cell>
          <cell r="BI258">
            <v>150738</v>
          </cell>
          <cell r="BJ258">
            <v>124080</v>
          </cell>
          <cell r="BK258">
            <v>124080</v>
          </cell>
          <cell r="BL258">
            <v>0</v>
          </cell>
          <cell r="BM258">
            <v>0</v>
          </cell>
          <cell r="BN258">
            <v>0</v>
          </cell>
          <cell r="BO258">
            <v>134741</v>
          </cell>
          <cell r="BP258">
            <v>30046.6</v>
          </cell>
          <cell r="BQ258">
            <v>54127.906976744198</v>
          </cell>
          <cell r="BR258">
            <v>0</v>
          </cell>
          <cell r="BS258">
            <v>0</v>
          </cell>
          <cell r="BT258">
            <v>118755</v>
          </cell>
          <cell r="BU258"/>
          <cell r="BV258"/>
          <cell r="BW258"/>
          <cell r="BX258"/>
          <cell r="BY258">
            <v>1696757.22222229</v>
          </cell>
          <cell r="BZ258">
            <v>1966937.92264691</v>
          </cell>
          <cell r="CA258">
            <v>1990018.6859997599</v>
          </cell>
          <cell r="CB258">
            <v>2055187.90017253</v>
          </cell>
          <cell r="CC258">
            <v>6802968</v>
          </cell>
          <cell r="CD258">
            <v>53286075</v>
          </cell>
          <cell r="CE258">
            <v>1383904</v>
          </cell>
          <cell r="CF258">
            <v>0</v>
          </cell>
          <cell r="CG258">
            <v>1383904</v>
          </cell>
          <cell r="CH258">
            <v>1383904</v>
          </cell>
          <cell r="CI258">
            <v>1383904</v>
          </cell>
          <cell r="CJ258">
            <v>1383904</v>
          </cell>
          <cell r="CK258">
            <v>17376648</v>
          </cell>
          <cell r="CL258">
            <v>17367926</v>
          </cell>
          <cell r="CM258">
            <v>17367785</v>
          </cell>
          <cell r="CN258">
            <v>17367475</v>
          </cell>
          <cell r="CO258">
            <v>17367905</v>
          </cell>
          <cell r="CP258">
            <v>-3144</v>
          </cell>
          <cell r="CQ258">
            <v>7972488</v>
          </cell>
          <cell r="CR258">
            <v>7578204</v>
          </cell>
          <cell r="CS258">
            <v>7414055</v>
          </cell>
          <cell r="CT258">
            <v>7328852</v>
          </cell>
          <cell r="CU258">
            <v>7208317</v>
          </cell>
          <cell r="CV258">
            <v>-176483</v>
          </cell>
          <cell r="CW258">
            <v>0</v>
          </cell>
          <cell r="CX258">
            <v>0</v>
          </cell>
          <cell r="CY258">
            <v>0</v>
          </cell>
          <cell r="CZ258">
            <v>0</v>
          </cell>
          <cell r="DA258">
            <v>0</v>
          </cell>
          <cell r="DB258"/>
          <cell r="DC258">
            <v>0</v>
          </cell>
          <cell r="DD258">
            <v>0</v>
          </cell>
          <cell r="DE258">
            <v>0</v>
          </cell>
          <cell r="DF258">
            <v>0</v>
          </cell>
          <cell r="DG258">
            <v>0</v>
          </cell>
          <cell r="DH258">
            <v>0</v>
          </cell>
          <cell r="DI258">
            <v>0</v>
          </cell>
          <cell r="DJ258">
            <v>0</v>
          </cell>
          <cell r="DK258">
            <v>0</v>
          </cell>
          <cell r="DL258">
            <v>0</v>
          </cell>
          <cell r="DM258"/>
          <cell r="DN258"/>
          <cell r="DO258"/>
          <cell r="DP258"/>
        </row>
        <row r="259">
          <cell r="A259">
            <v>626</v>
          </cell>
          <cell r="B259" t="str">
            <v>Voorschoten</v>
          </cell>
          <cell r="C259">
            <v>8</v>
          </cell>
          <cell r="D259">
            <v>24150</v>
          </cell>
          <cell r="E259">
            <v>12075</v>
          </cell>
          <cell r="F259">
            <v>0</v>
          </cell>
          <cell r="G259">
            <v>0</v>
          </cell>
          <cell r="H259">
            <v>-4802</v>
          </cell>
          <cell r="I259">
            <v>-5140</v>
          </cell>
          <cell r="J259"/>
          <cell r="K259">
            <v>0</v>
          </cell>
          <cell r="L259">
            <v>94546</v>
          </cell>
          <cell r="M259">
            <v>89992</v>
          </cell>
          <cell r="N259">
            <v>0</v>
          </cell>
          <cell r="O259">
            <v>0</v>
          </cell>
          <cell r="P259">
            <v>0</v>
          </cell>
          <cell r="Q259">
            <v>0</v>
          </cell>
          <cell r="R259">
            <v>0</v>
          </cell>
          <cell r="S259">
            <v>0</v>
          </cell>
          <cell r="T259">
            <v>0</v>
          </cell>
          <cell r="U259">
            <v>0</v>
          </cell>
          <cell r="V259">
            <v>0</v>
          </cell>
          <cell r="W259">
            <v>0</v>
          </cell>
          <cell r="X259">
            <v>0</v>
          </cell>
          <cell r="Y259"/>
          <cell r="Z259">
            <v>0</v>
          </cell>
          <cell r="AA259">
            <v>0</v>
          </cell>
          <cell r="AB259">
            <v>0</v>
          </cell>
          <cell r="AC259"/>
          <cell r="AD259">
            <v>0</v>
          </cell>
          <cell r="AE259">
            <v>0</v>
          </cell>
          <cell r="AF259">
            <v>0</v>
          </cell>
          <cell r="AG259">
            <v>0</v>
          </cell>
          <cell r="AH259">
            <v>0</v>
          </cell>
          <cell r="AI259">
            <v>0</v>
          </cell>
          <cell r="AJ259">
            <v>0</v>
          </cell>
          <cell r="AK259">
            <v>0</v>
          </cell>
          <cell r="AL259"/>
          <cell r="AM259">
            <v>0</v>
          </cell>
          <cell r="AN259">
            <v>0</v>
          </cell>
          <cell r="AO259">
            <v>0</v>
          </cell>
          <cell r="AP259">
            <v>0</v>
          </cell>
          <cell r="AQ259">
            <v>0</v>
          </cell>
          <cell r="AR259">
            <v>0</v>
          </cell>
          <cell r="AS259">
            <v>0</v>
          </cell>
          <cell r="AT259">
            <v>0</v>
          </cell>
          <cell r="AU259">
            <v>0</v>
          </cell>
          <cell r="AV259">
            <v>0</v>
          </cell>
          <cell r="AW259">
            <v>0</v>
          </cell>
          <cell r="AX259">
            <v>0</v>
          </cell>
          <cell r="AY259"/>
          <cell r="AZ259"/>
          <cell r="BA259">
            <v>0</v>
          </cell>
          <cell r="BB259"/>
          <cell r="BC259">
            <v>0</v>
          </cell>
          <cell r="BD259">
            <v>8886</v>
          </cell>
          <cell r="BE259"/>
          <cell r="BF259">
            <v>0</v>
          </cell>
          <cell r="BG259">
            <v>0</v>
          </cell>
          <cell r="BH259">
            <v>0</v>
          </cell>
          <cell r="BI259">
            <v>25595</v>
          </cell>
          <cell r="BJ259">
            <v>21068</v>
          </cell>
          <cell r="BK259">
            <v>21068</v>
          </cell>
          <cell r="BL259">
            <v>0</v>
          </cell>
          <cell r="BM259">
            <v>0</v>
          </cell>
          <cell r="BN259">
            <v>0</v>
          </cell>
          <cell r="BO259">
            <v>10215</v>
          </cell>
          <cell r="BP259">
            <v>0</v>
          </cell>
          <cell r="BQ259">
            <v>0</v>
          </cell>
          <cell r="BR259">
            <v>0</v>
          </cell>
          <cell r="BS259">
            <v>0</v>
          </cell>
          <cell r="BT259">
            <v>37757</v>
          </cell>
          <cell r="BU259"/>
          <cell r="BV259"/>
          <cell r="BW259"/>
          <cell r="BX259"/>
          <cell r="BY259">
            <v>0</v>
          </cell>
          <cell r="BZ259">
            <v>0</v>
          </cell>
          <cell r="CA259">
            <v>0</v>
          </cell>
          <cell r="CB259">
            <v>0</v>
          </cell>
          <cell r="CC259">
            <v>1626212</v>
          </cell>
          <cell r="CD259">
            <v>6818456</v>
          </cell>
          <cell r="CE259">
            <v>481850</v>
          </cell>
          <cell r="CF259">
            <v>0</v>
          </cell>
          <cell r="CG259">
            <v>481850</v>
          </cell>
          <cell r="CH259">
            <v>481850</v>
          </cell>
          <cell r="CI259">
            <v>481850</v>
          </cell>
          <cell r="CJ259">
            <v>481850</v>
          </cell>
          <cell r="CK259">
            <v>0</v>
          </cell>
          <cell r="CL259">
            <v>0</v>
          </cell>
          <cell r="CM259">
            <v>0</v>
          </cell>
          <cell r="CN259">
            <v>0</v>
          </cell>
          <cell r="CO259">
            <v>0</v>
          </cell>
          <cell r="CP259">
            <v>-1842</v>
          </cell>
          <cell r="CQ259">
            <v>123861</v>
          </cell>
          <cell r="CR259">
            <v>137679</v>
          </cell>
          <cell r="CS259">
            <v>142276</v>
          </cell>
          <cell r="CT259">
            <v>154858</v>
          </cell>
          <cell r="CU259">
            <v>167385</v>
          </cell>
          <cell r="CV259">
            <v>-8692</v>
          </cell>
          <cell r="CW259">
            <v>0</v>
          </cell>
          <cell r="CX259">
            <v>0</v>
          </cell>
          <cell r="CY259">
            <v>0</v>
          </cell>
          <cell r="CZ259">
            <v>0</v>
          </cell>
          <cell r="DA259">
            <v>0</v>
          </cell>
          <cell r="DB259"/>
          <cell r="DC259">
            <v>0</v>
          </cell>
          <cell r="DD259">
            <v>0</v>
          </cell>
          <cell r="DE259">
            <v>0</v>
          </cell>
          <cell r="DF259">
            <v>0</v>
          </cell>
          <cell r="DG259">
            <v>0</v>
          </cell>
          <cell r="DH259">
            <v>0</v>
          </cell>
          <cell r="DI259">
            <v>0</v>
          </cell>
          <cell r="DJ259">
            <v>0</v>
          </cell>
          <cell r="DK259">
            <v>0</v>
          </cell>
          <cell r="DL259">
            <v>0</v>
          </cell>
          <cell r="DM259"/>
          <cell r="DN259"/>
          <cell r="DO259"/>
          <cell r="DP259"/>
        </row>
        <row r="260">
          <cell r="A260">
            <v>627</v>
          </cell>
          <cell r="B260" t="str">
            <v>Waddinxveen</v>
          </cell>
          <cell r="C260">
            <v>8</v>
          </cell>
          <cell r="D260">
            <v>11000</v>
          </cell>
          <cell r="E260">
            <v>5500</v>
          </cell>
          <cell r="F260">
            <v>0</v>
          </cell>
          <cell r="G260">
            <v>0</v>
          </cell>
          <cell r="H260">
            <v>0</v>
          </cell>
          <cell r="I260">
            <v>0</v>
          </cell>
          <cell r="J260"/>
          <cell r="K260">
            <v>0</v>
          </cell>
          <cell r="L260">
            <v>83305</v>
          </cell>
          <cell r="M260">
            <v>75707</v>
          </cell>
          <cell r="N260">
            <v>0</v>
          </cell>
          <cell r="O260">
            <v>0</v>
          </cell>
          <cell r="P260">
            <v>0</v>
          </cell>
          <cell r="Q260">
            <v>0</v>
          </cell>
          <cell r="R260">
            <v>0</v>
          </cell>
          <cell r="S260">
            <v>0</v>
          </cell>
          <cell r="T260">
            <v>0</v>
          </cell>
          <cell r="U260">
            <v>0</v>
          </cell>
          <cell r="V260">
            <v>6000</v>
          </cell>
          <cell r="W260">
            <v>97381</v>
          </cell>
          <cell r="X260">
            <v>0</v>
          </cell>
          <cell r="Y260"/>
          <cell r="Z260">
            <v>0</v>
          </cell>
          <cell r="AA260">
            <v>0</v>
          </cell>
          <cell r="AB260">
            <v>0</v>
          </cell>
          <cell r="AC260"/>
          <cell r="AD260">
            <v>0</v>
          </cell>
          <cell r="AE260">
            <v>0</v>
          </cell>
          <cell r="AF260">
            <v>0</v>
          </cell>
          <cell r="AG260">
            <v>0</v>
          </cell>
          <cell r="AH260">
            <v>0</v>
          </cell>
          <cell r="AI260">
            <v>0</v>
          </cell>
          <cell r="AJ260">
            <v>0</v>
          </cell>
          <cell r="AK260">
            <v>0</v>
          </cell>
          <cell r="AL260"/>
          <cell r="AM260">
            <v>0</v>
          </cell>
          <cell r="AN260">
            <v>0</v>
          </cell>
          <cell r="AO260">
            <v>0</v>
          </cell>
          <cell r="AP260">
            <v>0</v>
          </cell>
          <cell r="AQ260">
            <v>0</v>
          </cell>
          <cell r="AR260">
            <v>0</v>
          </cell>
          <cell r="AS260">
            <v>0</v>
          </cell>
          <cell r="AT260">
            <v>0</v>
          </cell>
          <cell r="AU260">
            <v>0</v>
          </cell>
          <cell r="AV260">
            <v>0</v>
          </cell>
          <cell r="AW260">
            <v>0</v>
          </cell>
          <cell r="AX260">
            <v>0</v>
          </cell>
          <cell r="AY260"/>
          <cell r="AZ260"/>
          <cell r="BA260">
            <v>0</v>
          </cell>
          <cell r="BB260"/>
          <cell r="BC260">
            <v>0</v>
          </cell>
          <cell r="BD260">
            <v>9315</v>
          </cell>
          <cell r="BE260"/>
          <cell r="BF260">
            <v>0</v>
          </cell>
          <cell r="BG260">
            <v>0</v>
          </cell>
          <cell r="BH260">
            <v>0</v>
          </cell>
          <cell r="BI260">
            <v>29588</v>
          </cell>
          <cell r="BJ260">
            <v>24356</v>
          </cell>
          <cell r="BK260">
            <v>24356</v>
          </cell>
          <cell r="BL260">
            <v>0</v>
          </cell>
          <cell r="BM260">
            <v>0</v>
          </cell>
          <cell r="BN260">
            <v>0</v>
          </cell>
          <cell r="BO260">
            <v>32591</v>
          </cell>
          <cell r="BP260">
            <v>3162.8</v>
          </cell>
          <cell r="BQ260">
            <v>5697.6744186046499</v>
          </cell>
          <cell r="BR260">
            <v>0</v>
          </cell>
          <cell r="BS260">
            <v>0</v>
          </cell>
          <cell r="BT260">
            <v>38469</v>
          </cell>
          <cell r="BU260"/>
          <cell r="BV260"/>
          <cell r="BW260"/>
          <cell r="BX260"/>
          <cell r="BY260">
            <v>0</v>
          </cell>
          <cell r="BZ260">
            <v>0</v>
          </cell>
          <cell r="CA260">
            <v>0</v>
          </cell>
          <cell r="CB260">
            <v>0</v>
          </cell>
          <cell r="CC260">
            <v>1961883</v>
          </cell>
          <cell r="CD260">
            <v>9733726</v>
          </cell>
          <cell r="CE260">
            <v>1020950</v>
          </cell>
          <cell r="CF260">
            <v>0</v>
          </cell>
          <cell r="CG260">
            <v>1020950</v>
          </cell>
          <cell r="CH260">
            <v>1020950</v>
          </cell>
          <cell r="CI260">
            <v>1020950</v>
          </cell>
          <cell r="CJ260">
            <v>1020950</v>
          </cell>
          <cell r="CK260">
            <v>0</v>
          </cell>
          <cell r="CL260">
            <v>0</v>
          </cell>
          <cell r="CM260">
            <v>0</v>
          </cell>
          <cell r="CN260">
            <v>0</v>
          </cell>
          <cell r="CO260">
            <v>0</v>
          </cell>
          <cell r="CP260">
            <v>-3578</v>
          </cell>
          <cell r="CQ260">
            <v>2220994</v>
          </cell>
          <cell r="CR260">
            <v>2141936</v>
          </cell>
          <cell r="CS260">
            <v>2078155</v>
          </cell>
          <cell r="CT260">
            <v>2051719</v>
          </cell>
          <cell r="CU260">
            <v>2023552</v>
          </cell>
          <cell r="CV260">
            <v>-57438</v>
          </cell>
          <cell r="CW260">
            <v>0</v>
          </cell>
          <cell r="CX260">
            <v>0</v>
          </cell>
          <cell r="CY260">
            <v>0</v>
          </cell>
          <cell r="CZ260">
            <v>0</v>
          </cell>
          <cell r="DA260">
            <v>0</v>
          </cell>
          <cell r="DB260"/>
          <cell r="DC260">
            <v>0</v>
          </cell>
          <cell r="DD260">
            <v>0</v>
          </cell>
          <cell r="DE260">
            <v>0</v>
          </cell>
          <cell r="DF260">
            <v>0</v>
          </cell>
          <cell r="DG260">
            <v>0</v>
          </cell>
          <cell r="DH260">
            <v>0</v>
          </cell>
          <cell r="DI260">
            <v>0</v>
          </cell>
          <cell r="DJ260">
            <v>0</v>
          </cell>
          <cell r="DK260">
            <v>0</v>
          </cell>
          <cell r="DL260">
            <v>0</v>
          </cell>
          <cell r="DM260"/>
          <cell r="DN260"/>
          <cell r="DO260"/>
          <cell r="DP260"/>
        </row>
        <row r="261">
          <cell r="A261">
            <v>629</v>
          </cell>
          <cell r="B261" t="str">
            <v>Wassenaar</v>
          </cell>
          <cell r="C261">
            <v>8</v>
          </cell>
          <cell r="D261">
            <v>32413</v>
          </cell>
          <cell r="E261">
            <v>16207</v>
          </cell>
          <cell r="F261">
            <v>0</v>
          </cell>
          <cell r="G261">
            <v>0</v>
          </cell>
          <cell r="H261">
            <v>-107</v>
          </cell>
          <cell r="I261">
            <v>-9841</v>
          </cell>
          <cell r="J261"/>
          <cell r="K261">
            <v>0</v>
          </cell>
          <cell r="L261">
            <v>101470</v>
          </cell>
          <cell r="M261">
            <v>100276</v>
          </cell>
          <cell r="N261">
            <v>3200</v>
          </cell>
          <cell r="O261">
            <v>1700</v>
          </cell>
          <cell r="P261">
            <v>0</v>
          </cell>
          <cell r="Q261">
            <v>0</v>
          </cell>
          <cell r="R261">
            <v>0</v>
          </cell>
          <cell r="S261">
            <v>0</v>
          </cell>
          <cell r="T261">
            <v>0</v>
          </cell>
          <cell r="U261">
            <v>0</v>
          </cell>
          <cell r="V261">
            <v>3000</v>
          </cell>
          <cell r="W261">
            <v>61823</v>
          </cell>
          <cell r="X261">
            <v>0</v>
          </cell>
          <cell r="Y261"/>
          <cell r="Z261">
            <v>0</v>
          </cell>
          <cell r="AA261">
            <v>0</v>
          </cell>
          <cell r="AB261">
            <v>0</v>
          </cell>
          <cell r="AC261"/>
          <cell r="AD261">
            <v>0</v>
          </cell>
          <cell r="AE261">
            <v>0</v>
          </cell>
          <cell r="AF261">
            <v>0</v>
          </cell>
          <cell r="AG261">
            <v>0</v>
          </cell>
          <cell r="AH261">
            <v>0</v>
          </cell>
          <cell r="AI261">
            <v>0</v>
          </cell>
          <cell r="AJ261">
            <v>0</v>
          </cell>
          <cell r="AK261">
            <v>0</v>
          </cell>
          <cell r="AL261"/>
          <cell r="AM261">
            <v>0</v>
          </cell>
          <cell r="AN261">
            <v>0</v>
          </cell>
          <cell r="AO261">
            <v>0</v>
          </cell>
          <cell r="AP261">
            <v>0</v>
          </cell>
          <cell r="AQ261">
            <v>0</v>
          </cell>
          <cell r="AR261">
            <v>0</v>
          </cell>
          <cell r="AS261">
            <v>0</v>
          </cell>
          <cell r="AT261">
            <v>0</v>
          </cell>
          <cell r="AU261">
            <v>0</v>
          </cell>
          <cell r="AV261">
            <v>0</v>
          </cell>
          <cell r="AW261">
            <v>0</v>
          </cell>
          <cell r="AX261">
            <v>0</v>
          </cell>
          <cell r="AY261"/>
          <cell r="AZ261"/>
          <cell r="BA261">
            <v>0</v>
          </cell>
          <cell r="BB261"/>
          <cell r="BC261">
            <v>0</v>
          </cell>
          <cell r="BD261">
            <v>9146</v>
          </cell>
          <cell r="BE261"/>
          <cell r="BF261">
            <v>0</v>
          </cell>
          <cell r="BG261">
            <v>0</v>
          </cell>
          <cell r="BH261">
            <v>0</v>
          </cell>
          <cell r="BI261">
            <v>25755</v>
          </cell>
          <cell r="BJ261">
            <v>21200</v>
          </cell>
          <cell r="BK261">
            <v>21200</v>
          </cell>
          <cell r="BL261">
            <v>0</v>
          </cell>
          <cell r="BM261">
            <v>0</v>
          </cell>
          <cell r="BN261">
            <v>0</v>
          </cell>
          <cell r="BO261">
            <v>57885</v>
          </cell>
          <cell r="BP261">
            <v>9488.4</v>
          </cell>
          <cell r="BQ261">
            <v>17093.023255814001</v>
          </cell>
          <cell r="BR261">
            <v>0</v>
          </cell>
          <cell r="BS261">
            <v>0</v>
          </cell>
          <cell r="BT261">
            <v>39392</v>
          </cell>
          <cell r="BU261"/>
          <cell r="BV261"/>
          <cell r="BW261"/>
          <cell r="BX261"/>
          <cell r="BY261">
            <v>0</v>
          </cell>
          <cell r="BZ261">
            <v>0</v>
          </cell>
          <cell r="CA261">
            <v>0</v>
          </cell>
          <cell r="CB261">
            <v>0</v>
          </cell>
          <cell r="CC261">
            <v>1462115</v>
          </cell>
          <cell r="CD261">
            <v>7221253</v>
          </cell>
          <cell r="CE261">
            <v>327546</v>
          </cell>
          <cell r="CF261">
            <v>-23744</v>
          </cell>
          <cell r="CG261">
            <v>327546</v>
          </cell>
          <cell r="CH261">
            <v>327546</v>
          </cell>
          <cell r="CI261">
            <v>327546</v>
          </cell>
          <cell r="CJ261">
            <v>327546</v>
          </cell>
          <cell r="CK261">
            <v>0</v>
          </cell>
          <cell r="CL261">
            <v>0</v>
          </cell>
          <cell r="CM261">
            <v>0</v>
          </cell>
          <cell r="CN261">
            <v>0</v>
          </cell>
          <cell r="CO261">
            <v>0</v>
          </cell>
          <cell r="CP261">
            <v>0</v>
          </cell>
          <cell r="CQ261">
            <v>988506</v>
          </cell>
          <cell r="CR261">
            <v>967059</v>
          </cell>
          <cell r="CS261">
            <v>961639</v>
          </cell>
          <cell r="CT261">
            <v>960965</v>
          </cell>
          <cell r="CU261">
            <v>945129</v>
          </cell>
          <cell r="CV261">
            <v>-17911</v>
          </cell>
          <cell r="CW261">
            <v>0</v>
          </cell>
          <cell r="CX261">
            <v>0</v>
          </cell>
          <cell r="CY261">
            <v>0</v>
          </cell>
          <cell r="CZ261">
            <v>0</v>
          </cell>
          <cell r="DA261">
            <v>0</v>
          </cell>
          <cell r="DB261"/>
          <cell r="DC261">
            <v>0</v>
          </cell>
          <cell r="DD261">
            <v>0</v>
          </cell>
          <cell r="DE261">
            <v>0</v>
          </cell>
          <cell r="DF261">
            <v>0</v>
          </cell>
          <cell r="DG261">
            <v>0</v>
          </cell>
          <cell r="DH261">
            <v>0</v>
          </cell>
          <cell r="DI261">
            <v>0</v>
          </cell>
          <cell r="DJ261">
            <v>0</v>
          </cell>
          <cell r="DK261">
            <v>0</v>
          </cell>
          <cell r="DL261">
            <v>0</v>
          </cell>
          <cell r="DM261"/>
          <cell r="DN261"/>
          <cell r="DO261"/>
          <cell r="DP261"/>
        </row>
        <row r="262">
          <cell r="A262">
            <v>1783</v>
          </cell>
          <cell r="B262" t="str">
            <v>Westland</v>
          </cell>
          <cell r="C262">
            <v>8</v>
          </cell>
          <cell r="D262">
            <v>2993</v>
          </cell>
          <cell r="E262">
            <v>1496</v>
          </cell>
          <cell r="F262">
            <v>0</v>
          </cell>
          <cell r="G262">
            <v>0</v>
          </cell>
          <cell r="H262">
            <v>-38331</v>
          </cell>
          <cell r="I262">
            <v>-49027</v>
          </cell>
          <cell r="J262"/>
          <cell r="K262">
            <v>0</v>
          </cell>
          <cell r="L262">
            <v>386224</v>
          </cell>
          <cell r="M262">
            <v>358348</v>
          </cell>
          <cell r="N262">
            <v>0</v>
          </cell>
          <cell r="O262">
            <v>0</v>
          </cell>
          <cell r="P262">
            <v>150000</v>
          </cell>
          <cell r="Q262">
            <v>0</v>
          </cell>
          <cell r="R262">
            <v>0</v>
          </cell>
          <cell r="S262">
            <v>0</v>
          </cell>
          <cell r="T262">
            <v>0</v>
          </cell>
          <cell r="U262">
            <v>0</v>
          </cell>
          <cell r="V262">
            <v>21750</v>
          </cell>
          <cell r="W262">
            <v>191126</v>
          </cell>
          <cell r="X262">
            <v>0</v>
          </cell>
          <cell r="Y262"/>
          <cell r="Z262">
            <v>0</v>
          </cell>
          <cell r="AA262">
            <v>0</v>
          </cell>
          <cell r="AB262">
            <v>0</v>
          </cell>
          <cell r="AC262"/>
          <cell r="AD262">
            <v>0</v>
          </cell>
          <cell r="AE262">
            <v>0</v>
          </cell>
          <cell r="AF262">
            <v>0</v>
          </cell>
          <cell r="AG262">
            <v>0</v>
          </cell>
          <cell r="AH262">
            <v>0</v>
          </cell>
          <cell r="AI262">
            <v>0</v>
          </cell>
          <cell r="AJ262">
            <v>0</v>
          </cell>
          <cell r="AK262">
            <v>0</v>
          </cell>
          <cell r="AL262"/>
          <cell r="AM262">
            <v>0</v>
          </cell>
          <cell r="AN262">
            <v>0</v>
          </cell>
          <cell r="AO262">
            <v>0</v>
          </cell>
          <cell r="AP262">
            <v>0</v>
          </cell>
          <cell r="AQ262">
            <v>0</v>
          </cell>
          <cell r="AR262">
            <v>0</v>
          </cell>
          <cell r="AS262">
            <v>0</v>
          </cell>
          <cell r="AT262">
            <v>20000</v>
          </cell>
          <cell r="AU262">
            <v>7110</v>
          </cell>
          <cell r="AV262">
            <v>0</v>
          </cell>
          <cell r="AW262">
            <v>0</v>
          </cell>
          <cell r="AX262">
            <v>0</v>
          </cell>
          <cell r="AY262"/>
          <cell r="AZ262"/>
          <cell r="BA262">
            <v>0</v>
          </cell>
          <cell r="BB262"/>
          <cell r="BC262">
            <v>0</v>
          </cell>
          <cell r="BD262">
            <v>37081</v>
          </cell>
          <cell r="BE262"/>
          <cell r="BF262">
            <v>0</v>
          </cell>
          <cell r="BG262">
            <v>0</v>
          </cell>
          <cell r="BH262">
            <v>0</v>
          </cell>
          <cell r="BI262">
            <v>123871</v>
          </cell>
          <cell r="BJ262">
            <v>101964</v>
          </cell>
          <cell r="BK262">
            <v>101964</v>
          </cell>
          <cell r="BL262">
            <v>0</v>
          </cell>
          <cell r="BM262">
            <v>0</v>
          </cell>
          <cell r="BN262">
            <v>0</v>
          </cell>
          <cell r="BO262">
            <v>151279</v>
          </cell>
          <cell r="BP262">
            <v>44279.199999999997</v>
          </cell>
          <cell r="BQ262">
            <v>79767.4418604651</v>
          </cell>
          <cell r="BR262">
            <v>0</v>
          </cell>
          <cell r="BS262">
            <v>0</v>
          </cell>
          <cell r="BT262">
            <v>148090</v>
          </cell>
          <cell r="BU262"/>
          <cell r="BV262"/>
          <cell r="BW262"/>
          <cell r="BX262"/>
          <cell r="BY262">
            <v>0</v>
          </cell>
          <cell r="BZ262">
            <v>0</v>
          </cell>
          <cell r="CA262">
            <v>0</v>
          </cell>
          <cell r="CB262">
            <v>0</v>
          </cell>
          <cell r="CC262">
            <v>7269526</v>
          </cell>
          <cell r="CD262">
            <v>35694150</v>
          </cell>
          <cell r="CE262">
            <v>1897684</v>
          </cell>
          <cell r="CF262">
            <v>0</v>
          </cell>
          <cell r="CG262">
            <v>1897684</v>
          </cell>
          <cell r="CH262">
            <v>1897684</v>
          </cell>
          <cell r="CI262">
            <v>1897684</v>
          </cell>
          <cell r="CJ262">
            <v>1897684</v>
          </cell>
          <cell r="CK262">
            <v>0</v>
          </cell>
          <cell r="CL262">
            <v>0</v>
          </cell>
          <cell r="CM262">
            <v>0</v>
          </cell>
          <cell r="CN262">
            <v>0</v>
          </cell>
          <cell r="CO262">
            <v>0</v>
          </cell>
          <cell r="CP262">
            <v>-17531</v>
          </cell>
          <cell r="CQ262">
            <v>6912388</v>
          </cell>
          <cell r="CR262">
            <v>6683035</v>
          </cell>
          <cell r="CS262">
            <v>6589102</v>
          </cell>
          <cell r="CT262">
            <v>6518826</v>
          </cell>
          <cell r="CU262">
            <v>6373096</v>
          </cell>
          <cell r="CV262">
            <v>46029</v>
          </cell>
          <cell r="CW262">
            <v>0</v>
          </cell>
          <cell r="CX262">
            <v>0</v>
          </cell>
          <cell r="CY262">
            <v>0</v>
          </cell>
          <cell r="CZ262">
            <v>0</v>
          </cell>
          <cell r="DA262">
            <v>0</v>
          </cell>
          <cell r="DB262"/>
          <cell r="DC262">
            <v>0</v>
          </cell>
          <cell r="DD262">
            <v>0</v>
          </cell>
          <cell r="DE262">
            <v>0</v>
          </cell>
          <cell r="DF262">
            <v>0</v>
          </cell>
          <cell r="DG262">
            <v>0</v>
          </cell>
          <cell r="DH262">
            <v>0</v>
          </cell>
          <cell r="DI262">
            <v>0</v>
          </cell>
          <cell r="DJ262">
            <v>0</v>
          </cell>
          <cell r="DK262">
            <v>0</v>
          </cell>
          <cell r="DL262">
            <v>0</v>
          </cell>
          <cell r="DM262"/>
          <cell r="DN262"/>
          <cell r="DO262"/>
          <cell r="DP262"/>
        </row>
        <row r="263">
          <cell r="A263">
            <v>614</v>
          </cell>
          <cell r="B263" t="str">
            <v>Westvoorne</v>
          </cell>
          <cell r="C263">
            <v>8</v>
          </cell>
          <cell r="D263">
            <v>-18594</v>
          </cell>
          <cell r="E263">
            <v>-9297</v>
          </cell>
          <cell r="F263">
            <v>0</v>
          </cell>
          <cell r="G263">
            <v>0</v>
          </cell>
          <cell r="H263">
            <v>-7610</v>
          </cell>
          <cell r="I263">
            <v>-9786</v>
          </cell>
          <cell r="J263"/>
          <cell r="K263">
            <v>0</v>
          </cell>
          <cell r="L263">
            <v>39812</v>
          </cell>
          <cell r="M263">
            <v>43425</v>
          </cell>
          <cell r="N263">
            <v>2400</v>
          </cell>
          <cell r="O263">
            <v>1200</v>
          </cell>
          <cell r="P263">
            <v>0</v>
          </cell>
          <cell r="Q263">
            <v>0</v>
          </cell>
          <cell r="R263">
            <v>0</v>
          </cell>
          <cell r="S263">
            <v>0</v>
          </cell>
          <cell r="T263">
            <v>0</v>
          </cell>
          <cell r="U263">
            <v>0</v>
          </cell>
          <cell r="V263">
            <v>0</v>
          </cell>
          <cell r="W263">
            <v>51899</v>
          </cell>
          <cell r="X263">
            <v>0</v>
          </cell>
          <cell r="Y263"/>
          <cell r="Z263">
            <v>0</v>
          </cell>
          <cell r="AA263">
            <v>0</v>
          </cell>
          <cell r="AB263">
            <v>0</v>
          </cell>
          <cell r="AC263"/>
          <cell r="AD263">
            <v>0</v>
          </cell>
          <cell r="AE263">
            <v>0</v>
          </cell>
          <cell r="AF263">
            <v>0</v>
          </cell>
          <cell r="AG263">
            <v>0</v>
          </cell>
          <cell r="AH263">
            <v>0</v>
          </cell>
          <cell r="AI263">
            <v>0</v>
          </cell>
          <cell r="AJ263">
            <v>0</v>
          </cell>
          <cell r="AK263">
            <v>0</v>
          </cell>
          <cell r="AL263"/>
          <cell r="AM263">
            <v>47097</v>
          </cell>
          <cell r="AN263">
            <v>48180</v>
          </cell>
          <cell r="AO263">
            <v>49288</v>
          </cell>
          <cell r="AP263">
            <v>50422</v>
          </cell>
          <cell r="AQ263">
            <v>51582</v>
          </cell>
          <cell r="AR263">
            <v>52768</v>
          </cell>
          <cell r="AS263">
            <v>0</v>
          </cell>
          <cell r="AT263">
            <v>0</v>
          </cell>
          <cell r="AU263">
            <v>2370</v>
          </cell>
          <cell r="AV263">
            <v>0</v>
          </cell>
          <cell r="AW263">
            <v>0</v>
          </cell>
          <cell r="AX263">
            <v>0</v>
          </cell>
          <cell r="AY263"/>
          <cell r="AZ263"/>
          <cell r="BA263">
            <v>0</v>
          </cell>
          <cell r="BB263"/>
          <cell r="BC263">
            <v>0</v>
          </cell>
          <cell r="BD263">
            <v>5005</v>
          </cell>
          <cell r="BE263"/>
          <cell r="BF263">
            <v>0</v>
          </cell>
          <cell r="BG263">
            <v>0</v>
          </cell>
          <cell r="BH263">
            <v>0</v>
          </cell>
          <cell r="BI263">
            <v>14029</v>
          </cell>
          <cell r="BJ263">
            <v>11548</v>
          </cell>
          <cell r="BK263">
            <v>11548</v>
          </cell>
          <cell r="BL263">
            <v>0</v>
          </cell>
          <cell r="BM263">
            <v>0</v>
          </cell>
          <cell r="BN263">
            <v>0</v>
          </cell>
          <cell r="BO263">
            <v>21889</v>
          </cell>
          <cell r="BP263">
            <v>11069.8</v>
          </cell>
          <cell r="BQ263">
            <v>19941.8604651163</v>
          </cell>
          <cell r="BR263">
            <v>0</v>
          </cell>
          <cell r="BS263">
            <v>0</v>
          </cell>
          <cell r="BT263">
            <v>22396</v>
          </cell>
          <cell r="BU263"/>
          <cell r="BV263"/>
          <cell r="BW263"/>
          <cell r="BX263"/>
          <cell r="BY263">
            <v>0</v>
          </cell>
          <cell r="BZ263">
            <v>0</v>
          </cell>
          <cell r="CA263">
            <v>0</v>
          </cell>
          <cell r="CB263">
            <v>0</v>
          </cell>
          <cell r="CC263">
            <v>1036569</v>
          </cell>
          <cell r="CD263">
            <v>3840415</v>
          </cell>
          <cell r="CE263">
            <v>1149834</v>
          </cell>
          <cell r="CF263">
            <v>0</v>
          </cell>
          <cell r="CG263">
            <v>1149834</v>
          </cell>
          <cell r="CH263">
            <v>1149834</v>
          </cell>
          <cell r="CI263">
            <v>1149834</v>
          </cell>
          <cell r="CJ263">
            <v>1149834</v>
          </cell>
          <cell r="CK263">
            <v>0</v>
          </cell>
          <cell r="CL263">
            <v>0</v>
          </cell>
          <cell r="CM263">
            <v>0</v>
          </cell>
          <cell r="CN263">
            <v>0</v>
          </cell>
          <cell r="CO263">
            <v>0</v>
          </cell>
          <cell r="CP263">
            <v>-3505</v>
          </cell>
          <cell r="CQ263">
            <v>49100</v>
          </cell>
          <cell r="CR263">
            <v>54770</v>
          </cell>
          <cell r="CS263">
            <v>56550</v>
          </cell>
          <cell r="CT263">
            <v>61698</v>
          </cell>
          <cell r="CU263">
            <v>66827</v>
          </cell>
          <cell r="CV263">
            <v>28410</v>
          </cell>
          <cell r="CW263">
            <v>0</v>
          </cell>
          <cell r="CX263">
            <v>0</v>
          </cell>
          <cell r="CY263">
            <v>0</v>
          </cell>
          <cell r="CZ263">
            <v>0</v>
          </cell>
          <cell r="DA263">
            <v>0</v>
          </cell>
          <cell r="DB263"/>
          <cell r="DC263">
            <v>0</v>
          </cell>
          <cell r="DD263">
            <v>0</v>
          </cell>
          <cell r="DE263">
            <v>0</v>
          </cell>
          <cell r="DF263">
            <v>0</v>
          </cell>
          <cell r="DG263">
            <v>0</v>
          </cell>
          <cell r="DH263">
            <v>0</v>
          </cell>
          <cell r="DI263">
            <v>0</v>
          </cell>
          <cell r="DJ263">
            <v>0</v>
          </cell>
          <cell r="DK263">
            <v>0</v>
          </cell>
          <cell r="DL263">
            <v>0</v>
          </cell>
          <cell r="DM263"/>
          <cell r="DN263"/>
          <cell r="DO263"/>
          <cell r="DP263"/>
        </row>
        <row r="264">
          <cell r="A264">
            <v>707</v>
          </cell>
          <cell r="B264" t="str">
            <v>Zederik</v>
          </cell>
          <cell r="C264">
            <v>8</v>
          </cell>
          <cell r="D264">
            <v>-10974</v>
          </cell>
          <cell r="E264">
            <v>-5487</v>
          </cell>
          <cell r="F264">
            <v>0</v>
          </cell>
          <cell r="G264">
            <v>0</v>
          </cell>
          <cell r="H264">
            <v>-19968</v>
          </cell>
          <cell r="I264">
            <v>-15126</v>
          </cell>
          <cell r="J264"/>
          <cell r="K264">
            <v>0</v>
          </cell>
          <cell r="L264">
            <v>28989</v>
          </cell>
          <cell r="M264">
            <v>33949</v>
          </cell>
          <cell r="N264">
            <v>0</v>
          </cell>
          <cell r="O264">
            <v>0</v>
          </cell>
          <cell r="P264">
            <v>0</v>
          </cell>
          <cell r="Q264">
            <v>0</v>
          </cell>
          <cell r="R264">
            <v>0</v>
          </cell>
          <cell r="S264">
            <v>0</v>
          </cell>
          <cell r="T264">
            <v>0</v>
          </cell>
          <cell r="U264">
            <v>0</v>
          </cell>
          <cell r="V264">
            <v>0</v>
          </cell>
          <cell r="W264">
            <v>62201</v>
          </cell>
          <cell r="X264">
            <v>0</v>
          </cell>
          <cell r="Y264"/>
          <cell r="Z264">
            <v>0</v>
          </cell>
          <cell r="AA264">
            <v>0</v>
          </cell>
          <cell r="AB264">
            <v>0</v>
          </cell>
          <cell r="AC264"/>
          <cell r="AD264">
            <v>20000</v>
          </cell>
          <cell r="AE264">
            <v>0</v>
          </cell>
          <cell r="AF264">
            <v>0</v>
          </cell>
          <cell r="AG264">
            <v>0</v>
          </cell>
          <cell r="AH264">
            <v>0</v>
          </cell>
          <cell r="AI264">
            <v>0</v>
          </cell>
          <cell r="AJ264">
            <v>0</v>
          </cell>
          <cell r="AK264">
            <v>0</v>
          </cell>
          <cell r="AL264"/>
          <cell r="AM264">
            <v>58692</v>
          </cell>
          <cell r="AN264">
            <v>60041</v>
          </cell>
          <cell r="AO264">
            <v>61422</v>
          </cell>
          <cell r="AP264">
            <v>62835</v>
          </cell>
          <cell r="AQ264">
            <v>64280</v>
          </cell>
          <cell r="AR264">
            <v>65759</v>
          </cell>
          <cell r="AS264">
            <v>0</v>
          </cell>
          <cell r="AT264">
            <v>0</v>
          </cell>
          <cell r="AU264">
            <v>0</v>
          </cell>
          <cell r="AV264">
            <v>0</v>
          </cell>
          <cell r="AW264">
            <v>0</v>
          </cell>
          <cell r="AX264">
            <v>0</v>
          </cell>
          <cell r="AY264"/>
          <cell r="AZ264"/>
          <cell r="BA264">
            <v>0</v>
          </cell>
          <cell r="BB264"/>
          <cell r="BC264">
            <v>0</v>
          </cell>
          <cell r="BD264">
            <v>24285</v>
          </cell>
          <cell r="BE264"/>
          <cell r="BF264">
            <v>0</v>
          </cell>
          <cell r="BG264">
            <v>0</v>
          </cell>
          <cell r="BH264">
            <v>0</v>
          </cell>
          <cell r="BI264">
            <v>12968</v>
          </cell>
          <cell r="BJ264">
            <v>10675</v>
          </cell>
          <cell r="BK264">
            <v>10675</v>
          </cell>
          <cell r="BL264">
            <v>0</v>
          </cell>
          <cell r="BM264">
            <v>0</v>
          </cell>
          <cell r="BN264">
            <v>0</v>
          </cell>
          <cell r="BO264">
            <v>32104</v>
          </cell>
          <cell r="BP264">
            <v>0</v>
          </cell>
          <cell r="BQ264">
            <v>0</v>
          </cell>
          <cell r="BR264">
            <v>0</v>
          </cell>
          <cell r="BS264">
            <v>0</v>
          </cell>
          <cell r="BT264">
            <v>28302</v>
          </cell>
          <cell r="BU264"/>
          <cell r="BV264"/>
          <cell r="BW264"/>
          <cell r="BX264"/>
          <cell r="BY264">
            <v>0</v>
          </cell>
          <cell r="BZ264">
            <v>0</v>
          </cell>
          <cell r="CA264">
            <v>0</v>
          </cell>
          <cell r="CB264">
            <v>0</v>
          </cell>
          <cell r="CC264">
            <v>882958</v>
          </cell>
          <cell r="CD264">
            <v>4382139</v>
          </cell>
          <cell r="CE264">
            <v>433995</v>
          </cell>
          <cell r="CF264">
            <v>-32362</v>
          </cell>
          <cell r="CG264">
            <v>433995</v>
          </cell>
          <cell r="CH264">
            <v>433995</v>
          </cell>
          <cell r="CI264">
            <v>433995</v>
          </cell>
          <cell r="CJ264">
            <v>433995</v>
          </cell>
          <cell r="CK264">
            <v>0</v>
          </cell>
          <cell r="CL264">
            <v>0</v>
          </cell>
          <cell r="CM264">
            <v>0</v>
          </cell>
          <cell r="CN264">
            <v>0</v>
          </cell>
          <cell r="CO264">
            <v>0</v>
          </cell>
          <cell r="CP264">
            <v>-605</v>
          </cell>
          <cell r="CQ264">
            <v>610977</v>
          </cell>
          <cell r="CR264">
            <v>597299</v>
          </cell>
          <cell r="CS264">
            <v>585039</v>
          </cell>
          <cell r="CT264">
            <v>583672</v>
          </cell>
          <cell r="CU264">
            <v>566042</v>
          </cell>
          <cell r="CV264">
            <v>-10880</v>
          </cell>
          <cell r="CW264">
            <v>0</v>
          </cell>
          <cell r="CX264">
            <v>0</v>
          </cell>
          <cell r="CY264">
            <v>0</v>
          </cell>
          <cell r="CZ264">
            <v>0</v>
          </cell>
          <cell r="DA264">
            <v>0</v>
          </cell>
          <cell r="DB264"/>
          <cell r="DC264">
            <v>0</v>
          </cell>
          <cell r="DD264">
            <v>0</v>
          </cell>
          <cell r="DE264">
            <v>0</v>
          </cell>
          <cell r="DF264">
            <v>0</v>
          </cell>
          <cell r="DG264">
            <v>0</v>
          </cell>
          <cell r="DH264">
            <v>0</v>
          </cell>
          <cell r="DI264">
            <v>0</v>
          </cell>
          <cell r="DJ264">
            <v>0</v>
          </cell>
          <cell r="DK264">
            <v>0</v>
          </cell>
          <cell r="DL264">
            <v>0</v>
          </cell>
          <cell r="DM264"/>
          <cell r="DN264"/>
          <cell r="DO264"/>
          <cell r="DP264"/>
        </row>
        <row r="265">
          <cell r="A265">
            <v>637</v>
          </cell>
          <cell r="B265" t="str">
            <v>Zoetermeer</v>
          </cell>
          <cell r="C265">
            <v>8</v>
          </cell>
          <cell r="D265">
            <v>515418</v>
          </cell>
          <cell r="E265">
            <v>257709</v>
          </cell>
          <cell r="F265">
            <v>0</v>
          </cell>
          <cell r="G265">
            <v>0</v>
          </cell>
          <cell r="H265">
            <v>0</v>
          </cell>
          <cell r="I265">
            <v>-17743</v>
          </cell>
          <cell r="J265"/>
          <cell r="K265">
            <v>7500</v>
          </cell>
          <cell r="L265">
            <v>825610</v>
          </cell>
          <cell r="M265">
            <v>832494</v>
          </cell>
          <cell r="N265">
            <v>0</v>
          </cell>
          <cell r="O265">
            <v>0</v>
          </cell>
          <cell r="P265">
            <v>150000</v>
          </cell>
          <cell r="Q265">
            <v>0</v>
          </cell>
          <cell r="R265">
            <v>0</v>
          </cell>
          <cell r="S265">
            <v>0</v>
          </cell>
          <cell r="T265">
            <v>0</v>
          </cell>
          <cell r="U265">
            <v>0</v>
          </cell>
          <cell r="V265">
            <v>44500</v>
          </cell>
          <cell r="W265">
            <v>357604</v>
          </cell>
          <cell r="X265">
            <v>0</v>
          </cell>
          <cell r="Y265"/>
          <cell r="Z265">
            <v>0</v>
          </cell>
          <cell r="AA265">
            <v>13000</v>
          </cell>
          <cell r="AB265">
            <v>0</v>
          </cell>
          <cell r="AC265"/>
          <cell r="AD265">
            <v>28356</v>
          </cell>
          <cell r="AE265">
            <v>0</v>
          </cell>
          <cell r="AF265">
            <v>0</v>
          </cell>
          <cell r="AG265">
            <v>0</v>
          </cell>
          <cell r="AH265">
            <v>0</v>
          </cell>
          <cell r="AI265">
            <v>0</v>
          </cell>
          <cell r="AJ265">
            <v>0</v>
          </cell>
          <cell r="AK265">
            <v>104477</v>
          </cell>
          <cell r="AL265"/>
          <cell r="AM265">
            <v>0</v>
          </cell>
          <cell r="AN265">
            <v>0</v>
          </cell>
          <cell r="AO265">
            <v>0</v>
          </cell>
          <cell r="AP265">
            <v>0</v>
          </cell>
          <cell r="AQ265">
            <v>0</v>
          </cell>
          <cell r="AR265">
            <v>0</v>
          </cell>
          <cell r="AS265">
            <v>0</v>
          </cell>
          <cell r="AT265">
            <v>20000</v>
          </cell>
          <cell r="AU265">
            <v>7110</v>
          </cell>
          <cell r="AV265">
            <v>0</v>
          </cell>
          <cell r="AW265">
            <v>0</v>
          </cell>
          <cell r="AX265">
            <v>0</v>
          </cell>
          <cell r="AY265"/>
          <cell r="AZ265"/>
          <cell r="BA265">
            <v>0</v>
          </cell>
          <cell r="BB265"/>
          <cell r="BC265">
            <v>0</v>
          </cell>
          <cell r="BD265">
            <v>43796</v>
          </cell>
          <cell r="BE265"/>
          <cell r="BF265">
            <v>0</v>
          </cell>
          <cell r="BG265">
            <v>0</v>
          </cell>
          <cell r="BH265">
            <v>0</v>
          </cell>
          <cell r="BI265">
            <v>169762</v>
          </cell>
          <cell r="BJ265">
            <v>139739</v>
          </cell>
          <cell r="BK265">
            <v>139739</v>
          </cell>
          <cell r="BL265">
            <v>0</v>
          </cell>
          <cell r="BM265">
            <v>31191</v>
          </cell>
          <cell r="BN265">
            <v>0</v>
          </cell>
          <cell r="BO265">
            <v>89503</v>
          </cell>
          <cell r="BP265">
            <v>28465.200000000001</v>
          </cell>
          <cell r="BQ265">
            <v>51279.069767441899</v>
          </cell>
          <cell r="BR265">
            <v>245000</v>
          </cell>
          <cell r="BS265">
            <v>0</v>
          </cell>
          <cell r="BT265">
            <v>202347</v>
          </cell>
          <cell r="BU265"/>
          <cell r="BV265"/>
          <cell r="BW265"/>
          <cell r="BX265"/>
          <cell r="BY265">
            <v>0</v>
          </cell>
          <cell r="BZ265">
            <v>0</v>
          </cell>
          <cell r="CA265">
            <v>0</v>
          </cell>
          <cell r="CB265">
            <v>0</v>
          </cell>
          <cell r="CC265">
            <v>8690636</v>
          </cell>
          <cell r="CD265">
            <v>58856406</v>
          </cell>
          <cell r="CE265">
            <v>4198851</v>
          </cell>
          <cell r="CF265">
            <v>0</v>
          </cell>
          <cell r="CG265">
            <v>4198851</v>
          </cell>
          <cell r="CH265">
            <v>4198851</v>
          </cell>
          <cell r="CI265">
            <v>4198851</v>
          </cell>
          <cell r="CJ265">
            <v>4198851</v>
          </cell>
          <cell r="CK265">
            <v>0</v>
          </cell>
          <cell r="CL265">
            <v>0</v>
          </cell>
          <cell r="CM265">
            <v>0</v>
          </cell>
          <cell r="CN265">
            <v>0</v>
          </cell>
          <cell r="CO265">
            <v>0</v>
          </cell>
          <cell r="CP265">
            <v>-6386</v>
          </cell>
          <cell r="CQ265">
            <v>8198389</v>
          </cell>
          <cell r="CR265">
            <v>7975219</v>
          </cell>
          <cell r="CS265">
            <v>7847076</v>
          </cell>
          <cell r="CT265">
            <v>7759052</v>
          </cell>
          <cell r="CU265">
            <v>7628445</v>
          </cell>
          <cell r="CV265">
            <v>-32048</v>
          </cell>
          <cell r="CW265">
            <v>0</v>
          </cell>
          <cell r="CX265">
            <v>0</v>
          </cell>
          <cell r="CY265">
            <v>0</v>
          </cell>
          <cell r="CZ265">
            <v>0</v>
          </cell>
          <cell r="DA265">
            <v>0</v>
          </cell>
          <cell r="DB265"/>
          <cell r="DC265">
            <v>0</v>
          </cell>
          <cell r="DD265">
            <v>0</v>
          </cell>
          <cell r="DE265">
            <v>0</v>
          </cell>
          <cell r="DF265">
            <v>0</v>
          </cell>
          <cell r="DG265">
            <v>0</v>
          </cell>
          <cell r="DH265">
            <v>0</v>
          </cell>
          <cell r="DI265">
            <v>0</v>
          </cell>
          <cell r="DJ265">
            <v>0</v>
          </cell>
          <cell r="DK265">
            <v>0</v>
          </cell>
          <cell r="DL265">
            <v>0</v>
          </cell>
          <cell r="DM265"/>
          <cell r="DN265"/>
          <cell r="DO265"/>
          <cell r="DP265"/>
        </row>
        <row r="266">
          <cell r="A266">
            <v>638</v>
          </cell>
          <cell r="B266" t="str">
            <v>Zoeterwoude</v>
          </cell>
          <cell r="C266">
            <v>8</v>
          </cell>
          <cell r="D266">
            <v>-2249</v>
          </cell>
          <cell r="E266">
            <v>-1125</v>
          </cell>
          <cell r="F266">
            <v>0</v>
          </cell>
          <cell r="G266">
            <v>0</v>
          </cell>
          <cell r="H266">
            <v>-10413</v>
          </cell>
          <cell r="I266">
            <v>-8623</v>
          </cell>
          <cell r="J266"/>
          <cell r="K266">
            <v>0</v>
          </cell>
          <cell r="L266">
            <v>17310</v>
          </cell>
          <cell r="M266">
            <v>16070</v>
          </cell>
          <cell r="N266">
            <v>0</v>
          </cell>
          <cell r="O266">
            <v>0</v>
          </cell>
          <cell r="P266">
            <v>0</v>
          </cell>
          <cell r="Q266">
            <v>0</v>
          </cell>
          <cell r="R266">
            <v>0</v>
          </cell>
          <cell r="S266">
            <v>0</v>
          </cell>
          <cell r="T266">
            <v>0</v>
          </cell>
          <cell r="U266">
            <v>0</v>
          </cell>
          <cell r="V266">
            <v>3000</v>
          </cell>
          <cell r="W266">
            <v>0</v>
          </cell>
          <cell r="X266">
            <v>0</v>
          </cell>
          <cell r="Y266"/>
          <cell r="Z266">
            <v>0</v>
          </cell>
          <cell r="AA266">
            <v>0</v>
          </cell>
          <cell r="AB266">
            <v>0</v>
          </cell>
          <cell r="AC266"/>
          <cell r="AD266">
            <v>0</v>
          </cell>
          <cell r="AE266">
            <v>0</v>
          </cell>
          <cell r="AF266">
            <v>0</v>
          </cell>
          <cell r="AG266">
            <v>0</v>
          </cell>
          <cell r="AH266">
            <v>0</v>
          </cell>
          <cell r="AI266">
            <v>0</v>
          </cell>
          <cell r="AJ266">
            <v>0</v>
          </cell>
          <cell r="AK266">
            <v>0</v>
          </cell>
          <cell r="AL266"/>
          <cell r="AM266">
            <v>0</v>
          </cell>
          <cell r="AN266">
            <v>0</v>
          </cell>
          <cell r="AO266">
            <v>0</v>
          </cell>
          <cell r="AP266">
            <v>0</v>
          </cell>
          <cell r="AQ266">
            <v>0</v>
          </cell>
          <cell r="AR266">
            <v>0</v>
          </cell>
          <cell r="AS266">
            <v>0</v>
          </cell>
          <cell r="AT266">
            <v>0</v>
          </cell>
          <cell r="AU266">
            <v>0</v>
          </cell>
          <cell r="AV266">
            <v>0</v>
          </cell>
          <cell r="AW266">
            <v>0</v>
          </cell>
          <cell r="AX266">
            <v>0</v>
          </cell>
          <cell r="AY266"/>
          <cell r="AZ266"/>
          <cell r="BA266">
            <v>0</v>
          </cell>
          <cell r="BB266"/>
          <cell r="BC266">
            <v>0</v>
          </cell>
          <cell r="BD266">
            <v>2937</v>
          </cell>
          <cell r="BE266"/>
          <cell r="BF266">
            <v>0</v>
          </cell>
          <cell r="BG266">
            <v>0</v>
          </cell>
          <cell r="BH266">
            <v>0</v>
          </cell>
          <cell r="BI266">
            <v>7724</v>
          </cell>
          <cell r="BJ266">
            <v>6358</v>
          </cell>
          <cell r="BK266">
            <v>6358</v>
          </cell>
          <cell r="BL266">
            <v>0</v>
          </cell>
          <cell r="BM266">
            <v>0</v>
          </cell>
          <cell r="BN266">
            <v>0</v>
          </cell>
          <cell r="BO266">
            <v>52048</v>
          </cell>
          <cell r="BP266">
            <v>1581.4</v>
          </cell>
          <cell r="BQ266">
            <v>2848.8372093023299</v>
          </cell>
          <cell r="BR266">
            <v>0</v>
          </cell>
          <cell r="BS266">
            <v>0</v>
          </cell>
          <cell r="BT266">
            <v>13768</v>
          </cell>
          <cell r="BU266"/>
          <cell r="BV266"/>
          <cell r="BW266"/>
          <cell r="BX266"/>
          <cell r="BY266">
            <v>0</v>
          </cell>
          <cell r="BZ266">
            <v>0</v>
          </cell>
          <cell r="CA266">
            <v>0</v>
          </cell>
          <cell r="CB266">
            <v>0</v>
          </cell>
          <cell r="CC266">
            <v>656655</v>
          </cell>
          <cell r="CD266">
            <v>2712345</v>
          </cell>
          <cell r="CE266">
            <v>85603</v>
          </cell>
          <cell r="CF266">
            <v>0</v>
          </cell>
          <cell r="CG266">
            <v>85603</v>
          </cell>
          <cell r="CH266">
            <v>85603</v>
          </cell>
          <cell r="CI266">
            <v>85603</v>
          </cell>
          <cell r="CJ266">
            <v>85603</v>
          </cell>
          <cell r="CK266">
            <v>0</v>
          </cell>
          <cell r="CL266">
            <v>0</v>
          </cell>
          <cell r="CM266">
            <v>0</v>
          </cell>
          <cell r="CN266">
            <v>0</v>
          </cell>
          <cell r="CO266">
            <v>0</v>
          </cell>
          <cell r="CP266">
            <v>-3100</v>
          </cell>
          <cell r="CQ266">
            <v>30550</v>
          </cell>
          <cell r="CR266">
            <v>33942</v>
          </cell>
          <cell r="CS266">
            <v>35079</v>
          </cell>
          <cell r="CT266">
            <v>38169</v>
          </cell>
          <cell r="CU266">
            <v>41245</v>
          </cell>
          <cell r="CV266">
            <v>1987</v>
          </cell>
          <cell r="CW266">
            <v>0</v>
          </cell>
          <cell r="CX266">
            <v>0</v>
          </cell>
          <cell r="CY266">
            <v>0</v>
          </cell>
          <cell r="CZ266">
            <v>0</v>
          </cell>
          <cell r="DA266">
            <v>0</v>
          </cell>
          <cell r="DB266"/>
          <cell r="DC266">
            <v>0</v>
          </cell>
          <cell r="DD266">
            <v>0</v>
          </cell>
          <cell r="DE266">
            <v>0</v>
          </cell>
          <cell r="DF266">
            <v>0</v>
          </cell>
          <cell r="DG266">
            <v>0</v>
          </cell>
          <cell r="DH266">
            <v>0</v>
          </cell>
          <cell r="DI266">
            <v>0</v>
          </cell>
          <cell r="DJ266">
            <v>0</v>
          </cell>
          <cell r="DK266">
            <v>0</v>
          </cell>
          <cell r="DL266">
            <v>0</v>
          </cell>
          <cell r="DM266"/>
          <cell r="DN266"/>
          <cell r="DO266"/>
          <cell r="DP266"/>
        </row>
        <row r="267">
          <cell r="A267">
            <v>1892</v>
          </cell>
          <cell r="B267" t="str">
            <v>Zuidplas</v>
          </cell>
          <cell r="C267">
            <v>8</v>
          </cell>
          <cell r="D267">
            <v>33538</v>
          </cell>
          <cell r="E267">
            <v>16769</v>
          </cell>
          <cell r="F267">
            <v>0</v>
          </cell>
          <cell r="G267">
            <v>0</v>
          </cell>
          <cell r="H267">
            <v>0</v>
          </cell>
          <cell r="I267">
            <v>-21664</v>
          </cell>
          <cell r="J267"/>
          <cell r="K267">
            <v>0</v>
          </cell>
          <cell r="L267">
            <v>129564</v>
          </cell>
          <cell r="M267">
            <v>127798</v>
          </cell>
          <cell r="N267">
            <v>0</v>
          </cell>
          <cell r="O267">
            <v>0</v>
          </cell>
          <cell r="P267">
            <v>0</v>
          </cell>
          <cell r="Q267">
            <v>0</v>
          </cell>
          <cell r="R267">
            <v>0</v>
          </cell>
          <cell r="S267">
            <v>0</v>
          </cell>
          <cell r="T267">
            <v>0</v>
          </cell>
          <cell r="U267">
            <v>0</v>
          </cell>
          <cell r="V267">
            <v>12000</v>
          </cell>
          <cell r="W267">
            <v>163447</v>
          </cell>
          <cell r="X267">
            <v>0</v>
          </cell>
          <cell r="Y267"/>
          <cell r="Z267">
            <v>0</v>
          </cell>
          <cell r="AA267">
            <v>0</v>
          </cell>
          <cell r="AB267">
            <v>0</v>
          </cell>
          <cell r="AC267"/>
          <cell r="AD267">
            <v>0</v>
          </cell>
          <cell r="AE267">
            <v>0</v>
          </cell>
          <cell r="AF267">
            <v>0</v>
          </cell>
          <cell r="AG267">
            <v>0</v>
          </cell>
          <cell r="AH267">
            <v>0</v>
          </cell>
          <cell r="AI267">
            <v>0</v>
          </cell>
          <cell r="AJ267">
            <v>0</v>
          </cell>
          <cell r="AK267">
            <v>0</v>
          </cell>
          <cell r="AL267"/>
          <cell r="AM267">
            <v>0</v>
          </cell>
          <cell r="AN267">
            <v>0</v>
          </cell>
          <cell r="AO267">
            <v>0</v>
          </cell>
          <cell r="AP267">
            <v>0</v>
          </cell>
          <cell r="AQ267">
            <v>0</v>
          </cell>
          <cell r="AR267">
            <v>0</v>
          </cell>
          <cell r="AS267">
            <v>0</v>
          </cell>
          <cell r="AT267">
            <v>0</v>
          </cell>
          <cell r="AU267">
            <v>0</v>
          </cell>
          <cell r="AV267">
            <v>0</v>
          </cell>
          <cell r="AW267">
            <v>0</v>
          </cell>
          <cell r="AX267">
            <v>0</v>
          </cell>
          <cell r="AY267"/>
          <cell r="AZ267"/>
          <cell r="BA267">
            <v>0</v>
          </cell>
          <cell r="BB267"/>
          <cell r="BC267">
            <v>0</v>
          </cell>
          <cell r="BD267">
            <v>14557</v>
          </cell>
          <cell r="BE267"/>
          <cell r="BF267">
            <v>0</v>
          </cell>
          <cell r="BG267">
            <v>0</v>
          </cell>
          <cell r="BH267">
            <v>0</v>
          </cell>
          <cell r="BI267">
            <v>39649</v>
          </cell>
          <cell r="BJ267">
            <v>32637</v>
          </cell>
          <cell r="BK267">
            <v>32637</v>
          </cell>
          <cell r="BL267">
            <v>0</v>
          </cell>
          <cell r="BM267">
            <v>0</v>
          </cell>
          <cell r="BN267">
            <v>0</v>
          </cell>
          <cell r="BO267">
            <v>138146</v>
          </cell>
          <cell r="BP267">
            <v>11069.8</v>
          </cell>
          <cell r="BQ267">
            <v>19941.8604651163</v>
          </cell>
          <cell r="BR267">
            <v>0</v>
          </cell>
          <cell r="BS267">
            <v>0</v>
          </cell>
          <cell r="BT267">
            <v>71898</v>
          </cell>
          <cell r="BU267"/>
          <cell r="BV267"/>
          <cell r="BW267"/>
          <cell r="BX267"/>
          <cell r="BY267">
            <v>0</v>
          </cell>
          <cell r="BZ267">
            <v>0</v>
          </cell>
          <cell r="CA267">
            <v>0</v>
          </cell>
          <cell r="CB267">
            <v>0</v>
          </cell>
          <cell r="CC267">
            <v>2336946</v>
          </cell>
          <cell r="CD267">
            <v>13821925</v>
          </cell>
          <cell r="CE267">
            <v>6124689</v>
          </cell>
          <cell r="CF267">
            <v>0</v>
          </cell>
          <cell r="CG267">
            <v>6124689</v>
          </cell>
          <cell r="CH267">
            <v>6124689</v>
          </cell>
          <cell r="CI267">
            <v>6124689</v>
          </cell>
          <cell r="CJ267">
            <v>6124689</v>
          </cell>
          <cell r="CK267">
            <v>0</v>
          </cell>
          <cell r="CL267">
            <v>0</v>
          </cell>
          <cell r="CM267">
            <v>0</v>
          </cell>
          <cell r="CN267">
            <v>0</v>
          </cell>
          <cell r="CO267">
            <v>0</v>
          </cell>
          <cell r="CP267">
            <v>-7849</v>
          </cell>
          <cell r="CQ267">
            <v>2084672</v>
          </cell>
          <cell r="CR267">
            <v>2030347</v>
          </cell>
          <cell r="CS267">
            <v>1980128</v>
          </cell>
          <cell r="CT267">
            <v>1900874</v>
          </cell>
          <cell r="CU267">
            <v>1829791</v>
          </cell>
          <cell r="CV267">
            <v>-86383</v>
          </cell>
          <cell r="CW267">
            <v>0</v>
          </cell>
          <cell r="CX267">
            <v>0</v>
          </cell>
          <cell r="CY267">
            <v>0</v>
          </cell>
          <cell r="CZ267">
            <v>0</v>
          </cell>
          <cell r="DA267">
            <v>0</v>
          </cell>
          <cell r="DB267"/>
          <cell r="DC267">
            <v>0</v>
          </cell>
          <cell r="DD267">
            <v>0</v>
          </cell>
          <cell r="DE267">
            <v>0</v>
          </cell>
          <cell r="DF267">
            <v>0</v>
          </cell>
          <cell r="DG267">
            <v>0</v>
          </cell>
          <cell r="DH267">
            <v>0</v>
          </cell>
          <cell r="DI267">
            <v>0</v>
          </cell>
          <cell r="DJ267">
            <v>0</v>
          </cell>
          <cell r="DK267">
            <v>0</v>
          </cell>
          <cell r="DL267">
            <v>0</v>
          </cell>
          <cell r="DM267"/>
          <cell r="DN267"/>
          <cell r="DO267"/>
          <cell r="DP267"/>
        </row>
        <row r="268">
          <cell r="A268">
            <v>642</v>
          </cell>
          <cell r="B268" t="str">
            <v>Zwijndrecht</v>
          </cell>
          <cell r="C268">
            <v>8</v>
          </cell>
          <cell r="D268">
            <v>50103</v>
          </cell>
          <cell r="E268">
            <v>25052</v>
          </cell>
          <cell r="F268">
            <v>0</v>
          </cell>
          <cell r="G268">
            <v>0</v>
          </cell>
          <cell r="H268">
            <v>0</v>
          </cell>
          <cell r="I268">
            <v>0</v>
          </cell>
          <cell r="J268"/>
          <cell r="K268">
            <v>0</v>
          </cell>
          <cell r="L268">
            <v>275760</v>
          </cell>
          <cell r="M268">
            <v>275974</v>
          </cell>
          <cell r="N268">
            <v>3900</v>
          </cell>
          <cell r="O268">
            <v>2000</v>
          </cell>
          <cell r="P268">
            <v>0</v>
          </cell>
          <cell r="Q268">
            <v>0</v>
          </cell>
          <cell r="R268">
            <v>0</v>
          </cell>
          <cell r="S268">
            <v>0</v>
          </cell>
          <cell r="T268">
            <v>0</v>
          </cell>
          <cell r="U268">
            <v>0</v>
          </cell>
          <cell r="V268">
            <v>3000</v>
          </cell>
          <cell r="W268">
            <v>166776</v>
          </cell>
          <cell r="X268">
            <v>0</v>
          </cell>
          <cell r="Y268"/>
          <cell r="Z268">
            <v>0</v>
          </cell>
          <cell r="AA268">
            <v>0</v>
          </cell>
          <cell r="AB268">
            <v>0</v>
          </cell>
          <cell r="AC268"/>
          <cell r="AD268">
            <v>45956</v>
          </cell>
          <cell r="AE268">
            <v>0</v>
          </cell>
          <cell r="AF268">
            <v>0</v>
          </cell>
          <cell r="AG268">
            <v>0</v>
          </cell>
          <cell r="AH268">
            <v>0</v>
          </cell>
          <cell r="AI268">
            <v>0</v>
          </cell>
          <cell r="AJ268">
            <v>0</v>
          </cell>
          <cell r="AK268">
            <v>0</v>
          </cell>
          <cell r="AL268"/>
          <cell r="AM268">
            <v>16168</v>
          </cell>
          <cell r="AN268">
            <v>16540</v>
          </cell>
          <cell r="AO268">
            <v>16920</v>
          </cell>
          <cell r="AP268">
            <v>17309</v>
          </cell>
          <cell r="AQ268">
            <v>17708</v>
          </cell>
          <cell r="AR268">
            <v>18115</v>
          </cell>
          <cell r="AS268">
            <v>0</v>
          </cell>
          <cell r="AT268">
            <v>0</v>
          </cell>
          <cell r="AU268">
            <v>14220</v>
          </cell>
          <cell r="AV268">
            <v>0</v>
          </cell>
          <cell r="AW268">
            <v>0</v>
          </cell>
          <cell r="AX268">
            <v>0</v>
          </cell>
          <cell r="AY268"/>
          <cell r="AZ268"/>
          <cell r="BA268">
            <v>0</v>
          </cell>
          <cell r="BB268"/>
          <cell r="BC268">
            <v>0</v>
          </cell>
          <cell r="BD268">
            <v>15592</v>
          </cell>
          <cell r="BE268"/>
          <cell r="BF268">
            <v>0</v>
          </cell>
          <cell r="BG268">
            <v>0</v>
          </cell>
          <cell r="BH268">
            <v>0</v>
          </cell>
          <cell r="BI268">
            <v>74697</v>
          </cell>
          <cell r="BJ268">
            <v>61487</v>
          </cell>
          <cell r="BK268">
            <v>61487</v>
          </cell>
          <cell r="BL268">
            <v>0</v>
          </cell>
          <cell r="BM268">
            <v>0</v>
          </cell>
          <cell r="BN268">
            <v>0</v>
          </cell>
          <cell r="BO268">
            <v>197490</v>
          </cell>
          <cell r="BP268">
            <v>33209.4</v>
          </cell>
          <cell r="BQ268">
            <v>59825.581395348803</v>
          </cell>
          <cell r="BR268">
            <v>0</v>
          </cell>
          <cell r="BS268">
            <v>0</v>
          </cell>
          <cell r="BT268">
            <v>69604</v>
          </cell>
          <cell r="BU268"/>
          <cell r="BV268"/>
          <cell r="BW268"/>
          <cell r="BX268"/>
          <cell r="BY268">
            <v>0</v>
          </cell>
          <cell r="BZ268">
            <v>0</v>
          </cell>
          <cell r="CA268">
            <v>0</v>
          </cell>
          <cell r="CB268">
            <v>0</v>
          </cell>
          <cell r="CC268">
            <v>4073609</v>
          </cell>
          <cell r="CD268">
            <v>21154937</v>
          </cell>
          <cell r="CE268">
            <v>1159079</v>
          </cell>
          <cell r="CF268">
            <v>0</v>
          </cell>
          <cell r="CG268">
            <v>1159079</v>
          </cell>
          <cell r="CH268">
            <v>1159079</v>
          </cell>
          <cell r="CI268">
            <v>1159079</v>
          </cell>
          <cell r="CJ268">
            <v>1159079</v>
          </cell>
          <cell r="CK268">
            <v>0</v>
          </cell>
          <cell r="CL268">
            <v>0</v>
          </cell>
          <cell r="CM268">
            <v>0</v>
          </cell>
          <cell r="CN268">
            <v>0</v>
          </cell>
          <cell r="CO268">
            <v>0</v>
          </cell>
          <cell r="CP268">
            <v>0</v>
          </cell>
          <cell r="CQ268">
            <v>3638147</v>
          </cell>
          <cell r="CR268">
            <v>3555518</v>
          </cell>
          <cell r="CS268">
            <v>3496163</v>
          </cell>
          <cell r="CT268">
            <v>3366900</v>
          </cell>
          <cell r="CU268">
            <v>3242054</v>
          </cell>
          <cell r="CV268">
            <v>43479</v>
          </cell>
          <cell r="CW268">
            <v>0</v>
          </cell>
          <cell r="CX268">
            <v>0</v>
          </cell>
          <cell r="CY268">
            <v>0</v>
          </cell>
          <cell r="CZ268">
            <v>0</v>
          </cell>
          <cell r="DA268">
            <v>0</v>
          </cell>
          <cell r="DB268"/>
          <cell r="DC268">
            <v>0</v>
          </cell>
          <cell r="DD268">
            <v>0</v>
          </cell>
          <cell r="DE268">
            <v>0</v>
          </cell>
          <cell r="DF268">
            <v>0</v>
          </cell>
          <cell r="DG268">
            <v>0</v>
          </cell>
          <cell r="DH268">
            <v>0</v>
          </cell>
          <cell r="DI268">
            <v>0</v>
          </cell>
          <cell r="DJ268">
            <v>0</v>
          </cell>
          <cell r="DK268">
            <v>0</v>
          </cell>
          <cell r="DL268">
            <v>0</v>
          </cell>
          <cell r="DM268"/>
          <cell r="DN268"/>
          <cell r="DO268"/>
          <cell r="DP268"/>
        </row>
        <row r="269">
          <cell r="A269">
            <v>654</v>
          </cell>
          <cell r="B269" t="str">
            <v>Borsele</v>
          </cell>
          <cell r="C269">
            <v>9</v>
          </cell>
          <cell r="D269">
            <v>47725</v>
          </cell>
          <cell r="E269">
            <v>23862</v>
          </cell>
          <cell r="F269">
            <v>0</v>
          </cell>
          <cell r="G269">
            <v>87944</v>
          </cell>
          <cell r="H269">
            <v>0</v>
          </cell>
          <cell r="I269">
            <v>-3690</v>
          </cell>
          <cell r="J269"/>
          <cell r="K269">
            <v>0</v>
          </cell>
          <cell r="L269">
            <v>75605</v>
          </cell>
          <cell r="M269">
            <v>67851</v>
          </cell>
          <cell r="N269">
            <v>0</v>
          </cell>
          <cell r="O269">
            <v>0</v>
          </cell>
          <cell r="P269">
            <v>0</v>
          </cell>
          <cell r="Q269">
            <v>0</v>
          </cell>
          <cell r="R269">
            <v>0</v>
          </cell>
          <cell r="S269">
            <v>0</v>
          </cell>
          <cell r="T269">
            <v>0</v>
          </cell>
          <cell r="U269">
            <v>0</v>
          </cell>
          <cell r="V269">
            <v>0</v>
          </cell>
          <cell r="W269">
            <v>99910</v>
          </cell>
          <cell r="X269">
            <v>0</v>
          </cell>
          <cell r="Y269"/>
          <cell r="Z269">
            <v>0</v>
          </cell>
          <cell r="AA269">
            <v>0</v>
          </cell>
          <cell r="AB269">
            <v>0</v>
          </cell>
          <cell r="AC269"/>
          <cell r="AD269">
            <v>0</v>
          </cell>
          <cell r="AE269">
            <v>0</v>
          </cell>
          <cell r="AF269">
            <v>0</v>
          </cell>
          <cell r="AG269">
            <v>0</v>
          </cell>
          <cell r="AH269">
            <v>0</v>
          </cell>
          <cell r="AI269">
            <v>0</v>
          </cell>
          <cell r="AJ269">
            <v>0</v>
          </cell>
          <cell r="AK269">
            <v>0</v>
          </cell>
          <cell r="AL269"/>
          <cell r="AM269">
            <v>114314</v>
          </cell>
          <cell r="AN269">
            <v>116943</v>
          </cell>
          <cell r="AO269">
            <v>119633</v>
          </cell>
          <cell r="AP269">
            <v>122385</v>
          </cell>
          <cell r="AQ269">
            <v>125199</v>
          </cell>
          <cell r="AR269">
            <v>128079</v>
          </cell>
          <cell r="AS269">
            <v>0</v>
          </cell>
          <cell r="AT269">
            <v>0</v>
          </cell>
          <cell r="AU269">
            <v>7110</v>
          </cell>
          <cell r="AV269">
            <v>0</v>
          </cell>
          <cell r="AW269">
            <v>0</v>
          </cell>
          <cell r="AX269">
            <v>0</v>
          </cell>
          <cell r="AY269"/>
          <cell r="AZ269"/>
          <cell r="BA269">
            <v>0</v>
          </cell>
          <cell r="BB269"/>
          <cell r="BC269">
            <v>0</v>
          </cell>
          <cell r="BD269">
            <v>7964</v>
          </cell>
          <cell r="BE269"/>
          <cell r="BF269">
            <v>0</v>
          </cell>
          <cell r="BG269">
            <v>0</v>
          </cell>
          <cell r="BH269">
            <v>0</v>
          </cell>
          <cell r="BI269">
            <v>27942</v>
          </cell>
          <cell r="BJ269">
            <v>23001</v>
          </cell>
          <cell r="BK269">
            <v>23001</v>
          </cell>
          <cell r="BL269">
            <v>0</v>
          </cell>
          <cell r="BM269">
            <v>0</v>
          </cell>
          <cell r="BN269">
            <v>0</v>
          </cell>
          <cell r="BO269">
            <v>331744</v>
          </cell>
          <cell r="BP269">
            <v>23721</v>
          </cell>
          <cell r="BQ269">
            <v>42732.5581395349</v>
          </cell>
          <cell r="BR269">
            <v>0</v>
          </cell>
          <cell r="BS269">
            <v>0</v>
          </cell>
          <cell r="BT269">
            <v>48501</v>
          </cell>
          <cell r="BU269"/>
          <cell r="BV269"/>
          <cell r="BW269"/>
          <cell r="BX269"/>
          <cell r="BY269">
            <v>0</v>
          </cell>
          <cell r="BZ269">
            <v>0</v>
          </cell>
          <cell r="CA269">
            <v>0</v>
          </cell>
          <cell r="CB269">
            <v>0</v>
          </cell>
          <cell r="CC269">
            <v>1585640</v>
          </cell>
          <cell r="CD269">
            <v>8524570</v>
          </cell>
          <cell r="CE269">
            <v>642712</v>
          </cell>
          <cell r="CF269">
            <v>0</v>
          </cell>
          <cell r="CG269">
            <v>642712</v>
          </cell>
          <cell r="CH269">
            <v>642712</v>
          </cell>
          <cell r="CI269">
            <v>642712</v>
          </cell>
          <cell r="CJ269">
            <v>642712</v>
          </cell>
          <cell r="CK269">
            <v>0</v>
          </cell>
          <cell r="CL269">
            <v>0</v>
          </cell>
          <cell r="CM269">
            <v>0</v>
          </cell>
          <cell r="CN269">
            <v>0</v>
          </cell>
          <cell r="CO269">
            <v>0</v>
          </cell>
          <cell r="CP269">
            <v>-1334</v>
          </cell>
          <cell r="CQ269">
            <v>1577381</v>
          </cell>
          <cell r="CR269">
            <v>1513795</v>
          </cell>
          <cell r="CS269">
            <v>1492961</v>
          </cell>
          <cell r="CT269">
            <v>1460043</v>
          </cell>
          <cell r="CU269">
            <v>1464592</v>
          </cell>
          <cell r="CV269">
            <v>-18891</v>
          </cell>
          <cell r="CW269">
            <v>0</v>
          </cell>
          <cell r="CX269">
            <v>0</v>
          </cell>
          <cell r="CY269">
            <v>0</v>
          </cell>
          <cell r="CZ269">
            <v>0</v>
          </cell>
          <cell r="DA269">
            <v>0</v>
          </cell>
          <cell r="DB269"/>
          <cell r="DC269">
            <v>0</v>
          </cell>
          <cell r="DD269">
            <v>0</v>
          </cell>
          <cell r="DE269">
            <v>0</v>
          </cell>
          <cell r="DF269">
            <v>0</v>
          </cell>
          <cell r="DG269">
            <v>0</v>
          </cell>
          <cell r="DH269">
            <v>0</v>
          </cell>
          <cell r="DI269">
            <v>0</v>
          </cell>
          <cell r="DJ269">
            <v>0</v>
          </cell>
          <cell r="DK269">
            <v>0</v>
          </cell>
          <cell r="DL269">
            <v>0</v>
          </cell>
          <cell r="DM269"/>
          <cell r="DN269"/>
          <cell r="DO269"/>
          <cell r="DP269"/>
        </row>
        <row r="270">
          <cell r="A270">
            <v>664</v>
          </cell>
          <cell r="B270" t="str">
            <v>Goes</v>
          </cell>
          <cell r="C270">
            <v>9</v>
          </cell>
          <cell r="D270">
            <v>133758</v>
          </cell>
          <cell r="E270">
            <v>66879</v>
          </cell>
          <cell r="F270">
            <v>0</v>
          </cell>
          <cell r="G270">
            <v>99630</v>
          </cell>
          <cell r="H270">
            <v>-9326</v>
          </cell>
          <cell r="I270">
            <v>-17105</v>
          </cell>
          <cell r="J270"/>
          <cell r="K270">
            <v>7500</v>
          </cell>
          <cell r="L270">
            <v>134637</v>
          </cell>
          <cell r="M270">
            <v>124417</v>
          </cell>
          <cell r="N270">
            <v>0</v>
          </cell>
          <cell r="O270">
            <v>0</v>
          </cell>
          <cell r="P270">
            <v>0</v>
          </cell>
          <cell r="Q270">
            <v>0</v>
          </cell>
          <cell r="R270">
            <v>0</v>
          </cell>
          <cell r="S270">
            <v>0</v>
          </cell>
          <cell r="T270">
            <v>0</v>
          </cell>
          <cell r="U270">
            <v>0</v>
          </cell>
          <cell r="V270">
            <v>4000</v>
          </cell>
          <cell r="W270">
            <v>138203</v>
          </cell>
          <cell r="X270">
            <v>0</v>
          </cell>
          <cell r="Y270"/>
          <cell r="Z270">
            <v>0</v>
          </cell>
          <cell r="AA270">
            <v>37000</v>
          </cell>
          <cell r="AB270">
            <v>0</v>
          </cell>
          <cell r="AC270"/>
          <cell r="AD270">
            <v>41067</v>
          </cell>
          <cell r="AE270">
            <v>0</v>
          </cell>
          <cell r="AF270">
            <v>0</v>
          </cell>
          <cell r="AG270">
            <v>0</v>
          </cell>
          <cell r="AH270">
            <v>0</v>
          </cell>
          <cell r="AI270">
            <v>0</v>
          </cell>
          <cell r="AJ270">
            <v>0</v>
          </cell>
          <cell r="AK270">
            <v>0</v>
          </cell>
          <cell r="AL270"/>
          <cell r="AM270">
            <v>73376</v>
          </cell>
          <cell r="AN270">
            <v>75063</v>
          </cell>
          <cell r="AO270">
            <v>76790</v>
          </cell>
          <cell r="AP270">
            <v>78556</v>
          </cell>
          <cell r="AQ270">
            <v>80363</v>
          </cell>
          <cell r="AR270">
            <v>82211</v>
          </cell>
          <cell r="AS270">
            <v>0</v>
          </cell>
          <cell r="AT270">
            <v>20000</v>
          </cell>
          <cell r="AU270">
            <v>0</v>
          </cell>
          <cell r="AV270">
            <v>0</v>
          </cell>
          <cell r="AW270">
            <v>64160</v>
          </cell>
          <cell r="AX270">
            <v>0</v>
          </cell>
          <cell r="AY270"/>
          <cell r="AZ270"/>
          <cell r="BA270">
            <v>0</v>
          </cell>
          <cell r="BB270"/>
          <cell r="BC270">
            <v>0</v>
          </cell>
          <cell r="BD270">
            <v>13084</v>
          </cell>
          <cell r="BE270"/>
          <cell r="BF270">
            <v>0</v>
          </cell>
          <cell r="BG270">
            <v>0</v>
          </cell>
          <cell r="BH270">
            <v>0</v>
          </cell>
          <cell r="BI270">
            <v>66299</v>
          </cell>
          <cell r="BJ270">
            <v>54574</v>
          </cell>
          <cell r="BK270">
            <v>54574</v>
          </cell>
          <cell r="BL270">
            <v>0</v>
          </cell>
          <cell r="BM270">
            <v>0</v>
          </cell>
          <cell r="BN270">
            <v>0</v>
          </cell>
          <cell r="BO270">
            <v>186302</v>
          </cell>
          <cell r="BP270">
            <v>1581.4</v>
          </cell>
          <cell r="BQ270">
            <v>2848.8372093023299</v>
          </cell>
          <cell r="BR270">
            <v>0</v>
          </cell>
          <cell r="BS270">
            <v>0</v>
          </cell>
          <cell r="BT270">
            <v>57614</v>
          </cell>
          <cell r="BU270"/>
          <cell r="BV270"/>
          <cell r="BW270"/>
          <cell r="BX270"/>
          <cell r="BY270">
            <v>0</v>
          </cell>
          <cell r="BZ270">
            <v>0</v>
          </cell>
          <cell r="CA270">
            <v>0</v>
          </cell>
          <cell r="CB270">
            <v>0</v>
          </cell>
          <cell r="CC270">
            <v>3742971</v>
          </cell>
          <cell r="CD270">
            <v>20556260</v>
          </cell>
          <cell r="CE270">
            <v>1131819</v>
          </cell>
          <cell r="CF270">
            <v>-19223</v>
          </cell>
          <cell r="CG270">
            <v>1131819</v>
          </cell>
          <cell r="CH270">
            <v>1131819</v>
          </cell>
          <cell r="CI270">
            <v>1131819</v>
          </cell>
          <cell r="CJ270">
            <v>1131819</v>
          </cell>
          <cell r="CK270">
            <v>0</v>
          </cell>
          <cell r="CL270">
            <v>0</v>
          </cell>
          <cell r="CM270">
            <v>0</v>
          </cell>
          <cell r="CN270">
            <v>0</v>
          </cell>
          <cell r="CO270">
            <v>0</v>
          </cell>
          <cell r="CP270">
            <v>-3274</v>
          </cell>
          <cell r="CQ270">
            <v>5867655</v>
          </cell>
          <cell r="CR270">
            <v>5521921</v>
          </cell>
          <cell r="CS270">
            <v>5439463</v>
          </cell>
          <cell r="CT270">
            <v>5365409</v>
          </cell>
          <cell r="CU270">
            <v>5254654</v>
          </cell>
          <cell r="CV270">
            <v>129332</v>
          </cell>
          <cell r="CW270">
            <v>0</v>
          </cell>
          <cell r="CX270">
            <v>0</v>
          </cell>
          <cell r="CY270">
            <v>0</v>
          </cell>
          <cell r="CZ270">
            <v>0</v>
          </cell>
          <cell r="DA270">
            <v>0</v>
          </cell>
          <cell r="DB270"/>
          <cell r="DC270">
            <v>0</v>
          </cell>
          <cell r="DD270">
            <v>0</v>
          </cell>
          <cell r="DE270">
            <v>0</v>
          </cell>
          <cell r="DF270">
            <v>0</v>
          </cell>
          <cell r="DG270">
            <v>0</v>
          </cell>
          <cell r="DH270">
            <v>0</v>
          </cell>
          <cell r="DI270">
            <v>0</v>
          </cell>
          <cell r="DJ270">
            <v>0</v>
          </cell>
          <cell r="DK270">
            <v>0</v>
          </cell>
          <cell r="DL270">
            <v>0</v>
          </cell>
          <cell r="DM270"/>
          <cell r="DN270"/>
          <cell r="DO270"/>
          <cell r="DP270"/>
        </row>
        <row r="271">
          <cell r="A271">
            <v>677</v>
          </cell>
          <cell r="B271" t="str">
            <v>Hulst</v>
          </cell>
          <cell r="C271">
            <v>9</v>
          </cell>
          <cell r="D271">
            <v>2786</v>
          </cell>
          <cell r="E271">
            <v>1393</v>
          </cell>
          <cell r="F271">
            <v>0</v>
          </cell>
          <cell r="G271">
            <v>0</v>
          </cell>
          <cell r="H271">
            <v>-8077</v>
          </cell>
          <cell r="I271">
            <v>0</v>
          </cell>
          <cell r="J271"/>
          <cell r="K271">
            <v>0</v>
          </cell>
          <cell r="L271">
            <v>74431</v>
          </cell>
          <cell r="M271">
            <v>71779</v>
          </cell>
          <cell r="N271">
            <v>0</v>
          </cell>
          <cell r="O271">
            <v>0</v>
          </cell>
          <cell r="P271">
            <v>0</v>
          </cell>
          <cell r="Q271">
            <v>0</v>
          </cell>
          <cell r="R271">
            <v>0</v>
          </cell>
          <cell r="S271">
            <v>0</v>
          </cell>
          <cell r="T271">
            <v>0</v>
          </cell>
          <cell r="U271">
            <v>0</v>
          </cell>
          <cell r="V271">
            <v>15000</v>
          </cell>
          <cell r="W271">
            <v>91926</v>
          </cell>
          <cell r="X271">
            <v>0</v>
          </cell>
          <cell r="Y271"/>
          <cell r="Z271">
            <v>0</v>
          </cell>
          <cell r="AA271">
            <v>0</v>
          </cell>
          <cell r="AB271">
            <v>0</v>
          </cell>
          <cell r="AC271"/>
          <cell r="AD271">
            <v>62579</v>
          </cell>
          <cell r="AE271">
            <v>0</v>
          </cell>
          <cell r="AF271">
            <v>0</v>
          </cell>
          <cell r="AG271">
            <v>0</v>
          </cell>
          <cell r="AH271">
            <v>0</v>
          </cell>
          <cell r="AI271">
            <v>0</v>
          </cell>
          <cell r="AJ271">
            <v>0</v>
          </cell>
          <cell r="AK271">
            <v>0</v>
          </cell>
          <cell r="AL271"/>
          <cell r="AM271">
            <v>156183</v>
          </cell>
          <cell r="AN271">
            <v>159775</v>
          </cell>
          <cell r="AO271">
            <v>163450</v>
          </cell>
          <cell r="AP271">
            <v>167209</v>
          </cell>
          <cell r="AQ271">
            <v>171055</v>
          </cell>
          <cell r="AR271">
            <v>174989</v>
          </cell>
          <cell r="AS271">
            <v>0</v>
          </cell>
          <cell r="AT271">
            <v>0</v>
          </cell>
          <cell r="AU271">
            <v>7110</v>
          </cell>
          <cell r="AV271">
            <v>0</v>
          </cell>
          <cell r="AW271">
            <v>0</v>
          </cell>
          <cell r="AX271">
            <v>0</v>
          </cell>
          <cell r="AY271"/>
          <cell r="AZ271"/>
          <cell r="BA271">
            <v>0</v>
          </cell>
          <cell r="BB271"/>
          <cell r="BC271">
            <v>0</v>
          </cell>
          <cell r="BD271">
            <v>9617</v>
          </cell>
          <cell r="BE271"/>
          <cell r="BF271">
            <v>0</v>
          </cell>
          <cell r="BG271">
            <v>0</v>
          </cell>
          <cell r="BH271">
            <v>0</v>
          </cell>
          <cell r="BI271">
            <v>42131</v>
          </cell>
          <cell r="BJ271">
            <v>34680</v>
          </cell>
          <cell r="BK271">
            <v>34680</v>
          </cell>
          <cell r="BL271">
            <v>0</v>
          </cell>
          <cell r="BM271">
            <v>0</v>
          </cell>
          <cell r="BN271">
            <v>0</v>
          </cell>
          <cell r="BO271">
            <v>156630</v>
          </cell>
          <cell r="BP271">
            <v>25302.400000000001</v>
          </cell>
          <cell r="BQ271">
            <v>45581.395348837199</v>
          </cell>
          <cell r="BR271">
            <v>0</v>
          </cell>
          <cell r="BS271">
            <v>0</v>
          </cell>
          <cell r="BT271">
            <v>47288</v>
          </cell>
          <cell r="BU271"/>
          <cell r="BV271"/>
          <cell r="BW271"/>
          <cell r="BX271"/>
          <cell r="BY271">
            <v>0</v>
          </cell>
          <cell r="BZ271">
            <v>0</v>
          </cell>
          <cell r="CA271">
            <v>0</v>
          </cell>
          <cell r="CB271">
            <v>0</v>
          </cell>
          <cell r="CC271">
            <v>2451406</v>
          </cell>
          <cell r="CD271">
            <v>12974278</v>
          </cell>
          <cell r="CE271">
            <v>825802</v>
          </cell>
          <cell r="CF271">
            <v>0</v>
          </cell>
          <cell r="CG271">
            <v>825802</v>
          </cell>
          <cell r="CH271">
            <v>825802</v>
          </cell>
          <cell r="CI271">
            <v>825802</v>
          </cell>
          <cell r="CJ271">
            <v>825802</v>
          </cell>
          <cell r="CK271">
            <v>0</v>
          </cell>
          <cell r="CL271">
            <v>0</v>
          </cell>
          <cell r="CM271">
            <v>0</v>
          </cell>
          <cell r="CN271">
            <v>0</v>
          </cell>
          <cell r="CO271">
            <v>0</v>
          </cell>
          <cell r="CP271">
            <v>0</v>
          </cell>
          <cell r="CQ271">
            <v>3911901</v>
          </cell>
          <cell r="CR271">
            <v>3714255</v>
          </cell>
          <cell r="CS271">
            <v>3624775</v>
          </cell>
          <cell r="CT271">
            <v>3545388</v>
          </cell>
          <cell r="CU271">
            <v>3407574</v>
          </cell>
          <cell r="CV271">
            <v>8038</v>
          </cell>
          <cell r="CW271">
            <v>0</v>
          </cell>
          <cell r="CX271">
            <v>0</v>
          </cell>
          <cell r="CY271">
            <v>0</v>
          </cell>
          <cell r="CZ271">
            <v>0</v>
          </cell>
          <cell r="DA271">
            <v>0</v>
          </cell>
          <cell r="DB271"/>
          <cell r="DC271">
            <v>0</v>
          </cell>
          <cell r="DD271">
            <v>0</v>
          </cell>
          <cell r="DE271">
            <v>0</v>
          </cell>
          <cell r="DF271">
            <v>0</v>
          </cell>
          <cell r="DG271">
            <v>0</v>
          </cell>
          <cell r="DH271">
            <v>0</v>
          </cell>
          <cell r="DI271">
            <v>0</v>
          </cell>
          <cell r="DJ271">
            <v>0</v>
          </cell>
          <cell r="DK271">
            <v>0</v>
          </cell>
          <cell r="DL271">
            <v>0</v>
          </cell>
          <cell r="DM271"/>
          <cell r="DN271"/>
          <cell r="DO271"/>
          <cell r="DP271"/>
        </row>
        <row r="272">
          <cell r="A272">
            <v>678</v>
          </cell>
          <cell r="B272" t="str">
            <v>Kapelle</v>
          </cell>
          <cell r="C272">
            <v>9</v>
          </cell>
          <cell r="D272">
            <v>4873</v>
          </cell>
          <cell r="E272">
            <v>2436</v>
          </cell>
          <cell r="F272">
            <v>0</v>
          </cell>
          <cell r="G272">
            <v>0</v>
          </cell>
          <cell r="H272">
            <v>-18661</v>
          </cell>
          <cell r="I272">
            <v>-12895</v>
          </cell>
          <cell r="J272"/>
          <cell r="K272">
            <v>0</v>
          </cell>
          <cell r="L272">
            <v>37882</v>
          </cell>
          <cell r="M272">
            <v>33140</v>
          </cell>
          <cell r="N272">
            <v>0</v>
          </cell>
          <cell r="O272">
            <v>0</v>
          </cell>
          <cell r="P272">
            <v>0</v>
          </cell>
          <cell r="Q272">
            <v>0</v>
          </cell>
          <cell r="R272">
            <v>0</v>
          </cell>
          <cell r="S272">
            <v>0</v>
          </cell>
          <cell r="T272">
            <v>0</v>
          </cell>
          <cell r="U272">
            <v>0</v>
          </cell>
          <cell r="V272">
            <v>0</v>
          </cell>
          <cell r="W272">
            <v>54620</v>
          </cell>
          <cell r="X272">
            <v>0</v>
          </cell>
          <cell r="Y272"/>
          <cell r="Z272">
            <v>0</v>
          </cell>
          <cell r="AA272">
            <v>0</v>
          </cell>
          <cell r="AB272">
            <v>0</v>
          </cell>
          <cell r="AC272"/>
          <cell r="AD272">
            <v>0</v>
          </cell>
          <cell r="AE272">
            <v>0</v>
          </cell>
          <cell r="AF272">
            <v>0</v>
          </cell>
          <cell r="AG272">
            <v>0</v>
          </cell>
          <cell r="AH272">
            <v>0</v>
          </cell>
          <cell r="AI272">
            <v>0</v>
          </cell>
          <cell r="AJ272">
            <v>0</v>
          </cell>
          <cell r="AK272">
            <v>0</v>
          </cell>
          <cell r="AL272"/>
          <cell r="AM272">
            <v>29056</v>
          </cell>
          <cell r="AN272">
            <v>29724</v>
          </cell>
          <cell r="AO272">
            <v>30408</v>
          </cell>
          <cell r="AP272">
            <v>31107</v>
          </cell>
          <cell r="AQ272">
            <v>31823</v>
          </cell>
          <cell r="AR272">
            <v>32555</v>
          </cell>
          <cell r="AS272">
            <v>0</v>
          </cell>
          <cell r="AT272">
            <v>0</v>
          </cell>
          <cell r="AU272">
            <v>0</v>
          </cell>
          <cell r="AV272">
            <v>0</v>
          </cell>
          <cell r="AW272">
            <v>0</v>
          </cell>
          <cell r="AX272">
            <v>0</v>
          </cell>
          <cell r="AY272"/>
          <cell r="AZ272"/>
          <cell r="BA272">
            <v>0</v>
          </cell>
          <cell r="BB272"/>
          <cell r="BC272">
            <v>0</v>
          </cell>
          <cell r="BD272">
            <v>4431</v>
          </cell>
          <cell r="BE272"/>
          <cell r="BF272">
            <v>0</v>
          </cell>
          <cell r="BG272">
            <v>0</v>
          </cell>
          <cell r="BH272">
            <v>0</v>
          </cell>
          <cell r="BI272">
            <v>11315</v>
          </cell>
          <cell r="BJ272">
            <v>9314</v>
          </cell>
          <cell r="BK272">
            <v>9314</v>
          </cell>
          <cell r="BL272">
            <v>0</v>
          </cell>
          <cell r="BM272">
            <v>0</v>
          </cell>
          <cell r="BN272">
            <v>0</v>
          </cell>
          <cell r="BO272">
            <v>81720</v>
          </cell>
          <cell r="BP272">
            <v>0</v>
          </cell>
          <cell r="BQ272">
            <v>0</v>
          </cell>
          <cell r="BR272">
            <v>0</v>
          </cell>
          <cell r="BS272">
            <v>0</v>
          </cell>
          <cell r="BT272">
            <v>20251</v>
          </cell>
          <cell r="BU272"/>
          <cell r="BV272"/>
          <cell r="BW272"/>
          <cell r="BX272"/>
          <cell r="BY272">
            <v>0</v>
          </cell>
          <cell r="BZ272">
            <v>0</v>
          </cell>
          <cell r="CA272">
            <v>0</v>
          </cell>
          <cell r="CB272">
            <v>0</v>
          </cell>
          <cell r="CC272">
            <v>841544</v>
          </cell>
          <cell r="CD272">
            <v>4207489</v>
          </cell>
          <cell r="CE272">
            <v>275977</v>
          </cell>
          <cell r="CF272">
            <v>-31067</v>
          </cell>
          <cell r="CG272">
            <v>275977</v>
          </cell>
          <cell r="CH272">
            <v>275977</v>
          </cell>
          <cell r="CI272">
            <v>275977</v>
          </cell>
          <cell r="CJ272">
            <v>275977</v>
          </cell>
          <cell r="CK272">
            <v>0</v>
          </cell>
          <cell r="CL272">
            <v>0</v>
          </cell>
          <cell r="CM272">
            <v>0</v>
          </cell>
          <cell r="CN272">
            <v>0</v>
          </cell>
          <cell r="CO272">
            <v>0</v>
          </cell>
          <cell r="CP272">
            <v>0</v>
          </cell>
          <cell r="CQ272">
            <v>606429</v>
          </cell>
          <cell r="CR272">
            <v>592752</v>
          </cell>
          <cell r="CS272">
            <v>536003</v>
          </cell>
          <cell r="CT272">
            <v>540396</v>
          </cell>
          <cell r="CU272">
            <v>542375</v>
          </cell>
          <cell r="CV272">
            <v>-18952</v>
          </cell>
          <cell r="CW272">
            <v>0</v>
          </cell>
          <cell r="CX272">
            <v>0</v>
          </cell>
          <cell r="CY272">
            <v>0</v>
          </cell>
          <cell r="CZ272">
            <v>0</v>
          </cell>
          <cell r="DA272">
            <v>0</v>
          </cell>
          <cell r="DB272"/>
          <cell r="DC272">
            <v>0</v>
          </cell>
          <cell r="DD272">
            <v>0</v>
          </cell>
          <cell r="DE272">
            <v>0</v>
          </cell>
          <cell r="DF272">
            <v>0</v>
          </cell>
          <cell r="DG272">
            <v>0</v>
          </cell>
          <cell r="DH272">
            <v>0</v>
          </cell>
          <cell r="DI272">
            <v>0</v>
          </cell>
          <cell r="DJ272">
            <v>0</v>
          </cell>
          <cell r="DK272">
            <v>0</v>
          </cell>
          <cell r="DL272">
            <v>0</v>
          </cell>
          <cell r="DM272"/>
          <cell r="DN272"/>
          <cell r="DO272"/>
          <cell r="DP272"/>
        </row>
        <row r="273">
          <cell r="A273">
            <v>687</v>
          </cell>
          <cell r="B273" t="str">
            <v>Middelburg</v>
          </cell>
          <cell r="C273">
            <v>9</v>
          </cell>
          <cell r="D273">
            <v>37013</v>
          </cell>
          <cell r="E273">
            <v>18506</v>
          </cell>
          <cell r="F273">
            <v>0</v>
          </cell>
          <cell r="G273">
            <v>0</v>
          </cell>
          <cell r="H273">
            <v>-2586</v>
          </cell>
          <cell r="I273">
            <v>-5691</v>
          </cell>
          <cell r="J273"/>
          <cell r="K273">
            <v>0</v>
          </cell>
          <cell r="L273">
            <v>249796</v>
          </cell>
          <cell r="M273">
            <v>247977</v>
          </cell>
          <cell r="N273">
            <v>0</v>
          </cell>
          <cell r="O273">
            <v>0</v>
          </cell>
          <cell r="P273">
            <v>150000</v>
          </cell>
          <cell r="Q273">
            <v>0</v>
          </cell>
          <cell r="R273">
            <v>0</v>
          </cell>
          <cell r="S273">
            <v>0</v>
          </cell>
          <cell r="T273">
            <v>0</v>
          </cell>
          <cell r="U273">
            <v>0</v>
          </cell>
          <cell r="V273">
            <v>27000</v>
          </cell>
          <cell r="W273">
            <v>186214</v>
          </cell>
          <cell r="X273">
            <v>0</v>
          </cell>
          <cell r="Y273"/>
          <cell r="Z273">
            <v>0</v>
          </cell>
          <cell r="AA273">
            <v>0</v>
          </cell>
          <cell r="AB273">
            <v>0</v>
          </cell>
          <cell r="AC273"/>
          <cell r="AD273">
            <v>0</v>
          </cell>
          <cell r="AE273">
            <v>0</v>
          </cell>
          <cell r="AF273">
            <v>0</v>
          </cell>
          <cell r="AG273">
            <v>0</v>
          </cell>
          <cell r="AH273">
            <v>0</v>
          </cell>
          <cell r="AI273">
            <v>0</v>
          </cell>
          <cell r="AJ273">
            <v>0</v>
          </cell>
          <cell r="AK273">
            <v>0</v>
          </cell>
          <cell r="AL273"/>
          <cell r="AM273">
            <v>40548</v>
          </cell>
          <cell r="AN273">
            <v>41480</v>
          </cell>
          <cell r="AO273">
            <v>42434</v>
          </cell>
          <cell r="AP273">
            <v>43410</v>
          </cell>
          <cell r="AQ273">
            <v>44409</v>
          </cell>
          <cell r="AR273">
            <v>45430</v>
          </cell>
          <cell r="AS273">
            <v>0</v>
          </cell>
          <cell r="AT273">
            <v>20000</v>
          </cell>
          <cell r="AU273">
            <v>9480</v>
          </cell>
          <cell r="AV273">
            <v>0</v>
          </cell>
          <cell r="AW273">
            <v>0</v>
          </cell>
          <cell r="AX273">
            <v>0</v>
          </cell>
          <cell r="AY273"/>
          <cell r="AZ273"/>
          <cell r="BA273">
            <v>0</v>
          </cell>
          <cell r="BB273"/>
          <cell r="BC273">
            <v>0</v>
          </cell>
          <cell r="BD273">
            <v>16856</v>
          </cell>
          <cell r="BE273"/>
          <cell r="BF273">
            <v>0</v>
          </cell>
          <cell r="BG273">
            <v>0</v>
          </cell>
          <cell r="BH273">
            <v>0</v>
          </cell>
          <cell r="BI273">
            <v>83748</v>
          </cell>
          <cell r="BJ273">
            <v>68937</v>
          </cell>
          <cell r="BK273">
            <v>68937</v>
          </cell>
          <cell r="BL273">
            <v>0</v>
          </cell>
          <cell r="BM273">
            <v>0</v>
          </cell>
          <cell r="BN273">
            <v>161700</v>
          </cell>
          <cell r="BO273">
            <v>176087</v>
          </cell>
          <cell r="BP273">
            <v>22139.599999999999</v>
          </cell>
          <cell r="BQ273">
            <v>39883.720930232601</v>
          </cell>
          <cell r="BR273">
            <v>0</v>
          </cell>
          <cell r="BS273">
            <v>0</v>
          </cell>
          <cell r="BT273">
            <v>82110</v>
          </cell>
          <cell r="BU273"/>
          <cell r="BV273"/>
          <cell r="BW273"/>
          <cell r="BX273"/>
          <cell r="BY273">
            <v>0</v>
          </cell>
          <cell r="BZ273">
            <v>0</v>
          </cell>
          <cell r="CA273">
            <v>0</v>
          </cell>
          <cell r="CB273">
            <v>0</v>
          </cell>
          <cell r="CC273">
            <v>4165595</v>
          </cell>
          <cell r="CD273">
            <v>26376234</v>
          </cell>
          <cell r="CE273">
            <v>2095456</v>
          </cell>
          <cell r="CF273">
            <v>-13768</v>
          </cell>
          <cell r="CG273">
            <v>2095456</v>
          </cell>
          <cell r="CH273">
            <v>2095456</v>
          </cell>
          <cell r="CI273">
            <v>2095456</v>
          </cell>
          <cell r="CJ273">
            <v>2095456</v>
          </cell>
          <cell r="CK273">
            <v>0</v>
          </cell>
          <cell r="CL273">
            <v>0</v>
          </cell>
          <cell r="CM273">
            <v>0</v>
          </cell>
          <cell r="CN273">
            <v>0</v>
          </cell>
          <cell r="CO273">
            <v>0</v>
          </cell>
          <cell r="CP273">
            <v>0</v>
          </cell>
          <cell r="CQ273">
            <v>5860931</v>
          </cell>
          <cell r="CR273">
            <v>5594898</v>
          </cell>
          <cell r="CS273">
            <v>5455625</v>
          </cell>
          <cell r="CT273">
            <v>5266178</v>
          </cell>
          <cell r="CU273">
            <v>5066382</v>
          </cell>
          <cell r="CV273">
            <v>113143</v>
          </cell>
          <cell r="CW273">
            <v>0</v>
          </cell>
          <cell r="CX273">
            <v>0</v>
          </cell>
          <cell r="CY273">
            <v>0</v>
          </cell>
          <cell r="CZ273">
            <v>0</v>
          </cell>
          <cell r="DA273">
            <v>0</v>
          </cell>
          <cell r="DB273"/>
          <cell r="DC273">
            <v>0</v>
          </cell>
          <cell r="DD273">
            <v>0</v>
          </cell>
          <cell r="DE273">
            <v>0</v>
          </cell>
          <cell r="DF273">
            <v>0</v>
          </cell>
          <cell r="DG273">
            <v>0</v>
          </cell>
          <cell r="DH273">
            <v>0</v>
          </cell>
          <cell r="DI273">
            <v>0</v>
          </cell>
          <cell r="DJ273">
            <v>0</v>
          </cell>
          <cell r="DK273">
            <v>0</v>
          </cell>
          <cell r="DL273">
            <v>0</v>
          </cell>
          <cell r="DM273"/>
          <cell r="DN273"/>
          <cell r="DO273"/>
          <cell r="DP273"/>
        </row>
        <row r="274">
          <cell r="A274">
            <v>1695</v>
          </cell>
          <cell r="B274" t="str">
            <v>Noord-Beveland</v>
          </cell>
          <cell r="C274">
            <v>9</v>
          </cell>
          <cell r="D274">
            <v>25539</v>
          </cell>
          <cell r="E274">
            <v>12769</v>
          </cell>
          <cell r="F274">
            <v>0</v>
          </cell>
          <cell r="G274">
            <v>0</v>
          </cell>
          <cell r="H274">
            <v>0</v>
          </cell>
          <cell r="I274">
            <v>0</v>
          </cell>
          <cell r="J274"/>
          <cell r="K274">
            <v>0</v>
          </cell>
          <cell r="L274">
            <v>24114</v>
          </cell>
          <cell r="M274">
            <v>26855</v>
          </cell>
          <cell r="N274">
            <v>0</v>
          </cell>
          <cell r="O274">
            <v>0</v>
          </cell>
          <cell r="P274">
            <v>0</v>
          </cell>
          <cell r="Q274">
            <v>0</v>
          </cell>
          <cell r="R274">
            <v>0</v>
          </cell>
          <cell r="S274">
            <v>0</v>
          </cell>
          <cell r="T274">
            <v>0</v>
          </cell>
          <cell r="U274">
            <v>0</v>
          </cell>
          <cell r="V274">
            <v>0</v>
          </cell>
          <cell r="W274">
            <v>22022</v>
          </cell>
          <cell r="X274">
            <v>0</v>
          </cell>
          <cell r="Y274"/>
          <cell r="Z274">
            <v>0</v>
          </cell>
          <cell r="AA274">
            <v>0</v>
          </cell>
          <cell r="AB274">
            <v>0</v>
          </cell>
          <cell r="AC274"/>
          <cell r="AD274">
            <v>0</v>
          </cell>
          <cell r="AE274">
            <v>0</v>
          </cell>
          <cell r="AF274">
            <v>0</v>
          </cell>
          <cell r="AG274">
            <v>0</v>
          </cell>
          <cell r="AH274">
            <v>0</v>
          </cell>
          <cell r="AI274">
            <v>0</v>
          </cell>
          <cell r="AJ274">
            <v>0</v>
          </cell>
          <cell r="AK274">
            <v>0</v>
          </cell>
          <cell r="AL274"/>
          <cell r="AM274">
            <v>73188</v>
          </cell>
          <cell r="AN274">
            <v>74871</v>
          </cell>
          <cell r="AO274">
            <v>76593</v>
          </cell>
          <cell r="AP274">
            <v>78355</v>
          </cell>
          <cell r="AQ274">
            <v>80157</v>
          </cell>
          <cell r="AR274">
            <v>82000</v>
          </cell>
          <cell r="AS274">
            <v>0</v>
          </cell>
          <cell r="AT274">
            <v>0</v>
          </cell>
          <cell r="AU274">
            <v>0</v>
          </cell>
          <cell r="AV274">
            <v>0</v>
          </cell>
          <cell r="AW274">
            <v>0</v>
          </cell>
          <cell r="AX274">
            <v>0</v>
          </cell>
          <cell r="AY274"/>
          <cell r="AZ274"/>
          <cell r="BA274">
            <v>0</v>
          </cell>
          <cell r="BB274"/>
          <cell r="BC274">
            <v>0</v>
          </cell>
          <cell r="BD274">
            <v>2591</v>
          </cell>
          <cell r="BE274"/>
          <cell r="BF274">
            <v>0</v>
          </cell>
          <cell r="BG274">
            <v>0</v>
          </cell>
          <cell r="BH274">
            <v>0</v>
          </cell>
          <cell r="BI274">
            <v>8594</v>
          </cell>
          <cell r="BJ274">
            <v>7074</v>
          </cell>
          <cell r="BK274">
            <v>7074</v>
          </cell>
          <cell r="BL274">
            <v>0</v>
          </cell>
          <cell r="BM274">
            <v>0</v>
          </cell>
          <cell r="BN274">
            <v>0</v>
          </cell>
          <cell r="BO274">
            <v>59831</v>
          </cell>
          <cell r="BP274">
            <v>7907</v>
          </cell>
          <cell r="BQ274">
            <v>14244.186046511601</v>
          </cell>
          <cell r="BR274">
            <v>0</v>
          </cell>
          <cell r="BS274">
            <v>0</v>
          </cell>
          <cell r="BT274">
            <v>20895</v>
          </cell>
          <cell r="BU274"/>
          <cell r="BV274"/>
          <cell r="BW274"/>
          <cell r="BX274"/>
          <cell r="BY274">
            <v>0</v>
          </cell>
          <cell r="BZ274">
            <v>0</v>
          </cell>
          <cell r="CA274">
            <v>0</v>
          </cell>
          <cell r="CB274">
            <v>0</v>
          </cell>
          <cell r="CC274">
            <v>611183</v>
          </cell>
          <cell r="CD274">
            <v>3166014</v>
          </cell>
          <cell r="CE274">
            <v>218159</v>
          </cell>
          <cell r="CF274">
            <v>45180</v>
          </cell>
          <cell r="CG274">
            <v>218159</v>
          </cell>
          <cell r="CH274">
            <v>218159</v>
          </cell>
          <cell r="CI274">
            <v>218159</v>
          </cell>
          <cell r="CJ274">
            <v>218159</v>
          </cell>
          <cell r="CK274">
            <v>0</v>
          </cell>
          <cell r="CL274">
            <v>0</v>
          </cell>
          <cell r="CM274">
            <v>0</v>
          </cell>
          <cell r="CN274">
            <v>0</v>
          </cell>
          <cell r="CO274">
            <v>0</v>
          </cell>
          <cell r="CP274">
            <v>-1668</v>
          </cell>
          <cell r="CQ274">
            <v>580812</v>
          </cell>
          <cell r="CR274">
            <v>569704</v>
          </cell>
          <cell r="CS274">
            <v>565442</v>
          </cell>
          <cell r="CT274">
            <v>545789</v>
          </cell>
          <cell r="CU274">
            <v>545616</v>
          </cell>
          <cell r="CV274">
            <v>-21748</v>
          </cell>
          <cell r="CW274">
            <v>0</v>
          </cell>
          <cell r="CX274">
            <v>0</v>
          </cell>
          <cell r="CY274">
            <v>0</v>
          </cell>
          <cell r="CZ274">
            <v>0</v>
          </cell>
          <cell r="DA274">
            <v>0</v>
          </cell>
          <cell r="DB274"/>
          <cell r="DC274">
            <v>0</v>
          </cell>
          <cell r="DD274">
            <v>0</v>
          </cell>
          <cell r="DE274">
            <v>0</v>
          </cell>
          <cell r="DF274">
            <v>0</v>
          </cell>
          <cell r="DG274">
            <v>0</v>
          </cell>
          <cell r="DH274">
            <v>0</v>
          </cell>
          <cell r="DI274">
            <v>0</v>
          </cell>
          <cell r="DJ274">
            <v>0</v>
          </cell>
          <cell r="DK274">
            <v>0</v>
          </cell>
          <cell r="DL274">
            <v>0</v>
          </cell>
          <cell r="DM274"/>
          <cell r="DN274"/>
          <cell r="DO274"/>
          <cell r="DP274"/>
        </row>
        <row r="275">
          <cell r="A275">
            <v>703</v>
          </cell>
          <cell r="B275" t="str">
            <v>Reimerswaal</v>
          </cell>
          <cell r="C275">
            <v>9</v>
          </cell>
          <cell r="D275">
            <v>9227</v>
          </cell>
          <cell r="E275">
            <v>4614</v>
          </cell>
          <cell r="F275">
            <v>0</v>
          </cell>
          <cell r="G275">
            <v>0</v>
          </cell>
          <cell r="H275">
            <v>-8760</v>
          </cell>
          <cell r="I275">
            <v>-9918</v>
          </cell>
          <cell r="J275"/>
          <cell r="K275">
            <v>0</v>
          </cell>
          <cell r="L275">
            <v>79883</v>
          </cell>
          <cell r="M275">
            <v>74636</v>
          </cell>
          <cell r="N275">
            <v>0</v>
          </cell>
          <cell r="O275">
            <v>0</v>
          </cell>
          <cell r="P275">
            <v>0</v>
          </cell>
          <cell r="Q275">
            <v>0</v>
          </cell>
          <cell r="R275">
            <v>0</v>
          </cell>
          <cell r="S275">
            <v>0</v>
          </cell>
          <cell r="T275">
            <v>0</v>
          </cell>
          <cell r="U275">
            <v>0</v>
          </cell>
          <cell r="V275">
            <v>3000</v>
          </cell>
          <cell r="W275">
            <v>74753</v>
          </cell>
          <cell r="X275">
            <v>0</v>
          </cell>
          <cell r="Y275"/>
          <cell r="Z275">
            <v>0</v>
          </cell>
          <cell r="AA275">
            <v>0</v>
          </cell>
          <cell r="AB275">
            <v>0</v>
          </cell>
          <cell r="AC275"/>
          <cell r="AD275">
            <v>0</v>
          </cell>
          <cell r="AE275">
            <v>0</v>
          </cell>
          <cell r="AF275">
            <v>0</v>
          </cell>
          <cell r="AG275">
            <v>0</v>
          </cell>
          <cell r="AH275">
            <v>0</v>
          </cell>
          <cell r="AI275">
            <v>0</v>
          </cell>
          <cell r="AJ275">
            <v>0</v>
          </cell>
          <cell r="AK275">
            <v>0</v>
          </cell>
          <cell r="AL275"/>
          <cell r="AM275">
            <v>84034</v>
          </cell>
          <cell r="AN275">
            <v>85966</v>
          </cell>
          <cell r="AO275">
            <v>87944</v>
          </cell>
          <cell r="AP275">
            <v>89966</v>
          </cell>
          <cell r="AQ275">
            <v>92036</v>
          </cell>
          <cell r="AR275">
            <v>94152</v>
          </cell>
          <cell r="AS275">
            <v>0</v>
          </cell>
          <cell r="AT275">
            <v>0</v>
          </cell>
          <cell r="AU275">
            <v>0</v>
          </cell>
          <cell r="AV275">
            <v>0</v>
          </cell>
          <cell r="AW275">
            <v>0</v>
          </cell>
          <cell r="AX275">
            <v>0</v>
          </cell>
          <cell r="AY275"/>
          <cell r="AZ275"/>
          <cell r="BA275">
            <v>0</v>
          </cell>
          <cell r="BB275"/>
          <cell r="BC275">
            <v>0</v>
          </cell>
          <cell r="BD275">
            <v>7848</v>
          </cell>
          <cell r="BE275"/>
          <cell r="BF275">
            <v>0</v>
          </cell>
          <cell r="BG275">
            <v>0</v>
          </cell>
          <cell r="BH275">
            <v>0</v>
          </cell>
          <cell r="BI275">
            <v>27946</v>
          </cell>
          <cell r="BJ275">
            <v>23003</v>
          </cell>
          <cell r="BK275">
            <v>23003</v>
          </cell>
          <cell r="BL275">
            <v>0</v>
          </cell>
          <cell r="BM275">
            <v>0</v>
          </cell>
          <cell r="BN275">
            <v>0</v>
          </cell>
          <cell r="BO275">
            <v>106528</v>
          </cell>
          <cell r="BP275">
            <v>15814</v>
          </cell>
          <cell r="BQ275">
            <v>28488.372093023299</v>
          </cell>
          <cell r="BR275">
            <v>0</v>
          </cell>
          <cell r="BS275">
            <v>0</v>
          </cell>
          <cell r="BT275">
            <v>45944</v>
          </cell>
          <cell r="BU275"/>
          <cell r="BV275"/>
          <cell r="BW275"/>
          <cell r="BX275"/>
          <cell r="BY275">
            <v>0</v>
          </cell>
          <cell r="BZ275">
            <v>0</v>
          </cell>
          <cell r="CA275">
            <v>0</v>
          </cell>
          <cell r="CB275">
            <v>0</v>
          </cell>
          <cell r="CC275">
            <v>1573742</v>
          </cell>
          <cell r="CD275">
            <v>8740591</v>
          </cell>
          <cell r="CE275">
            <v>729734</v>
          </cell>
          <cell r="CF275">
            <v>0</v>
          </cell>
          <cell r="CG275">
            <v>729734</v>
          </cell>
          <cell r="CH275">
            <v>729734</v>
          </cell>
          <cell r="CI275">
            <v>729734</v>
          </cell>
          <cell r="CJ275">
            <v>729734</v>
          </cell>
          <cell r="CK275">
            <v>0</v>
          </cell>
          <cell r="CL275">
            <v>0</v>
          </cell>
          <cell r="CM275">
            <v>0</v>
          </cell>
          <cell r="CN275">
            <v>0</v>
          </cell>
          <cell r="CO275">
            <v>0</v>
          </cell>
          <cell r="CP275">
            <v>-3561</v>
          </cell>
          <cell r="CQ275">
            <v>1369751</v>
          </cell>
          <cell r="CR275">
            <v>1319677</v>
          </cell>
          <cell r="CS275">
            <v>1299704</v>
          </cell>
          <cell r="CT275">
            <v>1284695</v>
          </cell>
          <cell r="CU275">
            <v>1235619</v>
          </cell>
          <cell r="CV275">
            <v>-3689</v>
          </cell>
          <cell r="CW275">
            <v>0</v>
          </cell>
          <cell r="CX275">
            <v>0</v>
          </cell>
          <cell r="CY275">
            <v>0</v>
          </cell>
          <cell r="CZ275">
            <v>0</v>
          </cell>
          <cell r="DA275">
            <v>0</v>
          </cell>
          <cell r="DB275"/>
          <cell r="DC275">
            <v>0</v>
          </cell>
          <cell r="DD275">
            <v>0</v>
          </cell>
          <cell r="DE275">
            <v>0</v>
          </cell>
          <cell r="DF275">
            <v>0</v>
          </cell>
          <cell r="DG275">
            <v>0</v>
          </cell>
          <cell r="DH275">
            <v>0</v>
          </cell>
          <cell r="DI275">
            <v>0</v>
          </cell>
          <cell r="DJ275">
            <v>0</v>
          </cell>
          <cell r="DK275">
            <v>0</v>
          </cell>
          <cell r="DL275">
            <v>0</v>
          </cell>
          <cell r="DM275"/>
          <cell r="DN275"/>
          <cell r="DO275"/>
          <cell r="DP275"/>
        </row>
        <row r="276">
          <cell r="A276">
            <v>1676</v>
          </cell>
          <cell r="B276" t="str">
            <v>Schouwen-Duiveland</v>
          </cell>
          <cell r="C276">
            <v>9</v>
          </cell>
          <cell r="D276">
            <v>18477</v>
          </cell>
          <cell r="E276">
            <v>9239</v>
          </cell>
          <cell r="F276">
            <v>0</v>
          </cell>
          <cell r="G276">
            <v>38801</v>
          </cell>
          <cell r="H276">
            <v>-19089</v>
          </cell>
          <cell r="I276">
            <v>-7720</v>
          </cell>
          <cell r="J276"/>
          <cell r="K276">
            <v>0</v>
          </cell>
          <cell r="L276">
            <v>116989</v>
          </cell>
          <cell r="M276">
            <v>109990</v>
          </cell>
          <cell r="N276">
            <v>0</v>
          </cell>
          <cell r="O276">
            <v>0</v>
          </cell>
          <cell r="P276">
            <v>0</v>
          </cell>
          <cell r="Q276">
            <v>0</v>
          </cell>
          <cell r="R276">
            <v>0</v>
          </cell>
          <cell r="S276">
            <v>0</v>
          </cell>
          <cell r="T276">
            <v>0</v>
          </cell>
          <cell r="U276">
            <v>0</v>
          </cell>
          <cell r="V276">
            <v>18000</v>
          </cell>
          <cell r="W276">
            <v>56166</v>
          </cell>
          <cell r="X276">
            <v>0</v>
          </cell>
          <cell r="Y276"/>
          <cell r="Z276">
            <v>0</v>
          </cell>
          <cell r="AA276">
            <v>0</v>
          </cell>
          <cell r="AB276">
            <v>0</v>
          </cell>
          <cell r="AC276"/>
          <cell r="AD276">
            <v>20000</v>
          </cell>
          <cell r="AE276">
            <v>0</v>
          </cell>
          <cell r="AF276">
            <v>0</v>
          </cell>
          <cell r="AG276">
            <v>0</v>
          </cell>
          <cell r="AH276">
            <v>0</v>
          </cell>
          <cell r="AI276">
            <v>0</v>
          </cell>
          <cell r="AJ276">
            <v>0</v>
          </cell>
          <cell r="AK276">
            <v>0</v>
          </cell>
          <cell r="AL276"/>
          <cell r="AM276">
            <v>209646</v>
          </cell>
          <cell r="AN276">
            <v>214467</v>
          </cell>
          <cell r="AO276">
            <v>219400</v>
          </cell>
          <cell r="AP276">
            <v>224446</v>
          </cell>
          <cell r="AQ276">
            <v>229609</v>
          </cell>
          <cell r="AR276">
            <v>234890</v>
          </cell>
          <cell r="AS276">
            <v>0</v>
          </cell>
          <cell r="AT276">
            <v>0</v>
          </cell>
          <cell r="AU276">
            <v>4740</v>
          </cell>
          <cell r="AV276">
            <v>0</v>
          </cell>
          <cell r="AW276">
            <v>0</v>
          </cell>
          <cell r="AX276">
            <v>0</v>
          </cell>
          <cell r="AY276"/>
          <cell r="AZ276"/>
          <cell r="BA276">
            <v>0</v>
          </cell>
          <cell r="BB276"/>
          <cell r="BC276">
            <v>0</v>
          </cell>
          <cell r="BD276">
            <v>11853</v>
          </cell>
          <cell r="BE276"/>
          <cell r="BF276">
            <v>0</v>
          </cell>
          <cell r="BG276">
            <v>0</v>
          </cell>
          <cell r="BH276">
            <v>0</v>
          </cell>
          <cell r="BI276">
            <v>43639</v>
          </cell>
          <cell r="BJ276">
            <v>35922</v>
          </cell>
          <cell r="BK276">
            <v>35922</v>
          </cell>
          <cell r="BL276">
            <v>0</v>
          </cell>
          <cell r="BM276">
            <v>0</v>
          </cell>
          <cell r="BN276">
            <v>0</v>
          </cell>
          <cell r="BO276">
            <v>133281</v>
          </cell>
          <cell r="BP276">
            <v>33209.4</v>
          </cell>
          <cell r="BQ276">
            <v>59825.581395348803</v>
          </cell>
          <cell r="BR276">
            <v>0</v>
          </cell>
          <cell r="BS276">
            <v>0</v>
          </cell>
          <cell r="BT276">
            <v>61803</v>
          </cell>
          <cell r="BU276"/>
          <cell r="BV276"/>
          <cell r="BW276"/>
          <cell r="BX276"/>
          <cell r="BY276">
            <v>0</v>
          </cell>
          <cell r="BZ276">
            <v>0</v>
          </cell>
          <cell r="CA276">
            <v>0</v>
          </cell>
          <cell r="CB276">
            <v>0</v>
          </cell>
          <cell r="CC276">
            <v>2995382</v>
          </cell>
          <cell r="CD276">
            <v>16020243</v>
          </cell>
          <cell r="CE276">
            <v>1318680</v>
          </cell>
          <cell r="CF276">
            <v>-1957</v>
          </cell>
          <cell r="CG276">
            <v>1318680</v>
          </cell>
          <cell r="CH276">
            <v>1318680</v>
          </cell>
          <cell r="CI276">
            <v>1318680</v>
          </cell>
          <cell r="CJ276">
            <v>1318680</v>
          </cell>
          <cell r="CK276">
            <v>0</v>
          </cell>
          <cell r="CL276">
            <v>0</v>
          </cell>
          <cell r="CM276">
            <v>0</v>
          </cell>
          <cell r="CN276">
            <v>0</v>
          </cell>
          <cell r="CO276">
            <v>0</v>
          </cell>
          <cell r="CP276">
            <v>-2499</v>
          </cell>
          <cell r="CQ276">
            <v>4742888</v>
          </cell>
          <cell r="CR276">
            <v>4470789</v>
          </cell>
          <cell r="CS276">
            <v>4345494</v>
          </cell>
          <cell r="CT276">
            <v>4173254</v>
          </cell>
          <cell r="CU276">
            <v>4090468</v>
          </cell>
          <cell r="CV276">
            <v>42611</v>
          </cell>
          <cell r="CW276">
            <v>0</v>
          </cell>
          <cell r="CX276">
            <v>0</v>
          </cell>
          <cell r="CY276">
            <v>0</v>
          </cell>
          <cell r="CZ276">
            <v>0</v>
          </cell>
          <cell r="DA276">
            <v>0</v>
          </cell>
          <cell r="DB276"/>
          <cell r="DC276">
            <v>0</v>
          </cell>
          <cell r="DD276">
            <v>0</v>
          </cell>
          <cell r="DE276">
            <v>0</v>
          </cell>
          <cell r="DF276">
            <v>0</v>
          </cell>
          <cell r="DG276">
            <v>0</v>
          </cell>
          <cell r="DH276">
            <v>0</v>
          </cell>
          <cell r="DI276">
            <v>0</v>
          </cell>
          <cell r="DJ276">
            <v>0</v>
          </cell>
          <cell r="DK276">
            <v>0</v>
          </cell>
          <cell r="DL276">
            <v>0</v>
          </cell>
          <cell r="DM276"/>
          <cell r="DN276"/>
          <cell r="DO276"/>
          <cell r="DP276"/>
        </row>
        <row r="277">
          <cell r="A277">
            <v>1714</v>
          </cell>
          <cell r="B277" t="str">
            <v>Sluis</v>
          </cell>
          <cell r="C277">
            <v>9</v>
          </cell>
          <cell r="D277">
            <v>-8970</v>
          </cell>
          <cell r="E277">
            <v>-4485</v>
          </cell>
          <cell r="F277">
            <v>0</v>
          </cell>
          <cell r="G277">
            <v>876139</v>
          </cell>
          <cell r="H277">
            <v>-30476</v>
          </cell>
          <cell r="I277">
            <v>-10218</v>
          </cell>
          <cell r="J277"/>
          <cell r="K277">
            <v>0</v>
          </cell>
          <cell r="L277">
            <v>80937</v>
          </cell>
          <cell r="M277">
            <v>67708</v>
          </cell>
          <cell r="N277">
            <v>0</v>
          </cell>
          <cell r="O277">
            <v>0</v>
          </cell>
          <cell r="P277">
            <v>0</v>
          </cell>
          <cell r="Q277">
            <v>0</v>
          </cell>
          <cell r="R277">
            <v>0</v>
          </cell>
          <cell r="S277">
            <v>0</v>
          </cell>
          <cell r="T277">
            <v>0</v>
          </cell>
          <cell r="U277">
            <v>0</v>
          </cell>
          <cell r="V277">
            <v>3000</v>
          </cell>
          <cell r="W277">
            <v>81056</v>
          </cell>
          <cell r="X277">
            <v>0</v>
          </cell>
          <cell r="Y277"/>
          <cell r="Z277">
            <v>0</v>
          </cell>
          <cell r="AA277">
            <v>0</v>
          </cell>
          <cell r="AB277">
            <v>0</v>
          </cell>
          <cell r="AC277"/>
          <cell r="AD277">
            <v>20000</v>
          </cell>
          <cell r="AE277">
            <v>0</v>
          </cell>
          <cell r="AF277">
            <v>0</v>
          </cell>
          <cell r="AG277">
            <v>0</v>
          </cell>
          <cell r="AH277">
            <v>0</v>
          </cell>
          <cell r="AI277">
            <v>0</v>
          </cell>
          <cell r="AJ277">
            <v>0</v>
          </cell>
          <cell r="AK277">
            <v>0</v>
          </cell>
          <cell r="AL277"/>
          <cell r="AM277">
            <v>221758</v>
          </cell>
          <cell r="AN277">
            <v>226858</v>
          </cell>
          <cell r="AO277">
            <v>232076</v>
          </cell>
          <cell r="AP277">
            <v>237414</v>
          </cell>
          <cell r="AQ277">
            <v>242874</v>
          </cell>
          <cell r="AR277">
            <v>248460</v>
          </cell>
          <cell r="AS277">
            <v>0</v>
          </cell>
          <cell r="AT277">
            <v>0</v>
          </cell>
          <cell r="AU277">
            <v>7110</v>
          </cell>
          <cell r="AV277">
            <v>0</v>
          </cell>
          <cell r="AW277">
            <v>0</v>
          </cell>
          <cell r="AX277">
            <v>0</v>
          </cell>
          <cell r="AY277"/>
          <cell r="AZ277"/>
          <cell r="BA277">
            <v>0</v>
          </cell>
          <cell r="BB277"/>
          <cell r="BC277">
            <v>0</v>
          </cell>
          <cell r="BD277">
            <v>8305</v>
          </cell>
          <cell r="BE277"/>
          <cell r="BF277">
            <v>0</v>
          </cell>
          <cell r="BG277">
            <v>0</v>
          </cell>
          <cell r="BH277">
            <v>0</v>
          </cell>
          <cell r="BI277">
            <v>35515</v>
          </cell>
          <cell r="BJ277">
            <v>29234</v>
          </cell>
          <cell r="BK277">
            <v>29234</v>
          </cell>
          <cell r="BL277">
            <v>0</v>
          </cell>
          <cell r="BM277">
            <v>0</v>
          </cell>
          <cell r="BN277">
            <v>0</v>
          </cell>
          <cell r="BO277">
            <v>76369</v>
          </cell>
          <cell r="BP277">
            <v>11069.8</v>
          </cell>
          <cell r="BQ277">
            <v>19941.8604651163</v>
          </cell>
          <cell r="BR277">
            <v>0</v>
          </cell>
          <cell r="BS277">
            <v>0</v>
          </cell>
          <cell r="BT277">
            <v>48422</v>
          </cell>
          <cell r="BU277"/>
          <cell r="BV277"/>
          <cell r="BW277"/>
          <cell r="BX277"/>
          <cell r="BY277">
            <v>0</v>
          </cell>
          <cell r="BZ277">
            <v>0</v>
          </cell>
          <cell r="CA277">
            <v>0</v>
          </cell>
          <cell r="CB277">
            <v>0</v>
          </cell>
          <cell r="CC277">
            <v>2261154</v>
          </cell>
          <cell r="CD277">
            <v>9445174</v>
          </cell>
          <cell r="CE277">
            <v>793186</v>
          </cell>
          <cell r="CF277">
            <v>-24782</v>
          </cell>
          <cell r="CG277">
            <v>793186</v>
          </cell>
          <cell r="CH277">
            <v>793186</v>
          </cell>
          <cell r="CI277">
            <v>793186</v>
          </cell>
          <cell r="CJ277">
            <v>793186</v>
          </cell>
          <cell r="CK277">
            <v>0</v>
          </cell>
          <cell r="CL277">
            <v>0</v>
          </cell>
          <cell r="CM277">
            <v>0</v>
          </cell>
          <cell r="CN277">
            <v>0</v>
          </cell>
          <cell r="CO277">
            <v>0</v>
          </cell>
          <cell r="CP277">
            <v>0</v>
          </cell>
          <cell r="CQ277">
            <v>2162049</v>
          </cell>
          <cell r="CR277">
            <v>2064599</v>
          </cell>
          <cell r="CS277">
            <v>1993952</v>
          </cell>
          <cell r="CT277">
            <v>1917329</v>
          </cell>
          <cell r="CU277">
            <v>1839800</v>
          </cell>
          <cell r="CV277">
            <v>13039</v>
          </cell>
          <cell r="CW277">
            <v>0</v>
          </cell>
          <cell r="CX277">
            <v>0</v>
          </cell>
          <cell r="CY277">
            <v>0</v>
          </cell>
          <cell r="CZ277">
            <v>0</v>
          </cell>
          <cell r="DA277">
            <v>0</v>
          </cell>
          <cell r="DB277"/>
          <cell r="DC277">
            <v>0</v>
          </cell>
          <cell r="DD277">
            <v>0</v>
          </cell>
          <cell r="DE277">
            <v>0</v>
          </cell>
          <cell r="DF277">
            <v>0</v>
          </cell>
          <cell r="DG277">
            <v>0</v>
          </cell>
          <cell r="DH277">
            <v>0</v>
          </cell>
          <cell r="DI277">
            <v>0</v>
          </cell>
          <cell r="DJ277">
            <v>0</v>
          </cell>
          <cell r="DK277">
            <v>0</v>
          </cell>
          <cell r="DL277">
            <v>0</v>
          </cell>
          <cell r="DM277"/>
          <cell r="DN277"/>
          <cell r="DO277"/>
          <cell r="DP277"/>
        </row>
        <row r="278">
          <cell r="A278">
            <v>715</v>
          </cell>
          <cell r="B278" t="str">
            <v>Terneuzen</v>
          </cell>
          <cell r="C278">
            <v>9</v>
          </cell>
          <cell r="D278">
            <v>77074</v>
          </cell>
          <cell r="E278">
            <v>38537</v>
          </cell>
          <cell r="F278">
            <v>0</v>
          </cell>
          <cell r="G278">
            <v>0</v>
          </cell>
          <cell r="H278">
            <v>-11851</v>
          </cell>
          <cell r="I278">
            <v>0</v>
          </cell>
          <cell r="J278"/>
          <cell r="K278">
            <v>0</v>
          </cell>
          <cell r="L278">
            <v>253497</v>
          </cell>
          <cell r="M278">
            <v>235216</v>
          </cell>
          <cell r="N278">
            <v>0</v>
          </cell>
          <cell r="O278">
            <v>0</v>
          </cell>
          <cell r="P278">
            <v>0</v>
          </cell>
          <cell r="Q278">
            <v>0</v>
          </cell>
          <cell r="R278">
            <v>395667</v>
          </cell>
          <cell r="S278">
            <v>0</v>
          </cell>
          <cell r="T278">
            <v>0</v>
          </cell>
          <cell r="U278">
            <v>0</v>
          </cell>
          <cell r="V278">
            <v>21000</v>
          </cell>
          <cell r="W278">
            <v>183449</v>
          </cell>
          <cell r="X278">
            <v>0</v>
          </cell>
          <cell r="Y278"/>
          <cell r="Z278">
            <v>0</v>
          </cell>
          <cell r="AA278">
            <v>0</v>
          </cell>
          <cell r="AB278">
            <v>0</v>
          </cell>
          <cell r="AC278"/>
          <cell r="AD278">
            <v>104624</v>
          </cell>
          <cell r="AE278">
            <v>0</v>
          </cell>
          <cell r="AF278">
            <v>0</v>
          </cell>
          <cell r="AG278">
            <v>0</v>
          </cell>
          <cell r="AH278">
            <v>0</v>
          </cell>
          <cell r="AI278">
            <v>0</v>
          </cell>
          <cell r="AJ278">
            <v>0</v>
          </cell>
          <cell r="AK278">
            <v>0</v>
          </cell>
          <cell r="AL278"/>
          <cell r="AM278">
            <v>204684</v>
          </cell>
          <cell r="AN278">
            <v>209392</v>
          </cell>
          <cell r="AO278">
            <v>214208</v>
          </cell>
          <cell r="AP278">
            <v>219134</v>
          </cell>
          <cell r="AQ278">
            <v>224175</v>
          </cell>
          <cell r="AR278">
            <v>229331</v>
          </cell>
          <cell r="AS278">
            <v>0</v>
          </cell>
          <cell r="AT278">
            <v>0</v>
          </cell>
          <cell r="AU278">
            <v>4740</v>
          </cell>
          <cell r="AV278">
            <v>0</v>
          </cell>
          <cell r="AW278">
            <v>0</v>
          </cell>
          <cell r="AX278">
            <v>0</v>
          </cell>
          <cell r="AY278"/>
          <cell r="AZ278"/>
          <cell r="BA278">
            <v>0</v>
          </cell>
          <cell r="BB278"/>
          <cell r="BC278">
            <v>0</v>
          </cell>
          <cell r="BD278">
            <v>19162</v>
          </cell>
          <cell r="BE278"/>
          <cell r="BF278">
            <v>0</v>
          </cell>
          <cell r="BG278">
            <v>0</v>
          </cell>
          <cell r="BH278">
            <v>0</v>
          </cell>
          <cell r="BI278">
            <v>97012</v>
          </cell>
          <cell r="BJ278">
            <v>79855</v>
          </cell>
          <cell r="BK278">
            <v>79855</v>
          </cell>
          <cell r="BL278">
            <v>0</v>
          </cell>
          <cell r="BM278">
            <v>0</v>
          </cell>
          <cell r="BN278">
            <v>0</v>
          </cell>
          <cell r="BO278">
            <v>423192</v>
          </cell>
          <cell r="BP278">
            <v>17395.400000000001</v>
          </cell>
          <cell r="BQ278">
            <v>31337.209302325598</v>
          </cell>
          <cell r="BR278">
            <v>0</v>
          </cell>
          <cell r="BS278">
            <v>0</v>
          </cell>
          <cell r="BT278">
            <v>98250</v>
          </cell>
          <cell r="BU278"/>
          <cell r="BV278"/>
          <cell r="BW278"/>
          <cell r="BX278"/>
          <cell r="BY278">
            <v>0</v>
          </cell>
          <cell r="BZ278">
            <v>0</v>
          </cell>
          <cell r="CA278">
            <v>0</v>
          </cell>
          <cell r="CB278">
            <v>0</v>
          </cell>
          <cell r="CC278">
            <v>5268521</v>
          </cell>
          <cell r="CD278">
            <v>30613661</v>
          </cell>
          <cell r="CE278">
            <v>1545946</v>
          </cell>
          <cell r="CF278">
            <v>0</v>
          </cell>
          <cell r="CG278">
            <v>1545946</v>
          </cell>
          <cell r="CH278">
            <v>1545946</v>
          </cell>
          <cell r="CI278">
            <v>1545946</v>
          </cell>
          <cell r="CJ278">
            <v>1545946</v>
          </cell>
          <cell r="CK278">
            <v>0</v>
          </cell>
          <cell r="CL278">
            <v>0</v>
          </cell>
          <cell r="CM278">
            <v>0</v>
          </cell>
          <cell r="CN278">
            <v>0</v>
          </cell>
          <cell r="CO278">
            <v>0</v>
          </cell>
          <cell r="CP278">
            <v>0</v>
          </cell>
          <cell r="CQ278">
            <v>9132160</v>
          </cell>
          <cell r="CR278">
            <v>8759871</v>
          </cell>
          <cell r="CS278">
            <v>8584123</v>
          </cell>
          <cell r="CT278">
            <v>8360464</v>
          </cell>
          <cell r="CU278">
            <v>8176392</v>
          </cell>
          <cell r="CV278">
            <v>-27409</v>
          </cell>
          <cell r="CW278">
            <v>0</v>
          </cell>
          <cell r="CX278">
            <v>0</v>
          </cell>
          <cell r="CY278">
            <v>0</v>
          </cell>
          <cell r="CZ278">
            <v>0</v>
          </cell>
          <cell r="DA278">
            <v>0</v>
          </cell>
          <cell r="DB278"/>
          <cell r="DC278">
            <v>0</v>
          </cell>
          <cell r="DD278">
            <v>0</v>
          </cell>
          <cell r="DE278">
            <v>0</v>
          </cell>
          <cell r="DF278">
            <v>0</v>
          </cell>
          <cell r="DG278">
            <v>0</v>
          </cell>
          <cell r="DH278">
            <v>0</v>
          </cell>
          <cell r="DI278">
            <v>0</v>
          </cell>
          <cell r="DJ278">
            <v>0</v>
          </cell>
          <cell r="DK278">
            <v>0</v>
          </cell>
          <cell r="DL278">
            <v>0</v>
          </cell>
          <cell r="DM278"/>
          <cell r="DN278"/>
          <cell r="DO278"/>
          <cell r="DP278"/>
        </row>
        <row r="279">
          <cell r="A279">
            <v>716</v>
          </cell>
          <cell r="B279" t="str">
            <v>Tholen</v>
          </cell>
          <cell r="C279">
            <v>9</v>
          </cell>
          <cell r="D279">
            <v>-12266</v>
          </cell>
          <cell r="E279">
            <v>-6133</v>
          </cell>
          <cell r="F279">
            <v>0</v>
          </cell>
          <cell r="G279">
            <v>0</v>
          </cell>
          <cell r="H279">
            <v>-33759</v>
          </cell>
          <cell r="I279">
            <v>-27240</v>
          </cell>
          <cell r="J279"/>
          <cell r="K279">
            <v>0</v>
          </cell>
          <cell r="L279">
            <v>105012</v>
          </cell>
          <cell r="M279">
            <v>100800</v>
          </cell>
          <cell r="N279">
            <v>0</v>
          </cell>
          <cell r="O279">
            <v>0</v>
          </cell>
          <cell r="P279">
            <v>0</v>
          </cell>
          <cell r="Q279">
            <v>0</v>
          </cell>
          <cell r="R279">
            <v>0</v>
          </cell>
          <cell r="S279">
            <v>0</v>
          </cell>
          <cell r="T279">
            <v>0</v>
          </cell>
          <cell r="U279">
            <v>0</v>
          </cell>
          <cell r="V279">
            <v>3000</v>
          </cell>
          <cell r="W279">
            <v>116238</v>
          </cell>
          <cell r="X279">
            <v>0</v>
          </cell>
          <cell r="Y279"/>
          <cell r="Z279">
            <v>0</v>
          </cell>
          <cell r="AA279">
            <v>0</v>
          </cell>
          <cell r="AB279">
            <v>0</v>
          </cell>
          <cell r="AC279"/>
          <cell r="AD279">
            <v>20000</v>
          </cell>
          <cell r="AE279">
            <v>0</v>
          </cell>
          <cell r="AF279">
            <v>0</v>
          </cell>
          <cell r="AG279">
            <v>0</v>
          </cell>
          <cell r="AH279">
            <v>0</v>
          </cell>
          <cell r="AI279">
            <v>0</v>
          </cell>
          <cell r="AJ279">
            <v>0</v>
          </cell>
          <cell r="AK279">
            <v>0</v>
          </cell>
          <cell r="AL279"/>
          <cell r="AM279">
            <v>128108</v>
          </cell>
          <cell r="AN279">
            <v>131055</v>
          </cell>
          <cell r="AO279">
            <v>134069</v>
          </cell>
          <cell r="AP279">
            <v>137153</v>
          </cell>
          <cell r="AQ279">
            <v>140307</v>
          </cell>
          <cell r="AR279">
            <v>143534</v>
          </cell>
          <cell r="AS279">
            <v>0</v>
          </cell>
          <cell r="AT279">
            <v>0</v>
          </cell>
          <cell r="AU279">
            <v>7110</v>
          </cell>
          <cell r="AV279">
            <v>0</v>
          </cell>
          <cell r="AW279">
            <v>0</v>
          </cell>
          <cell r="AX279">
            <v>0</v>
          </cell>
          <cell r="AY279"/>
          <cell r="AZ279"/>
          <cell r="BA279">
            <v>0</v>
          </cell>
          <cell r="BB279"/>
          <cell r="BC279">
            <v>0</v>
          </cell>
          <cell r="BD279">
            <v>8961</v>
          </cell>
          <cell r="BE279"/>
          <cell r="BF279">
            <v>0</v>
          </cell>
          <cell r="BG279">
            <v>0</v>
          </cell>
          <cell r="BH279">
            <v>0</v>
          </cell>
          <cell r="BI279">
            <v>34584</v>
          </cell>
          <cell r="BJ279">
            <v>28467</v>
          </cell>
          <cell r="BK279">
            <v>28467</v>
          </cell>
          <cell r="BL279">
            <v>0</v>
          </cell>
          <cell r="BM279">
            <v>0</v>
          </cell>
          <cell r="BN279">
            <v>0</v>
          </cell>
          <cell r="BO279">
            <v>35509</v>
          </cell>
          <cell r="BP279">
            <v>36372.199999999997</v>
          </cell>
          <cell r="BQ279">
            <v>65523.255813953503</v>
          </cell>
          <cell r="BR279">
            <v>0</v>
          </cell>
          <cell r="BS279">
            <v>0</v>
          </cell>
          <cell r="BT279">
            <v>48895</v>
          </cell>
          <cell r="BU279"/>
          <cell r="BV279"/>
          <cell r="BW279"/>
          <cell r="BX279"/>
          <cell r="BY279">
            <v>0</v>
          </cell>
          <cell r="BZ279">
            <v>0</v>
          </cell>
          <cell r="CA279">
            <v>0</v>
          </cell>
          <cell r="CB279">
            <v>0</v>
          </cell>
          <cell r="CC279">
            <v>1990124</v>
          </cell>
          <cell r="CD279">
            <v>11491219</v>
          </cell>
          <cell r="CE279">
            <v>722531</v>
          </cell>
          <cell r="CF279">
            <v>-29372</v>
          </cell>
          <cell r="CG279">
            <v>722531</v>
          </cell>
          <cell r="CH279">
            <v>722531</v>
          </cell>
          <cell r="CI279">
            <v>722531</v>
          </cell>
          <cell r="CJ279">
            <v>722531</v>
          </cell>
          <cell r="CK279">
            <v>0</v>
          </cell>
          <cell r="CL279">
            <v>0</v>
          </cell>
          <cell r="CM279">
            <v>0</v>
          </cell>
          <cell r="CN279">
            <v>0</v>
          </cell>
          <cell r="CO279">
            <v>0</v>
          </cell>
          <cell r="CP279">
            <v>-5440</v>
          </cell>
          <cell r="CQ279">
            <v>1984259</v>
          </cell>
          <cell r="CR279">
            <v>1937930</v>
          </cell>
          <cell r="CS279">
            <v>1923980</v>
          </cell>
          <cell r="CT279">
            <v>1908502</v>
          </cell>
          <cell r="CU279">
            <v>1897546</v>
          </cell>
          <cell r="CV279">
            <v>-30965</v>
          </cell>
          <cell r="CW279">
            <v>0</v>
          </cell>
          <cell r="CX279">
            <v>0</v>
          </cell>
          <cell r="CY279">
            <v>0</v>
          </cell>
          <cell r="CZ279">
            <v>0</v>
          </cell>
          <cell r="DA279">
            <v>0</v>
          </cell>
          <cell r="DB279"/>
          <cell r="DC279">
            <v>0</v>
          </cell>
          <cell r="DD279">
            <v>0</v>
          </cell>
          <cell r="DE279">
            <v>0</v>
          </cell>
          <cell r="DF279">
            <v>0</v>
          </cell>
          <cell r="DG279">
            <v>0</v>
          </cell>
          <cell r="DH279">
            <v>0</v>
          </cell>
          <cell r="DI279">
            <v>0</v>
          </cell>
          <cell r="DJ279">
            <v>0</v>
          </cell>
          <cell r="DK279">
            <v>0</v>
          </cell>
          <cell r="DL279">
            <v>0</v>
          </cell>
          <cell r="DM279"/>
          <cell r="DN279"/>
          <cell r="DO279"/>
          <cell r="DP279"/>
        </row>
        <row r="280">
          <cell r="A280">
            <v>717</v>
          </cell>
          <cell r="B280" t="str">
            <v>Veere</v>
          </cell>
          <cell r="C280">
            <v>9</v>
          </cell>
          <cell r="D280">
            <v>-16562</v>
          </cell>
          <cell r="E280">
            <v>-8281</v>
          </cell>
          <cell r="F280">
            <v>0</v>
          </cell>
          <cell r="G280">
            <v>43069</v>
          </cell>
          <cell r="H280">
            <v>-6845</v>
          </cell>
          <cell r="I280">
            <v>0</v>
          </cell>
          <cell r="J280"/>
          <cell r="K280">
            <v>0</v>
          </cell>
          <cell r="L280">
            <v>60166</v>
          </cell>
          <cell r="M280">
            <v>49995</v>
          </cell>
          <cell r="N280">
            <v>0</v>
          </cell>
          <cell r="O280">
            <v>0</v>
          </cell>
          <cell r="P280">
            <v>0</v>
          </cell>
          <cell r="Q280">
            <v>0</v>
          </cell>
          <cell r="R280">
            <v>0</v>
          </cell>
          <cell r="S280">
            <v>0</v>
          </cell>
          <cell r="T280">
            <v>0</v>
          </cell>
          <cell r="U280">
            <v>0</v>
          </cell>
          <cell r="V280">
            <v>6000</v>
          </cell>
          <cell r="W280">
            <v>65662</v>
          </cell>
          <cell r="X280">
            <v>0</v>
          </cell>
          <cell r="Y280"/>
          <cell r="Z280">
            <v>0</v>
          </cell>
          <cell r="AA280">
            <v>0</v>
          </cell>
          <cell r="AB280">
            <v>0</v>
          </cell>
          <cell r="AC280"/>
          <cell r="AD280">
            <v>0</v>
          </cell>
          <cell r="AE280">
            <v>0</v>
          </cell>
          <cell r="AF280">
            <v>0</v>
          </cell>
          <cell r="AG280">
            <v>0</v>
          </cell>
          <cell r="AH280">
            <v>0</v>
          </cell>
          <cell r="AI280">
            <v>0</v>
          </cell>
          <cell r="AJ280">
            <v>0</v>
          </cell>
          <cell r="AK280">
            <v>0</v>
          </cell>
          <cell r="AL280"/>
          <cell r="AM280">
            <v>120037</v>
          </cell>
          <cell r="AN280">
            <v>122797</v>
          </cell>
          <cell r="AO280">
            <v>125622</v>
          </cell>
          <cell r="AP280">
            <v>128511</v>
          </cell>
          <cell r="AQ280">
            <v>131467</v>
          </cell>
          <cell r="AR280">
            <v>134490</v>
          </cell>
          <cell r="AS280">
            <v>0</v>
          </cell>
          <cell r="AT280">
            <v>0</v>
          </cell>
          <cell r="AU280">
            <v>0</v>
          </cell>
          <cell r="AV280">
            <v>0</v>
          </cell>
          <cell r="AW280">
            <v>0</v>
          </cell>
          <cell r="AX280">
            <v>0</v>
          </cell>
          <cell r="AY280"/>
          <cell r="AZ280"/>
          <cell r="BA280">
            <v>0</v>
          </cell>
          <cell r="BB280"/>
          <cell r="BC280">
            <v>0</v>
          </cell>
          <cell r="BD280">
            <v>7688</v>
          </cell>
          <cell r="BE280"/>
          <cell r="BF280">
            <v>0</v>
          </cell>
          <cell r="BG280">
            <v>0</v>
          </cell>
          <cell r="BH280">
            <v>0</v>
          </cell>
          <cell r="BI280">
            <v>16204</v>
          </cell>
          <cell r="BJ280">
            <v>13338</v>
          </cell>
          <cell r="BK280">
            <v>13338</v>
          </cell>
          <cell r="BL280">
            <v>0</v>
          </cell>
          <cell r="BM280">
            <v>0</v>
          </cell>
          <cell r="BN280">
            <v>0</v>
          </cell>
          <cell r="BO280">
            <v>44751</v>
          </cell>
          <cell r="BP280">
            <v>6325.6</v>
          </cell>
          <cell r="BQ280">
            <v>11395.3488372093</v>
          </cell>
          <cell r="BR280">
            <v>0</v>
          </cell>
          <cell r="BS280">
            <v>0</v>
          </cell>
          <cell r="BT280">
            <v>44875</v>
          </cell>
          <cell r="BU280"/>
          <cell r="BV280"/>
          <cell r="BW280"/>
          <cell r="BX280"/>
          <cell r="BY280">
            <v>0</v>
          </cell>
          <cell r="BZ280">
            <v>0</v>
          </cell>
          <cell r="CA280">
            <v>0</v>
          </cell>
          <cell r="CB280">
            <v>0</v>
          </cell>
          <cell r="CC280">
            <v>1498599</v>
          </cell>
          <cell r="CD280">
            <v>6625014</v>
          </cell>
          <cell r="CE280">
            <v>333684</v>
          </cell>
          <cell r="CF280">
            <v>0</v>
          </cell>
          <cell r="CG280">
            <v>333684</v>
          </cell>
          <cell r="CH280">
            <v>333684</v>
          </cell>
          <cell r="CI280">
            <v>333684</v>
          </cell>
          <cell r="CJ280">
            <v>333684</v>
          </cell>
          <cell r="CK280">
            <v>0</v>
          </cell>
          <cell r="CL280">
            <v>0</v>
          </cell>
          <cell r="CM280">
            <v>0</v>
          </cell>
          <cell r="CN280">
            <v>0</v>
          </cell>
          <cell r="CO280">
            <v>0</v>
          </cell>
          <cell r="CP280">
            <v>0</v>
          </cell>
          <cell r="CQ280">
            <v>1142799</v>
          </cell>
          <cell r="CR280">
            <v>1082495</v>
          </cell>
          <cell r="CS280">
            <v>1058947</v>
          </cell>
          <cell r="CT280">
            <v>1031445</v>
          </cell>
          <cell r="CU280">
            <v>1003719</v>
          </cell>
          <cell r="CV280">
            <v>14845</v>
          </cell>
          <cell r="CW280">
            <v>0</v>
          </cell>
          <cell r="CX280">
            <v>0</v>
          </cell>
          <cell r="CY280">
            <v>0</v>
          </cell>
          <cell r="CZ280">
            <v>0</v>
          </cell>
          <cell r="DA280">
            <v>0</v>
          </cell>
          <cell r="DB280"/>
          <cell r="DC280">
            <v>0</v>
          </cell>
          <cell r="DD280">
            <v>0</v>
          </cell>
          <cell r="DE280">
            <v>0</v>
          </cell>
          <cell r="DF280">
            <v>0</v>
          </cell>
          <cell r="DG280">
            <v>0</v>
          </cell>
          <cell r="DH280">
            <v>0</v>
          </cell>
          <cell r="DI280">
            <v>0</v>
          </cell>
          <cell r="DJ280">
            <v>0</v>
          </cell>
          <cell r="DK280">
            <v>0</v>
          </cell>
          <cell r="DL280">
            <v>0</v>
          </cell>
          <cell r="DM280"/>
          <cell r="DN280"/>
          <cell r="DO280"/>
          <cell r="DP280"/>
        </row>
        <row r="281">
          <cell r="A281">
            <v>718</v>
          </cell>
          <cell r="B281" t="str">
            <v>Vlissingen</v>
          </cell>
          <cell r="C281">
            <v>9</v>
          </cell>
          <cell r="D281">
            <v>104652</v>
          </cell>
          <cell r="E281">
            <v>52326</v>
          </cell>
          <cell r="F281">
            <v>0</v>
          </cell>
          <cell r="G281">
            <v>348412</v>
          </cell>
          <cell r="H281">
            <v>45141</v>
          </cell>
          <cell r="I281">
            <v>0</v>
          </cell>
          <cell r="J281"/>
          <cell r="K281">
            <v>0</v>
          </cell>
          <cell r="L281">
            <v>237261</v>
          </cell>
          <cell r="M281">
            <v>244263</v>
          </cell>
          <cell r="N281">
            <v>0</v>
          </cell>
          <cell r="O281">
            <v>0</v>
          </cell>
          <cell r="P281">
            <v>0</v>
          </cell>
          <cell r="Q281">
            <v>0</v>
          </cell>
          <cell r="R281">
            <v>0</v>
          </cell>
          <cell r="S281">
            <v>0</v>
          </cell>
          <cell r="T281">
            <v>0</v>
          </cell>
          <cell r="U281">
            <v>0</v>
          </cell>
          <cell r="V281">
            <v>15000</v>
          </cell>
          <cell r="W281">
            <v>157057</v>
          </cell>
          <cell r="X281">
            <v>0</v>
          </cell>
          <cell r="Y281"/>
          <cell r="Z281">
            <v>0</v>
          </cell>
          <cell r="AA281">
            <v>0</v>
          </cell>
          <cell r="AB281">
            <v>0</v>
          </cell>
          <cell r="AC281"/>
          <cell r="AD281">
            <v>38134</v>
          </cell>
          <cell r="AE281">
            <v>0</v>
          </cell>
          <cell r="AF281">
            <v>0</v>
          </cell>
          <cell r="AG281">
            <v>0</v>
          </cell>
          <cell r="AH281">
            <v>0</v>
          </cell>
          <cell r="AI281">
            <v>0</v>
          </cell>
          <cell r="AJ281">
            <v>0</v>
          </cell>
          <cell r="AK281">
            <v>0</v>
          </cell>
          <cell r="AL281"/>
          <cell r="AM281">
            <v>29758</v>
          </cell>
          <cell r="AN281">
            <v>30442</v>
          </cell>
          <cell r="AO281">
            <v>31142</v>
          </cell>
          <cell r="AP281">
            <v>31858</v>
          </cell>
          <cell r="AQ281">
            <v>32591</v>
          </cell>
          <cell r="AR281">
            <v>33341</v>
          </cell>
          <cell r="AS281">
            <v>0</v>
          </cell>
          <cell r="AT281">
            <v>0</v>
          </cell>
          <cell r="AU281">
            <v>4740</v>
          </cell>
          <cell r="AV281">
            <v>6708789.6562429098</v>
          </cell>
          <cell r="AW281">
            <v>0</v>
          </cell>
          <cell r="AX281">
            <v>0</v>
          </cell>
          <cell r="AY281"/>
          <cell r="AZ281"/>
          <cell r="BA281">
            <v>0</v>
          </cell>
          <cell r="BB281"/>
          <cell r="BC281">
            <v>0</v>
          </cell>
          <cell r="BD281">
            <v>15584</v>
          </cell>
          <cell r="BE281"/>
          <cell r="BF281">
            <v>0</v>
          </cell>
          <cell r="BG281">
            <v>0</v>
          </cell>
          <cell r="BH281">
            <v>0</v>
          </cell>
          <cell r="BI281">
            <v>90913</v>
          </cell>
          <cell r="BJ281">
            <v>74835</v>
          </cell>
          <cell r="BK281">
            <v>74835</v>
          </cell>
          <cell r="BL281">
            <v>0</v>
          </cell>
          <cell r="BM281">
            <v>0</v>
          </cell>
          <cell r="BN281">
            <v>0</v>
          </cell>
          <cell r="BO281">
            <v>308395</v>
          </cell>
          <cell r="BP281">
            <v>14232.6</v>
          </cell>
          <cell r="BQ281">
            <v>25639.534883720899</v>
          </cell>
          <cell r="BR281">
            <v>0</v>
          </cell>
          <cell r="BS281">
            <v>0</v>
          </cell>
          <cell r="BT281">
            <v>82921</v>
          </cell>
          <cell r="BU281"/>
          <cell r="BV281"/>
          <cell r="BW281"/>
          <cell r="BX281"/>
          <cell r="BY281">
            <v>2343626.89079173</v>
          </cell>
          <cell r="BZ281">
            <v>2713051.7711161701</v>
          </cell>
          <cell r="CA281">
            <v>2744610.68049062</v>
          </cell>
          <cell r="CB281">
            <v>2833718.1893126001</v>
          </cell>
          <cell r="CC281">
            <v>4402407</v>
          </cell>
          <cell r="CD281">
            <v>68278844</v>
          </cell>
          <cell r="CE281">
            <v>1090245</v>
          </cell>
          <cell r="CF281">
            <v>0</v>
          </cell>
          <cell r="CG281">
            <v>1090245</v>
          </cell>
          <cell r="CH281">
            <v>1090245</v>
          </cell>
          <cell r="CI281">
            <v>1090245</v>
          </cell>
          <cell r="CJ281">
            <v>1090245</v>
          </cell>
          <cell r="CK281">
            <v>44353968</v>
          </cell>
          <cell r="CL281">
            <v>44331707</v>
          </cell>
          <cell r="CM281">
            <v>44331347</v>
          </cell>
          <cell r="CN281">
            <v>44330555</v>
          </cell>
          <cell r="CO281">
            <v>44331652</v>
          </cell>
          <cell r="CP281">
            <v>0</v>
          </cell>
          <cell r="CQ281">
            <v>7199624</v>
          </cell>
          <cell r="CR281">
            <v>6853608</v>
          </cell>
          <cell r="CS281">
            <v>6641440</v>
          </cell>
          <cell r="CT281">
            <v>6450719</v>
          </cell>
          <cell r="CU281">
            <v>6288088</v>
          </cell>
          <cell r="CV281">
            <v>12076</v>
          </cell>
          <cell r="CW281">
            <v>0</v>
          </cell>
          <cell r="CX281">
            <v>0</v>
          </cell>
          <cell r="CY281">
            <v>0</v>
          </cell>
          <cell r="CZ281">
            <v>0</v>
          </cell>
          <cell r="DA281">
            <v>0</v>
          </cell>
          <cell r="DB281"/>
          <cell r="DC281">
            <v>0</v>
          </cell>
          <cell r="DD281">
            <v>0</v>
          </cell>
          <cell r="DE281">
            <v>0</v>
          </cell>
          <cell r="DF281">
            <v>0</v>
          </cell>
          <cell r="DG281">
            <v>0</v>
          </cell>
          <cell r="DH281">
            <v>0</v>
          </cell>
          <cell r="DI281">
            <v>0</v>
          </cell>
          <cell r="DJ281">
            <v>0</v>
          </cell>
          <cell r="DK281">
            <v>0</v>
          </cell>
          <cell r="DL281">
            <v>0</v>
          </cell>
          <cell r="DM281"/>
          <cell r="DN281"/>
          <cell r="DO281"/>
          <cell r="DP281"/>
        </row>
        <row r="282">
          <cell r="A282">
            <v>738</v>
          </cell>
          <cell r="B282" t="str">
            <v>Aalburg</v>
          </cell>
          <cell r="C282">
            <v>10</v>
          </cell>
          <cell r="D282">
            <v>5295</v>
          </cell>
          <cell r="E282">
            <v>2648</v>
          </cell>
          <cell r="F282">
            <v>0</v>
          </cell>
          <cell r="G282">
            <v>76866</v>
          </cell>
          <cell r="H282">
            <v>-23100</v>
          </cell>
          <cell r="I282">
            <v>-15749</v>
          </cell>
          <cell r="J282"/>
          <cell r="K282">
            <v>0</v>
          </cell>
          <cell r="L282">
            <v>33306</v>
          </cell>
          <cell r="M282">
            <v>33211</v>
          </cell>
          <cell r="N282">
            <v>0</v>
          </cell>
          <cell r="O282">
            <v>0</v>
          </cell>
          <cell r="P282">
            <v>0</v>
          </cell>
          <cell r="Q282">
            <v>0</v>
          </cell>
          <cell r="R282">
            <v>0</v>
          </cell>
          <cell r="S282">
            <v>0</v>
          </cell>
          <cell r="T282">
            <v>0</v>
          </cell>
          <cell r="U282">
            <v>0</v>
          </cell>
          <cell r="V282">
            <v>3000</v>
          </cell>
          <cell r="W282">
            <v>53136</v>
          </cell>
          <cell r="X282">
            <v>0</v>
          </cell>
          <cell r="Y282"/>
          <cell r="Z282">
            <v>0</v>
          </cell>
          <cell r="AA282">
            <v>0</v>
          </cell>
          <cell r="AB282">
            <v>0</v>
          </cell>
          <cell r="AC282"/>
          <cell r="AD282">
            <v>0</v>
          </cell>
          <cell r="AE282">
            <v>0</v>
          </cell>
          <cell r="AF282">
            <v>0</v>
          </cell>
          <cell r="AG282">
            <v>0</v>
          </cell>
          <cell r="AH282">
            <v>0</v>
          </cell>
          <cell r="AI282">
            <v>0</v>
          </cell>
          <cell r="AJ282">
            <v>0</v>
          </cell>
          <cell r="AK282">
            <v>0</v>
          </cell>
          <cell r="AL282"/>
          <cell r="AM282">
            <v>0</v>
          </cell>
          <cell r="AN282">
            <v>0</v>
          </cell>
          <cell r="AO282">
            <v>0</v>
          </cell>
          <cell r="AP282">
            <v>0</v>
          </cell>
          <cell r="AQ282">
            <v>0</v>
          </cell>
          <cell r="AR282">
            <v>0</v>
          </cell>
          <cell r="AS282">
            <v>0</v>
          </cell>
          <cell r="AT282">
            <v>0</v>
          </cell>
          <cell r="AU282">
            <v>0</v>
          </cell>
          <cell r="AV282">
            <v>0</v>
          </cell>
          <cell r="AW282">
            <v>0</v>
          </cell>
          <cell r="AX282">
            <v>0</v>
          </cell>
          <cell r="AY282"/>
          <cell r="AZ282"/>
          <cell r="BA282">
            <v>0</v>
          </cell>
          <cell r="BB282"/>
          <cell r="BC282">
            <v>0</v>
          </cell>
          <cell r="BD282">
            <v>22925</v>
          </cell>
          <cell r="BE282"/>
          <cell r="BF282">
            <v>0</v>
          </cell>
          <cell r="BG282">
            <v>0</v>
          </cell>
          <cell r="BH282">
            <v>0</v>
          </cell>
          <cell r="BI282">
            <v>14070</v>
          </cell>
          <cell r="BJ282">
            <v>11582</v>
          </cell>
          <cell r="BK282">
            <v>11582</v>
          </cell>
          <cell r="BL282">
            <v>0</v>
          </cell>
          <cell r="BM282">
            <v>0</v>
          </cell>
          <cell r="BN282">
            <v>0</v>
          </cell>
          <cell r="BO282">
            <v>16052</v>
          </cell>
          <cell r="BP282">
            <v>0</v>
          </cell>
          <cell r="BQ282">
            <v>0</v>
          </cell>
          <cell r="BR282">
            <v>0</v>
          </cell>
          <cell r="BS282">
            <v>0</v>
          </cell>
          <cell r="BT282">
            <v>25607</v>
          </cell>
          <cell r="BU282"/>
          <cell r="BV282"/>
          <cell r="BW282"/>
          <cell r="BX282"/>
          <cell r="BY282">
            <v>0</v>
          </cell>
          <cell r="BZ282">
            <v>0</v>
          </cell>
          <cell r="CA282">
            <v>0</v>
          </cell>
          <cell r="CB282">
            <v>0</v>
          </cell>
          <cell r="CC282">
            <v>838567</v>
          </cell>
          <cell r="CD282">
            <v>5111536</v>
          </cell>
          <cell r="CE282">
            <v>381787</v>
          </cell>
          <cell r="CF282">
            <v>-33412</v>
          </cell>
          <cell r="CG282">
            <v>381787</v>
          </cell>
          <cell r="CH282">
            <v>381787</v>
          </cell>
          <cell r="CI282">
            <v>381787</v>
          </cell>
          <cell r="CJ282">
            <v>381787</v>
          </cell>
          <cell r="CK282">
            <v>0</v>
          </cell>
          <cell r="CL282">
            <v>0</v>
          </cell>
          <cell r="CM282">
            <v>0</v>
          </cell>
          <cell r="CN282">
            <v>0</v>
          </cell>
          <cell r="CO282">
            <v>0</v>
          </cell>
          <cell r="CP282">
            <v>-664</v>
          </cell>
          <cell r="CQ282">
            <v>846492</v>
          </cell>
          <cell r="CR282">
            <v>781055</v>
          </cell>
          <cell r="CS282">
            <v>738729</v>
          </cell>
          <cell r="CT282">
            <v>725997</v>
          </cell>
          <cell r="CU282">
            <v>720609</v>
          </cell>
          <cell r="CV282">
            <v>8024</v>
          </cell>
          <cell r="CW282">
            <v>0</v>
          </cell>
          <cell r="CX282">
            <v>0</v>
          </cell>
          <cell r="CY282">
            <v>0</v>
          </cell>
          <cell r="CZ282">
            <v>0</v>
          </cell>
          <cell r="DA282">
            <v>0</v>
          </cell>
          <cell r="DB282"/>
          <cell r="DC282">
            <v>0</v>
          </cell>
          <cell r="DD282">
            <v>0</v>
          </cell>
          <cell r="DE282">
            <v>0</v>
          </cell>
          <cell r="DF282">
            <v>0</v>
          </cell>
          <cell r="DG282">
            <v>0</v>
          </cell>
          <cell r="DH282">
            <v>0</v>
          </cell>
          <cell r="DI282">
            <v>0</v>
          </cell>
          <cell r="DJ282">
            <v>0</v>
          </cell>
          <cell r="DK282">
            <v>0</v>
          </cell>
          <cell r="DL282">
            <v>0</v>
          </cell>
          <cell r="DM282"/>
          <cell r="DN282"/>
          <cell r="DO282"/>
          <cell r="DP282"/>
        </row>
        <row r="283">
          <cell r="A283">
            <v>1723</v>
          </cell>
          <cell r="B283" t="str">
            <v>Alphen-Chaam</v>
          </cell>
          <cell r="C283">
            <v>10</v>
          </cell>
          <cell r="D283">
            <v>-3600</v>
          </cell>
          <cell r="E283">
            <v>-1800</v>
          </cell>
          <cell r="F283">
            <v>0</v>
          </cell>
          <cell r="G283">
            <v>23907</v>
          </cell>
          <cell r="H283">
            <v>-7505</v>
          </cell>
          <cell r="I283">
            <v>-233</v>
          </cell>
          <cell r="J283"/>
          <cell r="K283">
            <v>0</v>
          </cell>
          <cell r="L283">
            <v>30441</v>
          </cell>
          <cell r="M283">
            <v>22712</v>
          </cell>
          <cell r="N283">
            <v>0</v>
          </cell>
          <cell r="O283">
            <v>0</v>
          </cell>
          <cell r="P283">
            <v>0</v>
          </cell>
          <cell r="Q283">
            <v>0</v>
          </cell>
          <cell r="R283">
            <v>0</v>
          </cell>
          <cell r="S283">
            <v>0</v>
          </cell>
          <cell r="T283">
            <v>0</v>
          </cell>
          <cell r="U283">
            <v>0</v>
          </cell>
          <cell r="V283">
            <v>0</v>
          </cell>
          <cell r="W283">
            <v>38876</v>
          </cell>
          <cell r="X283">
            <v>0</v>
          </cell>
          <cell r="Y283"/>
          <cell r="Z283">
            <v>0</v>
          </cell>
          <cell r="AA283">
            <v>0</v>
          </cell>
          <cell r="AB283">
            <v>0</v>
          </cell>
          <cell r="AC283"/>
          <cell r="AD283">
            <v>0</v>
          </cell>
          <cell r="AE283">
            <v>0</v>
          </cell>
          <cell r="AF283">
            <v>0</v>
          </cell>
          <cell r="AG283">
            <v>0</v>
          </cell>
          <cell r="AH283">
            <v>0</v>
          </cell>
          <cell r="AI283">
            <v>0</v>
          </cell>
          <cell r="AJ283">
            <v>0</v>
          </cell>
          <cell r="AK283">
            <v>0</v>
          </cell>
          <cell r="AL283"/>
          <cell r="AM283">
            <v>0</v>
          </cell>
          <cell r="AN283">
            <v>0</v>
          </cell>
          <cell r="AO283">
            <v>0</v>
          </cell>
          <cell r="AP283">
            <v>0</v>
          </cell>
          <cell r="AQ283">
            <v>0</v>
          </cell>
          <cell r="AR283">
            <v>0</v>
          </cell>
          <cell r="AS283">
            <v>0</v>
          </cell>
          <cell r="AT283">
            <v>0</v>
          </cell>
          <cell r="AU283">
            <v>0</v>
          </cell>
          <cell r="AV283">
            <v>0</v>
          </cell>
          <cell r="AW283">
            <v>0</v>
          </cell>
          <cell r="AX283">
            <v>0</v>
          </cell>
          <cell r="AY283"/>
          <cell r="AZ283"/>
          <cell r="BA283">
            <v>0</v>
          </cell>
          <cell r="BB283"/>
          <cell r="BC283">
            <v>0</v>
          </cell>
          <cell r="BD283">
            <v>3531</v>
          </cell>
          <cell r="BE283"/>
          <cell r="BF283">
            <v>0</v>
          </cell>
          <cell r="BG283">
            <v>0</v>
          </cell>
          <cell r="BH283">
            <v>0</v>
          </cell>
          <cell r="BI283">
            <v>8305</v>
          </cell>
          <cell r="BJ283">
            <v>6836</v>
          </cell>
          <cell r="BK283">
            <v>6836</v>
          </cell>
          <cell r="BL283">
            <v>0</v>
          </cell>
          <cell r="BM283">
            <v>0</v>
          </cell>
          <cell r="BN283">
            <v>0</v>
          </cell>
          <cell r="BO283">
            <v>0</v>
          </cell>
          <cell r="BP283">
            <v>0</v>
          </cell>
          <cell r="BQ283">
            <v>0</v>
          </cell>
          <cell r="BR283">
            <v>0</v>
          </cell>
          <cell r="BS283">
            <v>0</v>
          </cell>
          <cell r="BT283">
            <v>19231</v>
          </cell>
          <cell r="BU283"/>
          <cell r="BV283"/>
          <cell r="BW283"/>
          <cell r="BX283"/>
          <cell r="BY283">
            <v>0</v>
          </cell>
          <cell r="BZ283">
            <v>0</v>
          </cell>
          <cell r="CA283">
            <v>0</v>
          </cell>
          <cell r="CB283">
            <v>0</v>
          </cell>
          <cell r="CC283">
            <v>639672</v>
          </cell>
          <cell r="CD283">
            <v>3962342</v>
          </cell>
          <cell r="CE283">
            <v>377077</v>
          </cell>
          <cell r="CF283">
            <v>-562</v>
          </cell>
          <cell r="CG283">
            <v>377077</v>
          </cell>
          <cell r="CH283">
            <v>377077</v>
          </cell>
          <cell r="CI283">
            <v>377077</v>
          </cell>
          <cell r="CJ283">
            <v>377077</v>
          </cell>
          <cell r="CK283">
            <v>0</v>
          </cell>
          <cell r="CL283">
            <v>0</v>
          </cell>
          <cell r="CM283">
            <v>0</v>
          </cell>
          <cell r="CN283">
            <v>0</v>
          </cell>
          <cell r="CO283">
            <v>0</v>
          </cell>
          <cell r="CP283">
            <v>0</v>
          </cell>
          <cell r="CQ283">
            <v>579507</v>
          </cell>
          <cell r="CR283">
            <v>554795</v>
          </cell>
          <cell r="CS283">
            <v>533876</v>
          </cell>
          <cell r="CT283">
            <v>508900</v>
          </cell>
          <cell r="CU283">
            <v>497281</v>
          </cell>
          <cell r="CV283">
            <v>5075</v>
          </cell>
          <cell r="CW283">
            <v>0</v>
          </cell>
          <cell r="CX283">
            <v>0</v>
          </cell>
          <cell r="CY283">
            <v>0</v>
          </cell>
          <cell r="CZ283">
            <v>0</v>
          </cell>
          <cell r="DA283">
            <v>0</v>
          </cell>
          <cell r="DB283"/>
          <cell r="DC283">
            <v>0</v>
          </cell>
          <cell r="DD283">
            <v>0</v>
          </cell>
          <cell r="DE283">
            <v>0</v>
          </cell>
          <cell r="DF283">
            <v>0</v>
          </cell>
          <cell r="DG283">
            <v>0</v>
          </cell>
          <cell r="DH283">
            <v>0</v>
          </cell>
          <cell r="DI283">
            <v>0</v>
          </cell>
          <cell r="DJ283">
            <v>0</v>
          </cell>
          <cell r="DK283">
            <v>0</v>
          </cell>
          <cell r="DL283">
            <v>0</v>
          </cell>
          <cell r="DM283"/>
          <cell r="DN283"/>
          <cell r="DO283"/>
          <cell r="DP283"/>
        </row>
        <row r="284">
          <cell r="A284">
            <v>743</v>
          </cell>
          <cell r="B284" t="str">
            <v>Asten</v>
          </cell>
          <cell r="C284">
            <v>10</v>
          </cell>
          <cell r="D284">
            <v>-21977</v>
          </cell>
          <cell r="E284">
            <v>-10989</v>
          </cell>
          <cell r="F284">
            <v>0</v>
          </cell>
          <cell r="G284">
            <v>19916</v>
          </cell>
          <cell r="H284">
            <v>-9519</v>
          </cell>
          <cell r="I284">
            <v>0</v>
          </cell>
          <cell r="J284"/>
          <cell r="K284">
            <v>0</v>
          </cell>
          <cell r="L284">
            <v>56465</v>
          </cell>
          <cell r="M284">
            <v>60494</v>
          </cell>
          <cell r="N284">
            <v>0</v>
          </cell>
          <cell r="O284">
            <v>0</v>
          </cell>
          <cell r="P284">
            <v>0</v>
          </cell>
          <cell r="Q284">
            <v>0</v>
          </cell>
          <cell r="R284">
            <v>0</v>
          </cell>
          <cell r="S284">
            <v>0</v>
          </cell>
          <cell r="T284">
            <v>0</v>
          </cell>
          <cell r="U284">
            <v>0</v>
          </cell>
          <cell r="V284">
            <v>0</v>
          </cell>
          <cell r="W284">
            <v>70170</v>
          </cell>
          <cell r="X284">
            <v>0</v>
          </cell>
          <cell r="Y284"/>
          <cell r="Z284">
            <v>0</v>
          </cell>
          <cell r="AA284">
            <v>0</v>
          </cell>
          <cell r="AB284">
            <v>0</v>
          </cell>
          <cell r="AC284"/>
          <cell r="AD284">
            <v>0</v>
          </cell>
          <cell r="AE284">
            <v>0</v>
          </cell>
          <cell r="AF284">
            <v>0</v>
          </cell>
          <cell r="AG284">
            <v>0</v>
          </cell>
          <cell r="AH284">
            <v>0</v>
          </cell>
          <cell r="AI284">
            <v>0</v>
          </cell>
          <cell r="AJ284">
            <v>0</v>
          </cell>
          <cell r="AK284">
            <v>0</v>
          </cell>
          <cell r="AL284"/>
          <cell r="AM284">
            <v>0</v>
          </cell>
          <cell r="AN284">
            <v>0</v>
          </cell>
          <cell r="AO284">
            <v>0</v>
          </cell>
          <cell r="AP284">
            <v>0</v>
          </cell>
          <cell r="AQ284">
            <v>0</v>
          </cell>
          <cell r="AR284">
            <v>0</v>
          </cell>
          <cell r="AS284">
            <v>0</v>
          </cell>
          <cell r="AT284">
            <v>0</v>
          </cell>
          <cell r="AU284">
            <v>2370</v>
          </cell>
          <cell r="AV284">
            <v>0</v>
          </cell>
          <cell r="AW284">
            <v>0</v>
          </cell>
          <cell r="AX284">
            <v>0</v>
          </cell>
          <cell r="AY284"/>
          <cell r="AZ284"/>
          <cell r="BA284">
            <v>0</v>
          </cell>
          <cell r="BB284"/>
          <cell r="BC284">
            <v>0</v>
          </cell>
          <cell r="BD284">
            <v>5867</v>
          </cell>
          <cell r="BE284"/>
          <cell r="BF284">
            <v>0</v>
          </cell>
          <cell r="BG284">
            <v>0</v>
          </cell>
          <cell r="BH284">
            <v>0</v>
          </cell>
          <cell r="BI284">
            <v>25238</v>
          </cell>
          <cell r="BJ284">
            <v>20774</v>
          </cell>
          <cell r="BK284">
            <v>20774</v>
          </cell>
          <cell r="BL284">
            <v>0</v>
          </cell>
          <cell r="BM284">
            <v>0</v>
          </cell>
          <cell r="BN284">
            <v>0</v>
          </cell>
          <cell r="BO284">
            <v>32591</v>
          </cell>
          <cell r="BP284">
            <v>7907</v>
          </cell>
          <cell r="BQ284">
            <v>14244.186046511601</v>
          </cell>
          <cell r="BR284">
            <v>0</v>
          </cell>
          <cell r="BS284">
            <v>0</v>
          </cell>
          <cell r="BT284">
            <v>24111</v>
          </cell>
          <cell r="BU284"/>
          <cell r="BV284"/>
          <cell r="BW284"/>
          <cell r="BX284"/>
          <cell r="BY284">
            <v>0</v>
          </cell>
          <cell r="BZ284">
            <v>0</v>
          </cell>
          <cell r="CA284">
            <v>0</v>
          </cell>
          <cell r="CB284">
            <v>0</v>
          </cell>
          <cell r="CC284">
            <v>1180471</v>
          </cell>
          <cell r="CD284">
            <v>6480426</v>
          </cell>
          <cell r="CE284">
            <v>385783</v>
          </cell>
          <cell r="CF284">
            <v>0</v>
          </cell>
          <cell r="CG284">
            <v>385783</v>
          </cell>
          <cell r="CH284">
            <v>385783</v>
          </cell>
          <cell r="CI284">
            <v>385783</v>
          </cell>
          <cell r="CJ284">
            <v>385783</v>
          </cell>
          <cell r="CK284">
            <v>0</v>
          </cell>
          <cell r="CL284">
            <v>0</v>
          </cell>
          <cell r="CM284">
            <v>0</v>
          </cell>
          <cell r="CN284">
            <v>0</v>
          </cell>
          <cell r="CO284">
            <v>0</v>
          </cell>
          <cell r="CP284">
            <v>0</v>
          </cell>
          <cell r="CQ284">
            <v>1775723</v>
          </cell>
          <cell r="CR284">
            <v>1660237</v>
          </cell>
          <cell r="CS284">
            <v>1602860</v>
          </cell>
          <cell r="CT284">
            <v>1534373</v>
          </cell>
          <cell r="CU284">
            <v>1495788</v>
          </cell>
          <cell r="CV284">
            <v>-52891</v>
          </cell>
          <cell r="CW284">
            <v>0</v>
          </cell>
          <cell r="CX284">
            <v>0</v>
          </cell>
          <cell r="CY284">
            <v>0</v>
          </cell>
          <cell r="CZ284">
            <v>0</v>
          </cell>
          <cell r="DA284">
            <v>0</v>
          </cell>
          <cell r="DB284"/>
          <cell r="DC284">
            <v>0</v>
          </cell>
          <cell r="DD284">
            <v>0</v>
          </cell>
          <cell r="DE284">
            <v>0</v>
          </cell>
          <cell r="DF284">
            <v>0</v>
          </cell>
          <cell r="DG284">
            <v>0</v>
          </cell>
          <cell r="DH284">
            <v>0</v>
          </cell>
          <cell r="DI284">
            <v>0</v>
          </cell>
          <cell r="DJ284">
            <v>0</v>
          </cell>
          <cell r="DK284">
            <v>0</v>
          </cell>
          <cell r="DL284">
            <v>0</v>
          </cell>
          <cell r="DM284"/>
          <cell r="DN284"/>
          <cell r="DO284"/>
          <cell r="DP284"/>
        </row>
        <row r="285">
          <cell r="A285">
            <v>744</v>
          </cell>
          <cell r="B285" t="str">
            <v>Baarle-Nassau</v>
          </cell>
          <cell r="C285">
            <v>10</v>
          </cell>
          <cell r="D285">
            <v>279</v>
          </cell>
          <cell r="E285">
            <v>140</v>
          </cell>
          <cell r="F285">
            <v>0</v>
          </cell>
          <cell r="G285">
            <v>14515</v>
          </cell>
          <cell r="H285">
            <v>-8484</v>
          </cell>
          <cell r="I285">
            <v>-8992</v>
          </cell>
          <cell r="J285"/>
          <cell r="K285">
            <v>0</v>
          </cell>
          <cell r="L285">
            <v>22483</v>
          </cell>
          <cell r="M285">
            <v>25236</v>
          </cell>
          <cell r="N285">
            <v>0</v>
          </cell>
          <cell r="O285">
            <v>0</v>
          </cell>
          <cell r="P285">
            <v>0</v>
          </cell>
          <cell r="Q285">
            <v>0</v>
          </cell>
          <cell r="R285">
            <v>0</v>
          </cell>
          <cell r="S285">
            <v>0</v>
          </cell>
          <cell r="T285">
            <v>0</v>
          </cell>
          <cell r="U285">
            <v>0</v>
          </cell>
          <cell r="V285">
            <v>0</v>
          </cell>
          <cell r="W285">
            <v>21576</v>
          </cell>
          <cell r="X285">
            <v>0</v>
          </cell>
          <cell r="Y285"/>
          <cell r="Z285">
            <v>0</v>
          </cell>
          <cell r="AA285">
            <v>0</v>
          </cell>
          <cell r="AB285">
            <v>0</v>
          </cell>
          <cell r="AC285"/>
          <cell r="AD285">
            <v>0</v>
          </cell>
          <cell r="AE285">
            <v>0</v>
          </cell>
          <cell r="AF285">
            <v>0</v>
          </cell>
          <cell r="AG285">
            <v>0</v>
          </cell>
          <cell r="AH285">
            <v>0</v>
          </cell>
          <cell r="AI285">
            <v>0</v>
          </cell>
          <cell r="AJ285">
            <v>0</v>
          </cell>
          <cell r="AK285">
            <v>0</v>
          </cell>
          <cell r="AL285"/>
          <cell r="AM285">
            <v>0</v>
          </cell>
          <cell r="AN285">
            <v>0</v>
          </cell>
          <cell r="AO285">
            <v>0</v>
          </cell>
          <cell r="AP285">
            <v>0</v>
          </cell>
          <cell r="AQ285">
            <v>0</v>
          </cell>
          <cell r="AR285">
            <v>0</v>
          </cell>
          <cell r="AS285">
            <v>0</v>
          </cell>
          <cell r="AT285">
            <v>0</v>
          </cell>
          <cell r="AU285">
            <v>0</v>
          </cell>
          <cell r="AV285">
            <v>0</v>
          </cell>
          <cell r="AW285">
            <v>0</v>
          </cell>
          <cell r="AX285">
            <v>0</v>
          </cell>
          <cell r="AY285"/>
          <cell r="AZ285"/>
          <cell r="BA285">
            <v>0</v>
          </cell>
          <cell r="BB285"/>
          <cell r="BC285">
            <v>0</v>
          </cell>
          <cell r="BD285">
            <v>2337</v>
          </cell>
          <cell r="BE285"/>
          <cell r="BF285">
            <v>0</v>
          </cell>
          <cell r="BG285">
            <v>0</v>
          </cell>
          <cell r="BH285">
            <v>0</v>
          </cell>
          <cell r="BI285">
            <v>8960</v>
          </cell>
          <cell r="BJ285">
            <v>7375</v>
          </cell>
          <cell r="BK285">
            <v>7375</v>
          </cell>
          <cell r="BL285">
            <v>0</v>
          </cell>
          <cell r="BM285">
            <v>0</v>
          </cell>
          <cell r="BN285">
            <v>0</v>
          </cell>
          <cell r="BO285">
            <v>29186</v>
          </cell>
          <cell r="BP285">
            <v>0</v>
          </cell>
          <cell r="BQ285">
            <v>0</v>
          </cell>
          <cell r="BR285">
            <v>0</v>
          </cell>
          <cell r="BS285">
            <v>0</v>
          </cell>
          <cell r="BT285">
            <v>13448</v>
          </cell>
          <cell r="BU285"/>
          <cell r="BV285"/>
          <cell r="BW285"/>
          <cell r="BX285"/>
          <cell r="BY285">
            <v>0</v>
          </cell>
          <cell r="BZ285">
            <v>0</v>
          </cell>
          <cell r="CA285">
            <v>0</v>
          </cell>
          <cell r="CB285">
            <v>0</v>
          </cell>
          <cell r="CC285">
            <v>652254</v>
          </cell>
          <cell r="CD285">
            <v>2114566</v>
          </cell>
          <cell r="CE285">
            <v>26995</v>
          </cell>
          <cell r="CF285">
            <v>-21784</v>
          </cell>
          <cell r="CG285">
            <v>26995</v>
          </cell>
          <cell r="CH285">
            <v>26995</v>
          </cell>
          <cell r="CI285">
            <v>26995</v>
          </cell>
          <cell r="CJ285">
            <v>26995</v>
          </cell>
          <cell r="CK285">
            <v>0</v>
          </cell>
          <cell r="CL285">
            <v>0</v>
          </cell>
          <cell r="CM285">
            <v>0</v>
          </cell>
          <cell r="CN285">
            <v>0</v>
          </cell>
          <cell r="CO285">
            <v>0</v>
          </cell>
          <cell r="CP285">
            <v>0</v>
          </cell>
          <cell r="CQ285">
            <v>25381</v>
          </cell>
          <cell r="CR285">
            <v>28341</v>
          </cell>
          <cell r="CS285">
            <v>29255</v>
          </cell>
          <cell r="CT285">
            <v>31941</v>
          </cell>
          <cell r="CU285">
            <v>34617</v>
          </cell>
          <cell r="CV285">
            <v>-7252</v>
          </cell>
          <cell r="CW285">
            <v>0</v>
          </cell>
          <cell r="CX285">
            <v>0</v>
          </cell>
          <cell r="CY285">
            <v>0</v>
          </cell>
          <cell r="CZ285">
            <v>0</v>
          </cell>
          <cell r="DA285">
            <v>0</v>
          </cell>
          <cell r="DB285"/>
          <cell r="DC285">
            <v>0</v>
          </cell>
          <cell r="DD285">
            <v>0</v>
          </cell>
          <cell r="DE285">
            <v>0</v>
          </cell>
          <cell r="DF285">
            <v>0</v>
          </cell>
          <cell r="DG285">
            <v>0</v>
          </cell>
          <cell r="DH285">
            <v>0</v>
          </cell>
          <cell r="DI285">
            <v>0</v>
          </cell>
          <cell r="DJ285">
            <v>0</v>
          </cell>
          <cell r="DK285">
            <v>0</v>
          </cell>
          <cell r="DL285">
            <v>0</v>
          </cell>
          <cell r="DM285"/>
          <cell r="DN285"/>
          <cell r="DO285"/>
          <cell r="DP285"/>
        </row>
        <row r="286">
          <cell r="A286">
            <v>1724</v>
          </cell>
          <cell r="B286" t="str">
            <v>Bergeijk</v>
          </cell>
          <cell r="C286">
            <v>10</v>
          </cell>
          <cell r="D286">
            <v>-29014</v>
          </cell>
          <cell r="E286">
            <v>-14507</v>
          </cell>
          <cell r="F286">
            <v>0</v>
          </cell>
          <cell r="G286">
            <v>0</v>
          </cell>
          <cell r="H286">
            <v>-16311</v>
          </cell>
          <cell r="I286">
            <v>-7519</v>
          </cell>
          <cell r="J286"/>
          <cell r="K286">
            <v>0</v>
          </cell>
          <cell r="L286">
            <v>52287</v>
          </cell>
          <cell r="M286">
            <v>47996</v>
          </cell>
          <cell r="N286">
            <v>0</v>
          </cell>
          <cell r="O286">
            <v>0</v>
          </cell>
          <cell r="P286">
            <v>0</v>
          </cell>
          <cell r="Q286">
            <v>0</v>
          </cell>
          <cell r="R286">
            <v>0</v>
          </cell>
          <cell r="S286">
            <v>0</v>
          </cell>
          <cell r="T286">
            <v>0</v>
          </cell>
          <cell r="U286">
            <v>0</v>
          </cell>
          <cell r="V286">
            <v>6000</v>
          </cell>
          <cell r="W286">
            <v>76391</v>
          </cell>
          <cell r="X286">
            <v>0</v>
          </cell>
          <cell r="Y286"/>
          <cell r="Z286">
            <v>0</v>
          </cell>
          <cell r="AA286">
            <v>0</v>
          </cell>
          <cell r="AB286">
            <v>0</v>
          </cell>
          <cell r="AC286"/>
          <cell r="AD286">
            <v>0</v>
          </cell>
          <cell r="AE286">
            <v>0</v>
          </cell>
          <cell r="AF286">
            <v>0</v>
          </cell>
          <cell r="AG286">
            <v>0</v>
          </cell>
          <cell r="AH286">
            <v>0</v>
          </cell>
          <cell r="AI286">
            <v>0</v>
          </cell>
          <cell r="AJ286">
            <v>0</v>
          </cell>
          <cell r="AK286">
            <v>0</v>
          </cell>
          <cell r="AL286"/>
          <cell r="AM286">
            <v>0</v>
          </cell>
          <cell r="AN286">
            <v>0</v>
          </cell>
          <cell r="AO286">
            <v>0</v>
          </cell>
          <cell r="AP286">
            <v>0</v>
          </cell>
          <cell r="AQ286">
            <v>0</v>
          </cell>
          <cell r="AR286">
            <v>0</v>
          </cell>
          <cell r="AS286">
            <v>0</v>
          </cell>
          <cell r="AT286">
            <v>0</v>
          </cell>
          <cell r="AU286">
            <v>0</v>
          </cell>
          <cell r="AV286">
            <v>0</v>
          </cell>
          <cell r="AW286">
            <v>0</v>
          </cell>
          <cell r="AX286">
            <v>0</v>
          </cell>
          <cell r="AY286"/>
          <cell r="AZ286"/>
          <cell r="BA286">
            <v>0</v>
          </cell>
          <cell r="BB286"/>
          <cell r="BC286">
            <v>0</v>
          </cell>
          <cell r="BD286">
            <v>6439</v>
          </cell>
          <cell r="BE286"/>
          <cell r="BF286">
            <v>0</v>
          </cell>
          <cell r="BG286">
            <v>0</v>
          </cell>
          <cell r="BH286">
            <v>0</v>
          </cell>
          <cell r="BI286">
            <v>16842</v>
          </cell>
          <cell r="BJ286">
            <v>13863</v>
          </cell>
          <cell r="BK286">
            <v>13863</v>
          </cell>
          <cell r="BL286">
            <v>0</v>
          </cell>
          <cell r="BM286">
            <v>0</v>
          </cell>
          <cell r="BN286">
            <v>0</v>
          </cell>
          <cell r="BO286">
            <v>16052</v>
          </cell>
          <cell r="BP286">
            <v>4744.2</v>
          </cell>
          <cell r="BQ286">
            <v>8546.5116279069807</v>
          </cell>
          <cell r="BR286">
            <v>0</v>
          </cell>
          <cell r="BS286">
            <v>0</v>
          </cell>
          <cell r="BT286">
            <v>31790</v>
          </cell>
          <cell r="BU286"/>
          <cell r="BV286"/>
          <cell r="BW286"/>
          <cell r="BX286"/>
          <cell r="BY286">
            <v>0</v>
          </cell>
          <cell r="BZ286">
            <v>0</v>
          </cell>
          <cell r="CA286">
            <v>0</v>
          </cell>
          <cell r="CB286">
            <v>0</v>
          </cell>
          <cell r="CC286">
            <v>1248648</v>
          </cell>
          <cell r="CD286">
            <v>7861630</v>
          </cell>
          <cell r="CE286">
            <v>684634</v>
          </cell>
          <cell r="CF286">
            <v>-13718</v>
          </cell>
          <cell r="CG286">
            <v>684634</v>
          </cell>
          <cell r="CH286">
            <v>684634</v>
          </cell>
          <cell r="CI286">
            <v>684634</v>
          </cell>
          <cell r="CJ286">
            <v>684634</v>
          </cell>
          <cell r="CK286">
            <v>0</v>
          </cell>
          <cell r="CL286">
            <v>0</v>
          </cell>
          <cell r="CM286">
            <v>0</v>
          </cell>
          <cell r="CN286">
            <v>0</v>
          </cell>
          <cell r="CO286">
            <v>0</v>
          </cell>
          <cell r="CP286">
            <v>-674</v>
          </cell>
          <cell r="CQ286">
            <v>2500068</v>
          </cell>
          <cell r="CR286">
            <v>2386087</v>
          </cell>
          <cell r="CS286">
            <v>2328416</v>
          </cell>
          <cell r="CT286">
            <v>2270152</v>
          </cell>
          <cell r="CU286">
            <v>2186624</v>
          </cell>
          <cell r="CV286">
            <v>17293</v>
          </cell>
          <cell r="CW286">
            <v>0</v>
          </cell>
          <cell r="CX286">
            <v>0</v>
          </cell>
          <cell r="CY286">
            <v>0</v>
          </cell>
          <cell r="CZ286">
            <v>0</v>
          </cell>
          <cell r="DA286">
            <v>0</v>
          </cell>
          <cell r="DB286"/>
          <cell r="DC286">
            <v>0</v>
          </cell>
          <cell r="DD286">
            <v>0</v>
          </cell>
          <cell r="DE286">
            <v>0</v>
          </cell>
          <cell r="DF286">
            <v>0</v>
          </cell>
          <cell r="DG286">
            <v>0</v>
          </cell>
          <cell r="DH286">
            <v>0</v>
          </cell>
          <cell r="DI286">
            <v>0</v>
          </cell>
          <cell r="DJ286">
            <v>0</v>
          </cell>
          <cell r="DK286">
            <v>0</v>
          </cell>
          <cell r="DL286">
            <v>0</v>
          </cell>
          <cell r="DM286"/>
          <cell r="DN286"/>
          <cell r="DO286"/>
          <cell r="DP286"/>
        </row>
        <row r="287">
          <cell r="A287">
            <v>748</v>
          </cell>
          <cell r="B287" t="str">
            <v>Bergen op Zoom</v>
          </cell>
          <cell r="C287">
            <v>10</v>
          </cell>
          <cell r="D287">
            <v>4584</v>
          </cell>
          <cell r="E287">
            <v>2292</v>
          </cell>
          <cell r="F287">
            <v>0</v>
          </cell>
          <cell r="G287">
            <v>49117</v>
          </cell>
          <cell r="H287">
            <v>-24705</v>
          </cell>
          <cell r="I287">
            <v>-6777</v>
          </cell>
          <cell r="J287"/>
          <cell r="K287">
            <v>0</v>
          </cell>
          <cell r="L287">
            <v>377967</v>
          </cell>
          <cell r="M287">
            <v>386012</v>
          </cell>
          <cell r="N287">
            <v>0</v>
          </cell>
          <cell r="O287">
            <v>0</v>
          </cell>
          <cell r="P287">
            <v>0</v>
          </cell>
          <cell r="Q287">
            <v>0</v>
          </cell>
          <cell r="R287">
            <v>0</v>
          </cell>
          <cell r="S287">
            <v>0</v>
          </cell>
          <cell r="T287">
            <v>0</v>
          </cell>
          <cell r="U287">
            <v>0</v>
          </cell>
          <cell r="V287">
            <v>37500</v>
          </cell>
          <cell r="W287">
            <v>249776</v>
          </cell>
          <cell r="X287">
            <v>0</v>
          </cell>
          <cell r="Y287"/>
          <cell r="Z287">
            <v>0</v>
          </cell>
          <cell r="AA287">
            <v>0</v>
          </cell>
          <cell r="AB287">
            <v>0</v>
          </cell>
          <cell r="AC287"/>
          <cell r="AD287">
            <v>138847</v>
          </cell>
          <cell r="AE287">
            <v>0</v>
          </cell>
          <cell r="AF287">
            <v>0</v>
          </cell>
          <cell r="AG287">
            <v>0</v>
          </cell>
          <cell r="AH287">
            <v>0</v>
          </cell>
          <cell r="AI287">
            <v>0</v>
          </cell>
          <cell r="AJ287">
            <v>0</v>
          </cell>
          <cell r="AK287">
            <v>0</v>
          </cell>
          <cell r="AL287"/>
          <cell r="AM287">
            <v>0</v>
          </cell>
          <cell r="AN287">
            <v>0</v>
          </cell>
          <cell r="AO287">
            <v>0</v>
          </cell>
          <cell r="AP287">
            <v>0</v>
          </cell>
          <cell r="AQ287">
            <v>0</v>
          </cell>
          <cell r="AR287">
            <v>0</v>
          </cell>
          <cell r="AS287">
            <v>0</v>
          </cell>
          <cell r="AT287">
            <v>0</v>
          </cell>
          <cell r="AU287">
            <v>7110</v>
          </cell>
          <cell r="AV287">
            <v>2957280.7741564899</v>
          </cell>
          <cell r="AW287">
            <v>0</v>
          </cell>
          <cell r="AX287">
            <v>0</v>
          </cell>
          <cell r="AY287"/>
          <cell r="AZ287"/>
          <cell r="BA287">
            <v>0</v>
          </cell>
          <cell r="BB287"/>
          <cell r="BC287">
            <v>0</v>
          </cell>
          <cell r="BD287">
            <v>23226</v>
          </cell>
          <cell r="BE287"/>
          <cell r="BF287">
            <v>0</v>
          </cell>
          <cell r="BG287">
            <v>0</v>
          </cell>
          <cell r="BH287">
            <v>0</v>
          </cell>
          <cell r="BI287">
            <v>109671</v>
          </cell>
          <cell r="BJ287">
            <v>90275</v>
          </cell>
          <cell r="BK287">
            <v>90275</v>
          </cell>
          <cell r="BL287">
            <v>0</v>
          </cell>
          <cell r="BM287">
            <v>0</v>
          </cell>
          <cell r="BN287">
            <v>0</v>
          </cell>
          <cell r="BO287">
            <v>130849</v>
          </cell>
          <cell r="BP287">
            <v>22139.599999999999</v>
          </cell>
          <cell r="BQ287">
            <v>39883.720930232601</v>
          </cell>
          <cell r="BR287">
            <v>0</v>
          </cell>
          <cell r="BS287">
            <v>0</v>
          </cell>
          <cell r="BT287">
            <v>110530</v>
          </cell>
          <cell r="BU287"/>
          <cell r="BV287"/>
          <cell r="BW287"/>
          <cell r="BX287"/>
          <cell r="BY287">
            <v>0</v>
          </cell>
          <cell r="BZ287">
            <v>0</v>
          </cell>
          <cell r="CA287">
            <v>0</v>
          </cell>
          <cell r="CB287">
            <v>0</v>
          </cell>
          <cell r="CC287">
            <v>5893508</v>
          </cell>
          <cell r="CD287">
            <v>48186828</v>
          </cell>
          <cell r="CE287">
            <v>1506996</v>
          </cell>
          <cell r="CF287">
            <v>0</v>
          </cell>
          <cell r="CG287">
            <v>1506996</v>
          </cell>
          <cell r="CH287">
            <v>1506996</v>
          </cell>
          <cell r="CI287">
            <v>1506996</v>
          </cell>
          <cell r="CJ287">
            <v>1506996</v>
          </cell>
          <cell r="CK287">
            <v>11042631</v>
          </cell>
          <cell r="CL287">
            <v>11037089</v>
          </cell>
          <cell r="CM287">
            <v>11036999</v>
          </cell>
          <cell r="CN287">
            <v>11036802</v>
          </cell>
          <cell r="CO287">
            <v>11037075</v>
          </cell>
          <cell r="CP287">
            <v>-2452</v>
          </cell>
          <cell r="CQ287">
            <v>10987492</v>
          </cell>
          <cell r="CR287">
            <v>10543454</v>
          </cell>
          <cell r="CS287">
            <v>10306705</v>
          </cell>
          <cell r="CT287">
            <v>10122359</v>
          </cell>
          <cell r="CU287">
            <v>9898470</v>
          </cell>
          <cell r="CV287">
            <v>-23733</v>
          </cell>
          <cell r="CW287">
            <v>0</v>
          </cell>
          <cell r="CX287">
            <v>0</v>
          </cell>
          <cell r="CY287">
            <v>0</v>
          </cell>
          <cell r="CZ287">
            <v>0</v>
          </cell>
          <cell r="DA287">
            <v>0</v>
          </cell>
          <cell r="DB287"/>
          <cell r="DC287">
            <v>0</v>
          </cell>
          <cell r="DD287">
            <v>0</v>
          </cell>
          <cell r="DE287">
            <v>0</v>
          </cell>
          <cell r="DF287">
            <v>0</v>
          </cell>
          <cell r="DG287">
            <v>0</v>
          </cell>
          <cell r="DH287">
            <v>0</v>
          </cell>
          <cell r="DI287">
            <v>0</v>
          </cell>
          <cell r="DJ287">
            <v>0</v>
          </cell>
          <cell r="DK287">
            <v>0</v>
          </cell>
          <cell r="DL287">
            <v>0</v>
          </cell>
          <cell r="DM287"/>
          <cell r="DN287"/>
          <cell r="DO287"/>
          <cell r="DP287"/>
        </row>
        <row r="288">
          <cell r="A288">
            <v>1721</v>
          </cell>
          <cell r="B288" t="str">
            <v>Bernheze</v>
          </cell>
          <cell r="C288">
            <v>10</v>
          </cell>
          <cell r="D288">
            <v>-1183</v>
          </cell>
          <cell r="E288">
            <v>-591</v>
          </cell>
          <cell r="F288">
            <v>0</v>
          </cell>
          <cell r="G288">
            <v>0</v>
          </cell>
          <cell r="H288">
            <v>-20522</v>
          </cell>
          <cell r="I288">
            <v>-9721</v>
          </cell>
          <cell r="J288"/>
          <cell r="K288">
            <v>0</v>
          </cell>
          <cell r="L288">
            <v>92955</v>
          </cell>
          <cell r="M288">
            <v>86849</v>
          </cell>
          <cell r="N288">
            <v>0</v>
          </cell>
          <cell r="O288">
            <v>0</v>
          </cell>
          <cell r="P288">
            <v>0</v>
          </cell>
          <cell r="Q288">
            <v>0</v>
          </cell>
          <cell r="R288">
            <v>0</v>
          </cell>
          <cell r="S288">
            <v>0</v>
          </cell>
          <cell r="T288">
            <v>0</v>
          </cell>
          <cell r="U288">
            <v>0</v>
          </cell>
          <cell r="V288">
            <v>6000</v>
          </cell>
          <cell r="W288">
            <v>57984</v>
          </cell>
          <cell r="X288">
            <v>0</v>
          </cell>
          <cell r="Y288"/>
          <cell r="Z288">
            <v>0</v>
          </cell>
          <cell r="AA288">
            <v>0</v>
          </cell>
          <cell r="AB288">
            <v>0</v>
          </cell>
          <cell r="AC288"/>
          <cell r="AD288">
            <v>0</v>
          </cell>
          <cell r="AE288">
            <v>0</v>
          </cell>
          <cell r="AF288">
            <v>0</v>
          </cell>
          <cell r="AG288">
            <v>0</v>
          </cell>
          <cell r="AH288">
            <v>0</v>
          </cell>
          <cell r="AI288">
            <v>0</v>
          </cell>
          <cell r="AJ288">
            <v>0</v>
          </cell>
          <cell r="AK288">
            <v>0</v>
          </cell>
          <cell r="AL288"/>
          <cell r="AM288">
            <v>0</v>
          </cell>
          <cell r="AN288">
            <v>0</v>
          </cell>
          <cell r="AO288">
            <v>0</v>
          </cell>
          <cell r="AP288">
            <v>0</v>
          </cell>
          <cell r="AQ288">
            <v>0</v>
          </cell>
          <cell r="AR288">
            <v>0</v>
          </cell>
          <cell r="AS288">
            <v>0</v>
          </cell>
          <cell r="AT288">
            <v>0</v>
          </cell>
          <cell r="AU288">
            <v>2370</v>
          </cell>
          <cell r="AV288">
            <v>0</v>
          </cell>
          <cell r="AW288">
            <v>0</v>
          </cell>
          <cell r="AX288">
            <v>0</v>
          </cell>
          <cell r="AY288"/>
          <cell r="AZ288"/>
          <cell r="BA288">
            <v>0</v>
          </cell>
          <cell r="BB288"/>
          <cell r="BC288">
            <v>0</v>
          </cell>
          <cell r="BD288">
            <v>10620</v>
          </cell>
          <cell r="BE288"/>
          <cell r="BF288">
            <v>0</v>
          </cell>
          <cell r="BG288">
            <v>0</v>
          </cell>
          <cell r="BH288">
            <v>0</v>
          </cell>
          <cell r="BI288">
            <v>32123</v>
          </cell>
          <cell r="BJ288">
            <v>26442</v>
          </cell>
          <cell r="BK288">
            <v>26442</v>
          </cell>
          <cell r="BL288">
            <v>0</v>
          </cell>
          <cell r="BM288">
            <v>0</v>
          </cell>
          <cell r="BN288">
            <v>0</v>
          </cell>
          <cell r="BO288">
            <v>57398</v>
          </cell>
          <cell r="BP288">
            <v>6325.6</v>
          </cell>
          <cell r="BQ288">
            <v>11395.3488372093</v>
          </cell>
          <cell r="BR288">
            <v>0</v>
          </cell>
          <cell r="BS288">
            <v>0</v>
          </cell>
          <cell r="BT288">
            <v>48912</v>
          </cell>
          <cell r="BU288"/>
          <cell r="BV288"/>
          <cell r="BW288"/>
          <cell r="BX288"/>
          <cell r="BY288">
            <v>0</v>
          </cell>
          <cell r="BZ288">
            <v>0</v>
          </cell>
          <cell r="CA288">
            <v>0</v>
          </cell>
          <cell r="CB288">
            <v>0</v>
          </cell>
          <cell r="CC288">
            <v>2031896</v>
          </cell>
          <cell r="CD288">
            <v>13003043</v>
          </cell>
          <cell r="CE288">
            <v>413306</v>
          </cell>
          <cell r="CF288">
            <v>0</v>
          </cell>
          <cell r="CG288">
            <v>413306</v>
          </cell>
          <cell r="CH288">
            <v>413306</v>
          </cell>
          <cell r="CI288">
            <v>413306</v>
          </cell>
          <cell r="CJ288">
            <v>413306</v>
          </cell>
          <cell r="CK288">
            <v>0</v>
          </cell>
          <cell r="CL288">
            <v>0</v>
          </cell>
          <cell r="CM288">
            <v>0</v>
          </cell>
          <cell r="CN288">
            <v>0</v>
          </cell>
          <cell r="CO288">
            <v>0</v>
          </cell>
          <cell r="CP288">
            <v>-3507</v>
          </cell>
          <cell r="CQ288">
            <v>4382377</v>
          </cell>
          <cell r="CR288">
            <v>4138127</v>
          </cell>
          <cell r="CS288">
            <v>4022194</v>
          </cell>
          <cell r="CT288">
            <v>3916412</v>
          </cell>
          <cell r="CU288">
            <v>3857698</v>
          </cell>
          <cell r="CV288">
            <v>-6611</v>
          </cell>
          <cell r="CW288">
            <v>0</v>
          </cell>
          <cell r="CX288">
            <v>0</v>
          </cell>
          <cell r="CY288">
            <v>0</v>
          </cell>
          <cell r="CZ288">
            <v>0</v>
          </cell>
          <cell r="DA288">
            <v>0</v>
          </cell>
          <cell r="DB288"/>
          <cell r="DC288">
            <v>0</v>
          </cell>
          <cell r="DD288">
            <v>0</v>
          </cell>
          <cell r="DE288">
            <v>0</v>
          </cell>
          <cell r="DF288">
            <v>0</v>
          </cell>
          <cell r="DG288">
            <v>0</v>
          </cell>
          <cell r="DH288">
            <v>0</v>
          </cell>
          <cell r="DI288">
            <v>0</v>
          </cell>
          <cell r="DJ288">
            <v>0</v>
          </cell>
          <cell r="DK288">
            <v>0</v>
          </cell>
          <cell r="DL288">
            <v>0</v>
          </cell>
          <cell r="DM288"/>
          <cell r="DN288"/>
          <cell r="DO288"/>
          <cell r="DP288"/>
        </row>
        <row r="289">
          <cell r="A289">
            <v>753</v>
          </cell>
          <cell r="B289" t="str">
            <v>Best</v>
          </cell>
          <cell r="C289">
            <v>10</v>
          </cell>
          <cell r="D289">
            <v>-54901</v>
          </cell>
          <cell r="E289">
            <v>-27450</v>
          </cell>
          <cell r="F289">
            <v>0</v>
          </cell>
          <cell r="G289">
            <v>0</v>
          </cell>
          <cell r="H289">
            <v>-51406</v>
          </cell>
          <cell r="I289">
            <v>-41683</v>
          </cell>
          <cell r="J289"/>
          <cell r="K289">
            <v>0</v>
          </cell>
          <cell r="L289">
            <v>82370</v>
          </cell>
          <cell r="M289">
            <v>84278</v>
          </cell>
          <cell r="N289">
            <v>0</v>
          </cell>
          <cell r="O289">
            <v>0</v>
          </cell>
          <cell r="P289">
            <v>0</v>
          </cell>
          <cell r="Q289">
            <v>0</v>
          </cell>
          <cell r="R289">
            <v>0</v>
          </cell>
          <cell r="S289">
            <v>0</v>
          </cell>
          <cell r="T289">
            <v>0</v>
          </cell>
          <cell r="U289">
            <v>0</v>
          </cell>
          <cell r="V289">
            <v>3000</v>
          </cell>
          <cell r="W289">
            <v>76168</v>
          </cell>
          <cell r="X289">
            <v>0</v>
          </cell>
          <cell r="Y289"/>
          <cell r="Z289">
            <v>0</v>
          </cell>
          <cell r="AA289">
            <v>0</v>
          </cell>
          <cell r="AB289">
            <v>0</v>
          </cell>
          <cell r="AC289"/>
          <cell r="AD289">
            <v>0</v>
          </cell>
          <cell r="AE289">
            <v>0</v>
          </cell>
          <cell r="AF289">
            <v>0</v>
          </cell>
          <cell r="AG289">
            <v>0</v>
          </cell>
          <cell r="AH289">
            <v>0</v>
          </cell>
          <cell r="AI289">
            <v>0</v>
          </cell>
          <cell r="AJ289">
            <v>0</v>
          </cell>
          <cell r="AK289">
            <v>0</v>
          </cell>
          <cell r="AL289"/>
          <cell r="AM289">
            <v>0</v>
          </cell>
          <cell r="AN289">
            <v>0</v>
          </cell>
          <cell r="AO289">
            <v>0</v>
          </cell>
          <cell r="AP289">
            <v>0</v>
          </cell>
          <cell r="AQ289">
            <v>0</v>
          </cell>
          <cell r="AR289">
            <v>0</v>
          </cell>
          <cell r="AS289">
            <v>0</v>
          </cell>
          <cell r="AT289">
            <v>0</v>
          </cell>
          <cell r="AU289">
            <v>0</v>
          </cell>
          <cell r="AV289">
            <v>0</v>
          </cell>
          <cell r="AW289">
            <v>0</v>
          </cell>
          <cell r="AX289">
            <v>0</v>
          </cell>
          <cell r="AY289"/>
          <cell r="AZ289"/>
          <cell r="BA289">
            <v>0</v>
          </cell>
          <cell r="BB289"/>
          <cell r="BC289">
            <v>0</v>
          </cell>
          <cell r="BD289">
            <v>10243</v>
          </cell>
          <cell r="BE289"/>
          <cell r="BF289">
            <v>0</v>
          </cell>
          <cell r="BG289">
            <v>0</v>
          </cell>
          <cell r="BH289">
            <v>0</v>
          </cell>
          <cell r="BI289">
            <v>29530</v>
          </cell>
          <cell r="BJ289">
            <v>24308</v>
          </cell>
          <cell r="BK289">
            <v>24308</v>
          </cell>
          <cell r="BL289">
            <v>0</v>
          </cell>
          <cell r="BM289">
            <v>0</v>
          </cell>
          <cell r="BN289">
            <v>0</v>
          </cell>
          <cell r="BO289">
            <v>27240</v>
          </cell>
          <cell r="BP289">
            <v>22139.599999999999</v>
          </cell>
          <cell r="BQ289">
            <v>39883.720930232601</v>
          </cell>
          <cell r="BR289">
            <v>0</v>
          </cell>
          <cell r="BS289">
            <v>0</v>
          </cell>
          <cell r="BT289">
            <v>44164</v>
          </cell>
          <cell r="BU289"/>
          <cell r="BV289"/>
          <cell r="BW289"/>
          <cell r="BX289"/>
          <cell r="BY289">
            <v>0</v>
          </cell>
          <cell r="BZ289">
            <v>0</v>
          </cell>
          <cell r="CA289">
            <v>0</v>
          </cell>
          <cell r="CB289">
            <v>0</v>
          </cell>
          <cell r="CC289">
            <v>2039664</v>
          </cell>
          <cell r="CD289">
            <v>11802521</v>
          </cell>
          <cell r="CE289">
            <v>581832</v>
          </cell>
          <cell r="CF289">
            <v>-77741</v>
          </cell>
          <cell r="CG289">
            <v>581832</v>
          </cell>
          <cell r="CH289">
            <v>581832</v>
          </cell>
          <cell r="CI289">
            <v>581832</v>
          </cell>
          <cell r="CJ289">
            <v>581832</v>
          </cell>
          <cell r="CK289">
            <v>0</v>
          </cell>
          <cell r="CL289">
            <v>0</v>
          </cell>
          <cell r="CM289">
            <v>0</v>
          </cell>
          <cell r="CN289">
            <v>0</v>
          </cell>
          <cell r="CO289">
            <v>0</v>
          </cell>
          <cell r="CP289">
            <v>-3380</v>
          </cell>
          <cell r="CQ289">
            <v>3115127</v>
          </cell>
          <cell r="CR289">
            <v>2968048</v>
          </cell>
          <cell r="CS289">
            <v>2865458</v>
          </cell>
          <cell r="CT289">
            <v>2816813</v>
          </cell>
          <cell r="CU289">
            <v>2753241</v>
          </cell>
          <cell r="CV289">
            <v>32404</v>
          </cell>
          <cell r="CW289">
            <v>0</v>
          </cell>
          <cell r="CX289">
            <v>0</v>
          </cell>
          <cell r="CY289">
            <v>0</v>
          </cell>
          <cell r="CZ289">
            <v>0</v>
          </cell>
          <cell r="DA289">
            <v>0</v>
          </cell>
          <cell r="DB289"/>
          <cell r="DC289">
            <v>0</v>
          </cell>
          <cell r="DD289">
            <v>0</v>
          </cell>
          <cell r="DE289">
            <v>0</v>
          </cell>
          <cell r="DF289">
            <v>0</v>
          </cell>
          <cell r="DG289">
            <v>0</v>
          </cell>
          <cell r="DH289">
            <v>0</v>
          </cell>
          <cell r="DI289">
            <v>0</v>
          </cell>
          <cell r="DJ289">
            <v>0</v>
          </cell>
          <cell r="DK289">
            <v>0</v>
          </cell>
          <cell r="DL289">
            <v>0</v>
          </cell>
          <cell r="DM289"/>
          <cell r="DN289"/>
          <cell r="DO289"/>
          <cell r="DP289"/>
        </row>
        <row r="290">
          <cell r="A290">
            <v>1728</v>
          </cell>
          <cell r="B290" t="str">
            <v>Bladel</v>
          </cell>
          <cell r="C290">
            <v>10</v>
          </cell>
          <cell r="D290">
            <v>-8050</v>
          </cell>
          <cell r="E290">
            <v>-4025</v>
          </cell>
          <cell r="F290">
            <v>0</v>
          </cell>
          <cell r="G290">
            <v>0</v>
          </cell>
          <cell r="H290">
            <v>-15371</v>
          </cell>
          <cell r="I290">
            <v>-6029</v>
          </cell>
          <cell r="J290"/>
          <cell r="K290">
            <v>0</v>
          </cell>
          <cell r="L290">
            <v>53541</v>
          </cell>
          <cell r="M290">
            <v>53328</v>
          </cell>
          <cell r="N290">
            <v>0</v>
          </cell>
          <cell r="O290">
            <v>0</v>
          </cell>
          <cell r="P290">
            <v>0</v>
          </cell>
          <cell r="Q290">
            <v>0</v>
          </cell>
          <cell r="R290">
            <v>0</v>
          </cell>
          <cell r="S290">
            <v>0</v>
          </cell>
          <cell r="T290">
            <v>0</v>
          </cell>
          <cell r="U290">
            <v>0</v>
          </cell>
          <cell r="V290">
            <v>9000</v>
          </cell>
          <cell r="W290">
            <v>80278</v>
          </cell>
          <cell r="X290">
            <v>0</v>
          </cell>
          <cell r="Y290"/>
          <cell r="Z290">
            <v>0</v>
          </cell>
          <cell r="AA290">
            <v>0</v>
          </cell>
          <cell r="AB290">
            <v>0</v>
          </cell>
          <cell r="AC290"/>
          <cell r="AD290">
            <v>0</v>
          </cell>
          <cell r="AE290">
            <v>0</v>
          </cell>
          <cell r="AF290">
            <v>0</v>
          </cell>
          <cell r="AG290">
            <v>0</v>
          </cell>
          <cell r="AH290">
            <v>0</v>
          </cell>
          <cell r="AI290">
            <v>0</v>
          </cell>
          <cell r="AJ290">
            <v>0</v>
          </cell>
          <cell r="AK290">
            <v>0</v>
          </cell>
          <cell r="AL290"/>
          <cell r="AM290">
            <v>0</v>
          </cell>
          <cell r="AN290">
            <v>0</v>
          </cell>
          <cell r="AO290">
            <v>0</v>
          </cell>
          <cell r="AP290">
            <v>0</v>
          </cell>
          <cell r="AQ290">
            <v>0</v>
          </cell>
          <cell r="AR290">
            <v>0</v>
          </cell>
          <cell r="AS290">
            <v>0</v>
          </cell>
          <cell r="AT290">
            <v>0</v>
          </cell>
          <cell r="AU290">
            <v>0</v>
          </cell>
          <cell r="AV290">
            <v>0</v>
          </cell>
          <cell r="AW290">
            <v>0</v>
          </cell>
          <cell r="AX290">
            <v>0</v>
          </cell>
          <cell r="AY290"/>
          <cell r="AZ290"/>
          <cell r="BA290">
            <v>0</v>
          </cell>
          <cell r="BB290"/>
          <cell r="BC290">
            <v>0</v>
          </cell>
          <cell r="BD290">
            <v>7043</v>
          </cell>
          <cell r="BE290"/>
          <cell r="BF290">
            <v>0</v>
          </cell>
          <cell r="BG290">
            <v>0</v>
          </cell>
          <cell r="BH290">
            <v>0</v>
          </cell>
          <cell r="BI290">
            <v>22809</v>
          </cell>
          <cell r="BJ290">
            <v>18776</v>
          </cell>
          <cell r="BK290">
            <v>18776</v>
          </cell>
          <cell r="BL290">
            <v>0</v>
          </cell>
          <cell r="BM290">
            <v>0</v>
          </cell>
          <cell r="BN290">
            <v>0</v>
          </cell>
          <cell r="BO290">
            <v>81720</v>
          </cell>
          <cell r="BP290">
            <v>1581.4</v>
          </cell>
          <cell r="BQ290">
            <v>2848.8372093023299</v>
          </cell>
          <cell r="BR290">
            <v>0</v>
          </cell>
          <cell r="BS290">
            <v>0</v>
          </cell>
          <cell r="BT290">
            <v>32684</v>
          </cell>
          <cell r="BU290"/>
          <cell r="BV290"/>
          <cell r="BW290"/>
          <cell r="BX290"/>
          <cell r="BY290">
            <v>0</v>
          </cell>
          <cell r="BZ290">
            <v>0</v>
          </cell>
          <cell r="CA290">
            <v>0</v>
          </cell>
          <cell r="CB290">
            <v>0</v>
          </cell>
          <cell r="CC290">
            <v>1451766</v>
          </cell>
          <cell r="CD290">
            <v>10833568</v>
          </cell>
          <cell r="CE290">
            <v>359253</v>
          </cell>
          <cell r="CF290">
            <v>-5732</v>
          </cell>
          <cell r="CG290">
            <v>359253</v>
          </cell>
          <cell r="CH290">
            <v>359253</v>
          </cell>
          <cell r="CI290">
            <v>359253</v>
          </cell>
          <cell r="CJ290">
            <v>359253</v>
          </cell>
          <cell r="CK290">
            <v>0</v>
          </cell>
          <cell r="CL290">
            <v>0</v>
          </cell>
          <cell r="CM290">
            <v>0</v>
          </cell>
          <cell r="CN290">
            <v>0</v>
          </cell>
          <cell r="CO290">
            <v>0</v>
          </cell>
          <cell r="CP290">
            <v>-1318</v>
          </cell>
          <cell r="CQ290">
            <v>5019199</v>
          </cell>
          <cell r="CR290">
            <v>4771414</v>
          </cell>
          <cell r="CS290">
            <v>4620125</v>
          </cell>
          <cell r="CT290">
            <v>4482887</v>
          </cell>
          <cell r="CU290">
            <v>4362393</v>
          </cell>
          <cell r="CV290">
            <v>44977</v>
          </cell>
          <cell r="CW290">
            <v>0</v>
          </cell>
          <cell r="CX290">
            <v>0</v>
          </cell>
          <cell r="CY290">
            <v>0</v>
          </cell>
          <cell r="CZ290">
            <v>0</v>
          </cell>
          <cell r="DA290">
            <v>0</v>
          </cell>
          <cell r="DB290"/>
          <cell r="DC290">
            <v>0</v>
          </cell>
          <cell r="DD290">
            <v>0</v>
          </cell>
          <cell r="DE290">
            <v>0</v>
          </cell>
          <cell r="DF290">
            <v>0</v>
          </cell>
          <cell r="DG290">
            <v>0</v>
          </cell>
          <cell r="DH290">
            <v>0</v>
          </cell>
          <cell r="DI290">
            <v>0</v>
          </cell>
          <cell r="DJ290">
            <v>0</v>
          </cell>
          <cell r="DK290">
            <v>0</v>
          </cell>
          <cell r="DL290">
            <v>0</v>
          </cell>
          <cell r="DM290"/>
          <cell r="DN290"/>
          <cell r="DO290"/>
          <cell r="DP290"/>
        </row>
        <row r="291">
          <cell r="A291">
            <v>755</v>
          </cell>
          <cell r="B291" t="str">
            <v>Boekel</v>
          </cell>
          <cell r="C291">
            <v>10</v>
          </cell>
          <cell r="D291">
            <v>-6321</v>
          </cell>
          <cell r="E291">
            <v>-3161</v>
          </cell>
          <cell r="F291">
            <v>0</v>
          </cell>
          <cell r="G291">
            <v>0</v>
          </cell>
          <cell r="H291">
            <v>-11348</v>
          </cell>
          <cell r="I291">
            <v>0</v>
          </cell>
          <cell r="J291"/>
          <cell r="K291">
            <v>0</v>
          </cell>
          <cell r="L291">
            <v>35455</v>
          </cell>
          <cell r="M291">
            <v>31426</v>
          </cell>
          <cell r="N291">
            <v>0</v>
          </cell>
          <cell r="O291">
            <v>0</v>
          </cell>
          <cell r="P291">
            <v>0</v>
          </cell>
          <cell r="Q291">
            <v>0</v>
          </cell>
          <cell r="R291">
            <v>0</v>
          </cell>
          <cell r="S291">
            <v>0</v>
          </cell>
          <cell r="T291">
            <v>0</v>
          </cell>
          <cell r="U291">
            <v>0</v>
          </cell>
          <cell r="V291">
            <v>3000</v>
          </cell>
          <cell r="W291">
            <v>40003</v>
          </cell>
          <cell r="X291">
            <v>0</v>
          </cell>
          <cell r="Y291"/>
          <cell r="Z291">
            <v>0</v>
          </cell>
          <cell r="AA291">
            <v>0</v>
          </cell>
          <cell r="AB291">
            <v>0</v>
          </cell>
          <cell r="AC291"/>
          <cell r="AD291">
            <v>0</v>
          </cell>
          <cell r="AE291">
            <v>0</v>
          </cell>
          <cell r="AF291">
            <v>0</v>
          </cell>
          <cell r="AG291">
            <v>0</v>
          </cell>
          <cell r="AH291">
            <v>0</v>
          </cell>
          <cell r="AI291">
            <v>0</v>
          </cell>
          <cell r="AJ291">
            <v>0</v>
          </cell>
          <cell r="AK291">
            <v>0</v>
          </cell>
          <cell r="AL291"/>
          <cell r="AM291">
            <v>0</v>
          </cell>
          <cell r="AN291">
            <v>0</v>
          </cell>
          <cell r="AO291">
            <v>0</v>
          </cell>
          <cell r="AP291">
            <v>0</v>
          </cell>
          <cell r="AQ291">
            <v>0</v>
          </cell>
          <cell r="AR291">
            <v>0</v>
          </cell>
          <cell r="AS291">
            <v>0</v>
          </cell>
          <cell r="AT291">
            <v>0</v>
          </cell>
          <cell r="AU291">
            <v>2370</v>
          </cell>
          <cell r="AV291">
            <v>0</v>
          </cell>
          <cell r="AW291">
            <v>0</v>
          </cell>
          <cell r="AX291">
            <v>0</v>
          </cell>
          <cell r="AY291"/>
          <cell r="AZ291"/>
          <cell r="BA291">
            <v>0</v>
          </cell>
          <cell r="BB291"/>
          <cell r="BC291">
            <v>0</v>
          </cell>
          <cell r="BD291">
            <v>3656</v>
          </cell>
          <cell r="BE291"/>
          <cell r="BF291">
            <v>0</v>
          </cell>
          <cell r="BG291">
            <v>0</v>
          </cell>
          <cell r="BH291">
            <v>0</v>
          </cell>
          <cell r="BI291">
            <v>10497</v>
          </cell>
          <cell r="BJ291">
            <v>8641</v>
          </cell>
          <cell r="BK291">
            <v>8641</v>
          </cell>
          <cell r="BL291">
            <v>0</v>
          </cell>
          <cell r="BM291">
            <v>0</v>
          </cell>
          <cell r="BN291">
            <v>0</v>
          </cell>
          <cell r="BO291">
            <v>0</v>
          </cell>
          <cell r="BP291">
            <v>0</v>
          </cell>
          <cell r="BQ291">
            <v>0</v>
          </cell>
          <cell r="BR291">
            <v>0</v>
          </cell>
          <cell r="BS291">
            <v>0</v>
          </cell>
          <cell r="BT291">
            <v>19717</v>
          </cell>
          <cell r="BU291"/>
          <cell r="BV291"/>
          <cell r="BW291"/>
          <cell r="BX291"/>
          <cell r="BY291">
            <v>0</v>
          </cell>
          <cell r="BZ291">
            <v>0</v>
          </cell>
          <cell r="CA291">
            <v>0</v>
          </cell>
          <cell r="CB291">
            <v>0</v>
          </cell>
          <cell r="CC291">
            <v>661441</v>
          </cell>
          <cell r="CD291">
            <v>4360977</v>
          </cell>
          <cell r="CE291">
            <v>160567</v>
          </cell>
          <cell r="CF291">
            <v>0</v>
          </cell>
          <cell r="CG291">
            <v>160567</v>
          </cell>
          <cell r="CH291">
            <v>160567</v>
          </cell>
          <cell r="CI291">
            <v>160567</v>
          </cell>
          <cell r="CJ291">
            <v>160567</v>
          </cell>
          <cell r="CK291">
            <v>0</v>
          </cell>
          <cell r="CL291">
            <v>0</v>
          </cell>
          <cell r="CM291">
            <v>0</v>
          </cell>
          <cell r="CN291">
            <v>0</v>
          </cell>
          <cell r="CO291">
            <v>0</v>
          </cell>
          <cell r="CP291">
            <v>0</v>
          </cell>
          <cell r="CQ291">
            <v>1248382</v>
          </cell>
          <cell r="CR291">
            <v>1206018</v>
          </cell>
          <cell r="CS291">
            <v>1196303</v>
          </cell>
          <cell r="CT291">
            <v>1191932</v>
          </cell>
          <cell r="CU291">
            <v>1156088</v>
          </cell>
          <cell r="CV291">
            <v>1913</v>
          </cell>
          <cell r="CW291">
            <v>0</v>
          </cell>
          <cell r="CX291">
            <v>0</v>
          </cell>
          <cell r="CY291">
            <v>0</v>
          </cell>
          <cell r="CZ291">
            <v>0</v>
          </cell>
          <cell r="DA291">
            <v>0</v>
          </cell>
          <cell r="DB291"/>
          <cell r="DC291">
            <v>0</v>
          </cell>
          <cell r="DD291">
            <v>0</v>
          </cell>
          <cell r="DE291">
            <v>0</v>
          </cell>
          <cell r="DF291">
            <v>0</v>
          </cell>
          <cell r="DG291">
            <v>0</v>
          </cell>
          <cell r="DH291">
            <v>0</v>
          </cell>
          <cell r="DI291">
            <v>0</v>
          </cell>
          <cell r="DJ291">
            <v>0</v>
          </cell>
          <cell r="DK291">
            <v>0</v>
          </cell>
          <cell r="DL291">
            <v>0</v>
          </cell>
          <cell r="DM291"/>
          <cell r="DN291"/>
          <cell r="DO291"/>
          <cell r="DP291"/>
        </row>
        <row r="292">
          <cell r="A292">
            <v>756</v>
          </cell>
          <cell r="B292" t="str">
            <v>Boxmeer</v>
          </cell>
          <cell r="C292">
            <v>10</v>
          </cell>
          <cell r="D292">
            <v>16598</v>
          </cell>
          <cell r="E292">
            <v>8299</v>
          </cell>
          <cell r="F292">
            <v>0</v>
          </cell>
          <cell r="G292">
            <v>0</v>
          </cell>
          <cell r="H292">
            <v>0</v>
          </cell>
          <cell r="I292">
            <v>-15639</v>
          </cell>
          <cell r="J292"/>
          <cell r="K292">
            <v>0</v>
          </cell>
          <cell r="L292">
            <v>79505</v>
          </cell>
          <cell r="M292">
            <v>78564</v>
          </cell>
          <cell r="N292">
            <v>0</v>
          </cell>
          <cell r="O292">
            <v>0</v>
          </cell>
          <cell r="P292">
            <v>0</v>
          </cell>
          <cell r="Q292">
            <v>0</v>
          </cell>
          <cell r="R292">
            <v>0</v>
          </cell>
          <cell r="S292">
            <v>0</v>
          </cell>
          <cell r="T292">
            <v>0</v>
          </cell>
          <cell r="U292">
            <v>0</v>
          </cell>
          <cell r="V292">
            <v>9000</v>
          </cell>
          <cell r="W292">
            <v>121292</v>
          </cell>
          <cell r="X292">
            <v>0</v>
          </cell>
          <cell r="Y292"/>
          <cell r="Z292">
            <v>0</v>
          </cell>
          <cell r="AA292">
            <v>0</v>
          </cell>
          <cell r="AB292">
            <v>0</v>
          </cell>
          <cell r="AC292"/>
          <cell r="AD292">
            <v>0</v>
          </cell>
          <cell r="AE292">
            <v>0</v>
          </cell>
          <cell r="AF292">
            <v>0</v>
          </cell>
          <cell r="AG292">
            <v>0</v>
          </cell>
          <cell r="AH292">
            <v>0</v>
          </cell>
          <cell r="AI292">
            <v>0</v>
          </cell>
          <cell r="AJ292">
            <v>0</v>
          </cell>
          <cell r="AK292">
            <v>0</v>
          </cell>
          <cell r="AL292"/>
          <cell r="AM292">
            <v>0</v>
          </cell>
          <cell r="AN292">
            <v>0</v>
          </cell>
          <cell r="AO292">
            <v>0</v>
          </cell>
          <cell r="AP292">
            <v>0</v>
          </cell>
          <cell r="AQ292">
            <v>0</v>
          </cell>
          <cell r="AR292">
            <v>0</v>
          </cell>
          <cell r="AS292">
            <v>0</v>
          </cell>
          <cell r="AT292">
            <v>0</v>
          </cell>
          <cell r="AU292">
            <v>0</v>
          </cell>
          <cell r="AV292">
            <v>0</v>
          </cell>
          <cell r="AW292">
            <v>0</v>
          </cell>
          <cell r="AX292">
            <v>0</v>
          </cell>
          <cell r="AY292"/>
          <cell r="AZ292"/>
          <cell r="BA292">
            <v>0</v>
          </cell>
          <cell r="BB292"/>
          <cell r="BC292">
            <v>0</v>
          </cell>
          <cell r="BD292">
            <v>10078</v>
          </cell>
          <cell r="BE292"/>
          <cell r="BF292">
            <v>0</v>
          </cell>
          <cell r="BG292">
            <v>0</v>
          </cell>
          <cell r="BH292">
            <v>0</v>
          </cell>
          <cell r="BI292">
            <v>37467</v>
          </cell>
          <cell r="BJ292">
            <v>30841</v>
          </cell>
          <cell r="BK292">
            <v>30841</v>
          </cell>
          <cell r="BL292">
            <v>0</v>
          </cell>
          <cell r="BM292">
            <v>0</v>
          </cell>
          <cell r="BN292">
            <v>0</v>
          </cell>
          <cell r="BO292">
            <v>131336</v>
          </cell>
          <cell r="BP292">
            <v>0</v>
          </cell>
          <cell r="BQ292">
            <v>0</v>
          </cell>
          <cell r="BR292">
            <v>0</v>
          </cell>
          <cell r="BS292">
            <v>0</v>
          </cell>
          <cell r="BT292">
            <v>48704</v>
          </cell>
          <cell r="BU292"/>
          <cell r="BV292"/>
          <cell r="BW292"/>
          <cell r="BX292"/>
          <cell r="BY292">
            <v>0</v>
          </cell>
          <cell r="BZ292">
            <v>0</v>
          </cell>
          <cell r="CA292">
            <v>0</v>
          </cell>
          <cell r="CB292">
            <v>0</v>
          </cell>
          <cell r="CC292">
            <v>2312835</v>
          </cell>
          <cell r="CD292">
            <v>13721793</v>
          </cell>
          <cell r="CE292">
            <v>498933</v>
          </cell>
          <cell r="CF292">
            <v>0</v>
          </cell>
          <cell r="CG292">
            <v>498933</v>
          </cell>
          <cell r="CH292">
            <v>498933</v>
          </cell>
          <cell r="CI292">
            <v>498933</v>
          </cell>
          <cell r="CJ292">
            <v>498933</v>
          </cell>
          <cell r="CK292">
            <v>0</v>
          </cell>
          <cell r="CL292">
            <v>0</v>
          </cell>
          <cell r="CM292">
            <v>0</v>
          </cell>
          <cell r="CN292">
            <v>0</v>
          </cell>
          <cell r="CO292">
            <v>0</v>
          </cell>
          <cell r="CP292">
            <v>-5611</v>
          </cell>
          <cell r="CQ292">
            <v>4519784</v>
          </cell>
          <cell r="CR292">
            <v>4293655</v>
          </cell>
          <cell r="CS292">
            <v>4202070</v>
          </cell>
          <cell r="CT292">
            <v>4135199</v>
          </cell>
          <cell r="CU292">
            <v>4013430</v>
          </cell>
          <cell r="CV292">
            <v>-21758</v>
          </cell>
          <cell r="CW292">
            <v>0</v>
          </cell>
          <cell r="CX292">
            <v>0</v>
          </cell>
          <cell r="CY292">
            <v>0</v>
          </cell>
          <cell r="CZ292">
            <v>0</v>
          </cell>
          <cell r="DA292">
            <v>0</v>
          </cell>
          <cell r="DB292"/>
          <cell r="DC292">
            <v>0</v>
          </cell>
          <cell r="DD292">
            <v>0</v>
          </cell>
          <cell r="DE292">
            <v>0</v>
          </cell>
          <cell r="DF292">
            <v>0</v>
          </cell>
          <cell r="DG292">
            <v>0</v>
          </cell>
          <cell r="DH292">
            <v>0</v>
          </cell>
          <cell r="DI292">
            <v>0</v>
          </cell>
          <cell r="DJ292">
            <v>0</v>
          </cell>
          <cell r="DK292">
            <v>0</v>
          </cell>
          <cell r="DL292">
            <v>0</v>
          </cell>
          <cell r="DM292"/>
          <cell r="DN292"/>
          <cell r="DO292"/>
          <cell r="DP292"/>
        </row>
        <row r="293">
          <cell r="A293">
            <v>757</v>
          </cell>
          <cell r="B293" t="str">
            <v>Boxtel</v>
          </cell>
          <cell r="C293">
            <v>10</v>
          </cell>
          <cell r="D293">
            <v>-14140</v>
          </cell>
          <cell r="E293">
            <v>-7070</v>
          </cell>
          <cell r="F293">
            <v>0</v>
          </cell>
          <cell r="G293">
            <v>0</v>
          </cell>
          <cell r="H293">
            <v>-20278</v>
          </cell>
          <cell r="I293">
            <v>-15954</v>
          </cell>
          <cell r="J293"/>
          <cell r="K293">
            <v>0</v>
          </cell>
          <cell r="L293">
            <v>129126</v>
          </cell>
          <cell r="M293">
            <v>126417</v>
          </cell>
          <cell r="N293">
            <v>0</v>
          </cell>
          <cell r="O293">
            <v>0</v>
          </cell>
          <cell r="P293">
            <v>0</v>
          </cell>
          <cell r="Q293">
            <v>0</v>
          </cell>
          <cell r="R293">
            <v>0</v>
          </cell>
          <cell r="S293">
            <v>0</v>
          </cell>
          <cell r="T293">
            <v>0</v>
          </cell>
          <cell r="U293">
            <v>0</v>
          </cell>
          <cell r="V293">
            <v>0</v>
          </cell>
          <cell r="W293">
            <v>90310</v>
          </cell>
          <cell r="X293">
            <v>0</v>
          </cell>
          <cell r="Y293"/>
          <cell r="Z293">
            <v>0</v>
          </cell>
          <cell r="AA293">
            <v>0</v>
          </cell>
          <cell r="AB293">
            <v>0</v>
          </cell>
          <cell r="AC293"/>
          <cell r="AD293">
            <v>31289</v>
          </cell>
          <cell r="AE293">
            <v>0</v>
          </cell>
          <cell r="AF293">
            <v>0</v>
          </cell>
          <cell r="AG293">
            <v>0</v>
          </cell>
          <cell r="AH293">
            <v>0</v>
          </cell>
          <cell r="AI293">
            <v>0</v>
          </cell>
          <cell r="AJ293">
            <v>0</v>
          </cell>
          <cell r="AK293">
            <v>0</v>
          </cell>
          <cell r="AL293"/>
          <cell r="AM293">
            <v>0</v>
          </cell>
          <cell r="AN293">
            <v>0</v>
          </cell>
          <cell r="AO293">
            <v>0</v>
          </cell>
          <cell r="AP293">
            <v>0</v>
          </cell>
          <cell r="AQ293">
            <v>0</v>
          </cell>
          <cell r="AR293">
            <v>0</v>
          </cell>
          <cell r="AS293">
            <v>0</v>
          </cell>
          <cell r="AT293">
            <v>0</v>
          </cell>
          <cell r="AU293">
            <v>2370</v>
          </cell>
          <cell r="AV293">
            <v>0</v>
          </cell>
          <cell r="AW293">
            <v>0</v>
          </cell>
          <cell r="AX293">
            <v>0</v>
          </cell>
          <cell r="AY293"/>
          <cell r="AZ293"/>
          <cell r="BA293">
            <v>0</v>
          </cell>
          <cell r="BB293"/>
          <cell r="BC293">
            <v>0</v>
          </cell>
          <cell r="BD293">
            <v>10761</v>
          </cell>
          <cell r="BE293"/>
          <cell r="BF293">
            <v>0</v>
          </cell>
          <cell r="BG293">
            <v>0</v>
          </cell>
          <cell r="BH293">
            <v>0</v>
          </cell>
          <cell r="BI293">
            <v>43292</v>
          </cell>
          <cell r="BJ293">
            <v>35636</v>
          </cell>
          <cell r="BK293">
            <v>35636</v>
          </cell>
          <cell r="BL293">
            <v>0</v>
          </cell>
          <cell r="BM293">
            <v>0</v>
          </cell>
          <cell r="BN293">
            <v>0</v>
          </cell>
          <cell r="BO293">
            <v>41833</v>
          </cell>
          <cell r="BP293">
            <v>15814</v>
          </cell>
          <cell r="BQ293">
            <v>28488.372093023299</v>
          </cell>
          <cell r="BR293">
            <v>0</v>
          </cell>
          <cell r="BS293">
            <v>0</v>
          </cell>
          <cell r="BT293">
            <v>45862</v>
          </cell>
          <cell r="BU293"/>
          <cell r="BV293"/>
          <cell r="BW293"/>
          <cell r="BX293"/>
          <cell r="BY293">
            <v>0</v>
          </cell>
          <cell r="BZ293">
            <v>0</v>
          </cell>
          <cell r="CA293">
            <v>0</v>
          </cell>
          <cell r="CB293">
            <v>0</v>
          </cell>
          <cell r="CC293">
            <v>2381984</v>
          </cell>
          <cell r="CD293">
            <v>22045627</v>
          </cell>
          <cell r="CE293">
            <v>3047750</v>
          </cell>
          <cell r="CF293">
            <v>-38555</v>
          </cell>
          <cell r="CG293">
            <v>3047750</v>
          </cell>
          <cell r="CH293">
            <v>3047750</v>
          </cell>
          <cell r="CI293">
            <v>3047750</v>
          </cell>
          <cell r="CJ293">
            <v>3047750</v>
          </cell>
          <cell r="CK293">
            <v>0</v>
          </cell>
          <cell r="CL293">
            <v>0</v>
          </cell>
          <cell r="CM293">
            <v>0</v>
          </cell>
          <cell r="CN293">
            <v>0</v>
          </cell>
          <cell r="CO293">
            <v>0</v>
          </cell>
          <cell r="CP293">
            <v>0</v>
          </cell>
          <cell r="CQ293">
            <v>8797248</v>
          </cell>
          <cell r="CR293">
            <v>8306993</v>
          </cell>
          <cell r="CS293">
            <v>8046386</v>
          </cell>
          <cell r="CT293">
            <v>7779996</v>
          </cell>
          <cell r="CU293">
            <v>7573506</v>
          </cell>
          <cell r="CV293">
            <v>-5161</v>
          </cell>
          <cell r="CW293">
            <v>0</v>
          </cell>
          <cell r="CX293">
            <v>0</v>
          </cell>
          <cell r="CY293">
            <v>0</v>
          </cell>
          <cell r="CZ293">
            <v>0</v>
          </cell>
          <cell r="DA293">
            <v>0</v>
          </cell>
          <cell r="DB293"/>
          <cell r="DC293">
            <v>0</v>
          </cell>
          <cell r="DD293">
            <v>0</v>
          </cell>
          <cell r="DE293">
            <v>0</v>
          </cell>
          <cell r="DF293">
            <v>0</v>
          </cell>
          <cell r="DG293">
            <v>0</v>
          </cell>
          <cell r="DH293">
            <v>0</v>
          </cell>
          <cell r="DI293">
            <v>0</v>
          </cell>
          <cell r="DJ293">
            <v>0</v>
          </cell>
          <cell r="DK293">
            <v>0</v>
          </cell>
          <cell r="DL293">
            <v>0</v>
          </cell>
          <cell r="DM293"/>
          <cell r="DN293"/>
          <cell r="DO293"/>
          <cell r="DP293"/>
        </row>
        <row r="294">
          <cell r="A294">
            <v>758</v>
          </cell>
          <cell r="B294" t="str">
            <v>Breda</v>
          </cell>
          <cell r="C294">
            <v>10</v>
          </cell>
          <cell r="D294">
            <v>-44935</v>
          </cell>
          <cell r="E294">
            <v>-22467</v>
          </cell>
          <cell r="F294">
            <v>0</v>
          </cell>
          <cell r="G294">
            <v>0</v>
          </cell>
          <cell r="H294">
            <v>-140795</v>
          </cell>
          <cell r="I294">
            <v>-56228</v>
          </cell>
          <cell r="J294"/>
          <cell r="K294">
            <v>0</v>
          </cell>
          <cell r="L294">
            <v>863333</v>
          </cell>
          <cell r="M294">
            <v>871633</v>
          </cell>
          <cell r="N294">
            <v>0</v>
          </cell>
          <cell r="O294">
            <v>0</v>
          </cell>
          <cell r="P294">
            <v>150000</v>
          </cell>
          <cell r="Q294">
            <v>0</v>
          </cell>
          <cell r="R294">
            <v>0</v>
          </cell>
          <cell r="S294">
            <v>963858</v>
          </cell>
          <cell r="T294">
            <v>963858</v>
          </cell>
          <cell r="U294">
            <v>963858</v>
          </cell>
          <cell r="V294">
            <v>116500</v>
          </cell>
          <cell r="W294">
            <v>641448</v>
          </cell>
          <cell r="X294">
            <v>0</v>
          </cell>
          <cell r="Y294"/>
          <cell r="Z294">
            <v>0</v>
          </cell>
          <cell r="AA294">
            <v>0</v>
          </cell>
          <cell r="AB294">
            <v>0</v>
          </cell>
          <cell r="AC294"/>
          <cell r="AD294">
            <v>190671</v>
          </cell>
          <cell r="AE294">
            <v>0</v>
          </cell>
          <cell r="AF294">
            <v>0</v>
          </cell>
          <cell r="AG294">
            <v>0</v>
          </cell>
          <cell r="AH294">
            <v>0</v>
          </cell>
          <cell r="AI294">
            <v>0</v>
          </cell>
          <cell r="AJ294">
            <v>0</v>
          </cell>
          <cell r="AK294">
            <v>436799</v>
          </cell>
          <cell r="AL294"/>
          <cell r="AM294">
            <v>0</v>
          </cell>
          <cell r="AN294">
            <v>0</v>
          </cell>
          <cell r="AO294">
            <v>0</v>
          </cell>
          <cell r="AP294">
            <v>0</v>
          </cell>
          <cell r="AQ294">
            <v>0</v>
          </cell>
          <cell r="AR294">
            <v>0</v>
          </cell>
          <cell r="AS294">
            <v>0</v>
          </cell>
          <cell r="AT294">
            <v>20000</v>
          </cell>
          <cell r="AU294">
            <v>26070</v>
          </cell>
          <cell r="AV294">
            <v>6273717.4781885296</v>
          </cell>
          <cell r="AW294">
            <v>145099</v>
          </cell>
          <cell r="AX294">
            <v>0</v>
          </cell>
          <cell r="AY294"/>
          <cell r="AZ294"/>
          <cell r="BA294">
            <v>0</v>
          </cell>
          <cell r="BB294"/>
          <cell r="BC294">
            <v>0</v>
          </cell>
          <cell r="BD294">
            <v>63995</v>
          </cell>
          <cell r="BE294"/>
          <cell r="BF294">
            <v>0</v>
          </cell>
          <cell r="BG294">
            <v>0</v>
          </cell>
          <cell r="BH294">
            <v>0</v>
          </cell>
          <cell r="BI294">
            <v>293016</v>
          </cell>
          <cell r="BJ294">
            <v>241196</v>
          </cell>
          <cell r="BK294">
            <v>241196</v>
          </cell>
          <cell r="BL294">
            <v>0</v>
          </cell>
          <cell r="BM294">
            <v>0</v>
          </cell>
          <cell r="BN294">
            <v>0</v>
          </cell>
          <cell r="BO294">
            <v>319097</v>
          </cell>
          <cell r="BP294">
            <v>68000.2</v>
          </cell>
          <cell r="BQ294">
            <v>122500</v>
          </cell>
          <cell r="BR294">
            <v>0</v>
          </cell>
          <cell r="BS294">
            <v>0</v>
          </cell>
          <cell r="BT294">
            <v>292859</v>
          </cell>
          <cell r="BU294"/>
          <cell r="BV294"/>
          <cell r="BW294"/>
          <cell r="BX294"/>
          <cell r="BY294">
            <v>4569650.6239193296</v>
          </cell>
          <cell r="BZ294">
            <v>5271813.0744170398</v>
          </cell>
          <cell r="CA294">
            <v>5331796.8013439802</v>
          </cell>
          <cell r="CB294">
            <v>5501162.6185494596</v>
          </cell>
          <cell r="CC294">
            <v>13398824</v>
          </cell>
          <cell r="CD294">
            <v>122560597</v>
          </cell>
          <cell r="CE294">
            <v>7753699</v>
          </cell>
          <cell r="CF294">
            <v>-134968</v>
          </cell>
          <cell r="CG294">
            <v>7753699</v>
          </cell>
          <cell r="CH294">
            <v>7753699</v>
          </cell>
          <cell r="CI294">
            <v>7753699</v>
          </cell>
          <cell r="CJ294">
            <v>7753699</v>
          </cell>
          <cell r="CK294">
            <v>33350517</v>
          </cell>
          <cell r="CL294">
            <v>33333779</v>
          </cell>
          <cell r="CM294">
            <v>33333508</v>
          </cell>
          <cell r="CN294">
            <v>33332912</v>
          </cell>
          <cell r="CO294">
            <v>33333738</v>
          </cell>
          <cell r="CP294">
            <v>0</v>
          </cell>
          <cell r="CQ294">
            <v>24481530</v>
          </cell>
          <cell r="CR294">
            <v>23255991</v>
          </cell>
          <cell r="CS294">
            <v>22540821</v>
          </cell>
          <cell r="CT294">
            <v>21763372</v>
          </cell>
          <cell r="CU294">
            <v>21144349</v>
          </cell>
          <cell r="CV294">
            <v>265692</v>
          </cell>
          <cell r="CW294">
            <v>0</v>
          </cell>
          <cell r="CX294">
            <v>0</v>
          </cell>
          <cell r="CY294">
            <v>0</v>
          </cell>
          <cell r="CZ294">
            <v>0</v>
          </cell>
          <cell r="DA294">
            <v>0</v>
          </cell>
          <cell r="DB294"/>
          <cell r="DC294">
            <v>0</v>
          </cell>
          <cell r="DD294">
            <v>0</v>
          </cell>
          <cell r="DE294">
            <v>0</v>
          </cell>
          <cell r="DF294">
            <v>0</v>
          </cell>
          <cell r="DG294">
            <v>0</v>
          </cell>
          <cell r="DH294">
            <v>0</v>
          </cell>
          <cell r="DI294">
            <v>0</v>
          </cell>
          <cell r="DJ294">
            <v>0</v>
          </cell>
          <cell r="DK294">
            <v>0</v>
          </cell>
          <cell r="DL294">
            <v>0</v>
          </cell>
          <cell r="DM294"/>
          <cell r="DN294"/>
          <cell r="DO294"/>
          <cell r="DP294"/>
        </row>
        <row r="295">
          <cell r="A295">
            <v>1706</v>
          </cell>
          <cell r="B295" t="str">
            <v>Cranendonck</v>
          </cell>
          <cell r="C295">
            <v>10</v>
          </cell>
          <cell r="D295">
            <v>11461</v>
          </cell>
          <cell r="E295">
            <v>5731</v>
          </cell>
          <cell r="F295">
            <v>0</v>
          </cell>
          <cell r="G295">
            <v>0</v>
          </cell>
          <cell r="H295">
            <v>-12767</v>
          </cell>
          <cell r="I295">
            <v>0</v>
          </cell>
          <cell r="J295"/>
          <cell r="K295">
            <v>0</v>
          </cell>
          <cell r="L295">
            <v>69199</v>
          </cell>
          <cell r="M295">
            <v>62542</v>
          </cell>
          <cell r="N295">
            <v>0</v>
          </cell>
          <cell r="O295">
            <v>0</v>
          </cell>
          <cell r="P295">
            <v>0</v>
          </cell>
          <cell r="Q295">
            <v>0</v>
          </cell>
          <cell r="R295">
            <v>0</v>
          </cell>
          <cell r="S295">
            <v>0</v>
          </cell>
          <cell r="T295">
            <v>0</v>
          </cell>
          <cell r="U295">
            <v>0</v>
          </cell>
          <cell r="V295">
            <v>0</v>
          </cell>
          <cell r="W295">
            <v>76391</v>
          </cell>
          <cell r="X295">
            <v>682184</v>
          </cell>
          <cell r="Y295"/>
          <cell r="Z295">
            <v>0</v>
          </cell>
          <cell r="AA295">
            <v>0</v>
          </cell>
          <cell r="AB295">
            <v>0</v>
          </cell>
          <cell r="AC295"/>
          <cell r="AD295">
            <v>0</v>
          </cell>
          <cell r="AE295">
            <v>0</v>
          </cell>
          <cell r="AF295">
            <v>0</v>
          </cell>
          <cell r="AG295">
            <v>0</v>
          </cell>
          <cell r="AH295">
            <v>0</v>
          </cell>
          <cell r="AI295">
            <v>0</v>
          </cell>
          <cell r="AJ295">
            <v>0</v>
          </cell>
          <cell r="AK295">
            <v>0</v>
          </cell>
          <cell r="AL295"/>
          <cell r="AM295">
            <v>0</v>
          </cell>
          <cell r="AN295">
            <v>0</v>
          </cell>
          <cell r="AO295">
            <v>0</v>
          </cell>
          <cell r="AP295">
            <v>0</v>
          </cell>
          <cell r="AQ295">
            <v>0</v>
          </cell>
          <cell r="AR295">
            <v>0</v>
          </cell>
          <cell r="AS295">
            <v>0</v>
          </cell>
          <cell r="AT295">
            <v>0</v>
          </cell>
          <cell r="AU295">
            <v>0</v>
          </cell>
          <cell r="AV295">
            <v>0</v>
          </cell>
          <cell r="AW295">
            <v>0</v>
          </cell>
          <cell r="AX295">
            <v>0</v>
          </cell>
          <cell r="AY295"/>
          <cell r="AZ295"/>
          <cell r="BA295">
            <v>0</v>
          </cell>
          <cell r="BB295"/>
          <cell r="BC295">
            <v>0</v>
          </cell>
          <cell r="BD295">
            <v>7258</v>
          </cell>
          <cell r="BE295"/>
          <cell r="BF295">
            <v>0</v>
          </cell>
          <cell r="BG295">
            <v>0</v>
          </cell>
          <cell r="BH295">
            <v>0</v>
          </cell>
          <cell r="BI295">
            <v>27059</v>
          </cell>
          <cell r="BJ295">
            <v>22274</v>
          </cell>
          <cell r="BK295">
            <v>22274</v>
          </cell>
          <cell r="BL295">
            <v>0</v>
          </cell>
          <cell r="BM295">
            <v>0</v>
          </cell>
          <cell r="BN295">
            <v>0</v>
          </cell>
          <cell r="BO295">
            <v>100204</v>
          </cell>
          <cell r="BP295">
            <v>0</v>
          </cell>
          <cell r="BQ295">
            <v>0</v>
          </cell>
          <cell r="BR295">
            <v>0</v>
          </cell>
          <cell r="BS295">
            <v>0</v>
          </cell>
          <cell r="BT295">
            <v>35499</v>
          </cell>
          <cell r="BU295"/>
          <cell r="BV295"/>
          <cell r="BW295"/>
          <cell r="BX295"/>
          <cell r="BY295">
            <v>0</v>
          </cell>
          <cell r="BZ295">
            <v>0</v>
          </cell>
          <cell r="CA295">
            <v>0</v>
          </cell>
          <cell r="CB295">
            <v>0</v>
          </cell>
          <cell r="CC295">
            <v>1592275</v>
          </cell>
          <cell r="CD295">
            <v>7855523</v>
          </cell>
          <cell r="CE295">
            <v>374993</v>
          </cell>
          <cell r="CF295">
            <v>0</v>
          </cell>
          <cell r="CG295">
            <v>374993</v>
          </cell>
          <cell r="CH295">
            <v>374993</v>
          </cell>
          <cell r="CI295">
            <v>374993</v>
          </cell>
          <cell r="CJ295">
            <v>374993</v>
          </cell>
          <cell r="CK295">
            <v>0</v>
          </cell>
          <cell r="CL295">
            <v>0</v>
          </cell>
          <cell r="CM295">
            <v>0</v>
          </cell>
          <cell r="CN295">
            <v>0</v>
          </cell>
          <cell r="CO295">
            <v>0</v>
          </cell>
          <cell r="CP295">
            <v>0</v>
          </cell>
          <cell r="CQ295">
            <v>1995582</v>
          </cell>
          <cell r="CR295">
            <v>1917468</v>
          </cell>
          <cell r="CS295">
            <v>1889354</v>
          </cell>
          <cell r="CT295">
            <v>1864821</v>
          </cell>
          <cell r="CU295">
            <v>1780410</v>
          </cell>
          <cell r="CV295">
            <v>-56779</v>
          </cell>
          <cell r="CW295">
            <v>0</v>
          </cell>
          <cell r="CX295">
            <v>0</v>
          </cell>
          <cell r="CY295">
            <v>0</v>
          </cell>
          <cell r="CZ295">
            <v>0</v>
          </cell>
          <cell r="DA295">
            <v>0</v>
          </cell>
          <cell r="DB295"/>
          <cell r="DC295">
            <v>0</v>
          </cell>
          <cell r="DD295">
            <v>0</v>
          </cell>
          <cell r="DE295">
            <v>0</v>
          </cell>
          <cell r="DF295">
            <v>0</v>
          </cell>
          <cell r="DG295">
            <v>0</v>
          </cell>
          <cell r="DH295">
            <v>0</v>
          </cell>
          <cell r="DI295">
            <v>0</v>
          </cell>
          <cell r="DJ295">
            <v>0</v>
          </cell>
          <cell r="DK295">
            <v>0</v>
          </cell>
          <cell r="DL295">
            <v>0</v>
          </cell>
          <cell r="DM295"/>
          <cell r="DN295"/>
          <cell r="DO295"/>
          <cell r="DP295"/>
        </row>
        <row r="296">
          <cell r="A296">
            <v>1684</v>
          </cell>
          <cell r="B296" t="str">
            <v>Cuijk</v>
          </cell>
          <cell r="C296">
            <v>10</v>
          </cell>
          <cell r="D296">
            <v>-29221</v>
          </cell>
          <cell r="E296">
            <v>-14611</v>
          </cell>
          <cell r="F296">
            <v>0</v>
          </cell>
          <cell r="G296">
            <v>46715</v>
          </cell>
          <cell r="H296">
            <v>-25935</v>
          </cell>
          <cell r="I296">
            <v>-5541</v>
          </cell>
          <cell r="J296"/>
          <cell r="K296">
            <v>0</v>
          </cell>
          <cell r="L296">
            <v>96516</v>
          </cell>
          <cell r="M296">
            <v>92158</v>
          </cell>
          <cell r="N296">
            <v>0</v>
          </cell>
          <cell r="O296">
            <v>0</v>
          </cell>
          <cell r="P296">
            <v>0</v>
          </cell>
          <cell r="Q296">
            <v>0</v>
          </cell>
          <cell r="R296">
            <v>0</v>
          </cell>
          <cell r="S296">
            <v>0</v>
          </cell>
          <cell r="T296">
            <v>0</v>
          </cell>
          <cell r="U296">
            <v>0</v>
          </cell>
          <cell r="V296">
            <v>9000</v>
          </cell>
          <cell r="W296">
            <v>100493</v>
          </cell>
          <cell r="X296">
            <v>0</v>
          </cell>
          <cell r="Y296"/>
          <cell r="Z296">
            <v>0</v>
          </cell>
          <cell r="AA296">
            <v>0</v>
          </cell>
          <cell r="AB296">
            <v>0</v>
          </cell>
          <cell r="AC296"/>
          <cell r="AD296">
            <v>53779</v>
          </cell>
          <cell r="AE296">
            <v>0</v>
          </cell>
          <cell r="AF296">
            <v>0</v>
          </cell>
          <cell r="AG296">
            <v>0</v>
          </cell>
          <cell r="AH296">
            <v>0</v>
          </cell>
          <cell r="AI296">
            <v>0</v>
          </cell>
          <cell r="AJ296">
            <v>0</v>
          </cell>
          <cell r="AK296">
            <v>0</v>
          </cell>
          <cell r="AL296"/>
          <cell r="AM296">
            <v>0</v>
          </cell>
          <cell r="AN296">
            <v>0</v>
          </cell>
          <cell r="AO296">
            <v>0</v>
          </cell>
          <cell r="AP296">
            <v>0</v>
          </cell>
          <cell r="AQ296">
            <v>0</v>
          </cell>
          <cell r="AR296">
            <v>0</v>
          </cell>
          <cell r="AS296">
            <v>0</v>
          </cell>
          <cell r="AT296">
            <v>0</v>
          </cell>
          <cell r="AU296">
            <v>0</v>
          </cell>
          <cell r="AV296">
            <v>0</v>
          </cell>
          <cell r="AW296">
            <v>0</v>
          </cell>
          <cell r="AX296">
            <v>0</v>
          </cell>
          <cell r="AY296"/>
          <cell r="AZ296"/>
          <cell r="BA296">
            <v>0</v>
          </cell>
          <cell r="BB296"/>
          <cell r="BC296">
            <v>0</v>
          </cell>
          <cell r="BD296">
            <v>8669</v>
          </cell>
          <cell r="BE296"/>
          <cell r="BF296">
            <v>0</v>
          </cell>
          <cell r="BG296">
            <v>0</v>
          </cell>
          <cell r="BH296">
            <v>0</v>
          </cell>
          <cell r="BI296">
            <v>36314</v>
          </cell>
          <cell r="BJ296">
            <v>29892</v>
          </cell>
          <cell r="BK296">
            <v>29892</v>
          </cell>
          <cell r="BL296">
            <v>0</v>
          </cell>
          <cell r="BM296">
            <v>0</v>
          </cell>
          <cell r="BN296">
            <v>0</v>
          </cell>
          <cell r="BO296">
            <v>184356</v>
          </cell>
          <cell r="BP296">
            <v>7907</v>
          </cell>
          <cell r="BQ296">
            <v>14244.186046511601</v>
          </cell>
          <cell r="BR296">
            <v>0</v>
          </cell>
          <cell r="BS296">
            <v>0</v>
          </cell>
          <cell r="BT296">
            <v>41227</v>
          </cell>
          <cell r="BU296"/>
          <cell r="BV296"/>
          <cell r="BW296"/>
          <cell r="BX296"/>
          <cell r="BY296">
            <v>0</v>
          </cell>
          <cell r="BZ296">
            <v>0</v>
          </cell>
          <cell r="CA296">
            <v>0</v>
          </cell>
          <cell r="CB296">
            <v>0</v>
          </cell>
          <cell r="CC296">
            <v>2069621</v>
          </cell>
          <cell r="CD296">
            <v>14866983</v>
          </cell>
          <cell r="CE296">
            <v>697778</v>
          </cell>
          <cell r="CF296">
            <v>0</v>
          </cell>
          <cell r="CG296">
            <v>697778</v>
          </cell>
          <cell r="CH296">
            <v>697778</v>
          </cell>
          <cell r="CI296">
            <v>697778</v>
          </cell>
          <cell r="CJ296">
            <v>697778</v>
          </cell>
          <cell r="CK296">
            <v>0</v>
          </cell>
          <cell r="CL296">
            <v>0</v>
          </cell>
          <cell r="CM296">
            <v>0</v>
          </cell>
          <cell r="CN296">
            <v>0</v>
          </cell>
          <cell r="CO296">
            <v>0</v>
          </cell>
          <cell r="CP296">
            <v>-2013</v>
          </cell>
          <cell r="CQ296">
            <v>5241196</v>
          </cell>
          <cell r="CR296">
            <v>5003851</v>
          </cell>
          <cell r="CS296">
            <v>4882052</v>
          </cell>
          <cell r="CT296">
            <v>4792449</v>
          </cell>
          <cell r="CU296">
            <v>4660696</v>
          </cell>
          <cell r="CV296">
            <v>-1389</v>
          </cell>
          <cell r="CW296">
            <v>0</v>
          </cell>
          <cell r="CX296">
            <v>0</v>
          </cell>
          <cell r="CY296">
            <v>0</v>
          </cell>
          <cell r="CZ296">
            <v>0</v>
          </cell>
          <cell r="DA296">
            <v>0</v>
          </cell>
          <cell r="DB296"/>
          <cell r="DC296">
            <v>0</v>
          </cell>
          <cell r="DD296">
            <v>0</v>
          </cell>
          <cell r="DE296">
            <v>0</v>
          </cell>
          <cell r="DF296">
            <v>0</v>
          </cell>
          <cell r="DG296">
            <v>0</v>
          </cell>
          <cell r="DH296">
            <v>0</v>
          </cell>
          <cell r="DI296">
            <v>0</v>
          </cell>
          <cell r="DJ296">
            <v>0</v>
          </cell>
          <cell r="DK296">
            <v>0</v>
          </cell>
          <cell r="DL296">
            <v>0</v>
          </cell>
          <cell r="DM296"/>
          <cell r="DN296"/>
          <cell r="DO296"/>
          <cell r="DP296"/>
        </row>
        <row r="297">
          <cell r="A297">
            <v>762</v>
          </cell>
          <cell r="B297" t="str">
            <v>Deurne</v>
          </cell>
          <cell r="C297">
            <v>10</v>
          </cell>
          <cell r="D297">
            <v>-3502</v>
          </cell>
          <cell r="E297">
            <v>-1751</v>
          </cell>
          <cell r="F297">
            <v>0</v>
          </cell>
          <cell r="G297">
            <v>4859</v>
          </cell>
          <cell r="H297">
            <v>-48934</v>
          </cell>
          <cell r="I297">
            <v>-31955</v>
          </cell>
          <cell r="J297"/>
          <cell r="K297">
            <v>0</v>
          </cell>
          <cell r="L297">
            <v>118183</v>
          </cell>
          <cell r="M297">
            <v>129250</v>
          </cell>
          <cell r="N297">
            <v>0</v>
          </cell>
          <cell r="O297">
            <v>0</v>
          </cell>
          <cell r="P297">
            <v>0</v>
          </cell>
          <cell r="Q297">
            <v>0</v>
          </cell>
          <cell r="R297">
            <v>0</v>
          </cell>
          <cell r="S297">
            <v>0</v>
          </cell>
          <cell r="T297">
            <v>0</v>
          </cell>
          <cell r="U297">
            <v>0</v>
          </cell>
          <cell r="V297">
            <v>3000</v>
          </cell>
          <cell r="W297">
            <v>129456</v>
          </cell>
          <cell r="X297">
            <v>0</v>
          </cell>
          <cell r="Y297"/>
          <cell r="Z297">
            <v>0</v>
          </cell>
          <cell r="AA297">
            <v>0</v>
          </cell>
          <cell r="AB297">
            <v>0</v>
          </cell>
          <cell r="AC297"/>
          <cell r="AD297">
            <v>0</v>
          </cell>
          <cell r="AE297">
            <v>0</v>
          </cell>
          <cell r="AF297">
            <v>0</v>
          </cell>
          <cell r="AG297">
            <v>0</v>
          </cell>
          <cell r="AH297">
            <v>0</v>
          </cell>
          <cell r="AI297">
            <v>0</v>
          </cell>
          <cell r="AJ297">
            <v>0</v>
          </cell>
          <cell r="AK297">
            <v>0</v>
          </cell>
          <cell r="AL297"/>
          <cell r="AM297">
            <v>0</v>
          </cell>
          <cell r="AN297">
            <v>0</v>
          </cell>
          <cell r="AO297">
            <v>0</v>
          </cell>
          <cell r="AP297">
            <v>0</v>
          </cell>
          <cell r="AQ297">
            <v>0</v>
          </cell>
          <cell r="AR297">
            <v>0</v>
          </cell>
          <cell r="AS297">
            <v>0</v>
          </cell>
          <cell r="AT297">
            <v>0</v>
          </cell>
          <cell r="AU297">
            <v>4740</v>
          </cell>
          <cell r="AV297">
            <v>0</v>
          </cell>
          <cell r="AW297">
            <v>0</v>
          </cell>
          <cell r="AX297">
            <v>0</v>
          </cell>
          <cell r="AY297"/>
          <cell r="AZ297"/>
          <cell r="BA297">
            <v>0</v>
          </cell>
          <cell r="BB297"/>
          <cell r="BC297">
            <v>0</v>
          </cell>
          <cell r="BD297">
            <v>11210</v>
          </cell>
          <cell r="BE297"/>
          <cell r="BF297">
            <v>0</v>
          </cell>
          <cell r="BG297">
            <v>0</v>
          </cell>
          <cell r="BH297">
            <v>0</v>
          </cell>
          <cell r="BI297">
            <v>42332</v>
          </cell>
          <cell r="BJ297">
            <v>34845</v>
          </cell>
          <cell r="BK297">
            <v>34845</v>
          </cell>
          <cell r="BL297">
            <v>0</v>
          </cell>
          <cell r="BM297">
            <v>0</v>
          </cell>
          <cell r="BN297">
            <v>0</v>
          </cell>
          <cell r="BO297">
            <v>65668</v>
          </cell>
          <cell r="BP297">
            <v>11069.8</v>
          </cell>
          <cell r="BQ297">
            <v>19941.8604651163</v>
          </cell>
          <cell r="BR297">
            <v>0</v>
          </cell>
          <cell r="BS297">
            <v>0</v>
          </cell>
          <cell r="BT297">
            <v>48255</v>
          </cell>
          <cell r="BU297"/>
          <cell r="BV297"/>
          <cell r="BW297"/>
          <cell r="BX297"/>
          <cell r="BY297">
            <v>0</v>
          </cell>
          <cell r="BZ297">
            <v>0</v>
          </cell>
          <cell r="CA297">
            <v>0</v>
          </cell>
          <cell r="CB297">
            <v>0</v>
          </cell>
          <cell r="CC297">
            <v>2673432</v>
          </cell>
          <cell r="CD297">
            <v>17286839</v>
          </cell>
          <cell r="CE297">
            <v>2555869</v>
          </cell>
          <cell r="CF297">
            <v>-34768</v>
          </cell>
          <cell r="CG297">
            <v>2555869</v>
          </cell>
          <cell r="CH297">
            <v>2555869</v>
          </cell>
          <cell r="CI297">
            <v>2555869</v>
          </cell>
          <cell r="CJ297">
            <v>2555869</v>
          </cell>
          <cell r="CK297">
            <v>0</v>
          </cell>
          <cell r="CL297">
            <v>0</v>
          </cell>
          <cell r="CM297">
            <v>0</v>
          </cell>
          <cell r="CN297">
            <v>0</v>
          </cell>
          <cell r="CO297">
            <v>0</v>
          </cell>
          <cell r="CP297">
            <v>-6311</v>
          </cell>
          <cell r="CQ297">
            <v>4303947</v>
          </cell>
          <cell r="CR297">
            <v>4143899</v>
          </cell>
          <cell r="CS297">
            <v>4069043</v>
          </cell>
          <cell r="CT297">
            <v>4024390</v>
          </cell>
          <cell r="CU297">
            <v>3949527</v>
          </cell>
          <cell r="CV297">
            <v>61339</v>
          </cell>
          <cell r="CW297">
            <v>0</v>
          </cell>
          <cell r="CX297">
            <v>0</v>
          </cell>
          <cell r="CY297">
            <v>0</v>
          </cell>
          <cell r="CZ297">
            <v>0</v>
          </cell>
          <cell r="DA297">
            <v>0</v>
          </cell>
          <cell r="DB297"/>
          <cell r="DC297">
            <v>160000</v>
          </cell>
          <cell r="DD297">
            <v>0</v>
          </cell>
          <cell r="DE297">
            <v>0</v>
          </cell>
          <cell r="DF297">
            <v>0</v>
          </cell>
          <cell r="DG297">
            <v>0</v>
          </cell>
          <cell r="DH297">
            <v>0</v>
          </cell>
          <cell r="DI297">
            <v>0</v>
          </cell>
          <cell r="DJ297">
            <v>0</v>
          </cell>
          <cell r="DK297">
            <v>0</v>
          </cell>
          <cell r="DL297">
            <v>0</v>
          </cell>
          <cell r="DM297"/>
          <cell r="DN297"/>
          <cell r="DO297"/>
          <cell r="DP297"/>
        </row>
        <row r="298">
          <cell r="A298">
            <v>766</v>
          </cell>
          <cell r="B298" t="str">
            <v>Dongen</v>
          </cell>
          <cell r="C298">
            <v>10</v>
          </cell>
          <cell r="D298">
            <v>-15852</v>
          </cell>
          <cell r="E298">
            <v>-7926</v>
          </cell>
          <cell r="F298">
            <v>0</v>
          </cell>
          <cell r="G298">
            <v>0</v>
          </cell>
          <cell r="H298">
            <v>-12501</v>
          </cell>
          <cell r="I298">
            <v>-6747</v>
          </cell>
          <cell r="J298"/>
          <cell r="K298">
            <v>0</v>
          </cell>
          <cell r="L298">
            <v>75605</v>
          </cell>
          <cell r="M298">
            <v>77374</v>
          </cell>
          <cell r="N298">
            <v>0</v>
          </cell>
          <cell r="O298">
            <v>0</v>
          </cell>
          <cell r="P298">
            <v>0</v>
          </cell>
          <cell r="Q298">
            <v>0</v>
          </cell>
          <cell r="R298">
            <v>0</v>
          </cell>
          <cell r="S298">
            <v>0</v>
          </cell>
          <cell r="T298">
            <v>0</v>
          </cell>
          <cell r="U298">
            <v>0</v>
          </cell>
          <cell r="V298">
            <v>6000</v>
          </cell>
          <cell r="W298">
            <v>103020</v>
          </cell>
          <cell r="X298">
            <v>0</v>
          </cell>
          <cell r="Y298"/>
          <cell r="Z298">
            <v>0</v>
          </cell>
          <cell r="AA298">
            <v>0</v>
          </cell>
          <cell r="AB298">
            <v>0</v>
          </cell>
          <cell r="AC298"/>
          <cell r="AD298">
            <v>0</v>
          </cell>
          <cell r="AE298">
            <v>0</v>
          </cell>
          <cell r="AF298">
            <v>0</v>
          </cell>
          <cell r="AG298">
            <v>0</v>
          </cell>
          <cell r="AH298">
            <v>0</v>
          </cell>
          <cell r="AI298">
            <v>0</v>
          </cell>
          <cell r="AJ298">
            <v>0</v>
          </cell>
          <cell r="AK298">
            <v>0</v>
          </cell>
          <cell r="AL298"/>
          <cell r="AM298">
            <v>0</v>
          </cell>
          <cell r="AN298">
            <v>0</v>
          </cell>
          <cell r="AO298">
            <v>0</v>
          </cell>
          <cell r="AP298">
            <v>0</v>
          </cell>
          <cell r="AQ298">
            <v>0</v>
          </cell>
          <cell r="AR298">
            <v>0</v>
          </cell>
          <cell r="AS298">
            <v>0</v>
          </cell>
          <cell r="AT298">
            <v>0</v>
          </cell>
          <cell r="AU298">
            <v>9480</v>
          </cell>
          <cell r="AV298">
            <v>0</v>
          </cell>
          <cell r="AW298">
            <v>0</v>
          </cell>
          <cell r="AX298">
            <v>0</v>
          </cell>
          <cell r="AY298"/>
          <cell r="AZ298"/>
          <cell r="BA298">
            <v>0</v>
          </cell>
          <cell r="BB298"/>
          <cell r="BC298">
            <v>0</v>
          </cell>
          <cell r="BD298">
            <v>8955</v>
          </cell>
          <cell r="BE298"/>
          <cell r="BF298">
            <v>0</v>
          </cell>
          <cell r="BG298">
            <v>0</v>
          </cell>
          <cell r="BH298">
            <v>0</v>
          </cell>
          <cell r="BI298">
            <v>32889</v>
          </cell>
          <cell r="BJ298">
            <v>27073</v>
          </cell>
          <cell r="BK298">
            <v>27073</v>
          </cell>
          <cell r="BL298">
            <v>0</v>
          </cell>
          <cell r="BM298">
            <v>0</v>
          </cell>
          <cell r="BN298">
            <v>0</v>
          </cell>
          <cell r="BO298">
            <v>40860</v>
          </cell>
          <cell r="BP298">
            <v>6325.6</v>
          </cell>
          <cell r="BQ298">
            <v>11395.3488372093</v>
          </cell>
          <cell r="BR298">
            <v>0</v>
          </cell>
          <cell r="BS298">
            <v>0</v>
          </cell>
          <cell r="BT298">
            <v>36626</v>
          </cell>
          <cell r="BU298"/>
          <cell r="BV298"/>
          <cell r="BW298"/>
          <cell r="BX298"/>
          <cell r="BY298">
            <v>0</v>
          </cell>
          <cell r="BZ298">
            <v>0</v>
          </cell>
          <cell r="CA298">
            <v>0</v>
          </cell>
          <cell r="CB298">
            <v>0</v>
          </cell>
          <cell r="CC298">
            <v>2028216</v>
          </cell>
          <cell r="CD298">
            <v>8817646</v>
          </cell>
          <cell r="CE298">
            <v>267257</v>
          </cell>
          <cell r="CF298">
            <v>0</v>
          </cell>
          <cell r="CG298">
            <v>267257</v>
          </cell>
          <cell r="CH298">
            <v>267257</v>
          </cell>
          <cell r="CI298">
            <v>267257</v>
          </cell>
          <cell r="CJ298">
            <v>267257</v>
          </cell>
          <cell r="CK298">
            <v>0</v>
          </cell>
          <cell r="CL298">
            <v>0</v>
          </cell>
          <cell r="CM298">
            <v>0</v>
          </cell>
          <cell r="CN298">
            <v>0</v>
          </cell>
          <cell r="CO298">
            <v>0</v>
          </cell>
          <cell r="CP298">
            <v>-2434</v>
          </cell>
          <cell r="CQ298">
            <v>1443055</v>
          </cell>
          <cell r="CR298">
            <v>1366777</v>
          </cell>
          <cell r="CS298">
            <v>1341857</v>
          </cell>
          <cell r="CT298">
            <v>1290342</v>
          </cell>
          <cell r="CU298">
            <v>1266245</v>
          </cell>
          <cell r="CV298">
            <v>-18966</v>
          </cell>
          <cell r="CW298">
            <v>0</v>
          </cell>
          <cell r="CX298">
            <v>0</v>
          </cell>
          <cell r="CY298">
            <v>0</v>
          </cell>
          <cell r="CZ298">
            <v>0</v>
          </cell>
          <cell r="DA298">
            <v>0</v>
          </cell>
          <cell r="DB298"/>
          <cell r="DC298">
            <v>0</v>
          </cell>
          <cell r="DD298">
            <v>0</v>
          </cell>
          <cell r="DE298">
            <v>0</v>
          </cell>
          <cell r="DF298">
            <v>0</v>
          </cell>
          <cell r="DG298">
            <v>0</v>
          </cell>
          <cell r="DH298">
            <v>0</v>
          </cell>
          <cell r="DI298">
            <v>0</v>
          </cell>
          <cell r="DJ298">
            <v>0</v>
          </cell>
          <cell r="DK298">
            <v>0</v>
          </cell>
          <cell r="DL298">
            <v>0</v>
          </cell>
          <cell r="DM298"/>
          <cell r="DN298"/>
          <cell r="DO298"/>
          <cell r="DP298"/>
        </row>
        <row r="299">
          <cell r="A299">
            <v>1719</v>
          </cell>
          <cell r="B299" t="str">
            <v>Drimmelen</v>
          </cell>
          <cell r="C299">
            <v>10</v>
          </cell>
          <cell r="D299">
            <v>-41543</v>
          </cell>
          <cell r="E299">
            <v>-20771</v>
          </cell>
          <cell r="F299">
            <v>0</v>
          </cell>
          <cell r="G299">
            <v>0</v>
          </cell>
          <cell r="H299">
            <v>-5733</v>
          </cell>
          <cell r="I299">
            <v>-9833</v>
          </cell>
          <cell r="J299"/>
          <cell r="K299">
            <v>0</v>
          </cell>
          <cell r="L299">
            <v>67647</v>
          </cell>
          <cell r="M299">
            <v>58328</v>
          </cell>
          <cell r="N299">
            <v>0</v>
          </cell>
          <cell r="O299">
            <v>0</v>
          </cell>
          <cell r="P299">
            <v>0</v>
          </cell>
          <cell r="Q299">
            <v>0</v>
          </cell>
          <cell r="R299">
            <v>0</v>
          </cell>
          <cell r="S299">
            <v>0</v>
          </cell>
          <cell r="T299">
            <v>0</v>
          </cell>
          <cell r="U299">
            <v>0</v>
          </cell>
          <cell r="V299">
            <v>9000</v>
          </cell>
          <cell r="W299">
            <v>103409</v>
          </cell>
          <cell r="X299">
            <v>0</v>
          </cell>
          <cell r="Y299"/>
          <cell r="Z299">
            <v>0</v>
          </cell>
          <cell r="AA299">
            <v>0</v>
          </cell>
          <cell r="AB299">
            <v>0</v>
          </cell>
          <cell r="AC299"/>
          <cell r="AD299">
            <v>0</v>
          </cell>
          <cell r="AE299">
            <v>0</v>
          </cell>
          <cell r="AF299">
            <v>0</v>
          </cell>
          <cell r="AG299">
            <v>0</v>
          </cell>
          <cell r="AH299">
            <v>0</v>
          </cell>
          <cell r="AI299">
            <v>0</v>
          </cell>
          <cell r="AJ299">
            <v>0</v>
          </cell>
          <cell r="AK299">
            <v>0</v>
          </cell>
          <cell r="AL299"/>
          <cell r="AM299">
            <v>0</v>
          </cell>
          <cell r="AN299">
            <v>0</v>
          </cell>
          <cell r="AO299">
            <v>0</v>
          </cell>
          <cell r="AP299">
            <v>0</v>
          </cell>
          <cell r="AQ299">
            <v>0</v>
          </cell>
          <cell r="AR299">
            <v>0</v>
          </cell>
          <cell r="AS299">
            <v>0</v>
          </cell>
          <cell r="AT299">
            <v>0</v>
          </cell>
          <cell r="AU299">
            <v>4740</v>
          </cell>
          <cell r="AV299">
            <v>0</v>
          </cell>
          <cell r="AW299">
            <v>0</v>
          </cell>
          <cell r="AX299">
            <v>0</v>
          </cell>
          <cell r="AY299"/>
          <cell r="AZ299"/>
          <cell r="BA299">
            <v>0</v>
          </cell>
          <cell r="BB299"/>
          <cell r="BC299">
            <v>0</v>
          </cell>
          <cell r="BD299">
            <v>9432</v>
          </cell>
          <cell r="BE299"/>
          <cell r="BF299">
            <v>0</v>
          </cell>
          <cell r="BG299">
            <v>0</v>
          </cell>
          <cell r="BH299">
            <v>0</v>
          </cell>
          <cell r="BI299">
            <v>30174</v>
          </cell>
          <cell r="BJ299">
            <v>24838</v>
          </cell>
          <cell r="BK299">
            <v>24838</v>
          </cell>
          <cell r="BL299">
            <v>0</v>
          </cell>
          <cell r="BM299">
            <v>0</v>
          </cell>
          <cell r="BN299">
            <v>0</v>
          </cell>
          <cell r="BO299">
            <v>76369</v>
          </cell>
          <cell r="BP299">
            <v>3162.8</v>
          </cell>
          <cell r="BQ299">
            <v>5697.6744186046499</v>
          </cell>
          <cell r="BR299">
            <v>0</v>
          </cell>
          <cell r="BS299">
            <v>0</v>
          </cell>
          <cell r="BT299">
            <v>38459</v>
          </cell>
          <cell r="BU299"/>
          <cell r="BV299"/>
          <cell r="BW299"/>
          <cell r="BX299"/>
          <cell r="BY299">
            <v>0</v>
          </cell>
          <cell r="BZ299">
            <v>0</v>
          </cell>
          <cell r="CA299">
            <v>0</v>
          </cell>
          <cell r="CB299">
            <v>0</v>
          </cell>
          <cell r="CC299">
            <v>2056131</v>
          </cell>
          <cell r="CD299">
            <v>8796030</v>
          </cell>
          <cell r="CE299">
            <v>621392</v>
          </cell>
          <cell r="CF299">
            <v>-9258</v>
          </cell>
          <cell r="CG299">
            <v>621392</v>
          </cell>
          <cell r="CH299">
            <v>621392</v>
          </cell>
          <cell r="CI299">
            <v>621392</v>
          </cell>
          <cell r="CJ299">
            <v>621392</v>
          </cell>
          <cell r="CK299">
            <v>0</v>
          </cell>
          <cell r="CL299">
            <v>0</v>
          </cell>
          <cell r="CM299">
            <v>0</v>
          </cell>
          <cell r="CN299">
            <v>0</v>
          </cell>
          <cell r="CO299">
            <v>0</v>
          </cell>
          <cell r="CP299">
            <v>-2168</v>
          </cell>
          <cell r="CQ299">
            <v>1400996</v>
          </cell>
          <cell r="CR299">
            <v>1317854</v>
          </cell>
          <cell r="CS299">
            <v>1273151</v>
          </cell>
          <cell r="CT299">
            <v>1253124</v>
          </cell>
          <cell r="CU299">
            <v>1216068</v>
          </cell>
          <cell r="CV299">
            <v>17476</v>
          </cell>
          <cell r="CW299">
            <v>0</v>
          </cell>
          <cell r="CX299">
            <v>0</v>
          </cell>
          <cell r="CY299">
            <v>0</v>
          </cell>
          <cell r="CZ299">
            <v>0</v>
          </cell>
          <cell r="DA299">
            <v>0</v>
          </cell>
          <cell r="DB299"/>
          <cell r="DC299">
            <v>0</v>
          </cell>
          <cell r="DD299">
            <v>0</v>
          </cell>
          <cell r="DE299">
            <v>0</v>
          </cell>
          <cell r="DF299">
            <v>0</v>
          </cell>
          <cell r="DG299">
            <v>0</v>
          </cell>
          <cell r="DH299">
            <v>0</v>
          </cell>
          <cell r="DI299">
            <v>0</v>
          </cell>
          <cell r="DJ299">
            <v>0</v>
          </cell>
          <cell r="DK299">
            <v>0</v>
          </cell>
          <cell r="DL299">
            <v>0</v>
          </cell>
          <cell r="DM299"/>
          <cell r="DN299"/>
          <cell r="DO299"/>
          <cell r="DP299"/>
        </row>
        <row r="300">
          <cell r="A300">
            <v>770</v>
          </cell>
          <cell r="B300" t="str">
            <v>Eersel</v>
          </cell>
          <cell r="C300">
            <v>10</v>
          </cell>
          <cell r="D300">
            <v>10201</v>
          </cell>
          <cell r="E300">
            <v>5100</v>
          </cell>
          <cell r="F300">
            <v>0</v>
          </cell>
          <cell r="G300">
            <v>0</v>
          </cell>
          <cell r="H300">
            <v>-38170</v>
          </cell>
          <cell r="I300">
            <v>-27801</v>
          </cell>
          <cell r="J300"/>
          <cell r="K300">
            <v>0</v>
          </cell>
          <cell r="L300">
            <v>52088</v>
          </cell>
          <cell r="M300">
            <v>47496</v>
          </cell>
          <cell r="N300">
            <v>0</v>
          </cell>
          <cell r="O300">
            <v>0</v>
          </cell>
          <cell r="P300">
            <v>0</v>
          </cell>
          <cell r="Q300">
            <v>0</v>
          </cell>
          <cell r="R300">
            <v>0</v>
          </cell>
          <cell r="S300">
            <v>0</v>
          </cell>
          <cell r="T300">
            <v>0</v>
          </cell>
          <cell r="U300">
            <v>0</v>
          </cell>
          <cell r="V300">
            <v>6000</v>
          </cell>
          <cell r="W300">
            <v>74058</v>
          </cell>
          <cell r="X300">
            <v>0</v>
          </cell>
          <cell r="Y300"/>
          <cell r="Z300">
            <v>0</v>
          </cell>
          <cell r="AA300">
            <v>0</v>
          </cell>
          <cell r="AB300">
            <v>0</v>
          </cell>
          <cell r="AC300"/>
          <cell r="AD300">
            <v>0</v>
          </cell>
          <cell r="AE300">
            <v>0</v>
          </cell>
          <cell r="AF300">
            <v>0</v>
          </cell>
          <cell r="AG300">
            <v>0</v>
          </cell>
          <cell r="AH300">
            <v>0</v>
          </cell>
          <cell r="AI300">
            <v>0</v>
          </cell>
          <cell r="AJ300">
            <v>0</v>
          </cell>
          <cell r="AK300">
            <v>0</v>
          </cell>
          <cell r="AL300"/>
          <cell r="AM300">
            <v>0</v>
          </cell>
          <cell r="AN300">
            <v>0</v>
          </cell>
          <cell r="AO300">
            <v>0</v>
          </cell>
          <cell r="AP300">
            <v>0</v>
          </cell>
          <cell r="AQ300">
            <v>0</v>
          </cell>
          <cell r="AR300">
            <v>0</v>
          </cell>
          <cell r="AS300">
            <v>0</v>
          </cell>
          <cell r="AT300">
            <v>0</v>
          </cell>
          <cell r="AU300">
            <v>2370</v>
          </cell>
          <cell r="AV300">
            <v>0</v>
          </cell>
          <cell r="AW300">
            <v>0</v>
          </cell>
          <cell r="AX300">
            <v>0</v>
          </cell>
          <cell r="AY300"/>
          <cell r="AZ300"/>
          <cell r="BA300">
            <v>0</v>
          </cell>
          <cell r="BB300"/>
          <cell r="BC300">
            <v>0</v>
          </cell>
          <cell r="BD300">
            <v>6513</v>
          </cell>
          <cell r="BE300"/>
          <cell r="BF300">
            <v>0</v>
          </cell>
          <cell r="BG300">
            <v>0</v>
          </cell>
          <cell r="BH300">
            <v>0</v>
          </cell>
          <cell r="BI300">
            <v>16890</v>
          </cell>
          <cell r="BJ300">
            <v>13903</v>
          </cell>
          <cell r="BK300">
            <v>13903</v>
          </cell>
          <cell r="BL300">
            <v>0</v>
          </cell>
          <cell r="BM300">
            <v>0</v>
          </cell>
          <cell r="BN300">
            <v>0</v>
          </cell>
          <cell r="BO300">
            <v>94853</v>
          </cell>
          <cell r="BP300">
            <v>22139.599999999999</v>
          </cell>
          <cell r="BQ300">
            <v>39883.720930232601</v>
          </cell>
          <cell r="BR300">
            <v>0</v>
          </cell>
          <cell r="BS300">
            <v>0</v>
          </cell>
          <cell r="BT300">
            <v>33338</v>
          </cell>
          <cell r="BU300"/>
          <cell r="BV300"/>
          <cell r="BW300"/>
          <cell r="BX300"/>
          <cell r="BY300">
            <v>0</v>
          </cell>
          <cell r="BZ300">
            <v>0</v>
          </cell>
          <cell r="CA300">
            <v>0</v>
          </cell>
          <cell r="CB300">
            <v>0</v>
          </cell>
          <cell r="CC300">
            <v>1413407</v>
          </cell>
          <cell r="CD300">
            <v>9113939</v>
          </cell>
          <cell r="CE300">
            <v>767859</v>
          </cell>
          <cell r="CF300">
            <v>-50447</v>
          </cell>
          <cell r="CG300">
            <v>767859</v>
          </cell>
          <cell r="CH300">
            <v>767859</v>
          </cell>
          <cell r="CI300">
            <v>767859</v>
          </cell>
          <cell r="CJ300">
            <v>767859</v>
          </cell>
          <cell r="CK300">
            <v>0</v>
          </cell>
          <cell r="CL300">
            <v>0</v>
          </cell>
          <cell r="CM300">
            <v>0</v>
          </cell>
          <cell r="CN300">
            <v>0</v>
          </cell>
          <cell r="CO300">
            <v>0</v>
          </cell>
          <cell r="CP300">
            <v>-2416</v>
          </cell>
          <cell r="CQ300">
            <v>3047712</v>
          </cell>
          <cell r="CR300">
            <v>2869035</v>
          </cell>
          <cell r="CS300">
            <v>2782084</v>
          </cell>
          <cell r="CT300">
            <v>2740703</v>
          </cell>
          <cell r="CU300">
            <v>2639945</v>
          </cell>
          <cell r="CV300">
            <v>-19805</v>
          </cell>
          <cell r="CW300">
            <v>0</v>
          </cell>
          <cell r="CX300">
            <v>0</v>
          </cell>
          <cell r="CY300">
            <v>0</v>
          </cell>
          <cell r="CZ300">
            <v>0</v>
          </cell>
          <cell r="DA300">
            <v>0</v>
          </cell>
          <cell r="DB300"/>
          <cell r="DC300">
            <v>0</v>
          </cell>
          <cell r="DD300">
            <v>0</v>
          </cell>
          <cell r="DE300">
            <v>0</v>
          </cell>
          <cell r="DF300">
            <v>0</v>
          </cell>
          <cell r="DG300">
            <v>0</v>
          </cell>
          <cell r="DH300">
            <v>0</v>
          </cell>
          <cell r="DI300">
            <v>0</v>
          </cell>
          <cell r="DJ300">
            <v>0</v>
          </cell>
          <cell r="DK300">
            <v>0</v>
          </cell>
          <cell r="DL300">
            <v>0</v>
          </cell>
          <cell r="DM300"/>
          <cell r="DN300"/>
          <cell r="DO300"/>
          <cell r="DP300"/>
        </row>
        <row r="301">
          <cell r="A301">
            <v>772</v>
          </cell>
          <cell r="B301" t="str">
            <v>Eindhoven</v>
          </cell>
          <cell r="C301">
            <v>10</v>
          </cell>
          <cell r="D301">
            <v>-73231</v>
          </cell>
          <cell r="E301">
            <v>-36615</v>
          </cell>
          <cell r="F301">
            <v>0</v>
          </cell>
          <cell r="G301">
            <v>247929</v>
          </cell>
          <cell r="H301">
            <v>-57891</v>
          </cell>
          <cell r="I301">
            <v>-70056</v>
          </cell>
          <cell r="J301"/>
          <cell r="K301">
            <v>0</v>
          </cell>
          <cell r="L301">
            <v>1261654</v>
          </cell>
          <cell r="M301">
            <v>1285667</v>
          </cell>
          <cell r="N301">
            <v>0</v>
          </cell>
          <cell r="O301">
            <v>0</v>
          </cell>
          <cell r="P301">
            <v>550226</v>
          </cell>
          <cell r="Q301">
            <v>0</v>
          </cell>
          <cell r="R301">
            <v>0</v>
          </cell>
          <cell r="S301">
            <v>1516039</v>
          </cell>
          <cell r="T301">
            <v>1516039</v>
          </cell>
          <cell r="U301">
            <v>1516039</v>
          </cell>
          <cell r="V301">
            <v>42000</v>
          </cell>
          <cell r="W301">
            <v>705981</v>
          </cell>
          <cell r="X301">
            <v>0</v>
          </cell>
          <cell r="Y301"/>
          <cell r="Z301">
            <v>0</v>
          </cell>
          <cell r="AA301">
            <v>36000</v>
          </cell>
          <cell r="AB301">
            <v>0</v>
          </cell>
          <cell r="AC301"/>
          <cell r="AD301">
            <v>325607</v>
          </cell>
          <cell r="AE301">
            <v>0</v>
          </cell>
          <cell r="AF301">
            <v>0</v>
          </cell>
          <cell r="AG301">
            <v>0</v>
          </cell>
          <cell r="AH301">
            <v>0</v>
          </cell>
          <cell r="AI301">
            <v>0</v>
          </cell>
          <cell r="AJ301">
            <v>0</v>
          </cell>
          <cell r="AK301">
            <v>422920</v>
          </cell>
          <cell r="AL301"/>
          <cell r="AM301">
            <v>0</v>
          </cell>
          <cell r="AN301">
            <v>0</v>
          </cell>
          <cell r="AO301">
            <v>0</v>
          </cell>
          <cell r="AP301">
            <v>0</v>
          </cell>
          <cell r="AQ301">
            <v>0</v>
          </cell>
          <cell r="AR301">
            <v>0</v>
          </cell>
          <cell r="AS301">
            <v>0</v>
          </cell>
          <cell r="AT301">
            <v>20000</v>
          </cell>
          <cell r="AU301">
            <v>21330</v>
          </cell>
          <cell r="AV301">
            <v>11240506.0111244</v>
          </cell>
          <cell r="AW301">
            <v>192925</v>
          </cell>
          <cell r="AX301">
            <v>0</v>
          </cell>
          <cell r="AY301"/>
          <cell r="AZ301"/>
          <cell r="BA301">
            <v>0</v>
          </cell>
          <cell r="BB301"/>
          <cell r="BC301">
            <v>0</v>
          </cell>
          <cell r="BD301">
            <v>79639</v>
          </cell>
          <cell r="BE301"/>
          <cell r="BF301">
            <v>0</v>
          </cell>
          <cell r="BG301">
            <v>0</v>
          </cell>
          <cell r="BH301">
            <v>0</v>
          </cell>
          <cell r="BI301">
            <v>434363</v>
          </cell>
          <cell r="BJ301">
            <v>357545</v>
          </cell>
          <cell r="BK301">
            <v>357545</v>
          </cell>
          <cell r="BL301">
            <v>87000</v>
          </cell>
          <cell r="BM301">
            <v>0</v>
          </cell>
          <cell r="BN301">
            <v>319550</v>
          </cell>
          <cell r="BO301">
            <v>304017</v>
          </cell>
          <cell r="BP301">
            <v>66418.8</v>
          </cell>
          <cell r="BQ301">
            <v>119651.162790698</v>
          </cell>
          <cell r="BR301">
            <v>0</v>
          </cell>
          <cell r="BS301">
            <v>0</v>
          </cell>
          <cell r="BT301">
            <v>356184</v>
          </cell>
          <cell r="BU301"/>
          <cell r="BV301"/>
          <cell r="BW301"/>
          <cell r="BX301"/>
          <cell r="BY301">
            <v>3927246.6841789898</v>
          </cell>
          <cell r="BZ301">
            <v>4551567.0481098304</v>
          </cell>
          <cell r="CA301">
            <v>4604900.9485461405</v>
          </cell>
          <cell r="CB301">
            <v>4755490.7850721702</v>
          </cell>
          <cell r="CC301">
            <v>18286707</v>
          </cell>
          <cell r="CD301">
            <v>169066022</v>
          </cell>
          <cell r="CE301">
            <v>9333622</v>
          </cell>
          <cell r="CF301">
            <v>-102153</v>
          </cell>
          <cell r="CG301">
            <v>9333622</v>
          </cell>
          <cell r="CH301">
            <v>9333622</v>
          </cell>
          <cell r="CI301">
            <v>9333622</v>
          </cell>
          <cell r="CJ301">
            <v>9333622</v>
          </cell>
          <cell r="CK301">
            <v>49078437</v>
          </cell>
          <cell r="CL301">
            <v>49053804</v>
          </cell>
          <cell r="CM301">
            <v>49053406</v>
          </cell>
          <cell r="CN301">
            <v>49052530</v>
          </cell>
          <cell r="CO301">
            <v>49053744</v>
          </cell>
          <cell r="CP301">
            <v>-9786</v>
          </cell>
          <cell r="CQ301">
            <v>34941195</v>
          </cell>
          <cell r="CR301">
            <v>33604877</v>
          </cell>
          <cell r="CS301">
            <v>32819430</v>
          </cell>
          <cell r="CT301">
            <v>32019576</v>
          </cell>
          <cell r="CU301">
            <v>31449212</v>
          </cell>
          <cell r="CV301">
            <v>86552</v>
          </cell>
          <cell r="CW301">
            <v>0</v>
          </cell>
          <cell r="CX301">
            <v>0</v>
          </cell>
          <cell r="CY301">
            <v>0</v>
          </cell>
          <cell r="CZ301">
            <v>0</v>
          </cell>
          <cell r="DA301">
            <v>0</v>
          </cell>
          <cell r="DB301"/>
          <cell r="DC301">
            <v>0</v>
          </cell>
          <cell r="DD301">
            <v>0</v>
          </cell>
          <cell r="DE301">
            <v>0</v>
          </cell>
          <cell r="DF301">
            <v>0</v>
          </cell>
          <cell r="DG301">
            <v>0</v>
          </cell>
          <cell r="DH301">
            <v>39900000</v>
          </cell>
          <cell r="DI301">
            <v>0</v>
          </cell>
          <cell r="DJ301">
            <v>0</v>
          </cell>
          <cell r="DK301">
            <v>0</v>
          </cell>
          <cell r="DL301">
            <v>0</v>
          </cell>
          <cell r="DM301"/>
          <cell r="DN301"/>
          <cell r="DO301"/>
          <cell r="DP301"/>
        </row>
        <row r="302">
          <cell r="A302">
            <v>777</v>
          </cell>
          <cell r="B302" t="str">
            <v>Etten-Leur</v>
          </cell>
          <cell r="C302">
            <v>10</v>
          </cell>
          <cell r="D302">
            <v>-8932</v>
          </cell>
          <cell r="E302">
            <v>-4466</v>
          </cell>
          <cell r="F302">
            <v>0</v>
          </cell>
          <cell r="G302">
            <v>0</v>
          </cell>
          <cell r="H302">
            <v>-8164</v>
          </cell>
          <cell r="I302">
            <v>0</v>
          </cell>
          <cell r="J302"/>
          <cell r="K302">
            <v>0</v>
          </cell>
          <cell r="L302">
            <v>183084</v>
          </cell>
          <cell r="M302">
            <v>176079</v>
          </cell>
          <cell r="N302">
            <v>0</v>
          </cell>
          <cell r="O302">
            <v>0</v>
          </cell>
          <cell r="P302">
            <v>0</v>
          </cell>
          <cell r="Q302">
            <v>0</v>
          </cell>
          <cell r="R302">
            <v>0</v>
          </cell>
          <cell r="S302">
            <v>0</v>
          </cell>
          <cell r="T302">
            <v>0</v>
          </cell>
          <cell r="U302">
            <v>0</v>
          </cell>
          <cell r="V302">
            <v>21000</v>
          </cell>
          <cell r="W302">
            <v>119201</v>
          </cell>
          <cell r="X302">
            <v>0</v>
          </cell>
          <cell r="Y302"/>
          <cell r="Z302">
            <v>0</v>
          </cell>
          <cell r="AA302">
            <v>0</v>
          </cell>
          <cell r="AB302">
            <v>0</v>
          </cell>
          <cell r="AC302"/>
          <cell r="AD302">
            <v>0</v>
          </cell>
          <cell r="AE302">
            <v>0</v>
          </cell>
          <cell r="AF302">
            <v>0</v>
          </cell>
          <cell r="AG302">
            <v>0</v>
          </cell>
          <cell r="AH302">
            <v>0</v>
          </cell>
          <cell r="AI302">
            <v>0</v>
          </cell>
          <cell r="AJ302">
            <v>0</v>
          </cell>
          <cell r="AK302">
            <v>0</v>
          </cell>
          <cell r="AL302"/>
          <cell r="AM302">
            <v>0</v>
          </cell>
          <cell r="AN302">
            <v>0</v>
          </cell>
          <cell r="AO302">
            <v>0</v>
          </cell>
          <cell r="AP302">
            <v>0</v>
          </cell>
          <cell r="AQ302">
            <v>0</v>
          </cell>
          <cell r="AR302">
            <v>0</v>
          </cell>
          <cell r="AS302">
            <v>0</v>
          </cell>
          <cell r="AT302">
            <v>0</v>
          </cell>
          <cell r="AU302">
            <v>11850</v>
          </cell>
          <cell r="AV302">
            <v>0</v>
          </cell>
          <cell r="AW302">
            <v>0</v>
          </cell>
          <cell r="AX302">
            <v>0</v>
          </cell>
          <cell r="AY302"/>
          <cell r="AZ302"/>
          <cell r="BA302">
            <v>0</v>
          </cell>
          <cell r="BB302"/>
          <cell r="BC302">
            <v>0</v>
          </cell>
          <cell r="BD302">
            <v>15104</v>
          </cell>
          <cell r="BE302"/>
          <cell r="BF302">
            <v>0</v>
          </cell>
          <cell r="BG302">
            <v>0</v>
          </cell>
          <cell r="BH302">
            <v>0</v>
          </cell>
          <cell r="BI302">
            <v>53537</v>
          </cell>
          <cell r="BJ302">
            <v>44069</v>
          </cell>
          <cell r="BK302">
            <v>44069</v>
          </cell>
          <cell r="BL302">
            <v>0</v>
          </cell>
          <cell r="BM302">
            <v>0</v>
          </cell>
          <cell r="BN302">
            <v>0</v>
          </cell>
          <cell r="BO302">
            <v>98258</v>
          </cell>
          <cell r="BP302">
            <v>22139.599999999999</v>
          </cell>
          <cell r="BQ302">
            <v>39883.720930232601</v>
          </cell>
          <cell r="BR302">
            <v>0</v>
          </cell>
          <cell r="BS302">
            <v>0</v>
          </cell>
          <cell r="BT302">
            <v>63370</v>
          </cell>
          <cell r="BU302"/>
          <cell r="BV302"/>
          <cell r="BW302"/>
          <cell r="BX302"/>
          <cell r="BY302">
            <v>0</v>
          </cell>
          <cell r="BZ302">
            <v>0</v>
          </cell>
          <cell r="CA302">
            <v>0</v>
          </cell>
          <cell r="CB302">
            <v>0</v>
          </cell>
          <cell r="CC302">
            <v>3273721</v>
          </cell>
          <cell r="CD302">
            <v>20970039</v>
          </cell>
          <cell r="CE302">
            <v>1278828</v>
          </cell>
          <cell r="CF302">
            <v>0</v>
          </cell>
          <cell r="CG302">
            <v>1278828</v>
          </cell>
          <cell r="CH302">
            <v>1278828</v>
          </cell>
          <cell r="CI302">
            <v>1278828</v>
          </cell>
          <cell r="CJ302">
            <v>1278828</v>
          </cell>
          <cell r="CK302">
            <v>0</v>
          </cell>
          <cell r="CL302">
            <v>0</v>
          </cell>
          <cell r="CM302">
            <v>0</v>
          </cell>
          <cell r="CN302">
            <v>0</v>
          </cell>
          <cell r="CO302">
            <v>0</v>
          </cell>
          <cell r="CP302">
            <v>0</v>
          </cell>
          <cell r="CQ302">
            <v>5639590</v>
          </cell>
          <cell r="CR302">
            <v>5430157</v>
          </cell>
          <cell r="CS302">
            <v>5214428</v>
          </cell>
          <cell r="CT302">
            <v>5089432</v>
          </cell>
          <cell r="CU302">
            <v>4974252</v>
          </cell>
          <cell r="CV302">
            <v>-18831</v>
          </cell>
          <cell r="CW302">
            <v>0</v>
          </cell>
          <cell r="CX302">
            <v>0</v>
          </cell>
          <cell r="CY302">
            <v>0</v>
          </cell>
          <cell r="CZ302">
            <v>0</v>
          </cell>
          <cell r="DA302">
            <v>0</v>
          </cell>
          <cell r="DB302"/>
          <cell r="DC302">
            <v>0</v>
          </cell>
          <cell r="DD302">
            <v>0</v>
          </cell>
          <cell r="DE302">
            <v>0</v>
          </cell>
          <cell r="DF302">
            <v>0</v>
          </cell>
          <cell r="DG302">
            <v>0</v>
          </cell>
          <cell r="DH302">
            <v>0</v>
          </cell>
          <cell r="DI302">
            <v>0</v>
          </cell>
          <cell r="DJ302">
            <v>0</v>
          </cell>
          <cell r="DK302">
            <v>0</v>
          </cell>
          <cell r="DL302">
            <v>0</v>
          </cell>
          <cell r="DM302"/>
          <cell r="DN302"/>
          <cell r="DO302"/>
          <cell r="DP302"/>
        </row>
        <row r="303">
          <cell r="A303">
            <v>779</v>
          </cell>
          <cell r="B303" t="str">
            <v>Geertruidenberg</v>
          </cell>
          <cell r="C303">
            <v>10</v>
          </cell>
          <cell r="D303">
            <v>-30402</v>
          </cell>
          <cell r="E303">
            <v>-15201</v>
          </cell>
          <cell r="F303">
            <v>0</v>
          </cell>
          <cell r="G303">
            <v>0</v>
          </cell>
          <cell r="H303">
            <v>-7587</v>
          </cell>
          <cell r="I303">
            <v>0</v>
          </cell>
          <cell r="J303"/>
          <cell r="K303">
            <v>0</v>
          </cell>
          <cell r="L303">
            <v>80420</v>
          </cell>
          <cell r="M303">
            <v>70636</v>
          </cell>
          <cell r="N303">
            <v>0</v>
          </cell>
          <cell r="O303">
            <v>0</v>
          </cell>
          <cell r="P303">
            <v>0</v>
          </cell>
          <cell r="Q303">
            <v>0</v>
          </cell>
          <cell r="R303">
            <v>0</v>
          </cell>
          <cell r="S303">
            <v>0</v>
          </cell>
          <cell r="T303">
            <v>0</v>
          </cell>
          <cell r="U303">
            <v>0</v>
          </cell>
          <cell r="V303">
            <v>6000</v>
          </cell>
          <cell r="W303">
            <v>34952</v>
          </cell>
          <cell r="X303">
            <v>0</v>
          </cell>
          <cell r="Y303"/>
          <cell r="Z303">
            <v>0</v>
          </cell>
          <cell r="AA303">
            <v>0</v>
          </cell>
          <cell r="AB303">
            <v>0</v>
          </cell>
          <cell r="AC303"/>
          <cell r="AD303">
            <v>0</v>
          </cell>
          <cell r="AE303">
            <v>0</v>
          </cell>
          <cell r="AF303">
            <v>0</v>
          </cell>
          <cell r="AG303">
            <v>0</v>
          </cell>
          <cell r="AH303">
            <v>0</v>
          </cell>
          <cell r="AI303">
            <v>0</v>
          </cell>
          <cell r="AJ303">
            <v>0</v>
          </cell>
          <cell r="AK303">
            <v>0</v>
          </cell>
          <cell r="AL303"/>
          <cell r="AM303">
            <v>0</v>
          </cell>
          <cell r="AN303">
            <v>0</v>
          </cell>
          <cell r="AO303">
            <v>0</v>
          </cell>
          <cell r="AP303">
            <v>0</v>
          </cell>
          <cell r="AQ303">
            <v>0</v>
          </cell>
          <cell r="AR303">
            <v>0</v>
          </cell>
          <cell r="AS303">
            <v>0</v>
          </cell>
          <cell r="AT303">
            <v>0</v>
          </cell>
          <cell r="AU303">
            <v>9480</v>
          </cell>
          <cell r="AV303">
            <v>0</v>
          </cell>
          <cell r="AW303">
            <v>0</v>
          </cell>
          <cell r="AX303">
            <v>0</v>
          </cell>
          <cell r="AY303"/>
          <cell r="AZ303"/>
          <cell r="BA303">
            <v>0</v>
          </cell>
          <cell r="BB303"/>
          <cell r="BC303">
            <v>0</v>
          </cell>
          <cell r="BD303">
            <v>7549</v>
          </cell>
          <cell r="BE303"/>
          <cell r="BF303">
            <v>0</v>
          </cell>
          <cell r="BG303">
            <v>0</v>
          </cell>
          <cell r="BH303">
            <v>0</v>
          </cell>
          <cell r="BI303">
            <v>29812</v>
          </cell>
          <cell r="BJ303">
            <v>24540</v>
          </cell>
          <cell r="BK303">
            <v>24540</v>
          </cell>
          <cell r="BL303">
            <v>0</v>
          </cell>
          <cell r="BM303">
            <v>0</v>
          </cell>
          <cell r="BN303">
            <v>0</v>
          </cell>
          <cell r="BO303">
            <v>176573</v>
          </cell>
          <cell r="BP303">
            <v>23721</v>
          </cell>
          <cell r="BQ303">
            <v>42732.5581395349</v>
          </cell>
          <cell r="BR303">
            <v>0</v>
          </cell>
          <cell r="BS303">
            <v>0</v>
          </cell>
          <cell r="BT303">
            <v>32149</v>
          </cell>
          <cell r="BU303"/>
          <cell r="BV303"/>
          <cell r="BW303"/>
          <cell r="BX303"/>
          <cell r="BY303">
            <v>0</v>
          </cell>
          <cell r="BZ303">
            <v>0</v>
          </cell>
          <cell r="CA303">
            <v>0</v>
          </cell>
          <cell r="CB303">
            <v>0</v>
          </cell>
          <cell r="CC303">
            <v>1688656</v>
          </cell>
          <cell r="CD303">
            <v>8869157</v>
          </cell>
          <cell r="CE303">
            <v>626401</v>
          </cell>
          <cell r="CF303">
            <v>0</v>
          </cell>
          <cell r="CG303">
            <v>626401</v>
          </cell>
          <cell r="CH303">
            <v>626401</v>
          </cell>
          <cell r="CI303">
            <v>626401</v>
          </cell>
          <cell r="CJ303">
            <v>626401</v>
          </cell>
          <cell r="CK303">
            <v>0</v>
          </cell>
          <cell r="CL303">
            <v>0</v>
          </cell>
          <cell r="CM303">
            <v>0</v>
          </cell>
          <cell r="CN303">
            <v>0</v>
          </cell>
          <cell r="CO303">
            <v>0</v>
          </cell>
          <cell r="CP303">
            <v>0</v>
          </cell>
          <cell r="CQ303">
            <v>1918907</v>
          </cell>
          <cell r="CR303">
            <v>1854334</v>
          </cell>
          <cell r="CS303">
            <v>1831041</v>
          </cell>
          <cell r="CT303">
            <v>1815466</v>
          </cell>
          <cell r="CU303">
            <v>1800414</v>
          </cell>
          <cell r="CV303">
            <v>-52702</v>
          </cell>
          <cell r="CW303">
            <v>0</v>
          </cell>
          <cell r="CX303">
            <v>0</v>
          </cell>
          <cell r="CY303">
            <v>0</v>
          </cell>
          <cell r="CZ303">
            <v>0</v>
          </cell>
          <cell r="DA303">
            <v>0</v>
          </cell>
          <cell r="DB303"/>
          <cell r="DC303">
            <v>0</v>
          </cell>
          <cell r="DD303">
            <v>0</v>
          </cell>
          <cell r="DE303">
            <v>0</v>
          </cell>
          <cell r="DF303">
            <v>0</v>
          </cell>
          <cell r="DG303">
            <v>0</v>
          </cell>
          <cell r="DH303">
            <v>0</v>
          </cell>
          <cell r="DI303">
            <v>0</v>
          </cell>
          <cell r="DJ303">
            <v>0</v>
          </cell>
          <cell r="DK303">
            <v>0</v>
          </cell>
          <cell r="DL303">
            <v>0</v>
          </cell>
          <cell r="DM303"/>
          <cell r="DN303"/>
          <cell r="DO303"/>
          <cell r="DP303"/>
        </row>
        <row r="304">
          <cell r="A304">
            <v>1771</v>
          </cell>
          <cell r="B304" t="str">
            <v>Geldrop-Mierlo</v>
          </cell>
          <cell r="C304">
            <v>10</v>
          </cell>
          <cell r="D304">
            <v>-50894</v>
          </cell>
          <cell r="E304">
            <v>-25447</v>
          </cell>
          <cell r="F304">
            <v>0</v>
          </cell>
          <cell r="G304">
            <v>0</v>
          </cell>
          <cell r="H304">
            <v>-8043</v>
          </cell>
          <cell r="I304">
            <v>-9535</v>
          </cell>
          <cell r="J304"/>
          <cell r="K304">
            <v>0</v>
          </cell>
          <cell r="L304">
            <v>185989</v>
          </cell>
          <cell r="M304">
            <v>175508</v>
          </cell>
          <cell r="N304">
            <v>0</v>
          </cell>
          <cell r="O304">
            <v>0</v>
          </cell>
          <cell r="P304">
            <v>0</v>
          </cell>
          <cell r="Q304">
            <v>0</v>
          </cell>
          <cell r="R304">
            <v>0</v>
          </cell>
          <cell r="S304">
            <v>0</v>
          </cell>
          <cell r="T304">
            <v>0</v>
          </cell>
          <cell r="U304">
            <v>0</v>
          </cell>
          <cell r="V304">
            <v>3000</v>
          </cell>
          <cell r="W304">
            <v>66470</v>
          </cell>
          <cell r="X304">
            <v>0</v>
          </cell>
          <cell r="Y304"/>
          <cell r="Z304">
            <v>0</v>
          </cell>
          <cell r="AA304">
            <v>0</v>
          </cell>
          <cell r="AB304">
            <v>0</v>
          </cell>
          <cell r="AC304"/>
          <cell r="AD304">
            <v>44001</v>
          </cell>
          <cell r="AE304">
            <v>0</v>
          </cell>
          <cell r="AF304">
            <v>0</v>
          </cell>
          <cell r="AG304">
            <v>0</v>
          </cell>
          <cell r="AH304">
            <v>0</v>
          </cell>
          <cell r="AI304">
            <v>0</v>
          </cell>
          <cell r="AJ304">
            <v>0</v>
          </cell>
          <cell r="AK304">
            <v>0</v>
          </cell>
          <cell r="AL304"/>
          <cell r="AM304">
            <v>0</v>
          </cell>
          <cell r="AN304">
            <v>0</v>
          </cell>
          <cell r="AO304">
            <v>0</v>
          </cell>
          <cell r="AP304">
            <v>0</v>
          </cell>
          <cell r="AQ304">
            <v>0</v>
          </cell>
          <cell r="AR304">
            <v>0</v>
          </cell>
          <cell r="AS304">
            <v>0</v>
          </cell>
          <cell r="AT304">
            <v>0</v>
          </cell>
          <cell r="AU304">
            <v>2370</v>
          </cell>
          <cell r="AV304">
            <v>0</v>
          </cell>
          <cell r="AW304">
            <v>0</v>
          </cell>
          <cell r="AX304">
            <v>0</v>
          </cell>
          <cell r="AY304"/>
          <cell r="AZ304"/>
          <cell r="BA304">
            <v>0</v>
          </cell>
          <cell r="BB304"/>
          <cell r="BC304">
            <v>0</v>
          </cell>
          <cell r="BD304">
            <v>13718</v>
          </cell>
          <cell r="BE304"/>
          <cell r="BF304">
            <v>0</v>
          </cell>
          <cell r="BG304">
            <v>0</v>
          </cell>
          <cell r="BH304">
            <v>0</v>
          </cell>
          <cell r="BI304">
            <v>54859</v>
          </cell>
          <cell r="BJ304">
            <v>45157</v>
          </cell>
          <cell r="BK304">
            <v>45157</v>
          </cell>
          <cell r="BL304">
            <v>0</v>
          </cell>
          <cell r="BM304">
            <v>0</v>
          </cell>
          <cell r="BN304">
            <v>0</v>
          </cell>
          <cell r="BO304">
            <v>90962</v>
          </cell>
          <cell r="BP304">
            <v>18976.8</v>
          </cell>
          <cell r="BQ304">
            <v>34186.046511627901</v>
          </cell>
          <cell r="BR304">
            <v>0</v>
          </cell>
          <cell r="BS304">
            <v>0</v>
          </cell>
          <cell r="BT304">
            <v>58404</v>
          </cell>
          <cell r="BU304"/>
          <cell r="BV304"/>
          <cell r="BW304"/>
          <cell r="BX304"/>
          <cell r="BY304">
            <v>0</v>
          </cell>
          <cell r="BZ304">
            <v>0</v>
          </cell>
          <cell r="CA304">
            <v>0</v>
          </cell>
          <cell r="CB304">
            <v>0</v>
          </cell>
          <cell r="CC304">
            <v>3242988</v>
          </cell>
          <cell r="CD304">
            <v>15408914</v>
          </cell>
          <cell r="CE304">
            <v>1317404</v>
          </cell>
          <cell r="CF304">
            <v>0</v>
          </cell>
          <cell r="CG304">
            <v>1317404</v>
          </cell>
          <cell r="CH304">
            <v>1317404</v>
          </cell>
          <cell r="CI304">
            <v>1317404</v>
          </cell>
          <cell r="CJ304">
            <v>1317404</v>
          </cell>
          <cell r="CK304">
            <v>0</v>
          </cell>
          <cell r="CL304">
            <v>0</v>
          </cell>
          <cell r="CM304">
            <v>0</v>
          </cell>
          <cell r="CN304">
            <v>0</v>
          </cell>
          <cell r="CO304">
            <v>0</v>
          </cell>
          <cell r="CP304">
            <v>-3442</v>
          </cell>
          <cell r="CQ304">
            <v>1772699</v>
          </cell>
          <cell r="CR304">
            <v>1748464</v>
          </cell>
          <cell r="CS304">
            <v>1724074</v>
          </cell>
          <cell r="CT304">
            <v>1726200</v>
          </cell>
          <cell r="CU304">
            <v>1731785</v>
          </cell>
          <cell r="CV304">
            <v>-11177</v>
          </cell>
          <cell r="CW304">
            <v>0</v>
          </cell>
          <cell r="CX304">
            <v>0</v>
          </cell>
          <cell r="CY304">
            <v>0</v>
          </cell>
          <cell r="CZ304">
            <v>0</v>
          </cell>
          <cell r="DA304">
            <v>0</v>
          </cell>
          <cell r="DB304"/>
          <cell r="DC304">
            <v>0</v>
          </cell>
          <cell r="DD304">
            <v>0</v>
          </cell>
          <cell r="DE304">
            <v>0</v>
          </cell>
          <cell r="DF304">
            <v>0</v>
          </cell>
          <cell r="DG304">
            <v>0</v>
          </cell>
          <cell r="DH304">
            <v>0</v>
          </cell>
          <cell r="DI304">
            <v>0</v>
          </cell>
          <cell r="DJ304">
            <v>0</v>
          </cell>
          <cell r="DK304">
            <v>0</v>
          </cell>
          <cell r="DL304">
            <v>0</v>
          </cell>
          <cell r="DM304"/>
          <cell r="DN304"/>
          <cell r="DO304"/>
          <cell r="DP304"/>
        </row>
        <row r="305">
          <cell r="A305">
            <v>1652</v>
          </cell>
          <cell r="B305" t="str">
            <v>Gemert-Bakel</v>
          </cell>
          <cell r="C305">
            <v>10</v>
          </cell>
          <cell r="D305">
            <v>-8779</v>
          </cell>
          <cell r="E305">
            <v>-4389</v>
          </cell>
          <cell r="F305">
            <v>0</v>
          </cell>
          <cell r="G305">
            <v>0</v>
          </cell>
          <cell r="H305">
            <v>-19654</v>
          </cell>
          <cell r="I305">
            <v>-2413</v>
          </cell>
          <cell r="J305"/>
          <cell r="K305">
            <v>0</v>
          </cell>
          <cell r="L305">
            <v>106822</v>
          </cell>
          <cell r="M305">
            <v>99729</v>
          </cell>
          <cell r="N305">
            <v>0</v>
          </cell>
          <cell r="O305">
            <v>0</v>
          </cell>
          <cell r="P305">
            <v>0</v>
          </cell>
          <cell r="Q305">
            <v>0</v>
          </cell>
          <cell r="R305">
            <v>0</v>
          </cell>
          <cell r="S305">
            <v>0</v>
          </cell>
          <cell r="T305">
            <v>0</v>
          </cell>
          <cell r="U305">
            <v>0</v>
          </cell>
          <cell r="V305">
            <v>6000</v>
          </cell>
          <cell r="W305">
            <v>68490</v>
          </cell>
          <cell r="X305">
            <v>0</v>
          </cell>
          <cell r="Y305"/>
          <cell r="Z305">
            <v>0</v>
          </cell>
          <cell r="AA305">
            <v>0</v>
          </cell>
          <cell r="AB305">
            <v>0</v>
          </cell>
          <cell r="AC305"/>
          <cell r="AD305">
            <v>0</v>
          </cell>
          <cell r="AE305">
            <v>0</v>
          </cell>
          <cell r="AF305">
            <v>0</v>
          </cell>
          <cell r="AG305">
            <v>0</v>
          </cell>
          <cell r="AH305">
            <v>0</v>
          </cell>
          <cell r="AI305">
            <v>0</v>
          </cell>
          <cell r="AJ305">
            <v>0</v>
          </cell>
          <cell r="AK305">
            <v>0</v>
          </cell>
          <cell r="AL305"/>
          <cell r="AM305">
            <v>0</v>
          </cell>
          <cell r="AN305">
            <v>0</v>
          </cell>
          <cell r="AO305">
            <v>0</v>
          </cell>
          <cell r="AP305">
            <v>0</v>
          </cell>
          <cell r="AQ305">
            <v>0</v>
          </cell>
          <cell r="AR305">
            <v>0</v>
          </cell>
          <cell r="AS305">
            <v>0</v>
          </cell>
          <cell r="AT305">
            <v>0</v>
          </cell>
          <cell r="AU305">
            <v>7110</v>
          </cell>
          <cell r="AV305">
            <v>0</v>
          </cell>
          <cell r="AW305">
            <v>0</v>
          </cell>
          <cell r="AX305">
            <v>0</v>
          </cell>
          <cell r="AY305"/>
          <cell r="AZ305"/>
          <cell r="BA305">
            <v>0</v>
          </cell>
          <cell r="BB305"/>
          <cell r="BC305">
            <v>0</v>
          </cell>
          <cell r="BD305">
            <v>10539</v>
          </cell>
          <cell r="BE305"/>
          <cell r="BF305">
            <v>0</v>
          </cell>
          <cell r="BG305">
            <v>0</v>
          </cell>
          <cell r="BH305">
            <v>0</v>
          </cell>
          <cell r="BI305">
            <v>40881</v>
          </cell>
          <cell r="BJ305">
            <v>33651</v>
          </cell>
          <cell r="BK305">
            <v>33651</v>
          </cell>
          <cell r="BL305">
            <v>0</v>
          </cell>
          <cell r="BM305">
            <v>0</v>
          </cell>
          <cell r="BN305">
            <v>0</v>
          </cell>
          <cell r="BO305">
            <v>110419</v>
          </cell>
          <cell r="BP305">
            <v>26883.8</v>
          </cell>
          <cell r="BQ305">
            <v>48430.232558139498</v>
          </cell>
          <cell r="BR305">
            <v>0</v>
          </cell>
          <cell r="BS305">
            <v>0</v>
          </cell>
          <cell r="BT305">
            <v>49871</v>
          </cell>
          <cell r="BU305"/>
          <cell r="BV305"/>
          <cell r="BW305"/>
          <cell r="BX305"/>
          <cell r="BY305">
            <v>0</v>
          </cell>
          <cell r="BZ305">
            <v>0</v>
          </cell>
          <cell r="CA305">
            <v>0</v>
          </cell>
          <cell r="CB305">
            <v>0</v>
          </cell>
          <cell r="CC305">
            <v>2212739</v>
          </cell>
          <cell r="CD305">
            <v>14892472</v>
          </cell>
          <cell r="CE305">
            <v>1500835</v>
          </cell>
          <cell r="CF305">
            <v>0</v>
          </cell>
          <cell r="CG305">
            <v>1500835</v>
          </cell>
          <cell r="CH305">
            <v>1500835</v>
          </cell>
          <cell r="CI305">
            <v>1500835</v>
          </cell>
          <cell r="CJ305">
            <v>1500835</v>
          </cell>
          <cell r="CK305">
            <v>0</v>
          </cell>
          <cell r="CL305">
            <v>0</v>
          </cell>
          <cell r="CM305">
            <v>0</v>
          </cell>
          <cell r="CN305">
            <v>0</v>
          </cell>
          <cell r="CO305">
            <v>0</v>
          </cell>
          <cell r="CP305">
            <v>-866</v>
          </cell>
          <cell r="CQ305">
            <v>4483183</v>
          </cell>
          <cell r="CR305">
            <v>4229257</v>
          </cell>
          <cell r="CS305">
            <v>4134043</v>
          </cell>
          <cell r="CT305">
            <v>4086963</v>
          </cell>
          <cell r="CU305">
            <v>3989713</v>
          </cell>
          <cell r="CV305">
            <v>2216</v>
          </cell>
          <cell r="CW305">
            <v>0</v>
          </cell>
          <cell r="CX305">
            <v>0</v>
          </cell>
          <cell r="CY305">
            <v>0</v>
          </cell>
          <cell r="CZ305">
            <v>0</v>
          </cell>
          <cell r="DA305">
            <v>0</v>
          </cell>
          <cell r="DB305"/>
          <cell r="DC305">
            <v>0</v>
          </cell>
          <cell r="DD305">
            <v>0</v>
          </cell>
          <cell r="DE305">
            <v>0</v>
          </cell>
          <cell r="DF305">
            <v>0</v>
          </cell>
          <cell r="DG305">
            <v>0</v>
          </cell>
          <cell r="DH305">
            <v>0</v>
          </cell>
          <cell r="DI305">
            <v>0</v>
          </cell>
          <cell r="DJ305">
            <v>0</v>
          </cell>
          <cell r="DK305">
            <v>0</v>
          </cell>
          <cell r="DL305">
            <v>0</v>
          </cell>
          <cell r="DM305"/>
          <cell r="DN305"/>
          <cell r="DO305"/>
          <cell r="DP305"/>
        </row>
        <row r="306">
          <cell r="A306">
            <v>784</v>
          </cell>
          <cell r="B306" t="str">
            <v>Gilze en Rijen</v>
          </cell>
          <cell r="C306">
            <v>10</v>
          </cell>
          <cell r="D306">
            <v>-23891</v>
          </cell>
          <cell r="E306">
            <v>-11946</v>
          </cell>
          <cell r="F306">
            <v>0</v>
          </cell>
          <cell r="G306">
            <v>34618</v>
          </cell>
          <cell r="H306">
            <v>-22475</v>
          </cell>
          <cell r="I306">
            <v>-3738</v>
          </cell>
          <cell r="J306"/>
          <cell r="K306">
            <v>0</v>
          </cell>
          <cell r="L306">
            <v>112632</v>
          </cell>
          <cell r="M306">
            <v>112918</v>
          </cell>
          <cell r="N306">
            <v>0</v>
          </cell>
          <cell r="O306">
            <v>0</v>
          </cell>
          <cell r="P306">
            <v>0</v>
          </cell>
          <cell r="Q306">
            <v>0</v>
          </cell>
          <cell r="R306">
            <v>0</v>
          </cell>
          <cell r="S306">
            <v>0</v>
          </cell>
          <cell r="T306">
            <v>0</v>
          </cell>
          <cell r="U306">
            <v>0</v>
          </cell>
          <cell r="V306">
            <v>6000</v>
          </cell>
          <cell r="W306">
            <v>103409</v>
          </cell>
          <cell r="X306">
            <v>685985</v>
          </cell>
          <cell r="Y306"/>
          <cell r="Z306">
            <v>0</v>
          </cell>
          <cell r="AA306">
            <v>0</v>
          </cell>
          <cell r="AB306">
            <v>0</v>
          </cell>
          <cell r="AC306"/>
          <cell r="AD306">
            <v>0</v>
          </cell>
          <cell r="AE306">
            <v>0</v>
          </cell>
          <cell r="AF306">
            <v>0</v>
          </cell>
          <cell r="AG306">
            <v>0</v>
          </cell>
          <cell r="AH306">
            <v>0</v>
          </cell>
          <cell r="AI306">
            <v>0</v>
          </cell>
          <cell r="AJ306">
            <v>0</v>
          </cell>
          <cell r="AK306">
            <v>0</v>
          </cell>
          <cell r="AL306"/>
          <cell r="AM306">
            <v>0</v>
          </cell>
          <cell r="AN306">
            <v>0</v>
          </cell>
          <cell r="AO306">
            <v>0</v>
          </cell>
          <cell r="AP306">
            <v>0</v>
          </cell>
          <cell r="AQ306">
            <v>0</v>
          </cell>
          <cell r="AR306">
            <v>0</v>
          </cell>
          <cell r="AS306">
            <v>0</v>
          </cell>
          <cell r="AT306">
            <v>0</v>
          </cell>
          <cell r="AU306">
            <v>2370</v>
          </cell>
          <cell r="AV306">
            <v>0</v>
          </cell>
          <cell r="AW306">
            <v>0</v>
          </cell>
          <cell r="AX306">
            <v>0</v>
          </cell>
          <cell r="AY306"/>
          <cell r="AZ306"/>
          <cell r="BA306">
            <v>0</v>
          </cell>
          <cell r="BB306"/>
          <cell r="BC306">
            <v>0</v>
          </cell>
          <cell r="BD306">
            <v>9204</v>
          </cell>
          <cell r="BE306"/>
          <cell r="BF306">
            <v>0</v>
          </cell>
          <cell r="BG306">
            <v>0</v>
          </cell>
          <cell r="BH306">
            <v>0</v>
          </cell>
          <cell r="BI306">
            <v>35025</v>
          </cell>
          <cell r="BJ306">
            <v>28831</v>
          </cell>
          <cell r="BK306">
            <v>28831</v>
          </cell>
          <cell r="BL306">
            <v>0</v>
          </cell>
          <cell r="BM306">
            <v>0</v>
          </cell>
          <cell r="BN306">
            <v>0</v>
          </cell>
          <cell r="BO306">
            <v>0</v>
          </cell>
          <cell r="BP306">
            <v>7907</v>
          </cell>
          <cell r="BQ306">
            <v>14244.186046511601</v>
          </cell>
          <cell r="BR306">
            <v>0</v>
          </cell>
          <cell r="BS306">
            <v>0</v>
          </cell>
          <cell r="BT306">
            <v>44276</v>
          </cell>
          <cell r="BU306"/>
          <cell r="BV306"/>
          <cell r="BW306"/>
          <cell r="BX306"/>
          <cell r="BY306">
            <v>0</v>
          </cell>
          <cell r="BZ306">
            <v>0</v>
          </cell>
          <cell r="CA306">
            <v>0</v>
          </cell>
          <cell r="CB306">
            <v>0</v>
          </cell>
          <cell r="CC306">
            <v>1992773</v>
          </cell>
          <cell r="CD306">
            <v>10007897</v>
          </cell>
          <cell r="CE306">
            <v>458760</v>
          </cell>
          <cell r="CF306">
            <v>-9041</v>
          </cell>
          <cell r="CG306">
            <v>458760</v>
          </cell>
          <cell r="CH306">
            <v>458760</v>
          </cell>
          <cell r="CI306">
            <v>458760</v>
          </cell>
          <cell r="CJ306">
            <v>458760</v>
          </cell>
          <cell r="CK306">
            <v>0</v>
          </cell>
          <cell r="CL306">
            <v>0</v>
          </cell>
          <cell r="CM306">
            <v>0</v>
          </cell>
          <cell r="CN306">
            <v>0</v>
          </cell>
          <cell r="CO306">
            <v>0</v>
          </cell>
          <cell r="CP306">
            <v>0</v>
          </cell>
          <cell r="CQ306">
            <v>1709091</v>
          </cell>
          <cell r="CR306">
            <v>1585759</v>
          </cell>
          <cell r="CS306">
            <v>1577593</v>
          </cell>
          <cell r="CT306">
            <v>1537590</v>
          </cell>
          <cell r="CU306">
            <v>1505046</v>
          </cell>
          <cell r="CV306">
            <v>2992</v>
          </cell>
          <cell r="CW306">
            <v>0</v>
          </cell>
          <cell r="CX306">
            <v>0</v>
          </cell>
          <cell r="CY306">
            <v>0</v>
          </cell>
          <cell r="CZ306">
            <v>0</v>
          </cell>
          <cell r="DA306">
            <v>0</v>
          </cell>
          <cell r="DB306"/>
          <cell r="DC306">
            <v>0</v>
          </cell>
          <cell r="DD306">
            <v>0</v>
          </cell>
          <cell r="DE306">
            <v>0</v>
          </cell>
          <cell r="DF306">
            <v>0</v>
          </cell>
          <cell r="DG306">
            <v>0</v>
          </cell>
          <cell r="DH306">
            <v>0</v>
          </cell>
          <cell r="DI306">
            <v>0</v>
          </cell>
          <cell r="DJ306">
            <v>0</v>
          </cell>
          <cell r="DK306">
            <v>0</v>
          </cell>
          <cell r="DL306">
            <v>0</v>
          </cell>
          <cell r="DM306"/>
          <cell r="DN306"/>
          <cell r="DO306"/>
          <cell r="DP306"/>
        </row>
        <row r="307">
          <cell r="A307">
            <v>785</v>
          </cell>
          <cell r="B307" t="str">
            <v>Goirle</v>
          </cell>
          <cell r="C307">
            <v>10</v>
          </cell>
          <cell r="D307">
            <v>-31756</v>
          </cell>
          <cell r="E307">
            <v>-15878</v>
          </cell>
          <cell r="F307">
            <v>0</v>
          </cell>
          <cell r="G307">
            <v>0</v>
          </cell>
          <cell r="H307">
            <v>0</v>
          </cell>
          <cell r="I307">
            <v>-2822</v>
          </cell>
          <cell r="J307"/>
          <cell r="K307">
            <v>0</v>
          </cell>
          <cell r="L307">
            <v>80540</v>
          </cell>
          <cell r="M307">
            <v>72279</v>
          </cell>
          <cell r="N307">
            <v>0</v>
          </cell>
          <cell r="O307">
            <v>0</v>
          </cell>
          <cell r="P307">
            <v>0</v>
          </cell>
          <cell r="Q307">
            <v>0</v>
          </cell>
          <cell r="R307">
            <v>0</v>
          </cell>
          <cell r="S307">
            <v>0</v>
          </cell>
          <cell r="T307">
            <v>0</v>
          </cell>
          <cell r="U307">
            <v>0</v>
          </cell>
          <cell r="V307">
            <v>9000</v>
          </cell>
          <cell r="W307">
            <v>62631</v>
          </cell>
          <cell r="X307">
            <v>0</v>
          </cell>
          <cell r="Y307"/>
          <cell r="Z307">
            <v>0</v>
          </cell>
          <cell r="AA307">
            <v>0</v>
          </cell>
          <cell r="AB307">
            <v>0</v>
          </cell>
          <cell r="AC307"/>
          <cell r="AD307">
            <v>0</v>
          </cell>
          <cell r="AE307">
            <v>0</v>
          </cell>
          <cell r="AF307">
            <v>0</v>
          </cell>
          <cell r="AG307">
            <v>0</v>
          </cell>
          <cell r="AH307">
            <v>0</v>
          </cell>
          <cell r="AI307">
            <v>0</v>
          </cell>
          <cell r="AJ307">
            <v>0</v>
          </cell>
          <cell r="AK307">
            <v>0</v>
          </cell>
          <cell r="AL307"/>
          <cell r="AM307">
            <v>0</v>
          </cell>
          <cell r="AN307">
            <v>0</v>
          </cell>
          <cell r="AO307">
            <v>0</v>
          </cell>
          <cell r="AP307">
            <v>0</v>
          </cell>
          <cell r="AQ307">
            <v>0</v>
          </cell>
          <cell r="AR307">
            <v>0</v>
          </cell>
          <cell r="AS307">
            <v>0</v>
          </cell>
          <cell r="AT307">
            <v>0</v>
          </cell>
          <cell r="AU307">
            <v>2370</v>
          </cell>
          <cell r="AV307">
            <v>0</v>
          </cell>
          <cell r="AW307">
            <v>0</v>
          </cell>
          <cell r="AX307">
            <v>0</v>
          </cell>
          <cell r="AY307"/>
          <cell r="AZ307"/>
          <cell r="BA307">
            <v>0</v>
          </cell>
          <cell r="BB307"/>
          <cell r="BC307">
            <v>0</v>
          </cell>
          <cell r="BD307">
            <v>8185</v>
          </cell>
          <cell r="BE307"/>
          <cell r="BF307">
            <v>0</v>
          </cell>
          <cell r="BG307">
            <v>0</v>
          </cell>
          <cell r="BH307">
            <v>0</v>
          </cell>
          <cell r="BI307">
            <v>25963</v>
          </cell>
          <cell r="BJ307">
            <v>21371</v>
          </cell>
          <cell r="BK307">
            <v>21371</v>
          </cell>
          <cell r="BL307">
            <v>0</v>
          </cell>
          <cell r="BM307">
            <v>0</v>
          </cell>
          <cell r="BN307">
            <v>0</v>
          </cell>
          <cell r="BO307">
            <v>58371</v>
          </cell>
          <cell r="BP307">
            <v>1581.4</v>
          </cell>
          <cell r="BQ307">
            <v>2848.8372093023299</v>
          </cell>
          <cell r="BR307">
            <v>0</v>
          </cell>
          <cell r="BS307">
            <v>0</v>
          </cell>
          <cell r="BT307">
            <v>34673</v>
          </cell>
          <cell r="BU307"/>
          <cell r="BV307"/>
          <cell r="BW307"/>
          <cell r="BX307"/>
          <cell r="BY307">
            <v>0</v>
          </cell>
          <cell r="BZ307">
            <v>0</v>
          </cell>
          <cell r="CA307">
            <v>0</v>
          </cell>
          <cell r="CB307">
            <v>0</v>
          </cell>
          <cell r="CC307">
            <v>1835547</v>
          </cell>
          <cell r="CD307">
            <v>11495948</v>
          </cell>
          <cell r="CE307">
            <v>1126512</v>
          </cell>
          <cell r="CF307">
            <v>0</v>
          </cell>
          <cell r="CG307">
            <v>1126512</v>
          </cell>
          <cell r="CH307">
            <v>1126512</v>
          </cell>
          <cell r="CI307">
            <v>1126512</v>
          </cell>
          <cell r="CJ307">
            <v>1126512</v>
          </cell>
          <cell r="CK307">
            <v>0</v>
          </cell>
          <cell r="CL307">
            <v>0</v>
          </cell>
          <cell r="CM307">
            <v>0</v>
          </cell>
          <cell r="CN307">
            <v>0</v>
          </cell>
          <cell r="CO307">
            <v>0</v>
          </cell>
          <cell r="CP307">
            <v>-1023</v>
          </cell>
          <cell r="CQ307">
            <v>2574641</v>
          </cell>
          <cell r="CR307">
            <v>2460157</v>
          </cell>
          <cell r="CS307">
            <v>2366019</v>
          </cell>
          <cell r="CT307">
            <v>2303988</v>
          </cell>
          <cell r="CU307">
            <v>2206433</v>
          </cell>
          <cell r="CV307">
            <v>3511</v>
          </cell>
          <cell r="CW307">
            <v>0</v>
          </cell>
          <cell r="CX307">
            <v>0</v>
          </cell>
          <cell r="CY307">
            <v>0</v>
          </cell>
          <cell r="CZ307">
            <v>0</v>
          </cell>
          <cell r="DA307">
            <v>0</v>
          </cell>
          <cell r="DB307"/>
          <cell r="DC307">
            <v>0</v>
          </cell>
          <cell r="DD307">
            <v>0</v>
          </cell>
          <cell r="DE307">
            <v>0</v>
          </cell>
          <cell r="DF307">
            <v>0</v>
          </cell>
          <cell r="DG307">
            <v>0</v>
          </cell>
          <cell r="DH307">
            <v>0</v>
          </cell>
          <cell r="DI307">
            <v>0</v>
          </cell>
          <cell r="DJ307">
            <v>0</v>
          </cell>
          <cell r="DK307">
            <v>0</v>
          </cell>
          <cell r="DL307">
            <v>0</v>
          </cell>
          <cell r="DM307"/>
          <cell r="DN307"/>
          <cell r="DO307"/>
          <cell r="DP307"/>
        </row>
        <row r="308">
          <cell r="A308">
            <v>786</v>
          </cell>
          <cell r="B308" t="str">
            <v>Grave</v>
          </cell>
          <cell r="C308">
            <v>10</v>
          </cell>
          <cell r="D308">
            <v>2398</v>
          </cell>
          <cell r="E308">
            <v>1199</v>
          </cell>
          <cell r="F308">
            <v>0</v>
          </cell>
          <cell r="G308">
            <v>111155</v>
          </cell>
          <cell r="H308">
            <v>-20441</v>
          </cell>
          <cell r="I308">
            <v>-15733</v>
          </cell>
          <cell r="J308"/>
          <cell r="K308">
            <v>0</v>
          </cell>
          <cell r="L308">
            <v>40111</v>
          </cell>
          <cell r="M308">
            <v>38282</v>
          </cell>
          <cell r="N308">
            <v>0</v>
          </cell>
          <cell r="O308">
            <v>0</v>
          </cell>
          <cell r="P308">
            <v>0</v>
          </cell>
          <cell r="Q308">
            <v>0</v>
          </cell>
          <cell r="R308">
            <v>0</v>
          </cell>
          <cell r="S308">
            <v>0</v>
          </cell>
          <cell r="T308">
            <v>0</v>
          </cell>
          <cell r="U308">
            <v>0</v>
          </cell>
          <cell r="V308">
            <v>0</v>
          </cell>
          <cell r="W308">
            <v>53065</v>
          </cell>
          <cell r="X308">
            <v>0</v>
          </cell>
          <cell r="Y308"/>
          <cell r="Z308">
            <v>0</v>
          </cell>
          <cell r="AA308">
            <v>0</v>
          </cell>
          <cell r="AB308">
            <v>0</v>
          </cell>
          <cell r="AC308"/>
          <cell r="AD308">
            <v>0</v>
          </cell>
          <cell r="AE308">
            <v>0</v>
          </cell>
          <cell r="AF308">
            <v>0</v>
          </cell>
          <cell r="AG308">
            <v>0</v>
          </cell>
          <cell r="AH308">
            <v>0</v>
          </cell>
          <cell r="AI308">
            <v>0</v>
          </cell>
          <cell r="AJ308">
            <v>0</v>
          </cell>
          <cell r="AK308">
            <v>0</v>
          </cell>
          <cell r="AL308"/>
          <cell r="AM308">
            <v>0</v>
          </cell>
          <cell r="AN308">
            <v>0</v>
          </cell>
          <cell r="AO308">
            <v>0</v>
          </cell>
          <cell r="AP308">
            <v>0</v>
          </cell>
          <cell r="AQ308">
            <v>0</v>
          </cell>
          <cell r="AR308">
            <v>0</v>
          </cell>
          <cell r="AS308">
            <v>0</v>
          </cell>
          <cell r="AT308">
            <v>0</v>
          </cell>
          <cell r="AU308">
            <v>0</v>
          </cell>
          <cell r="AV308">
            <v>0</v>
          </cell>
          <cell r="AW308">
            <v>0</v>
          </cell>
          <cell r="AX308">
            <v>0</v>
          </cell>
          <cell r="AY308"/>
          <cell r="AZ308"/>
          <cell r="BA308">
            <v>0</v>
          </cell>
          <cell r="BB308"/>
          <cell r="BC308">
            <v>0</v>
          </cell>
          <cell r="BD308">
            <v>4342</v>
          </cell>
          <cell r="BE308"/>
          <cell r="BF308">
            <v>0</v>
          </cell>
          <cell r="BG308">
            <v>0</v>
          </cell>
          <cell r="BH308">
            <v>0</v>
          </cell>
          <cell r="BI308">
            <v>14383</v>
          </cell>
          <cell r="BJ308">
            <v>11839</v>
          </cell>
          <cell r="BK308">
            <v>11839</v>
          </cell>
          <cell r="BL308">
            <v>0</v>
          </cell>
          <cell r="BM308">
            <v>0</v>
          </cell>
          <cell r="BN308">
            <v>0</v>
          </cell>
          <cell r="BO308">
            <v>31131</v>
          </cell>
          <cell r="BP308">
            <v>0</v>
          </cell>
          <cell r="BQ308">
            <v>0</v>
          </cell>
          <cell r="BR308">
            <v>0</v>
          </cell>
          <cell r="BS308">
            <v>0</v>
          </cell>
          <cell r="BT308">
            <v>20026</v>
          </cell>
          <cell r="BU308"/>
          <cell r="BV308"/>
          <cell r="BW308"/>
          <cell r="BX308"/>
          <cell r="BY308">
            <v>0</v>
          </cell>
          <cell r="BZ308">
            <v>0</v>
          </cell>
          <cell r="CA308">
            <v>0</v>
          </cell>
          <cell r="CB308">
            <v>0</v>
          </cell>
          <cell r="CC308">
            <v>1099290</v>
          </cell>
          <cell r="CD308">
            <v>6808500</v>
          </cell>
          <cell r="CE308">
            <v>668506</v>
          </cell>
          <cell r="CF308">
            <v>-30084</v>
          </cell>
          <cell r="CG308">
            <v>668506</v>
          </cell>
          <cell r="CH308">
            <v>668506</v>
          </cell>
          <cell r="CI308">
            <v>668506</v>
          </cell>
          <cell r="CJ308">
            <v>668506</v>
          </cell>
          <cell r="CK308">
            <v>0</v>
          </cell>
          <cell r="CL308">
            <v>0</v>
          </cell>
          <cell r="CM308">
            <v>0</v>
          </cell>
          <cell r="CN308">
            <v>0</v>
          </cell>
          <cell r="CO308">
            <v>0</v>
          </cell>
          <cell r="CP308">
            <v>-1125</v>
          </cell>
          <cell r="CQ308">
            <v>1759236</v>
          </cell>
          <cell r="CR308">
            <v>1655834</v>
          </cell>
          <cell r="CS308">
            <v>1570404</v>
          </cell>
          <cell r="CT308">
            <v>1518831</v>
          </cell>
          <cell r="CU308">
            <v>1478263</v>
          </cell>
          <cell r="CV308">
            <v>18209</v>
          </cell>
          <cell r="CW308">
            <v>0</v>
          </cell>
          <cell r="CX308">
            <v>0</v>
          </cell>
          <cell r="CY308">
            <v>0</v>
          </cell>
          <cell r="CZ308">
            <v>0</v>
          </cell>
          <cell r="DA308">
            <v>0</v>
          </cell>
          <cell r="DB308"/>
          <cell r="DC308">
            <v>0</v>
          </cell>
          <cell r="DD308">
            <v>0</v>
          </cell>
          <cell r="DE308">
            <v>0</v>
          </cell>
          <cell r="DF308">
            <v>0</v>
          </cell>
          <cell r="DG308">
            <v>0</v>
          </cell>
          <cell r="DH308">
            <v>0</v>
          </cell>
          <cell r="DI308">
            <v>0</v>
          </cell>
          <cell r="DJ308">
            <v>0</v>
          </cell>
          <cell r="DK308">
            <v>0</v>
          </cell>
          <cell r="DL308">
            <v>0</v>
          </cell>
          <cell r="DM308"/>
          <cell r="DN308"/>
          <cell r="DO308"/>
          <cell r="DP308"/>
        </row>
        <row r="309">
          <cell r="A309">
            <v>788</v>
          </cell>
          <cell r="B309" t="str">
            <v>Haaren</v>
          </cell>
          <cell r="C309">
            <v>10</v>
          </cell>
          <cell r="D309">
            <v>17570</v>
          </cell>
          <cell r="E309">
            <v>8785</v>
          </cell>
          <cell r="F309">
            <v>0</v>
          </cell>
          <cell r="G309">
            <v>0</v>
          </cell>
          <cell r="H309">
            <v>-15181</v>
          </cell>
          <cell r="I309">
            <v>-11331</v>
          </cell>
          <cell r="J309"/>
          <cell r="K309">
            <v>0</v>
          </cell>
          <cell r="L309">
            <v>34142</v>
          </cell>
          <cell r="M309">
            <v>28474</v>
          </cell>
          <cell r="N309">
            <v>0</v>
          </cell>
          <cell r="O309">
            <v>0</v>
          </cell>
          <cell r="P309">
            <v>0</v>
          </cell>
          <cell r="Q309">
            <v>0</v>
          </cell>
          <cell r="R309">
            <v>0</v>
          </cell>
          <cell r="S309">
            <v>0</v>
          </cell>
          <cell r="T309">
            <v>0</v>
          </cell>
          <cell r="U309">
            <v>0</v>
          </cell>
          <cell r="V309">
            <v>0</v>
          </cell>
          <cell r="W309">
            <v>0</v>
          </cell>
          <cell r="X309">
            <v>0</v>
          </cell>
          <cell r="Y309"/>
          <cell r="Z309">
            <v>0</v>
          </cell>
          <cell r="AA309">
            <v>0</v>
          </cell>
          <cell r="AB309">
            <v>0</v>
          </cell>
          <cell r="AC309"/>
          <cell r="AD309">
            <v>0</v>
          </cell>
          <cell r="AE309">
            <v>0</v>
          </cell>
          <cell r="AF309">
            <v>0</v>
          </cell>
          <cell r="AG309">
            <v>0</v>
          </cell>
          <cell r="AH309">
            <v>0</v>
          </cell>
          <cell r="AI309">
            <v>0</v>
          </cell>
          <cell r="AJ309">
            <v>0</v>
          </cell>
          <cell r="AK309">
            <v>0</v>
          </cell>
          <cell r="AL309"/>
          <cell r="AM309">
            <v>0</v>
          </cell>
          <cell r="AN309">
            <v>0</v>
          </cell>
          <cell r="AO309">
            <v>0</v>
          </cell>
          <cell r="AP309">
            <v>0</v>
          </cell>
          <cell r="AQ309">
            <v>0</v>
          </cell>
          <cell r="AR309">
            <v>0</v>
          </cell>
          <cell r="AS309">
            <v>0</v>
          </cell>
          <cell r="AT309">
            <v>0</v>
          </cell>
          <cell r="AU309">
            <v>0</v>
          </cell>
          <cell r="AV309">
            <v>0</v>
          </cell>
          <cell r="AW309">
            <v>0</v>
          </cell>
          <cell r="AX309">
            <v>0</v>
          </cell>
          <cell r="AY309"/>
          <cell r="AZ309"/>
          <cell r="BA309">
            <v>0</v>
          </cell>
          <cell r="BB309"/>
          <cell r="BC309">
            <v>0</v>
          </cell>
          <cell r="BD309">
            <v>4884</v>
          </cell>
          <cell r="BE309"/>
          <cell r="BF309">
            <v>0</v>
          </cell>
          <cell r="BG309">
            <v>0</v>
          </cell>
          <cell r="BH309">
            <v>0</v>
          </cell>
          <cell r="BI309">
            <v>10815</v>
          </cell>
          <cell r="BJ309">
            <v>8903</v>
          </cell>
          <cell r="BK309">
            <v>8903</v>
          </cell>
          <cell r="BL309">
            <v>0</v>
          </cell>
          <cell r="BM309">
            <v>0</v>
          </cell>
          <cell r="BN309">
            <v>0</v>
          </cell>
          <cell r="BO309">
            <v>0</v>
          </cell>
          <cell r="BP309">
            <v>3162.8</v>
          </cell>
          <cell r="BQ309">
            <v>5697.6744186046499</v>
          </cell>
          <cell r="BR309">
            <v>0</v>
          </cell>
          <cell r="BS309">
            <v>0</v>
          </cell>
          <cell r="BT309">
            <v>22415</v>
          </cell>
          <cell r="BU309"/>
          <cell r="BV309"/>
          <cell r="BW309"/>
          <cell r="BX309"/>
          <cell r="BY309">
            <v>0</v>
          </cell>
          <cell r="BZ309">
            <v>0</v>
          </cell>
          <cell r="CA309">
            <v>0</v>
          </cell>
          <cell r="CB309">
            <v>0</v>
          </cell>
          <cell r="CC309">
            <v>1155686</v>
          </cell>
          <cell r="CD309">
            <v>5739274</v>
          </cell>
          <cell r="CE309">
            <v>194674</v>
          </cell>
          <cell r="CF309">
            <v>0</v>
          </cell>
          <cell r="CG309">
            <v>194674</v>
          </cell>
          <cell r="CH309">
            <v>194674</v>
          </cell>
          <cell r="CI309">
            <v>194674</v>
          </cell>
          <cell r="CJ309">
            <v>194674</v>
          </cell>
          <cell r="CK309">
            <v>0</v>
          </cell>
          <cell r="CL309">
            <v>0</v>
          </cell>
          <cell r="CM309">
            <v>0</v>
          </cell>
          <cell r="CN309">
            <v>0</v>
          </cell>
          <cell r="CO309">
            <v>0</v>
          </cell>
          <cell r="CP309">
            <v>-4113</v>
          </cell>
          <cell r="CQ309">
            <v>1705705</v>
          </cell>
          <cell r="CR309">
            <v>1631128</v>
          </cell>
          <cell r="CS309">
            <v>1611535</v>
          </cell>
          <cell r="CT309">
            <v>1574072</v>
          </cell>
          <cell r="CU309">
            <v>1536590</v>
          </cell>
          <cell r="CV309">
            <v>31976</v>
          </cell>
          <cell r="CW309">
            <v>0</v>
          </cell>
          <cell r="CX309">
            <v>0</v>
          </cell>
          <cell r="CY309">
            <v>0</v>
          </cell>
          <cell r="CZ309">
            <v>0</v>
          </cell>
          <cell r="DA309">
            <v>0</v>
          </cell>
          <cell r="DB309"/>
          <cell r="DC309">
            <v>0</v>
          </cell>
          <cell r="DD309">
            <v>0</v>
          </cell>
          <cell r="DE309">
            <v>0</v>
          </cell>
          <cell r="DF309">
            <v>0</v>
          </cell>
          <cell r="DG309">
            <v>0</v>
          </cell>
          <cell r="DH309">
            <v>0</v>
          </cell>
          <cell r="DI309">
            <v>0</v>
          </cell>
          <cell r="DJ309">
            <v>0</v>
          </cell>
          <cell r="DK309">
            <v>0</v>
          </cell>
          <cell r="DL309">
            <v>0</v>
          </cell>
          <cell r="DM309"/>
          <cell r="DN309"/>
          <cell r="DO309"/>
          <cell r="DP309"/>
        </row>
        <row r="310">
          <cell r="A310">
            <v>1655</v>
          </cell>
          <cell r="B310" t="str">
            <v>Halderberge</v>
          </cell>
          <cell r="C310">
            <v>10</v>
          </cell>
          <cell r="D310">
            <v>-15555</v>
          </cell>
          <cell r="E310">
            <v>-7777</v>
          </cell>
          <cell r="F310">
            <v>0</v>
          </cell>
          <cell r="G310">
            <v>0</v>
          </cell>
          <cell r="H310">
            <v>-21789</v>
          </cell>
          <cell r="I310">
            <v>-3615</v>
          </cell>
          <cell r="J310"/>
          <cell r="K310">
            <v>0</v>
          </cell>
          <cell r="L310">
            <v>119158</v>
          </cell>
          <cell r="M310">
            <v>117346</v>
          </cell>
          <cell r="N310">
            <v>0</v>
          </cell>
          <cell r="O310">
            <v>0</v>
          </cell>
          <cell r="P310">
            <v>0</v>
          </cell>
          <cell r="Q310">
            <v>0</v>
          </cell>
          <cell r="R310">
            <v>0</v>
          </cell>
          <cell r="S310">
            <v>0</v>
          </cell>
          <cell r="T310">
            <v>0</v>
          </cell>
          <cell r="U310">
            <v>0</v>
          </cell>
          <cell r="V310">
            <v>12000</v>
          </cell>
          <cell r="W310">
            <v>65056</v>
          </cell>
          <cell r="X310">
            <v>0</v>
          </cell>
          <cell r="Y310"/>
          <cell r="Z310">
            <v>0</v>
          </cell>
          <cell r="AA310">
            <v>0</v>
          </cell>
          <cell r="AB310">
            <v>0</v>
          </cell>
          <cell r="AC310"/>
          <cell r="AD310">
            <v>0</v>
          </cell>
          <cell r="AE310">
            <v>0</v>
          </cell>
          <cell r="AF310">
            <v>0</v>
          </cell>
          <cell r="AG310">
            <v>0</v>
          </cell>
          <cell r="AH310">
            <v>0</v>
          </cell>
          <cell r="AI310">
            <v>0</v>
          </cell>
          <cell r="AJ310">
            <v>0</v>
          </cell>
          <cell r="AK310">
            <v>0</v>
          </cell>
          <cell r="AL310"/>
          <cell r="AM310">
            <v>0</v>
          </cell>
          <cell r="AN310">
            <v>0</v>
          </cell>
          <cell r="AO310">
            <v>0</v>
          </cell>
          <cell r="AP310">
            <v>0</v>
          </cell>
          <cell r="AQ310">
            <v>0</v>
          </cell>
          <cell r="AR310">
            <v>0</v>
          </cell>
          <cell r="AS310">
            <v>0</v>
          </cell>
          <cell r="AT310">
            <v>0</v>
          </cell>
          <cell r="AU310">
            <v>2370</v>
          </cell>
          <cell r="AV310">
            <v>0</v>
          </cell>
          <cell r="AW310">
            <v>0</v>
          </cell>
          <cell r="AX310">
            <v>0</v>
          </cell>
          <cell r="AY310"/>
          <cell r="AZ310"/>
          <cell r="BA310">
            <v>0</v>
          </cell>
          <cell r="BB310"/>
          <cell r="BC310">
            <v>0</v>
          </cell>
          <cell r="BD310">
            <v>10383</v>
          </cell>
          <cell r="BE310"/>
          <cell r="BF310">
            <v>0</v>
          </cell>
          <cell r="BG310">
            <v>0</v>
          </cell>
          <cell r="BH310">
            <v>0</v>
          </cell>
          <cell r="BI310">
            <v>39555</v>
          </cell>
          <cell r="BJ310">
            <v>32560</v>
          </cell>
          <cell r="BK310">
            <v>32560</v>
          </cell>
          <cell r="BL310">
            <v>0</v>
          </cell>
          <cell r="BM310">
            <v>0</v>
          </cell>
          <cell r="BN310">
            <v>0</v>
          </cell>
          <cell r="BO310">
            <v>159548</v>
          </cell>
          <cell r="BP310">
            <v>14232.6</v>
          </cell>
          <cell r="BQ310">
            <v>25639.534883720899</v>
          </cell>
          <cell r="BR310">
            <v>0</v>
          </cell>
          <cell r="BS310">
            <v>0</v>
          </cell>
          <cell r="BT310">
            <v>46920</v>
          </cell>
          <cell r="BU310"/>
          <cell r="BV310"/>
          <cell r="BW310"/>
          <cell r="BX310"/>
          <cell r="BY310">
            <v>0</v>
          </cell>
          <cell r="BZ310">
            <v>0</v>
          </cell>
          <cell r="CA310">
            <v>0</v>
          </cell>
          <cell r="CB310">
            <v>0</v>
          </cell>
          <cell r="CC310">
            <v>2629098</v>
          </cell>
          <cell r="CD310">
            <v>15591695</v>
          </cell>
          <cell r="CE310">
            <v>602617</v>
          </cell>
          <cell r="CF310">
            <v>0</v>
          </cell>
          <cell r="CG310">
            <v>602617</v>
          </cell>
          <cell r="CH310">
            <v>602617</v>
          </cell>
          <cell r="CI310">
            <v>602617</v>
          </cell>
          <cell r="CJ310">
            <v>602617</v>
          </cell>
          <cell r="CK310">
            <v>0</v>
          </cell>
          <cell r="CL310">
            <v>0</v>
          </cell>
          <cell r="CM310">
            <v>0</v>
          </cell>
          <cell r="CN310">
            <v>0</v>
          </cell>
          <cell r="CO310">
            <v>0</v>
          </cell>
          <cell r="CP310">
            <v>-1300</v>
          </cell>
          <cell r="CQ310">
            <v>5095329</v>
          </cell>
          <cell r="CR310">
            <v>4827977</v>
          </cell>
          <cell r="CS310">
            <v>4709184</v>
          </cell>
          <cell r="CT310">
            <v>4538712</v>
          </cell>
          <cell r="CU310">
            <v>4397756</v>
          </cell>
          <cell r="CV310">
            <v>61429</v>
          </cell>
          <cell r="CW310">
            <v>0</v>
          </cell>
          <cell r="CX310">
            <v>0</v>
          </cell>
          <cell r="CY310">
            <v>0</v>
          </cell>
          <cell r="CZ310">
            <v>0</v>
          </cell>
          <cell r="DA310">
            <v>0</v>
          </cell>
          <cell r="DB310"/>
          <cell r="DC310">
            <v>0</v>
          </cell>
          <cell r="DD310">
            <v>0</v>
          </cell>
          <cell r="DE310">
            <v>0</v>
          </cell>
          <cell r="DF310">
            <v>0</v>
          </cell>
          <cell r="DG310">
            <v>0</v>
          </cell>
          <cell r="DH310">
            <v>0</v>
          </cell>
          <cell r="DI310">
            <v>0</v>
          </cell>
          <cell r="DJ310">
            <v>0</v>
          </cell>
          <cell r="DK310">
            <v>0</v>
          </cell>
          <cell r="DL310">
            <v>0</v>
          </cell>
          <cell r="DM310"/>
          <cell r="DN310"/>
          <cell r="DO310"/>
          <cell r="DP310"/>
        </row>
        <row r="311">
          <cell r="A311">
            <v>1658</v>
          </cell>
          <cell r="B311" t="str">
            <v>Heeze-Leende</v>
          </cell>
          <cell r="C311">
            <v>10</v>
          </cell>
          <cell r="D311">
            <v>-18272</v>
          </cell>
          <cell r="E311">
            <v>-9136</v>
          </cell>
          <cell r="F311">
            <v>0</v>
          </cell>
          <cell r="G311">
            <v>0</v>
          </cell>
          <cell r="H311">
            <v>-12242</v>
          </cell>
          <cell r="I311">
            <v>-9173</v>
          </cell>
          <cell r="J311"/>
          <cell r="K311">
            <v>0</v>
          </cell>
          <cell r="L311">
            <v>37504</v>
          </cell>
          <cell r="M311">
            <v>32449</v>
          </cell>
          <cell r="N311">
            <v>0</v>
          </cell>
          <cell r="O311">
            <v>0</v>
          </cell>
          <cell r="P311">
            <v>0</v>
          </cell>
          <cell r="Q311">
            <v>0</v>
          </cell>
          <cell r="R311">
            <v>0</v>
          </cell>
          <cell r="S311">
            <v>0</v>
          </cell>
          <cell r="T311">
            <v>0</v>
          </cell>
          <cell r="U311">
            <v>0</v>
          </cell>
          <cell r="V311">
            <v>3000</v>
          </cell>
          <cell r="W311">
            <v>60452</v>
          </cell>
          <cell r="X311">
            <v>0</v>
          </cell>
          <cell r="Y311"/>
          <cell r="Z311">
            <v>0</v>
          </cell>
          <cell r="AA311">
            <v>0</v>
          </cell>
          <cell r="AB311">
            <v>0</v>
          </cell>
          <cell r="AC311"/>
          <cell r="AD311">
            <v>0</v>
          </cell>
          <cell r="AE311">
            <v>0</v>
          </cell>
          <cell r="AF311">
            <v>0</v>
          </cell>
          <cell r="AG311">
            <v>0</v>
          </cell>
          <cell r="AH311">
            <v>0</v>
          </cell>
          <cell r="AI311">
            <v>0</v>
          </cell>
          <cell r="AJ311">
            <v>0</v>
          </cell>
          <cell r="AK311">
            <v>0</v>
          </cell>
          <cell r="AL311"/>
          <cell r="AM311">
            <v>0</v>
          </cell>
          <cell r="AN311">
            <v>0</v>
          </cell>
          <cell r="AO311">
            <v>0</v>
          </cell>
          <cell r="AP311">
            <v>0</v>
          </cell>
          <cell r="AQ311">
            <v>0</v>
          </cell>
          <cell r="AR311">
            <v>0</v>
          </cell>
          <cell r="AS311">
            <v>0</v>
          </cell>
          <cell r="AT311">
            <v>0</v>
          </cell>
          <cell r="AU311">
            <v>2370</v>
          </cell>
          <cell r="AV311">
            <v>0</v>
          </cell>
          <cell r="AW311">
            <v>0</v>
          </cell>
          <cell r="AX311">
            <v>0</v>
          </cell>
          <cell r="AY311"/>
          <cell r="AZ311"/>
          <cell r="BA311">
            <v>0</v>
          </cell>
          <cell r="BB311"/>
          <cell r="BC311">
            <v>0</v>
          </cell>
          <cell r="BD311">
            <v>5516</v>
          </cell>
          <cell r="BE311"/>
          <cell r="BF311">
            <v>0</v>
          </cell>
          <cell r="BG311">
            <v>0</v>
          </cell>
          <cell r="BH311">
            <v>0</v>
          </cell>
          <cell r="BI311">
            <v>14046</v>
          </cell>
          <cell r="BJ311">
            <v>11562</v>
          </cell>
          <cell r="BK311">
            <v>11562</v>
          </cell>
          <cell r="BL311">
            <v>0</v>
          </cell>
          <cell r="BM311">
            <v>0</v>
          </cell>
          <cell r="BN311">
            <v>0</v>
          </cell>
          <cell r="BO311">
            <v>40860</v>
          </cell>
          <cell r="BP311">
            <v>4744.2</v>
          </cell>
          <cell r="BQ311">
            <v>8546.5116279069807</v>
          </cell>
          <cell r="BR311">
            <v>0</v>
          </cell>
          <cell r="BS311">
            <v>0</v>
          </cell>
          <cell r="BT311">
            <v>25076</v>
          </cell>
          <cell r="BU311"/>
          <cell r="BV311"/>
          <cell r="BW311"/>
          <cell r="BX311"/>
          <cell r="BY311">
            <v>0</v>
          </cell>
          <cell r="BZ311">
            <v>0</v>
          </cell>
          <cell r="CA311">
            <v>0</v>
          </cell>
          <cell r="CB311">
            <v>0</v>
          </cell>
          <cell r="CC311">
            <v>1291128</v>
          </cell>
          <cell r="CD311">
            <v>5218130</v>
          </cell>
          <cell r="CE311">
            <v>194636</v>
          </cell>
          <cell r="CF311">
            <v>0</v>
          </cell>
          <cell r="CG311">
            <v>194636</v>
          </cell>
          <cell r="CH311">
            <v>194636</v>
          </cell>
          <cell r="CI311">
            <v>194636</v>
          </cell>
          <cell r="CJ311">
            <v>194636</v>
          </cell>
          <cell r="CK311">
            <v>0</v>
          </cell>
          <cell r="CL311">
            <v>0</v>
          </cell>
          <cell r="CM311">
            <v>0</v>
          </cell>
          <cell r="CN311">
            <v>0</v>
          </cell>
          <cell r="CO311">
            <v>0</v>
          </cell>
          <cell r="CP311">
            <v>-3287</v>
          </cell>
          <cell r="CQ311">
            <v>1033738</v>
          </cell>
          <cell r="CR311">
            <v>988655</v>
          </cell>
          <cell r="CS311">
            <v>959947</v>
          </cell>
          <cell r="CT311">
            <v>939459</v>
          </cell>
          <cell r="CU311">
            <v>937528</v>
          </cell>
          <cell r="CV311">
            <v>44723</v>
          </cell>
          <cell r="CW311">
            <v>0</v>
          </cell>
          <cell r="CX311">
            <v>0</v>
          </cell>
          <cell r="CY311">
            <v>0</v>
          </cell>
          <cell r="CZ311">
            <v>0</v>
          </cell>
          <cell r="DA311">
            <v>0</v>
          </cell>
          <cell r="DB311"/>
          <cell r="DC311">
            <v>0</v>
          </cell>
          <cell r="DD311">
            <v>0</v>
          </cell>
          <cell r="DE311">
            <v>0</v>
          </cell>
          <cell r="DF311">
            <v>0</v>
          </cell>
          <cell r="DG311">
            <v>0</v>
          </cell>
          <cell r="DH311">
            <v>0</v>
          </cell>
          <cell r="DI311">
            <v>0</v>
          </cell>
          <cell r="DJ311">
            <v>0</v>
          </cell>
          <cell r="DK311">
            <v>0</v>
          </cell>
          <cell r="DL311">
            <v>0</v>
          </cell>
          <cell r="DM311"/>
          <cell r="DN311"/>
          <cell r="DO311"/>
          <cell r="DP311"/>
        </row>
        <row r="312">
          <cell r="A312">
            <v>794</v>
          </cell>
          <cell r="B312" t="str">
            <v>Helmond</v>
          </cell>
          <cell r="C312">
            <v>10</v>
          </cell>
          <cell r="D312">
            <v>179883</v>
          </cell>
          <cell r="E312">
            <v>89941</v>
          </cell>
          <cell r="F312">
            <v>0</v>
          </cell>
          <cell r="G312">
            <v>0</v>
          </cell>
          <cell r="H312">
            <v>-20736</v>
          </cell>
          <cell r="I312">
            <v>-3667</v>
          </cell>
          <cell r="J312"/>
          <cell r="K312">
            <v>9380</v>
          </cell>
          <cell r="L312">
            <v>595929</v>
          </cell>
          <cell r="M312">
            <v>603373</v>
          </cell>
          <cell r="N312">
            <v>0</v>
          </cell>
          <cell r="O312">
            <v>0</v>
          </cell>
          <cell r="P312">
            <v>0</v>
          </cell>
          <cell r="Q312">
            <v>0</v>
          </cell>
          <cell r="R312">
            <v>0</v>
          </cell>
          <cell r="S312">
            <v>685676</v>
          </cell>
          <cell r="T312">
            <v>618554</v>
          </cell>
          <cell r="U312">
            <v>666296</v>
          </cell>
          <cell r="V312">
            <v>15500</v>
          </cell>
          <cell r="W312">
            <v>359988</v>
          </cell>
          <cell r="X312">
            <v>0</v>
          </cell>
          <cell r="Y312"/>
          <cell r="Z312">
            <v>0</v>
          </cell>
          <cell r="AA312">
            <v>40000</v>
          </cell>
          <cell r="AB312">
            <v>0</v>
          </cell>
          <cell r="AC312"/>
          <cell r="AD312">
            <v>157425</v>
          </cell>
          <cell r="AE312">
            <v>0</v>
          </cell>
          <cell r="AF312">
            <v>0</v>
          </cell>
          <cell r="AG312">
            <v>0</v>
          </cell>
          <cell r="AH312">
            <v>0</v>
          </cell>
          <cell r="AI312">
            <v>0</v>
          </cell>
          <cell r="AJ312">
            <v>0</v>
          </cell>
          <cell r="AK312">
            <v>264084</v>
          </cell>
          <cell r="AL312"/>
          <cell r="AM312">
            <v>0</v>
          </cell>
          <cell r="AN312">
            <v>0</v>
          </cell>
          <cell r="AO312">
            <v>0</v>
          </cell>
          <cell r="AP312">
            <v>0</v>
          </cell>
          <cell r="AQ312">
            <v>0</v>
          </cell>
          <cell r="AR312">
            <v>0</v>
          </cell>
          <cell r="AS312">
            <v>0</v>
          </cell>
          <cell r="AT312">
            <v>20000</v>
          </cell>
          <cell r="AU312">
            <v>21330</v>
          </cell>
          <cell r="AV312">
            <v>3083751.2513611601</v>
          </cell>
          <cell r="AW312">
            <v>0</v>
          </cell>
          <cell r="AX312">
            <v>0</v>
          </cell>
          <cell r="AY312"/>
          <cell r="AZ312"/>
          <cell r="BA312">
            <v>0</v>
          </cell>
          <cell r="BB312"/>
          <cell r="BC312">
            <v>0</v>
          </cell>
          <cell r="BD312">
            <v>31805</v>
          </cell>
          <cell r="BE312"/>
          <cell r="BF312">
            <v>0</v>
          </cell>
          <cell r="BG312">
            <v>0</v>
          </cell>
          <cell r="BH312">
            <v>0</v>
          </cell>
          <cell r="BI312">
            <v>161237</v>
          </cell>
          <cell r="BJ312">
            <v>132722</v>
          </cell>
          <cell r="BK312">
            <v>132722</v>
          </cell>
          <cell r="BL312">
            <v>0</v>
          </cell>
          <cell r="BM312">
            <v>0</v>
          </cell>
          <cell r="BN312">
            <v>0</v>
          </cell>
          <cell r="BO312">
            <v>176573</v>
          </cell>
          <cell r="BP312">
            <v>36372.199999999997</v>
          </cell>
          <cell r="BQ312">
            <v>65523.255813953503</v>
          </cell>
          <cell r="BR312">
            <v>0</v>
          </cell>
          <cell r="BS312">
            <v>0</v>
          </cell>
          <cell r="BT312">
            <v>160628</v>
          </cell>
          <cell r="BU312"/>
          <cell r="BV312"/>
          <cell r="BW312"/>
          <cell r="BX312"/>
          <cell r="BY312">
            <v>1236416.7819186701</v>
          </cell>
          <cell r="BZ312">
            <v>1433295.8331939001</v>
          </cell>
          <cell r="CA312">
            <v>1450114.64661943</v>
          </cell>
          <cell r="CB312">
            <v>1497603.0609973699</v>
          </cell>
          <cell r="CC312">
            <v>6969568</v>
          </cell>
          <cell r="CD312">
            <v>80642915</v>
          </cell>
          <cell r="CE312">
            <v>4549214</v>
          </cell>
          <cell r="CF312">
            <v>0</v>
          </cell>
          <cell r="CG312">
            <v>4549214</v>
          </cell>
          <cell r="CH312">
            <v>4549214</v>
          </cell>
          <cell r="CI312">
            <v>4549214</v>
          </cell>
          <cell r="CJ312">
            <v>4549214</v>
          </cell>
          <cell r="CK312">
            <v>20968562</v>
          </cell>
          <cell r="CL312">
            <v>20958038</v>
          </cell>
          <cell r="CM312">
            <v>20957867</v>
          </cell>
          <cell r="CN312">
            <v>20957493</v>
          </cell>
          <cell r="CO312">
            <v>20958012</v>
          </cell>
          <cell r="CP312">
            <v>-1318</v>
          </cell>
          <cell r="CQ312">
            <v>18461510</v>
          </cell>
          <cell r="CR312">
            <v>17646343</v>
          </cell>
          <cell r="CS312">
            <v>17291309</v>
          </cell>
          <cell r="CT312">
            <v>17007691</v>
          </cell>
          <cell r="CU312">
            <v>16658269</v>
          </cell>
          <cell r="CV312">
            <v>-170077</v>
          </cell>
          <cell r="CW312">
            <v>0</v>
          </cell>
          <cell r="CX312">
            <v>0</v>
          </cell>
          <cell r="CY312">
            <v>0</v>
          </cell>
          <cell r="CZ312">
            <v>0</v>
          </cell>
          <cell r="DA312">
            <v>0</v>
          </cell>
          <cell r="DB312"/>
          <cell r="DC312">
            <v>240000</v>
          </cell>
          <cell r="DD312">
            <v>0</v>
          </cell>
          <cell r="DE312">
            <v>0</v>
          </cell>
          <cell r="DF312">
            <v>0</v>
          </cell>
          <cell r="DG312">
            <v>0</v>
          </cell>
          <cell r="DH312">
            <v>0</v>
          </cell>
          <cell r="DI312">
            <v>0</v>
          </cell>
          <cell r="DJ312">
            <v>0</v>
          </cell>
          <cell r="DK312">
            <v>0</v>
          </cell>
          <cell r="DL312">
            <v>0</v>
          </cell>
          <cell r="DM312"/>
          <cell r="DN312"/>
          <cell r="DO312"/>
          <cell r="DP312"/>
        </row>
        <row r="313">
          <cell r="A313">
            <v>797</v>
          </cell>
          <cell r="B313" t="str">
            <v>Heusden</v>
          </cell>
          <cell r="C313">
            <v>10</v>
          </cell>
          <cell r="D313">
            <v>-102771</v>
          </cell>
          <cell r="E313">
            <v>-51385</v>
          </cell>
          <cell r="F313">
            <v>0</v>
          </cell>
          <cell r="G313">
            <v>42152</v>
          </cell>
          <cell r="H313">
            <v>-31927</v>
          </cell>
          <cell r="I313">
            <v>-21305</v>
          </cell>
          <cell r="J313"/>
          <cell r="K313">
            <v>0</v>
          </cell>
          <cell r="L313">
            <v>160840</v>
          </cell>
          <cell r="M313">
            <v>155605</v>
          </cell>
          <cell r="N313">
            <v>0</v>
          </cell>
          <cell r="O313">
            <v>0</v>
          </cell>
          <cell r="P313">
            <v>0</v>
          </cell>
          <cell r="Q313">
            <v>0</v>
          </cell>
          <cell r="R313">
            <v>0</v>
          </cell>
          <cell r="S313">
            <v>0</v>
          </cell>
          <cell r="T313">
            <v>0</v>
          </cell>
          <cell r="U313">
            <v>0</v>
          </cell>
          <cell r="V313">
            <v>6000</v>
          </cell>
          <cell r="W313">
            <v>180383</v>
          </cell>
          <cell r="X313">
            <v>0</v>
          </cell>
          <cell r="Y313"/>
          <cell r="Z313">
            <v>0</v>
          </cell>
          <cell r="AA313">
            <v>0</v>
          </cell>
          <cell r="AB313">
            <v>0</v>
          </cell>
          <cell r="AC313"/>
          <cell r="AD313">
            <v>0</v>
          </cell>
          <cell r="AE313">
            <v>0</v>
          </cell>
          <cell r="AF313">
            <v>0</v>
          </cell>
          <cell r="AG313">
            <v>0</v>
          </cell>
          <cell r="AH313">
            <v>0</v>
          </cell>
          <cell r="AI313">
            <v>0</v>
          </cell>
          <cell r="AJ313">
            <v>0</v>
          </cell>
          <cell r="AK313">
            <v>0</v>
          </cell>
          <cell r="AL313"/>
          <cell r="AM313">
            <v>0</v>
          </cell>
          <cell r="AN313">
            <v>0</v>
          </cell>
          <cell r="AO313">
            <v>0</v>
          </cell>
          <cell r="AP313">
            <v>0</v>
          </cell>
          <cell r="AQ313">
            <v>0</v>
          </cell>
          <cell r="AR313">
            <v>0</v>
          </cell>
          <cell r="AS313">
            <v>0</v>
          </cell>
          <cell r="AT313">
            <v>0</v>
          </cell>
          <cell r="AU313">
            <v>4740</v>
          </cell>
          <cell r="AV313">
            <v>0</v>
          </cell>
          <cell r="AW313">
            <v>0</v>
          </cell>
          <cell r="AX313">
            <v>0</v>
          </cell>
          <cell r="AY313"/>
          <cell r="AZ313"/>
          <cell r="BA313">
            <v>0</v>
          </cell>
          <cell r="BB313"/>
          <cell r="BC313">
            <v>0</v>
          </cell>
          <cell r="BD313">
            <v>15276</v>
          </cell>
          <cell r="BE313"/>
          <cell r="BF313">
            <v>0</v>
          </cell>
          <cell r="BG313">
            <v>0</v>
          </cell>
          <cell r="BH313">
            <v>0</v>
          </cell>
          <cell r="BI313">
            <v>51910</v>
          </cell>
          <cell r="BJ313">
            <v>42730</v>
          </cell>
          <cell r="BK313">
            <v>42730</v>
          </cell>
          <cell r="BL313">
            <v>0</v>
          </cell>
          <cell r="BM313">
            <v>0</v>
          </cell>
          <cell r="BN313">
            <v>0</v>
          </cell>
          <cell r="BO313">
            <v>81720</v>
          </cell>
          <cell r="BP313">
            <v>25302.400000000001</v>
          </cell>
          <cell r="BQ313">
            <v>45581.395348837199</v>
          </cell>
          <cell r="BR313">
            <v>0</v>
          </cell>
          <cell r="BS313">
            <v>0</v>
          </cell>
          <cell r="BT313">
            <v>63557</v>
          </cell>
          <cell r="BU313"/>
          <cell r="BV313"/>
          <cell r="BW313"/>
          <cell r="BX313"/>
          <cell r="BY313">
            <v>0</v>
          </cell>
          <cell r="BZ313">
            <v>0</v>
          </cell>
          <cell r="CA313">
            <v>0</v>
          </cell>
          <cell r="CB313">
            <v>0</v>
          </cell>
          <cell r="CC313">
            <v>3163174</v>
          </cell>
          <cell r="CD313">
            <v>16815720</v>
          </cell>
          <cell r="CE313">
            <v>774576</v>
          </cell>
          <cell r="CF313">
            <v>-2495</v>
          </cell>
          <cell r="CG313">
            <v>774576</v>
          </cell>
          <cell r="CH313">
            <v>774576</v>
          </cell>
          <cell r="CI313">
            <v>774576</v>
          </cell>
          <cell r="CJ313">
            <v>774576</v>
          </cell>
          <cell r="CK313">
            <v>0</v>
          </cell>
          <cell r="CL313">
            <v>0</v>
          </cell>
          <cell r="CM313">
            <v>0</v>
          </cell>
          <cell r="CN313">
            <v>0</v>
          </cell>
          <cell r="CO313">
            <v>0</v>
          </cell>
          <cell r="CP313">
            <v>-7330</v>
          </cell>
          <cell r="CQ313">
            <v>3749092</v>
          </cell>
          <cell r="CR313">
            <v>3586474</v>
          </cell>
          <cell r="CS313">
            <v>3509436</v>
          </cell>
          <cell r="CT313">
            <v>3418766</v>
          </cell>
          <cell r="CU313">
            <v>3334634</v>
          </cell>
          <cell r="CV313">
            <v>-41657</v>
          </cell>
          <cell r="CW313">
            <v>0</v>
          </cell>
          <cell r="CX313">
            <v>0</v>
          </cell>
          <cell r="CY313">
            <v>0</v>
          </cell>
          <cell r="CZ313">
            <v>0</v>
          </cell>
          <cell r="DA313">
            <v>0</v>
          </cell>
          <cell r="DB313"/>
          <cell r="DC313">
            <v>0</v>
          </cell>
          <cell r="DD313">
            <v>0</v>
          </cell>
          <cell r="DE313">
            <v>0</v>
          </cell>
          <cell r="DF313">
            <v>0</v>
          </cell>
          <cell r="DG313">
            <v>0</v>
          </cell>
          <cell r="DH313">
            <v>0</v>
          </cell>
          <cell r="DI313">
            <v>0</v>
          </cell>
          <cell r="DJ313">
            <v>0</v>
          </cell>
          <cell r="DK313">
            <v>0</v>
          </cell>
          <cell r="DL313">
            <v>0</v>
          </cell>
          <cell r="DM313"/>
          <cell r="DN313"/>
          <cell r="DO313"/>
          <cell r="DP313"/>
        </row>
        <row r="314">
          <cell r="A314">
            <v>798</v>
          </cell>
          <cell r="B314" t="str">
            <v>Hilvarenbeek</v>
          </cell>
          <cell r="C314">
            <v>10</v>
          </cell>
          <cell r="D314">
            <v>-10059</v>
          </cell>
          <cell r="E314">
            <v>-5029</v>
          </cell>
          <cell r="F314">
            <v>0</v>
          </cell>
          <cell r="G314">
            <v>0</v>
          </cell>
          <cell r="H314">
            <v>-16553</v>
          </cell>
          <cell r="I314">
            <v>-9025</v>
          </cell>
          <cell r="J314"/>
          <cell r="K314">
            <v>0</v>
          </cell>
          <cell r="L314">
            <v>38797</v>
          </cell>
          <cell r="M314">
            <v>35711</v>
          </cell>
          <cell r="N314">
            <v>0</v>
          </cell>
          <cell r="O314">
            <v>0</v>
          </cell>
          <cell r="P314">
            <v>0</v>
          </cell>
          <cell r="Q314">
            <v>0</v>
          </cell>
          <cell r="R314">
            <v>0</v>
          </cell>
          <cell r="S314">
            <v>0</v>
          </cell>
          <cell r="T314">
            <v>0</v>
          </cell>
          <cell r="U314">
            <v>0</v>
          </cell>
          <cell r="V314">
            <v>0</v>
          </cell>
          <cell r="W314">
            <v>66672</v>
          </cell>
          <cell r="X314">
            <v>0</v>
          </cell>
          <cell r="Y314"/>
          <cell r="Z314">
            <v>0</v>
          </cell>
          <cell r="AA314">
            <v>0</v>
          </cell>
          <cell r="AB314">
            <v>0</v>
          </cell>
          <cell r="AC314"/>
          <cell r="AD314">
            <v>0</v>
          </cell>
          <cell r="AE314">
            <v>0</v>
          </cell>
          <cell r="AF314">
            <v>0</v>
          </cell>
          <cell r="AG314">
            <v>0</v>
          </cell>
          <cell r="AH314">
            <v>0</v>
          </cell>
          <cell r="AI314">
            <v>0</v>
          </cell>
          <cell r="AJ314">
            <v>0</v>
          </cell>
          <cell r="AK314">
            <v>0</v>
          </cell>
          <cell r="AL314"/>
          <cell r="AM314">
            <v>0</v>
          </cell>
          <cell r="AN314">
            <v>0</v>
          </cell>
          <cell r="AO314">
            <v>0</v>
          </cell>
          <cell r="AP314">
            <v>0</v>
          </cell>
          <cell r="AQ314">
            <v>0</v>
          </cell>
          <cell r="AR314">
            <v>0</v>
          </cell>
          <cell r="AS314">
            <v>0</v>
          </cell>
          <cell r="AT314">
            <v>0</v>
          </cell>
          <cell r="AU314">
            <v>0</v>
          </cell>
          <cell r="AV314">
            <v>0</v>
          </cell>
          <cell r="AW314">
            <v>0</v>
          </cell>
          <cell r="AX314">
            <v>0</v>
          </cell>
          <cell r="AY314"/>
          <cell r="AZ314"/>
          <cell r="BA314">
            <v>0</v>
          </cell>
          <cell r="BB314"/>
          <cell r="BC314">
            <v>0</v>
          </cell>
          <cell r="BD314">
            <v>5365</v>
          </cell>
          <cell r="BE314"/>
          <cell r="BF314">
            <v>0</v>
          </cell>
          <cell r="BG314">
            <v>0</v>
          </cell>
          <cell r="BH314">
            <v>0</v>
          </cell>
          <cell r="BI314">
            <v>14719</v>
          </cell>
          <cell r="BJ314">
            <v>12116</v>
          </cell>
          <cell r="BK314">
            <v>12116</v>
          </cell>
          <cell r="BL314">
            <v>0</v>
          </cell>
          <cell r="BM314">
            <v>0</v>
          </cell>
          <cell r="BN314">
            <v>0</v>
          </cell>
          <cell r="BO314">
            <v>109933</v>
          </cell>
          <cell r="BP314">
            <v>6325.6</v>
          </cell>
          <cell r="BQ314">
            <v>11395.3488372093</v>
          </cell>
          <cell r="BR314">
            <v>0</v>
          </cell>
          <cell r="BS314">
            <v>0</v>
          </cell>
          <cell r="BT314">
            <v>26508</v>
          </cell>
          <cell r="BU314"/>
          <cell r="BV314"/>
          <cell r="BW314"/>
          <cell r="BX314"/>
          <cell r="BY314">
            <v>0</v>
          </cell>
          <cell r="BZ314">
            <v>0</v>
          </cell>
          <cell r="CA314">
            <v>0</v>
          </cell>
          <cell r="CB314">
            <v>0</v>
          </cell>
          <cell r="CC314">
            <v>1064458</v>
          </cell>
          <cell r="CD314">
            <v>5646616</v>
          </cell>
          <cell r="CE314">
            <v>222977</v>
          </cell>
          <cell r="CF314">
            <v>-6979</v>
          </cell>
          <cell r="CG314">
            <v>222977</v>
          </cell>
          <cell r="CH314">
            <v>222977</v>
          </cell>
          <cell r="CI314">
            <v>222977</v>
          </cell>
          <cell r="CJ314">
            <v>222977</v>
          </cell>
          <cell r="CK314">
            <v>0</v>
          </cell>
          <cell r="CL314">
            <v>0</v>
          </cell>
          <cell r="CM314">
            <v>0</v>
          </cell>
          <cell r="CN314">
            <v>0</v>
          </cell>
          <cell r="CO314">
            <v>0</v>
          </cell>
          <cell r="CP314">
            <v>-2228</v>
          </cell>
          <cell r="CQ314">
            <v>1506496</v>
          </cell>
          <cell r="CR314">
            <v>1422059</v>
          </cell>
          <cell r="CS314">
            <v>1346921</v>
          </cell>
          <cell r="CT314">
            <v>1318160</v>
          </cell>
          <cell r="CU314">
            <v>1312738</v>
          </cell>
          <cell r="CV314">
            <v>27781</v>
          </cell>
          <cell r="CW314">
            <v>0</v>
          </cell>
          <cell r="CX314">
            <v>0</v>
          </cell>
          <cell r="CY314">
            <v>0</v>
          </cell>
          <cell r="CZ314">
            <v>0</v>
          </cell>
          <cell r="DA314">
            <v>0</v>
          </cell>
          <cell r="DB314"/>
          <cell r="DC314">
            <v>0</v>
          </cell>
          <cell r="DD314">
            <v>0</v>
          </cell>
          <cell r="DE314">
            <v>0</v>
          </cell>
          <cell r="DF314">
            <v>0</v>
          </cell>
          <cell r="DG314">
            <v>0</v>
          </cell>
          <cell r="DH314">
            <v>0</v>
          </cell>
          <cell r="DI314">
            <v>0</v>
          </cell>
          <cell r="DJ314">
            <v>0</v>
          </cell>
          <cell r="DK314">
            <v>0</v>
          </cell>
          <cell r="DL314">
            <v>0</v>
          </cell>
          <cell r="DM314"/>
          <cell r="DN314"/>
          <cell r="DO314"/>
          <cell r="DP314"/>
        </row>
        <row r="315">
          <cell r="A315">
            <v>1659</v>
          </cell>
          <cell r="B315" t="str">
            <v>Laarbeek</v>
          </cell>
          <cell r="C315">
            <v>10</v>
          </cell>
          <cell r="D315">
            <v>-29159</v>
          </cell>
          <cell r="E315">
            <v>-14580</v>
          </cell>
          <cell r="F315">
            <v>0</v>
          </cell>
          <cell r="G315">
            <v>0</v>
          </cell>
          <cell r="H315">
            <v>-11712</v>
          </cell>
          <cell r="I315">
            <v>-5974</v>
          </cell>
          <cell r="J315"/>
          <cell r="K315">
            <v>0</v>
          </cell>
          <cell r="L315">
            <v>76162</v>
          </cell>
          <cell r="M315">
            <v>67041</v>
          </cell>
          <cell r="N315">
            <v>0</v>
          </cell>
          <cell r="O315">
            <v>0</v>
          </cell>
          <cell r="P315">
            <v>0</v>
          </cell>
          <cell r="Q315">
            <v>0</v>
          </cell>
          <cell r="R315">
            <v>0</v>
          </cell>
          <cell r="S315">
            <v>0</v>
          </cell>
          <cell r="T315">
            <v>0</v>
          </cell>
          <cell r="U315">
            <v>0</v>
          </cell>
          <cell r="V315">
            <v>0</v>
          </cell>
          <cell r="W315">
            <v>88636</v>
          </cell>
          <cell r="X315">
            <v>0</v>
          </cell>
          <cell r="Y315"/>
          <cell r="Z315">
            <v>0</v>
          </cell>
          <cell r="AA315">
            <v>0</v>
          </cell>
          <cell r="AB315">
            <v>0</v>
          </cell>
          <cell r="AC315"/>
          <cell r="AD315">
            <v>0</v>
          </cell>
          <cell r="AE315">
            <v>0</v>
          </cell>
          <cell r="AF315">
            <v>0</v>
          </cell>
          <cell r="AG315">
            <v>0</v>
          </cell>
          <cell r="AH315">
            <v>0</v>
          </cell>
          <cell r="AI315">
            <v>0</v>
          </cell>
          <cell r="AJ315">
            <v>0</v>
          </cell>
          <cell r="AK315">
            <v>0</v>
          </cell>
          <cell r="AL315"/>
          <cell r="AM315">
            <v>0</v>
          </cell>
          <cell r="AN315">
            <v>0</v>
          </cell>
          <cell r="AO315">
            <v>0</v>
          </cell>
          <cell r="AP315">
            <v>0</v>
          </cell>
          <cell r="AQ315">
            <v>0</v>
          </cell>
          <cell r="AR315">
            <v>0</v>
          </cell>
          <cell r="AS315">
            <v>0</v>
          </cell>
          <cell r="AT315">
            <v>0</v>
          </cell>
          <cell r="AU315">
            <v>2370</v>
          </cell>
          <cell r="AV315">
            <v>0</v>
          </cell>
          <cell r="AW315">
            <v>0</v>
          </cell>
          <cell r="AX315">
            <v>0</v>
          </cell>
          <cell r="AY315"/>
          <cell r="AZ315"/>
          <cell r="BA315">
            <v>0</v>
          </cell>
          <cell r="BB315"/>
          <cell r="BC315">
            <v>0</v>
          </cell>
          <cell r="BD315">
            <v>7702</v>
          </cell>
          <cell r="BE315"/>
          <cell r="BF315">
            <v>0</v>
          </cell>
          <cell r="BG315">
            <v>0</v>
          </cell>
          <cell r="BH315">
            <v>0</v>
          </cell>
          <cell r="BI315">
            <v>27454</v>
          </cell>
          <cell r="BJ315">
            <v>22599</v>
          </cell>
          <cell r="BK315">
            <v>22599</v>
          </cell>
          <cell r="BL315">
            <v>0</v>
          </cell>
          <cell r="BM315">
            <v>0</v>
          </cell>
          <cell r="BN315">
            <v>0</v>
          </cell>
          <cell r="BO315">
            <v>79288</v>
          </cell>
          <cell r="BP315">
            <v>3162.8</v>
          </cell>
          <cell r="BQ315">
            <v>5697.6744186046499</v>
          </cell>
          <cell r="BR315">
            <v>0</v>
          </cell>
          <cell r="BS315">
            <v>0</v>
          </cell>
          <cell r="BT315">
            <v>35058</v>
          </cell>
          <cell r="BU315"/>
          <cell r="BV315"/>
          <cell r="BW315"/>
          <cell r="BX315"/>
          <cell r="BY315">
            <v>0</v>
          </cell>
          <cell r="BZ315">
            <v>0</v>
          </cell>
          <cell r="CA315">
            <v>0</v>
          </cell>
          <cell r="CB315">
            <v>0</v>
          </cell>
          <cell r="CC315">
            <v>1669128</v>
          </cell>
          <cell r="CD315">
            <v>9678690</v>
          </cell>
          <cell r="CE315">
            <v>629068</v>
          </cell>
          <cell r="CF315">
            <v>-2520</v>
          </cell>
          <cell r="CG315">
            <v>629068</v>
          </cell>
          <cell r="CH315">
            <v>629068</v>
          </cell>
          <cell r="CI315">
            <v>629068</v>
          </cell>
          <cell r="CJ315">
            <v>629068</v>
          </cell>
          <cell r="CK315">
            <v>0</v>
          </cell>
          <cell r="CL315">
            <v>0</v>
          </cell>
          <cell r="CM315">
            <v>0</v>
          </cell>
          <cell r="CN315">
            <v>0</v>
          </cell>
          <cell r="CO315">
            <v>0</v>
          </cell>
          <cell r="CP315">
            <v>-1771</v>
          </cell>
          <cell r="CQ315">
            <v>2609542</v>
          </cell>
          <cell r="CR315">
            <v>2442743</v>
          </cell>
          <cell r="CS315">
            <v>2359464</v>
          </cell>
          <cell r="CT315">
            <v>2269470</v>
          </cell>
          <cell r="CU315">
            <v>2188234</v>
          </cell>
          <cell r="CV315">
            <v>3873</v>
          </cell>
          <cell r="CW315">
            <v>0</v>
          </cell>
          <cell r="CX315">
            <v>0</v>
          </cell>
          <cell r="CY315">
            <v>0</v>
          </cell>
          <cell r="CZ315">
            <v>0</v>
          </cell>
          <cell r="DA315">
            <v>0</v>
          </cell>
          <cell r="DB315"/>
          <cell r="DC315">
            <v>0</v>
          </cell>
          <cell r="DD315">
            <v>0</v>
          </cell>
          <cell r="DE315">
            <v>0</v>
          </cell>
          <cell r="DF315">
            <v>0</v>
          </cell>
          <cell r="DG315">
            <v>0</v>
          </cell>
          <cell r="DH315">
            <v>0</v>
          </cell>
          <cell r="DI315">
            <v>0</v>
          </cell>
          <cell r="DJ315">
            <v>0</v>
          </cell>
          <cell r="DK315">
            <v>0</v>
          </cell>
          <cell r="DL315">
            <v>0</v>
          </cell>
          <cell r="DM315"/>
          <cell r="DN315"/>
          <cell r="DO315"/>
          <cell r="DP315"/>
        </row>
        <row r="316">
          <cell r="A316">
            <v>1685</v>
          </cell>
          <cell r="B316" t="str">
            <v>Landerd</v>
          </cell>
          <cell r="C316">
            <v>10</v>
          </cell>
          <cell r="D316">
            <v>-24691</v>
          </cell>
          <cell r="E316">
            <v>-12346</v>
          </cell>
          <cell r="F316">
            <v>0</v>
          </cell>
          <cell r="G316">
            <v>0</v>
          </cell>
          <cell r="H316">
            <v>-9040</v>
          </cell>
          <cell r="I316">
            <v>-2812</v>
          </cell>
          <cell r="J316"/>
          <cell r="K316">
            <v>0</v>
          </cell>
          <cell r="L316">
            <v>45025</v>
          </cell>
          <cell r="M316">
            <v>36163</v>
          </cell>
          <cell r="N316">
            <v>0</v>
          </cell>
          <cell r="O316">
            <v>0</v>
          </cell>
          <cell r="P316">
            <v>0</v>
          </cell>
          <cell r="Q316">
            <v>0</v>
          </cell>
          <cell r="R316">
            <v>0</v>
          </cell>
          <cell r="S316">
            <v>0</v>
          </cell>
          <cell r="T316">
            <v>0</v>
          </cell>
          <cell r="U316">
            <v>0</v>
          </cell>
          <cell r="V316">
            <v>0</v>
          </cell>
          <cell r="W316">
            <v>46468</v>
          </cell>
          <cell r="X316">
            <v>0</v>
          </cell>
          <cell r="Y316"/>
          <cell r="Z316">
            <v>0</v>
          </cell>
          <cell r="AA316">
            <v>0</v>
          </cell>
          <cell r="AB316">
            <v>0</v>
          </cell>
          <cell r="AC316"/>
          <cell r="AD316">
            <v>0</v>
          </cell>
          <cell r="AE316">
            <v>0</v>
          </cell>
          <cell r="AF316">
            <v>0</v>
          </cell>
          <cell r="AG316">
            <v>0</v>
          </cell>
          <cell r="AH316">
            <v>0</v>
          </cell>
          <cell r="AI316">
            <v>0</v>
          </cell>
          <cell r="AJ316">
            <v>0</v>
          </cell>
          <cell r="AK316">
            <v>0</v>
          </cell>
          <cell r="AL316"/>
          <cell r="AM316">
            <v>0</v>
          </cell>
          <cell r="AN316">
            <v>0</v>
          </cell>
          <cell r="AO316">
            <v>0</v>
          </cell>
          <cell r="AP316">
            <v>0</v>
          </cell>
          <cell r="AQ316">
            <v>0</v>
          </cell>
          <cell r="AR316">
            <v>0</v>
          </cell>
          <cell r="AS316">
            <v>0</v>
          </cell>
          <cell r="AT316">
            <v>0</v>
          </cell>
          <cell r="AU316">
            <v>0</v>
          </cell>
          <cell r="AV316">
            <v>0</v>
          </cell>
          <cell r="AW316">
            <v>0</v>
          </cell>
          <cell r="AX316">
            <v>0</v>
          </cell>
          <cell r="AY316"/>
          <cell r="AZ316"/>
          <cell r="BA316">
            <v>0</v>
          </cell>
          <cell r="BB316"/>
          <cell r="BC316">
            <v>0</v>
          </cell>
          <cell r="BD316">
            <v>5382</v>
          </cell>
          <cell r="BE316"/>
          <cell r="BF316">
            <v>0</v>
          </cell>
          <cell r="BG316">
            <v>0</v>
          </cell>
          <cell r="BH316">
            <v>0</v>
          </cell>
          <cell r="BI316">
            <v>15110</v>
          </cell>
          <cell r="BJ316">
            <v>12437</v>
          </cell>
          <cell r="BK316">
            <v>12437</v>
          </cell>
          <cell r="BL316">
            <v>0</v>
          </cell>
          <cell r="BM316">
            <v>0</v>
          </cell>
          <cell r="BN316">
            <v>0</v>
          </cell>
          <cell r="BO316">
            <v>114311</v>
          </cell>
          <cell r="BP316">
            <v>0</v>
          </cell>
          <cell r="BQ316">
            <v>0</v>
          </cell>
          <cell r="BR316">
            <v>0</v>
          </cell>
          <cell r="BS316">
            <v>0</v>
          </cell>
          <cell r="BT316">
            <v>25623</v>
          </cell>
          <cell r="BU316"/>
          <cell r="BV316"/>
          <cell r="BW316"/>
          <cell r="BX316"/>
          <cell r="BY316">
            <v>0</v>
          </cell>
          <cell r="BZ316">
            <v>0</v>
          </cell>
          <cell r="CA316">
            <v>0</v>
          </cell>
          <cell r="CB316">
            <v>0</v>
          </cell>
          <cell r="CC316">
            <v>1079876</v>
          </cell>
          <cell r="CD316">
            <v>7538270</v>
          </cell>
          <cell r="CE316">
            <v>1098311</v>
          </cell>
          <cell r="CF316">
            <v>0</v>
          </cell>
          <cell r="CG316">
            <v>1098311</v>
          </cell>
          <cell r="CH316">
            <v>1098311</v>
          </cell>
          <cell r="CI316">
            <v>1098311</v>
          </cell>
          <cell r="CJ316">
            <v>1098311</v>
          </cell>
          <cell r="CK316">
            <v>0</v>
          </cell>
          <cell r="CL316">
            <v>0</v>
          </cell>
          <cell r="CM316">
            <v>0</v>
          </cell>
          <cell r="CN316">
            <v>0</v>
          </cell>
          <cell r="CO316">
            <v>0</v>
          </cell>
          <cell r="CP316">
            <v>-1014</v>
          </cell>
          <cell r="CQ316">
            <v>1990831</v>
          </cell>
          <cell r="CR316">
            <v>1837846</v>
          </cell>
          <cell r="CS316">
            <v>1739575</v>
          </cell>
          <cell r="CT316">
            <v>1660260</v>
          </cell>
          <cell r="CU316">
            <v>1589107</v>
          </cell>
          <cell r="CV316">
            <v>10954</v>
          </cell>
          <cell r="CW316">
            <v>0</v>
          </cell>
          <cell r="CX316">
            <v>0</v>
          </cell>
          <cell r="CY316">
            <v>0</v>
          </cell>
          <cell r="CZ316">
            <v>0</v>
          </cell>
          <cell r="DA316">
            <v>0</v>
          </cell>
          <cell r="DB316"/>
          <cell r="DC316">
            <v>0</v>
          </cell>
          <cell r="DD316">
            <v>0</v>
          </cell>
          <cell r="DE316">
            <v>0</v>
          </cell>
          <cell r="DF316">
            <v>0</v>
          </cell>
          <cell r="DG316">
            <v>0</v>
          </cell>
          <cell r="DH316">
            <v>0</v>
          </cell>
          <cell r="DI316">
            <v>0</v>
          </cell>
          <cell r="DJ316">
            <v>0</v>
          </cell>
          <cell r="DK316">
            <v>0</v>
          </cell>
          <cell r="DL316">
            <v>0</v>
          </cell>
          <cell r="DM316"/>
          <cell r="DN316"/>
          <cell r="DO316"/>
          <cell r="DP316"/>
        </row>
        <row r="317">
          <cell r="A317">
            <v>809</v>
          </cell>
          <cell r="B317" t="str">
            <v>Loon op Zand</v>
          </cell>
          <cell r="C317">
            <v>10</v>
          </cell>
          <cell r="D317">
            <v>-25189</v>
          </cell>
          <cell r="E317">
            <v>-12595</v>
          </cell>
          <cell r="F317">
            <v>0</v>
          </cell>
          <cell r="G317">
            <v>0</v>
          </cell>
          <cell r="H317">
            <v>-12314</v>
          </cell>
          <cell r="I317">
            <v>-7977</v>
          </cell>
          <cell r="J317"/>
          <cell r="K317">
            <v>0</v>
          </cell>
          <cell r="L317">
            <v>71009</v>
          </cell>
          <cell r="M317">
            <v>70636</v>
          </cell>
          <cell r="N317">
            <v>0</v>
          </cell>
          <cell r="O317">
            <v>0</v>
          </cell>
          <cell r="P317">
            <v>0</v>
          </cell>
          <cell r="Q317">
            <v>0</v>
          </cell>
          <cell r="R317">
            <v>0</v>
          </cell>
          <cell r="S317">
            <v>0</v>
          </cell>
          <cell r="T317">
            <v>0</v>
          </cell>
          <cell r="U317">
            <v>0</v>
          </cell>
          <cell r="V317">
            <v>3000</v>
          </cell>
          <cell r="W317">
            <v>81219</v>
          </cell>
          <cell r="X317">
            <v>0</v>
          </cell>
          <cell r="Y317"/>
          <cell r="Z317">
            <v>0</v>
          </cell>
          <cell r="AA317">
            <v>0</v>
          </cell>
          <cell r="AB317">
            <v>0</v>
          </cell>
          <cell r="AC317"/>
          <cell r="AD317">
            <v>0</v>
          </cell>
          <cell r="AE317">
            <v>0</v>
          </cell>
          <cell r="AF317">
            <v>0</v>
          </cell>
          <cell r="AG317">
            <v>0</v>
          </cell>
          <cell r="AH317">
            <v>0</v>
          </cell>
          <cell r="AI317">
            <v>0</v>
          </cell>
          <cell r="AJ317">
            <v>0</v>
          </cell>
          <cell r="AK317">
            <v>0</v>
          </cell>
          <cell r="AL317"/>
          <cell r="AM317">
            <v>0</v>
          </cell>
          <cell r="AN317">
            <v>0</v>
          </cell>
          <cell r="AO317">
            <v>0</v>
          </cell>
          <cell r="AP317">
            <v>0</v>
          </cell>
          <cell r="AQ317">
            <v>0</v>
          </cell>
          <cell r="AR317">
            <v>0</v>
          </cell>
          <cell r="AS317">
            <v>0</v>
          </cell>
          <cell r="AT317">
            <v>0</v>
          </cell>
          <cell r="AU317">
            <v>4740</v>
          </cell>
          <cell r="AV317">
            <v>0</v>
          </cell>
          <cell r="AW317">
            <v>0</v>
          </cell>
          <cell r="AX317">
            <v>0</v>
          </cell>
          <cell r="AY317"/>
          <cell r="AZ317"/>
          <cell r="BA317">
            <v>0</v>
          </cell>
          <cell r="BB317"/>
          <cell r="BC317">
            <v>0</v>
          </cell>
          <cell r="BD317">
            <v>8106</v>
          </cell>
          <cell r="BE317"/>
          <cell r="BF317">
            <v>0</v>
          </cell>
          <cell r="BG317">
            <v>0</v>
          </cell>
          <cell r="BH317">
            <v>0</v>
          </cell>
          <cell r="BI317">
            <v>30843</v>
          </cell>
          <cell r="BJ317">
            <v>25388</v>
          </cell>
          <cell r="BK317">
            <v>25388</v>
          </cell>
          <cell r="BL317">
            <v>0</v>
          </cell>
          <cell r="BM317">
            <v>0</v>
          </cell>
          <cell r="BN317">
            <v>0</v>
          </cell>
          <cell r="BO317">
            <v>51561</v>
          </cell>
          <cell r="BP317">
            <v>7907</v>
          </cell>
          <cell r="BQ317">
            <v>14244.186046511601</v>
          </cell>
          <cell r="BR317">
            <v>0</v>
          </cell>
          <cell r="BS317">
            <v>0</v>
          </cell>
          <cell r="BT317">
            <v>34315</v>
          </cell>
          <cell r="BU317"/>
          <cell r="BV317"/>
          <cell r="BW317"/>
          <cell r="BX317"/>
          <cell r="BY317">
            <v>0</v>
          </cell>
          <cell r="BZ317">
            <v>0</v>
          </cell>
          <cell r="CA317">
            <v>0</v>
          </cell>
          <cell r="CB317">
            <v>0</v>
          </cell>
          <cell r="CC317">
            <v>1956000</v>
          </cell>
          <cell r="CD317">
            <v>10523352</v>
          </cell>
          <cell r="CE317">
            <v>411046</v>
          </cell>
          <cell r="CF317">
            <v>0</v>
          </cell>
          <cell r="CG317">
            <v>411046</v>
          </cell>
          <cell r="CH317">
            <v>411046</v>
          </cell>
          <cell r="CI317">
            <v>411046</v>
          </cell>
          <cell r="CJ317">
            <v>411046</v>
          </cell>
          <cell r="CK317">
            <v>0</v>
          </cell>
          <cell r="CL317">
            <v>0</v>
          </cell>
          <cell r="CM317">
            <v>0</v>
          </cell>
          <cell r="CN317">
            <v>0</v>
          </cell>
          <cell r="CO317">
            <v>0</v>
          </cell>
          <cell r="CP317">
            <v>-2897</v>
          </cell>
          <cell r="CQ317">
            <v>2910489</v>
          </cell>
          <cell r="CR317">
            <v>2733752</v>
          </cell>
          <cell r="CS317">
            <v>2655748</v>
          </cell>
          <cell r="CT317">
            <v>2570973</v>
          </cell>
          <cell r="CU317">
            <v>2439863</v>
          </cell>
          <cell r="CV317">
            <v>17958</v>
          </cell>
          <cell r="CW317">
            <v>0</v>
          </cell>
          <cell r="CX317">
            <v>0</v>
          </cell>
          <cell r="CY317">
            <v>0</v>
          </cell>
          <cell r="CZ317">
            <v>0</v>
          </cell>
          <cell r="DA317">
            <v>0</v>
          </cell>
          <cell r="DB317"/>
          <cell r="DC317">
            <v>0</v>
          </cell>
          <cell r="DD317">
            <v>0</v>
          </cell>
          <cell r="DE317">
            <v>0</v>
          </cell>
          <cell r="DF317">
            <v>0</v>
          </cell>
          <cell r="DG317">
            <v>0</v>
          </cell>
          <cell r="DH317">
            <v>0</v>
          </cell>
          <cell r="DI317">
            <v>0</v>
          </cell>
          <cell r="DJ317">
            <v>0</v>
          </cell>
          <cell r="DK317">
            <v>0</v>
          </cell>
          <cell r="DL317">
            <v>0</v>
          </cell>
          <cell r="DM317"/>
          <cell r="DN317"/>
          <cell r="DO317"/>
          <cell r="DP317"/>
        </row>
        <row r="318">
          <cell r="A318">
            <v>1948</v>
          </cell>
          <cell r="B318" t="str">
            <v>Meierijstad</v>
          </cell>
          <cell r="C318">
            <v>10</v>
          </cell>
          <cell r="D318">
            <v>-95473</v>
          </cell>
          <cell r="E318">
            <v>-47736</v>
          </cell>
          <cell r="F318">
            <v>0</v>
          </cell>
          <cell r="G318">
            <v>0</v>
          </cell>
          <cell r="H318">
            <v>-105453</v>
          </cell>
          <cell r="I318">
            <v>-59572</v>
          </cell>
          <cell r="J318"/>
          <cell r="K318">
            <v>0</v>
          </cell>
          <cell r="L318">
            <v>296592</v>
          </cell>
          <cell r="M318">
            <v>266332</v>
          </cell>
          <cell r="N318">
            <v>0</v>
          </cell>
          <cell r="O318">
            <v>0</v>
          </cell>
          <cell r="P318">
            <v>0</v>
          </cell>
          <cell r="Q318">
            <v>0</v>
          </cell>
          <cell r="R318">
            <v>0</v>
          </cell>
          <cell r="S318">
            <v>0</v>
          </cell>
          <cell r="T318">
            <v>0</v>
          </cell>
          <cell r="U318">
            <v>0</v>
          </cell>
          <cell r="V318">
            <v>24000</v>
          </cell>
          <cell r="W318">
            <v>324028</v>
          </cell>
          <cell r="X318">
            <v>0</v>
          </cell>
          <cell r="Y318"/>
          <cell r="Z318">
            <v>0</v>
          </cell>
          <cell r="AA318">
            <v>0</v>
          </cell>
          <cell r="AB318">
            <v>0</v>
          </cell>
          <cell r="AC318"/>
          <cell r="AD318">
            <v>20000</v>
          </cell>
          <cell r="AE318">
            <v>0</v>
          </cell>
          <cell r="AF318">
            <v>0</v>
          </cell>
          <cell r="AG318">
            <v>0</v>
          </cell>
          <cell r="AH318">
            <v>0</v>
          </cell>
          <cell r="AI318">
            <v>0</v>
          </cell>
          <cell r="AJ318">
            <v>0</v>
          </cell>
          <cell r="AK318">
            <v>0</v>
          </cell>
          <cell r="AL318"/>
          <cell r="AM318">
            <v>0</v>
          </cell>
          <cell r="AN318">
            <v>0</v>
          </cell>
          <cell r="AO318">
            <v>0</v>
          </cell>
          <cell r="AP318">
            <v>0</v>
          </cell>
          <cell r="AQ318">
            <v>0</v>
          </cell>
          <cell r="AR318">
            <v>0</v>
          </cell>
          <cell r="AS318">
            <v>0</v>
          </cell>
          <cell r="AT318">
            <v>0</v>
          </cell>
          <cell r="AU318">
            <v>7110</v>
          </cell>
          <cell r="AV318">
            <v>0</v>
          </cell>
          <cell r="AW318">
            <v>0</v>
          </cell>
          <cell r="AX318">
            <v>0</v>
          </cell>
          <cell r="AY318"/>
          <cell r="AZ318"/>
          <cell r="BA318">
            <v>0</v>
          </cell>
          <cell r="BB318"/>
          <cell r="BC318">
            <v>0</v>
          </cell>
          <cell r="BD318">
            <v>140125</v>
          </cell>
          <cell r="BE318"/>
          <cell r="BF318">
            <v>0</v>
          </cell>
          <cell r="BG318">
            <v>0</v>
          </cell>
          <cell r="BH318">
            <v>0</v>
          </cell>
          <cell r="BI318">
            <v>95881</v>
          </cell>
          <cell r="BJ318">
            <v>78924</v>
          </cell>
          <cell r="BK318">
            <v>78924</v>
          </cell>
          <cell r="BL318">
            <v>0</v>
          </cell>
          <cell r="BM318">
            <v>0</v>
          </cell>
          <cell r="BN318">
            <v>0</v>
          </cell>
          <cell r="BO318">
            <v>267049</v>
          </cell>
          <cell r="BP318">
            <v>50604.800000000003</v>
          </cell>
          <cell r="BQ318">
            <v>91162.790697674398</v>
          </cell>
          <cell r="BR318">
            <v>0</v>
          </cell>
          <cell r="BS318">
            <v>0</v>
          </cell>
          <cell r="BT318">
            <v>121773</v>
          </cell>
          <cell r="BU318"/>
          <cell r="BV318"/>
          <cell r="BW318"/>
          <cell r="BX318"/>
          <cell r="BY318">
            <v>0</v>
          </cell>
          <cell r="BZ318">
            <v>0</v>
          </cell>
          <cell r="CA318">
            <v>0</v>
          </cell>
          <cell r="CB318">
            <v>0</v>
          </cell>
          <cell r="CC318">
            <v>5718897</v>
          </cell>
          <cell r="CD318">
            <v>41046284</v>
          </cell>
          <cell r="CE318">
            <v>1914460</v>
          </cell>
          <cell r="CF318">
            <v>-58032</v>
          </cell>
          <cell r="CG318">
            <v>1914460</v>
          </cell>
          <cell r="CH318">
            <v>1914460</v>
          </cell>
          <cell r="CI318">
            <v>1914460</v>
          </cell>
          <cell r="CJ318">
            <v>1914460</v>
          </cell>
          <cell r="CK318">
            <v>0</v>
          </cell>
          <cell r="CL318">
            <v>0</v>
          </cell>
          <cell r="CM318">
            <v>0</v>
          </cell>
          <cell r="CN318">
            <v>0</v>
          </cell>
          <cell r="CO318">
            <v>0</v>
          </cell>
          <cell r="CP318">
            <v>-12716</v>
          </cell>
          <cell r="CQ318">
            <v>14958885</v>
          </cell>
          <cell r="CR318">
            <v>14188429</v>
          </cell>
          <cell r="CS318">
            <v>13774925</v>
          </cell>
          <cell r="CT318">
            <v>13470340</v>
          </cell>
          <cell r="CU318">
            <v>13207151</v>
          </cell>
          <cell r="CV318">
            <v>-35535</v>
          </cell>
          <cell r="CW318">
            <v>0</v>
          </cell>
          <cell r="CX318">
            <v>0</v>
          </cell>
          <cell r="CY318">
            <v>0</v>
          </cell>
          <cell r="CZ318">
            <v>0</v>
          </cell>
          <cell r="DA318">
            <v>0</v>
          </cell>
          <cell r="DB318"/>
          <cell r="DC318">
            <v>0</v>
          </cell>
          <cell r="DD318">
            <v>0</v>
          </cell>
          <cell r="DE318">
            <v>0</v>
          </cell>
          <cell r="DF318">
            <v>0</v>
          </cell>
          <cell r="DG318">
            <v>0</v>
          </cell>
          <cell r="DH318">
            <v>0</v>
          </cell>
          <cell r="DI318">
            <v>0</v>
          </cell>
          <cell r="DJ318">
            <v>0</v>
          </cell>
          <cell r="DK318">
            <v>0</v>
          </cell>
          <cell r="DL318">
            <v>0</v>
          </cell>
          <cell r="DM318"/>
          <cell r="DN318"/>
          <cell r="DO318"/>
          <cell r="DP318"/>
        </row>
        <row r="319">
          <cell r="A319">
            <v>815</v>
          </cell>
          <cell r="B319" t="str">
            <v>Mill en Sint Hubert</v>
          </cell>
          <cell r="C319">
            <v>10</v>
          </cell>
          <cell r="D319">
            <v>-415</v>
          </cell>
          <cell r="E319">
            <v>-208</v>
          </cell>
          <cell r="F319">
            <v>0</v>
          </cell>
          <cell r="G319">
            <v>24377</v>
          </cell>
          <cell r="H319">
            <v>-20881</v>
          </cell>
          <cell r="I319">
            <v>-14183</v>
          </cell>
          <cell r="J319"/>
          <cell r="K319">
            <v>0</v>
          </cell>
          <cell r="L319">
            <v>33426</v>
          </cell>
          <cell r="M319">
            <v>25998</v>
          </cell>
          <cell r="N319">
            <v>0</v>
          </cell>
          <cell r="O319">
            <v>0</v>
          </cell>
          <cell r="P319">
            <v>0</v>
          </cell>
          <cell r="Q319">
            <v>0</v>
          </cell>
          <cell r="R319">
            <v>0</v>
          </cell>
          <cell r="S319">
            <v>0</v>
          </cell>
          <cell r="T319">
            <v>0</v>
          </cell>
          <cell r="U319">
            <v>0</v>
          </cell>
          <cell r="V319">
            <v>6000</v>
          </cell>
          <cell r="W319">
            <v>45484</v>
          </cell>
          <cell r="X319">
            <v>0</v>
          </cell>
          <cell r="Y319"/>
          <cell r="Z319">
            <v>0</v>
          </cell>
          <cell r="AA319">
            <v>0</v>
          </cell>
          <cell r="AB319">
            <v>0</v>
          </cell>
          <cell r="AC319"/>
          <cell r="AD319">
            <v>0</v>
          </cell>
          <cell r="AE319">
            <v>0</v>
          </cell>
          <cell r="AF319">
            <v>0</v>
          </cell>
          <cell r="AG319">
            <v>0</v>
          </cell>
          <cell r="AH319">
            <v>0</v>
          </cell>
          <cell r="AI319">
            <v>0</v>
          </cell>
          <cell r="AJ319">
            <v>0</v>
          </cell>
          <cell r="AK319">
            <v>0</v>
          </cell>
          <cell r="AL319"/>
          <cell r="AM319">
            <v>0</v>
          </cell>
          <cell r="AN319">
            <v>0</v>
          </cell>
          <cell r="AO319">
            <v>0</v>
          </cell>
          <cell r="AP319">
            <v>0</v>
          </cell>
          <cell r="AQ319">
            <v>0</v>
          </cell>
          <cell r="AR319">
            <v>0</v>
          </cell>
          <cell r="AS319">
            <v>0</v>
          </cell>
          <cell r="AT319">
            <v>0</v>
          </cell>
          <cell r="AU319">
            <v>0</v>
          </cell>
          <cell r="AV319">
            <v>0</v>
          </cell>
          <cell r="AW319">
            <v>0</v>
          </cell>
          <cell r="AX319">
            <v>0</v>
          </cell>
          <cell r="AY319"/>
          <cell r="AZ319"/>
          <cell r="BA319">
            <v>0</v>
          </cell>
          <cell r="BB319"/>
          <cell r="BC319">
            <v>0</v>
          </cell>
          <cell r="BD319">
            <v>3794</v>
          </cell>
          <cell r="BE319"/>
          <cell r="BF319">
            <v>0</v>
          </cell>
          <cell r="BG319">
            <v>0</v>
          </cell>
          <cell r="BH319">
            <v>0</v>
          </cell>
          <cell r="BI319">
            <v>14785</v>
          </cell>
          <cell r="BJ319">
            <v>12170</v>
          </cell>
          <cell r="BK319">
            <v>12170</v>
          </cell>
          <cell r="BL319">
            <v>0</v>
          </cell>
          <cell r="BM319">
            <v>0</v>
          </cell>
          <cell r="BN319">
            <v>0</v>
          </cell>
          <cell r="BO319">
            <v>96799</v>
          </cell>
          <cell r="BP319">
            <v>3162.8</v>
          </cell>
          <cell r="BQ319">
            <v>5697.6744186046499</v>
          </cell>
          <cell r="BR319">
            <v>0</v>
          </cell>
          <cell r="BS319">
            <v>0</v>
          </cell>
          <cell r="BT319">
            <v>19265</v>
          </cell>
          <cell r="BU319"/>
          <cell r="BV319"/>
          <cell r="BW319"/>
          <cell r="BX319"/>
          <cell r="BY319">
            <v>0</v>
          </cell>
          <cell r="BZ319">
            <v>0</v>
          </cell>
          <cell r="CA319">
            <v>0</v>
          </cell>
          <cell r="CB319">
            <v>0</v>
          </cell>
          <cell r="CC319">
            <v>879846</v>
          </cell>
          <cell r="CD319">
            <v>6244828</v>
          </cell>
          <cell r="CE319">
            <v>300957</v>
          </cell>
          <cell r="CF319">
            <v>-15051</v>
          </cell>
          <cell r="CG319">
            <v>300957</v>
          </cell>
          <cell r="CH319">
            <v>300957</v>
          </cell>
          <cell r="CI319">
            <v>300957</v>
          </cell>
          <cell r="CJ319">
            <v>300957</v>
          </cell>
          <cell r="CK319">
            <v>0</v>
          </cell>
          <cell r="CL319">
            <v>0</v>
          </cell>
          <cell r="CM319">
            <v>0</v>
          </cell>
          <cell r="CN319">
            <v>0</v>
          </cell>
          <cell r="CO319">
            <v>0</v>
          </cell>
          <cell r="CP319">
            <v>-2884</v>
          </cell>
          <cell r="CQ319">
            <v>2509907</v>
          </cell>
          <cell r="CR319">
            <v>2384298</v>
          </cell>
          <cell r="CS319">
            <v>2337325</v>
          </cell>
          <cell r="CT319">
            <v>2275204</v>
          </cell>
          <cell r="CU319">
            <v>2187253</v>
          </cell>
          <cell r="CV319">
            <v>8585</v>
          </cell>
          <cell r="CW319">
            <v>0</v>
          </cell>
          <cell r="CX319">
            <v>0</v>
          </cell>
          <cell r="CY319">
            <v>0</v>
          </cell>
          <cell r="CZ319">
            <v>0</v>
          </cell>
          <cell r="DA319">
            <v>0</v>
          </cell>
          <cell r="DB319"/>
          <cell r="DC319">
            <v>0</v>
          </cell>
          <cell r="DD319">
            <v>0</v>
          </cell>
          <cell r="DE319">
            <v>0</v>
          </cell>
          <cell r="DF319">
            <v>0</v>
          </cell>
          <cell r="DG319">
            <v>0</v>
          </cell>
          <cell r="DH319">
            <v>0</v>
          </cell>
          <cell r="DI319">
            <v>0</v>
          </cell>
          <cell r="DJ319">
            <v>0</v>
          </cell>
          <cell r="DK319">
            <v>0</v>
          </cell>
          <cell r="DL319">
            <v>0</v>
          </cell>
          <cell r="DM319"/>
          <cell r="DN319"/>
          <cell r="DO319"/>
          <cell r="DP319"/>
        </row>
        <row r="320">
          <cell r="A320">
            <v>1709</v>
          </cell>
          <cell r="B320" t="str">
            <v>Moerdijk</v>
          </cell>
          <cell r="C320">
            <v>10</v>
          </cell>
          <cell r="D320">
            <v>52042</v>
          </cell>
          <cell r="E320">
            <v>26021</v>
          </cell>
          <cell r="F320">
            <v>0</v>
          </cell>
          <cell r="G320">
            <v>1497970</v>
          </cell>
          <cell r="H320">
            <v>-22405</v>
          </cell>
          <cell r="I320">
            <v>-3010</v>
          </cell>
          <cell r="J320"/>
          <cell r="K320">
            <v>0</v>
          </cell>
          <cell r="L320">
            <v>126062</v>
          </cell>
          <cell r="M320">
            <v>121703</v>
          </cell>
          <cell r="N320">
            <v>0</v>
          </cell>
          <cell r="O320">
            <v>0</v>
          </cell>
          <cell r="P320">
            <v>0</v>
          </cell>
          <cell r="Q320">
            <v>0</v>
          </cell>
          <cell r="R320">
            <v>0</v>
          </cell>
          <cell r="S320">
            <v>0</v>
          </cell>
          <cell r="T320">
            <v>0</v>
          </cell>
          <cell r="U320">
            <v>0</v>
          </cell>
          <cell r="V320">
            <v>17500</v>
          </cell>
          <cell r="W320">
            <v>141507</v>
          </cell>
          <cell r="X320">
            <v>0</v>
          </cell>
          <cell r="Y320"/>
          <cell r="Z320">
            <v>0</v>
          </cell>
          <cell r="AA320">
            <v>0</v>
          </cell>
          <cell r="AB320">
            <v>0</v>
          </cell>
          <cell r="AC320"/>
          <cell r="AD320">
            <v>0</v>
          </cell>
          <cell r="AE320">
            <v>0</v>
          </cell>
          <cell r="AF320">
            <v>0</v>
          </cell>
          <cell r="AG320">
            <v>0</v>
          </cell>
          <cell r="AH320">
            <v>0</v>
          </cell>
          <cell r="AI320">
            <v>0</v>
          </cell>
          <cell r="AJ320">
            <v>0</v>
          </cell>
          <cell r="AK320">
            <v>0</v>
          </cell>
          <cell r="AL320"/>
          <cell r="AM320">
            <v>0</v>
          </cell>
          <cell r="AN320">
            <v>0</v>
          </cell>
          <cell r="AO320">
            <v>0</v>
          </cell>
          <cell r="AP320">
            <v>0</v>
          </cell>
          <cell r="AQ320">
            <v>0</v>
          </cell>
          <cell r="AR320">
            <v>0</v>
          </cell>
          <cell r="AS320">
            <v>0</v>
          </cell>
          <cell r="AT320">
            <v>0</v>
          </cell>
          <cell r="AU320">
            <v>26070</v>
          </cell>
          <cell r="AV320">
            <v>0</v>
          </cell>
          <cell r="AW320">
            <v>0</v>
          </cell>
          <cell r="AX320">
            <v>0</v>
          </cell>
          <cell r="AY320"/>
          <cell r="AZ320"/>
          <cell r="BA320">
            <v>0</v>
          </cell>
          <cell r="BB320"/>
          <cell r="BC320">
            <v>0</v>
          </cell>
          <cell r="BD320">
            <v>12969</v>
          </cell>
          <cell r="BE320"/>
          <cell r="BF320">
            <v>0</v>
          </cell>
          <cell r="BG320">
            <v>0</v>
          </cell>
          <cell r="BH320">
            <v>0</v>
          </cell>
          <cell r="BI320">
            <v>48212</v>
          </cell>
          <cell r="BJ320">
            <v>39686</v>
          </cell>
          <cell r="BK320">
            <v>39686</v>
          </cell>
          <cell r="BL320">
            <v>0</v>
          </cell>
          <cell r="BM320">
            <v>0</v>
          </cell>
          <cell r="BN320">
            <v>0</v>
          </cell>
          <cell r="BO320">
            <v>719913</v>
          </cell>
          <cell r="BP320">
            <v>17395.400000000001</v>
          </cell>
          <cell r="BQ320">
            <v>31337.209302325598</v>
          </cell>
          <cell r="BR320">
            <v>0</v>
          </cell>
          <cell r="BS320">
            <v>0</v>
          </cell>
          <cell r="BT320">
            <v>68372</v>
          </cell>
          <cell r="BU320"/>
          <cell r="BV320"/>
          <cell r="BW320"/>
          <cell r="BX320"/>
          <cell r="BY320">
            <v>0</v>
          </cell>
          <cell r="BZ320">
            <v>0</v>
          </cell>
          <cell r="CA320">
            <v>0</v>
          </cell>
          <cell r="CB320">
            <v>0</v>
          </cell>
          <cell r="CC320">
            <v>2906080</v>
          </cell>
          <cell r="CD320">
            <v>15406926</v>
          </cell>
          <cell r="CE320">
            <v>1892712</v>
          </cell>
          <cell r="CF320">
            <v>0</v>
          </cell>
          <cell r="CG320">
            <v>1892712</v>
          </cell>
          <cell r="CH320">
            <v>1892712</v>
          </cell>
          <cell r="CI320">
            <v>1892712</v>
          </cell>
          <cell r="CJ320">
            <v>1892712</v>
          </cell>
          <cell r="CK320">
            <v>0</v>
          </cell>
          <cell r="CL320">
            <v>0</v>
          </cell>
          <cell r="CM320">
            <v>0</v>
          </cell>
          <cell r="CN320">
            <v>0</v>
          </cell>
          <cell r="CO320">
            <v>0</v>
          </cell>
          <cell r="CP320">
            <v>-1085</v>
          </cell>
          <cell r="CQ320">
            <v>2876664</v>
          </cell>
          <cell r="CR320">
            <v>2738952</v>
          </cell>
          <cell r="CS320">
            <v>2651810</v>
          </cell>
          <cell r="CT320">
            <v>2561496</v>
          </cell>
          <cell r="CU320">
            <v>2507421</v>
          </cell>
          <cell r="CV320">
            <v>-9815</v>
          </cell>
          <cell r="CW320">
            <v>0</v>
          </cell>
          <cell r="CX320">
            <v>0</v>
          </cell>
          <cell r="CY320">
            <v>0</v>
          </cell>
          <cell r="CZ320">
            <v>0</v>
          </cell>
          <cell r="DA320">
            <v>0</v>
          </cell>
          <cell r="DB320"/>
          <cell r="DC320">
            <v>0</v>
          </cell>
          <cell r="DD320">
            <v>0</v>
          </cell>
          <cell r="DE320">
            <v>0</v>
          </cell>
          <cell r="DF320">
            <v>0</v>
          </cell>
          <cell r="DG320">
            <v>0</v>
          </cell>
          <cell r="DH320">
            <v>0</v>
          </cell>
          <cell r="DI320">
            <v>7958000</v>
          </cell>
          <cell r="DJ320">
            <v>0</v>
          </cell>
          <cell r="DK320">
            <v>0</v>
          </cell>
          <cell r="DL320">
            <v>0</v>
          </cell>
          <cell r="DM320"/>
          <cell r="DN320"/>
          <cell r="DO320"/>
          <cell r="DP320"/>
        </row>
        <row r="321">
          <cell r="A321">
            <v>820</v>
          </cell>
          <cell r="B321" t="str">
            <v>Nuenen c.a.</v>
          </cell>
          <cell r="C321">
            <v>10</v>
          </cell>
          <cell r="D321">
            <v>46384</v>
          </cell>
          <cell r="E321">
            <v>23192</v>
          </cell>
          <cell r="F321">
            <v>0</v>
          </cell>
          <cell r="G321">
            <v>0</v>
          </cell>
          <cell r="H321">
            <v>-18891</v>
          </cell>
          <cell r="I321">
            <v>-6472</v>
          </cell>
          <cell r="J321"/>
          <cell r="K321">
            <v>0</v>
          </cell>
          <cell r="L321">
            <v>66851</v>
          </cell>
          <cell r="M321">
            <v>52995</v>
          </cell>
          <cell r="N321">
            <v>0</v>
          </cell>
          <cell r="O321">
            <v>0</v>
          </cell>
          <cell r="P321">
            <v>0</v>
          </cell>
          <cell r="Q321">
            <v>0</v>
          </cell>
          <cell r="R321">
            <v>0</v>
          </cell>
          <cell r="S321">
            <v>0</v>
          </cell>
          <cell r="T321">
            <v>0</v>
          </cell>
          <cell r="U321">
            <v>0</v>
          </cell>
          <cell r="V321">
            <v>0</v>
          </cell>
          <cell r="W321">
            <v>69905</v>
          </cell>
          <cell r="X321">
            <v>0</v>
          </cell>
          <cell r="Y321"/>
          <cell r="Z321">
            <v>0</v>
          </cell>
          <cell r="AA321">
            <v>0</v>
          </cell>
          <cell r="AB321">
            <v>0</v>
          </cell>
          <cell r="AC321"/>
          <cell r="AD321">
            <v>0</v>
          </cell>
          <cell r="AE321">
            <v>0</v>
          </cell>
          <cell r="AF321">
            <v>0</v>
          </cell>
          <cell r="AG321">
            <v>0</v>
          </cell>
          <cell r="AH321">
            <v>0</v>
          </cell>
          <cell r="AI321">
            <v>0</v>
          </cell>
          <cell r="AJ321">
            <v>0</v>
          </cell>
          <cell r="AK321">
            <v>0</v>
          </cell>
          <cell r="AL321"/>
          <cell r="AM321">
            <v>0</v>
          </cell>
          <cell r="AN321">
            <v>0</v>
          </cell>
          <cell r="AO321">
            <v>0</v>
          </cell>
          <cell r="AP321">
            <v>0</v>
          </cell>
          <cell r="AQ321">
            <v>0</v>
          </cell>
          <cell r="AR321">
            <v>0</v>
          </cell>
          <cell r="AS321">
            <v>0</v>
          </cell>
          <cell r="AT321">
            <v>0</v>
          </cell>
          <cell r="AU321">
            <v>4740</v>
          </cell>
          <cell r="AV321">
            <v>0</v>
          </cell>
          <cell r="AW321">
            <v>0</v>
          </cell>
          <cell r="AX321">
            <v>0</v>
          </cell>
          <cell r="AY321"/>
          <cell r="AZ321"/>
          <cell r="BA321">
            <v>0</v>
          </cell>
          <cell r="BB321"/>
          <cell r="BC321">
            <v>0</v>
          </cell>
          <cell r="BD321">
            <v>8027</v>
          </cell>
          <cell r="BE321"/>
          <cell r="BF321">
            <v>0</v>
          </cell>
          <cell r="BG321">
            <v>0</v>
          </cell>
          <cell r="BH321">
            <v>0</v>
          </cell>
          <cell r="BI321">
            <v>17422</v>
          </cell>
          <cell r="BJ321">
            <v>14341</v>
          </cell>
          <cell r="BK321">
            <v>14341</v>
          </cell>
          <cell r="BL321">
            <v>0</v>
          </cell>
          <cell r="BM321">
            <v>0</v>
          </cell>
          <cell r="BN321">
            <v>0</v>
          </cell>
          <cell r="BO321">
            <v>0</v>
          </cell>
          <cell r="BP321">
            <v>28465.200000000001</v>
          </cell>
          <cell r="BQ321">
            <v>51279.069767441899</v>
          </cell>
          <cell r="BR321">
            <v>125000</v>
          </cell>
          <cell r="BS321">
            <v>0</v>
          </cell>
          <cell r="BT321">
            <v>33825</v>
          </cell>
          <cell r="BU321"/>
          <cell r="BV321"/>
          <cell r="BW321"/>
          <cell r="BX321"/>
          <cell r="BY321">
            <v>0</v>
          </cell>
          <cell r="BZ321">
            <v>0</v>
          </cell>
          <cell r="CA321">
            <v>0</v>
          </cell>
          <cell r="CB321">
            <v>0</v>
          </cell>
          <cell r="CC321">
            <v>1541981</v>
          </cell>
          <cell r="CD321">
            <v>7387743</v>
          </cell>
          <cell r="CE321">
            <v>541374</v>
          </cell>
          <cell r="CF321">
            <v>0</v>
          </cell>
          <cell r="CG321">
            <v>541374</v>
          </cell>
          <cell r="CH321">
            <v>541374</v>
          </cell>
          <cell r="CI321">
            <v>541374</v>
          </cell>
          <cell r="CJ321">
            <v>541374</v>
          </cell>
          <cell r="CK321">
            <v>0</v>
          </cell>
          <cell r="CL321">
            <v>0</v>
          </cell>
          <cell r="CM321">
            <v>0</v>
          </cell>
          <cell r="CN321">
            <v>0</v>
          </cell>
          <cell r="CO321">
            <v>0</v>
          </cell>
          <cell r="CP321">
            <v>-2338</v>
          </cell>
          <cell r="CQ321">
            <v>1479340</v>
          </cell>
          <cell r="CR321">
            <v>1447583</v>
          </cell>
          <cell r="CS321">
            <v>1430222</v>
          </cell>
          <cell r="CT321">
            <v>1427033</v>
          </cell>
          <cell r="CU321">
            <v>1407515</v>
          </cell>
          <cell r="CV321">
            <v>-11710</v>
          </cell>
          <cell r="CW321">
            <v>0</v>
          </cell>
          <cell r="CX321">
            <v>0</v>
          </cell>
          <cell r="CY321">
            <v>0</v>
          </cell>
          <cell r="CZ321">
            <v>0</v>
          </cell>
          <cell r="DA321">
            <v>0</v>
          </cell>
          <cell r="DB321"/>
          <cell r="DC321">
            <v>0</v>
          </cell>
          <cell r="DD321">
            <v>0</v>
          </cell>
          <cell r="DE321">
            <v>0</v>
          </cell>
          <cell r="DF321">
            <v>0</v>
          </cell>
          <cell r="DG321">
            <v>0</v>
          </cell>
          <cell r="DH321">
            <v>0</v>
          </cell>
          <cell r="DI321">
            <v>0</v>
          </cell>
          <cell r="DJ321">
            <v>0</v>
          </cell>
          <cell r="DK321">
            <v>0</v>
          </cell>
          <cell r="DL321">
            <v>0</v>
          </cell>
          <cell r="DM321"/>
          <cell r="DN321"/>
          <cell r="DO321"/>
          <cell r="DP321"/>
        </row>
        <row r="322">
          <cell r="A322">
            <v>823</v>
          </cell>
          <cell r="B322" t="str">
            <v>Oirschot</v>
          </cell>
          <cell r="C322">
            <v>10</v>
          </cell>
          <cell r="D322">
            <v>-23063</v>
          </cell>
          <cell r="E322">
            <v>-11531</v>
          </cell>
          <cell r="F322">
            <v>0</v>
          </cell>
          <cell r="G322">
            <v>0</v>
          </cell>
          <cell r="H322">
            <v>-30728</v>
          </cell>
          <cell r="I322">
            <v>-20850</v>
          </cell>
          <cell r="J322"/>
          <cell r="K322">
            <v>0</v>
          </cell>
          <cell r="L322">
            <v>42259</v>
          </cell>
          <cell r="M322">
            <v>41996</v>
          </cell>
          <cell r="N322">
            <v>0</v>
          </cell>
          <cell r="O322">
            <v>0</v>
          </cell>
          <cell r="P322">
            <v>0</v>
          </cell>
          <cell r="Q322">
            <v>0</v>
          </cell>
          <cell r="R322">
            <v>0</v>
          </cell>
          <cell r="S322">
            <v>0</v>
          </cell>
          <cell r="T322">
            <v>0</v>
          </cell>
          <cell r="U322">
            <v>0</v>
          </cell>
          <cell r="V322">
            <v>6000</v>
          </cell>
          <cell r="W322">
            <v>56368</v>
          </cell>
          <cell r="X322">
            <v>0</v>
          </cell>
          <cell r="Y322"/>
          <cell r="Z322">
            <v>0</v>
          </cell>
          <cell r="AA322">
            <v>0</v>
          </cell>
          <cell r="AB322">
            <v>0</v>
          </cell>
          <cell r="AC322"/>
          <cell r="AD322">
            <v>0</v>
          </cell>
          <cell r="AE322">
            <v>0</v>
          </cell>
          <cell r="AF322">
            <v>0</v>
          </cell>
          <cell r="AG322">
            <v>0</v>
          </cell>
          <cell r="AH322">
            <v>0</v>
          </cell>
          <cell r="AI322">
            <v>0</v>
          </cell>
          <cell r="AJ322">
            <v>0</v>
          </cell>
          <cell r="AK322">
            <v>0</v>
          </cell>
          <cell r="AL322"/>
          <cell r="AM322">
            <v>0</v>
          </cell>
          <cell r="AN322">
            <v>0</v>
          </cell>
          <cell r="AO322">
            <v>0</v>
          </cell>
          <cell r="AP322">
            <v>0</v>
          </cell>
          <cell r="AQ322">
            <v>0</v>
          </cell>
          <cell r="AR322">
            <v>0</v>
          </cell>
          <cell r="AS322">
            <v>0</v>
          </cell>
          <cell r="AT322">
            <v>0</v>
          </cell>
          <cell r="AU322">
            <v>0</v>
          </cell>
          <cell r="AV322">
            <v>0</v>
          </cell>
          <cell r="AW322">
            <v>0</v>
          </cell>
          <cell r="AX322">
            <v>0</v>
          </cell>
          <cell r="AY322"/>
          <cell r="AZ322"/>
          <cell r="BA322">
            <v>0</v>
          </cell>
          <cell r="BB322"/>
          <cell r="BC322">
            <v>0</v>
          </cell>
          <cell r="BD322">
            <v>6494</v>
          </cell>
          <cell r="BE322"/>
          <cell r="BF322">
            <v>0</v>
          </cell>
          <cell r="BG322">
            <v>0</v>
          </cell>
          <cell r="BH322">
            <v>0</v>
          </cell>
          <cell r="BI322">
            <v>18069</v>
          </cell>
          <cell r="BJ322">
            <v>14873</v>
          </cell>
          <cell r="BK322">
            <v>14873</v>
          </cell>
          <cell r="BL322">
            <v>0</v>
          </cell>
          <cell r="BM322">
            <v>0</v>
          </cell>
          <cell r="BN322">
            <v>0</v>
          </cell>
          <cell r="BO322">
            <v>58371</v>
          </cell>
          <cell r="BP322">
            <v>4744.2</v>
          </cell>
          <cell r="BQ322">
            <v>8546.5116279069807</v>
          </cell>
          <cell r="BR322">
            <v>0</v>
          </cell>
          <cell r="BS322">
            <v>0</v>
          </cell>
          <cell r="BT322">
            <v>28459</v>
          </cell>
          <cell r="BU322"/>
          <cell r="BV322"/>
          <cell r="BW322"/>
          <cell r="BX322"/>
          <cell r="BY322">
            <v>0</v>
          </cell>
          <cell r="BZ322">
            <v>0</v>
          </cell>
          <cell r="CA322">
            <v>0</v>
          </cell>
          <cell r="CB322">
            <v>0</v>
          </cell>
          <cell r="CC322">
            <v>1191869</v>
          </cell>
          <cell r="CD322">
            <v>7097620</v>
          </cell>
          <cell r="CE322">
            <v>175576</v>
          </cell>
          <cell r="CF322">
            <v>-33256</v>
          </cell>
          <cell r="CG322">
            <v>175576</v>
          </cell>
          <cell r="CH322">
            <v>175576</v>
          </cell>
          <cell r="CI322">
            <v>175576</v>
          </cell>
          <cell r="CJ322">
            <v>175576</v>
          </cell>
          <cell r="CK322">
            <v>0</v>
          </cell>
          <cell r="CL322">
            <v>0</v>
          </cell>
          <cell r="CM322">
            <v>0</v>
          </cell>
          <cell r="CN322">
            <v>0</v>
          </cell>
          <cell r="CO322">
            <v>0</v>
          </cell>
          <cell r="CP322">
            <v>-2522</v>
          </cell>
          <cell r="CQ322">
            <v>2598395</v>
          </cell>
          <cell r="CR322">
            <v>2451496</v>
          </cell>
          <cell r="CS322">
            <v>2377278</v>
          </cell>
          <cell r="CT322">
            <v>2327497</v>
          </cell>
          <cell r="CU322">
            <v>2265201</v>
          </cell>
          <cell r="CV322">
            <v>-6316</v>
          </cell>
          <cell r="CW322">
            <v>0</v>
          </cell>
          <cell r="CX322">
            <v>0</v>
          </cell>
          <cell r="CY322">
            <v>0</v>
          </cell>
          <cell r="CZ322">
            <v>0</v>
          </cell>
          <cell r="DA322">
            <v>0</v>
          </cell>
          <cell r="DB322"/>
          <cell r="DC322">
            <v>0</v>
          </cell>
          <cell r="DD322">
            <v>0</v>
          </cell>
          <cell r="DE322">
            <v>0</v>
          </cell>
          <cell r="DF322">
            <v>0</v>
          </cell>
          <cell r="DG322">
            <v>0</v>
          </cell>
          <cell r="DH322">
            <v>0</v>
          </cell>
          <cell r="DI322">
            <v>0</v>
          </cell>
          <cell r="DJ322">
            <v>0</v>
          </cell>
          <cell r="DK322">
            <v>0</v>
          </cell>
          <cell r="DL322">
            <v>0</v>
          </cell>
          <cell r="DM322"/>
          <cell r="DN322"/>
          <cell r="DO322"/>
          <cell r="DP322"/>
        </row>
        <row r="323">
          <cell r="A323">
            <v>824</v>
          </cell>
          <cell r="B323" t="str">
            <v>Oisterwijk</v>
          </cell>
          <cell r="C323">
            <v>10</v>
          </cell>
          <cell r="D323">
            <v>-43408</v>
          </cell>
          <cell r="E323">
            <v>-21704</v>
          </cell>
          <cell r="F323">
            <v>0</v>
          </cell>
          <cell r="G323">
            <v>55946</v>
          </cell>
          <cell r="H323">
            <v>-14961</v>
          </cell>
          <cell r="I323">
            <v>-8940</v>
          </cell>
          <cell r="J323"/>
          <cell r="K323">
            <v>0</v>
          </cell>
          <cell r="L323">
            <v>91681</v>
          </cell>
          <cell r="M323">
            <v>80493</v>
          </cell>
          <cell r="N323">
            <v>0</v>
          </cell>
          <cell r="O323">
            <v>0</v>
          </cell>
          <cell r="P323">
            <v>0</v>
          </cell>
          <cell r="Q323">
            <v>0</v>
          </cell>
          <cell r="R323">
            <v>0</v>
          </cell>
          <cell r="S323">
            <v>0</v>
          </cell>
          <cell r="T323">
            <v>0</v>
          </cell>
          <cell r="U323">
            <v>0</v>
          </cell>
          <cell r="V323">
            <v>6750</v>
          </cell>
          <cell r="W323">
            <v>106130</v>
          </cell>
          <cell r="X323">
            <v>0</v>
          </cell>
          <cell r="Y323"/>
          <cell r="Z323">
            <v>0</v>
          </cell>
          <cell r="AA323">
            <v>0</v>
          </cell>
          <cell r="AB323">
            <v>0</v>
          </cell>
          <cell r="AC323"/>
          <cell r="AD323">
            <v>0</v>
          </cell>
          <cell r="AE323">
            <v>0</v>
          </cell>
          <cell r="AF323">
            <v>0</v>
          </cell>
          <cell r="AG323">
            <v>0</v>
          </cell>
          <cell r="AH323">
            <v>0</v>
          </cell>
          <cell r="AI323">
            <v>0</v>
          </cell>
          <cell r="AJ323">
            <v>0</v>
          </cell>
          <cell r="AK323">
            <v>0</v>
          </cell>
          <cell r="AL323"/>
          <cell r="AM323">
            <v>0</v>
          </cell>
          <cell r="AN323">
            <v>0</v>
          </cell>
          <cell r="AO323">
            <v>0</v>
          </cell>
          <cell r="AP323">
            <v>0</v>
          </cell>
          <cell r="AQ323">
            <v>0</v>
          </cell>
          <cell r="AR323">
            <v>0</v>
          </cell>
          <cell r="AS323">
            <v>0</v>
          </cell>
          <cell r="AT323">
            <v>0</v>
          </cell>
          <cell r="AU323">
            <v>7110</v>
          </cell>
          <cell r="AV323">
            <v>0</v>
          </cell>
          <cell r="AW323">
            <v>0</v>
          </cell>
          <cell r="AX323">
            <v>0</v>
          </cell>
          <cell r="AY323"/>
          <cell r="AZ323"/>
          <cell r="BA323">
            <v>0</v>
          </cell>
          <cell r="BB323"/>
          <cell r="BC323">
            <v>0</v>
          </cell>
          <cell r="BD323">
            <v>9104</v>
          </cell>
          <cell r="BE323"/>
          <cell r="BF323">
            <v>0</v>
          </cell>
          <cell r="BG323">
            <v>0</v>
          </cell>
          <cell r="BH323">
            <v>0</v>
          </cell>
          <cell r="BI323">
            <v>31838</v>
          </cell>
          <cell r="BJ323">
            <v>26207</v>
          </cell>
          <cell r="BK323">
            <v>26207</v>
          </cell>
          <cell r="BL323">
            <v>0</v>
          </cell>
          <cell r="BM323">
            <v>0</v>
          </cell>
          <cell r="BN323">
            <v>0</v>
          </cell>
          <cell r="BO323">
            <v>0</v>
          </cell>
          <cell r="BP323">
            <v>22139.599999999999</v>
          </cell>
          <cell r="BQ323">
            <v>39883.720930232601</v>
          </cell>
          <cell r="BR323">
            <v>0</v>
          </cell>
          <cell r="BS323">
            <v>0</v>
          </cell>
          <cell r="BT323">
            <v>36674</v>
          </cell>
          <cell r="BU323"/>
          <cell r="BV323"/>
          <cell r="BW323"/>
          <cell r="BX323"/>
          <cell r="BY323">
            <v>0</v>
          </cell>
          <cell r="BZ323">
            <v>0</v>
          </cell>
          <cell r="CA323">
            <v>0</v>
          </cell>
          <cell r="CB323">
            <v>0</v>
          </cell>
          <cell r="CC323">
            <v>2074361</v>
          </cell>
          <cell r="CD323">
            <v>11897321</v>
          </cell>
          <cell r="CE323">
            <v>1756250</v>
          </cell>
          <cell r="CF323">
            <v>0</v>
          </cell>
          <cell r="CG323">
            <v>1756250</v>
          </cell>
          <cell r="CH323">
            <v>1756250</v>
          </cell>
          <cell r="CI323">
            <v>1756250</v>
          </cell>
          <cell r="CJ323">
            <v>1756250</v>
          </cell>
          <cell r="CK323">
            <v>0</v>
          </cell>
          <cell r="CL323">
            <v>0</v>
          </cell>
          <cell r="CM323">
            <v>0</v>
          </cell>
          <cell r="CN323">
            <v>0</v>
          </cell>
          <cell r="CO323">
            <v>0</v>
          </cell>
          <cell r="CP323">
            <v>-3238</v>
          </cell>
          <cell r="CQ323">
            <v>3448088</v>
          </cell>
          <cell r="CR323">
            <v>3280833</v>
          </cell>
          <cell r="CS323">
            <v>3149917</v>
          </cell>
          <cell r="CT323">
            <v>3060064</v>
          </cell>
          <cell r="CU323">
            <v>3008755</v>
          </cell>
          <cell r="CV323">
            <v>-56808</v>
          </cell>
          <cell r="CW323">
            <v>0</v>
          </cell>
          <cell r="CX323">
            <v>0</v>
          </cell>
          <cell r="CY323">
            <v>0</v>
          </cell>
          <cell r="CZ323">
            <v>0</v>
          </cell>
          <cell r="DA323">
            <v>0</v>
          </cell>
          <cell r="DB323"/>
          <cell r="DC323">
            <v>0</v>
          </cell>
          <cell r="DD323">
            <v>0</v>
          </cell>
          <cell r="DE323">
            <v>0</v>
          </cell>
          <cell r="DF323">
            <v>0</v>
          </cell>
          <cell r="DG323">
            <v>0</v>
          </cell>
          <cell r="DH323">
            <v>0</v>
          </cell>
          <cell r="DI323">
            <v>0</v>
          </cell>
          <cell r="DJ323">
            <v>0</v>
          </cell>
          <cell r="DK323">
            <v>0</v>
          </cell>
          <cell r="DL323">
            <v>0</v>
          </cell>
          <cell r="DM323"/>
          <cell r="DN323"/>
          <cell r="DO323"/>
          <cell r="DP323"/>
        </row>
        <row r="324">
          <cell r="A324">
            <v>826</v>
          </cell>
          <cell r="B324" t="str">
            <v>Oosterhout</v>
          </cell>
          <cell r="C324">
            <v>10</v>
          </cell>
          <cell r="D324">
            <v>25661</v>
          </cell>
          <cell r="E324">
            <v>12830</v>
          </cell>
          <cell r="F324">
            <v>0</v>
          </cell>
          <cell r="G324">
            <v>55775</v>
          </cell>
          <cell r="H324">
            <v>-10713</v>
          </cell>
          <cell r="I324">
            <v>0</v>
          </cell>
          <cell r="J324"/>
          <cell r="K324">
            <v>0</v>
          </cell>
          <cell r="L324">
            <v>249617</v>
          </cell>
          <cell r="M324">
            <v>257405</v>
          </cell>
          <cell r="N324">
            <v>0</v>
          </cell>
          <cell r="O324">
            <v>0</v>
          </cell>
          <cell r="P324">
            <v>0</v>
          </cell>
          <cell r="Q324">
            <v>0</v>
          </cell>
          <cell r="R324">
            <v>0</v>
          </cell>
          <cell r="S324">
            <v>0</v>
          </cell>
          <cell r="T324">
            <v>0</v>
          </cell>
          <cell r="U324">
            <v>0</v>
          </cell>
          <cell r="V324">
            <v>30000</v>
          </cell>
          <cell r="W324">
            <v>208373</v>
          </cell>
          <cell r="X324">
            <v>0</v>
          </cell>
          <cell r="Y324"/>
          <cell r="Z324">
            <v>0</v>
          </cell>
          <cell r="AA324">
            <v>0</v>
          </cell>
          <cell r="AB324">
            <v>0</v>
          </cell>
          <cell r="AC324"/>
          <cell r="AD324">
            <v>0</v>
          </cell>
          <cell r="AE324">
            <v>0</v>
          </cell>
          <cell r="AF324">
            <v>0</v>
          </cell>
          <cell r="AG324">
            <v>0</v>
          </cell>
          <cell r="AH324">
            <v>0</v>
          </cell>
          <cell r="AI324">
            <v>0</v>
          </cell>
          <cell r="AJ324">
            <v>0</v>
          </cell>
          <cell r="AK324">
            <v>0</v>
          </cell>
          <cell r="AL324"/>
          <cell r="AM324">
            <v>0</v>
          </cell>
          <cell r="AN324">
            <v>0</v>
          </cell>
          <cell r="AO324">
            <v>0</v>
          </cell>
          <cell r="AP324">
            <v>0</v>
          </cell>
          <cell r="AQ324">
            <v>0</v>
          </cell>
          <cell r="AR324">
            <v>0</v>
          </cell>
          <cell r="AS324">
            <v>0</v>
          </cell>
          <cell r="AT324">
            <v>0</v>
          </cell>
          <cell r="AU324">
            <v>7110</v>
          </cell>
          <cell r="AV324">
            <v>0</v>
          </cell>
          <cell r="AW324">
            <v>0</v>
          </cell>
          <cell r="AX324">
            <v>0</v>
          </cell>
          <cell r="AY324"/>
          <cell r="AZ324"/>
          <cell r="BA324">
            <v>0</v>
          </cell>
          <cell r="BB324"/>
          <cell r="BC324">
            <v>0</v>
          </cell>
          <cell r="BD324">
            <v>19168</v>
          </cell>
          <cell r="BE324"/>
          <cell r="BF324">
            <v>0</v>
          </cell>
          <cell r="BG324">
            <v>0</v>
          </cell>
          <cell r="BH324">
            <v>0</v>
          </cell>
          <cell r="BI324">
            <v>78969</v>
          </cell>
          <cell r="BJ324">
            <v>65003</v>
          </cell>
          <cell r="BK324">
            <v>65003</v>
          </cell>
          <cell r="BL324">
            <v>0</v>
          </cell>
          <cell r="BM324">
            <v>0</v>
          </cell>
          <cell r="BN324">
            <v>0</v>
          </cell>
          <cell r="BO324">
            <v>309855</v>
          </cell>
          <cell r="BP324">
            <v>23721</v>
          </cell>
          <cell r="BQ324">
            <v>42732.5581395349</v>
          </cell>
          <cell r="BR324">
            <v>0</v>
          </cell>
          <cell r="BS324">
            <v>0</v>
          </cell>
          <cell r="BT324">
            <v>84497</v>
          </cell>
          <cell r="BU324"/>
          <cell r="BV324"/>
          <cell r="BW324"/>
          <cell r="BX324"/>
          <cell r="BY324">
            <v>0</v>
          </cell>
          <cell r="BZ324">
            <v>0</v>
          </cell>
          <cell r="CA324">
            <v>0</v>
          </cell>
          <cell r="CB324">
            <v>0</v>
          </cell>
          <cell r="CC324">
            <v>4577550</v>
          </cell>
          <cell r="CD324">
            <v>25455324</v>
          </cell>
          <cell r="CE324">
            <v>1799399</v>
          </cell>
          <cell r="CF324">
            <v>0</v>
          </cell>
          <cell r="CG324">
            <v>1799399</v>
          </cell>
          <cell r="CH324">
            <v>1799399</v>
          </cell>
          <cell r="CI324">
            <v>1799399</v>
          </cell>
          <cell r="CJ324">
            <v>1799399</v>
          </cell>
          <cell r="CK324">
            <v>0</v>
          </cell>
          <cell r="CL324">
            <v>0</v>
          </cell>
          <cell r="CM324">
            <v>0</v>
          </cell>
          <cell r="CN324">
            <v>0</v>
          </cell>
          <cell r="CO324">
            <v>0</v>
          </cell>
          <cell r="CP324">
            <v>0</v>
          </cell>
          <cell r="CQ324">
            <v>6100234</v>
          </cell>
          <cell r="CR324">
            <v>5910920</v>
          </cell>
          <cell r="CS324">
            <v>5792457</v>
          </cell>
          <cell r="CT324">
            <v>5718749</v>
          </cell>
          <cell r="CU324">
            <v>5659044</v>
          </cell>
          <cell r="CV324">
            <v>-52095</v>
          </cell>
          <cell r="CW324">
            <v>0</v>
          </cell>
          <cell r="CX324">
            <v>0</v>
          </cell>
          <cell r="CY324">
            <v>0</v>
          </cell>
          <cell r="CZ324">
            <v>0</v>
          </cell>
          <cell r="DA324">
            <v>0</v>
          </cell>
          <cell r="DB324"/>
          <cell r="DC324">
            <v>0</v>
          </cell>
          <cell r="DD324">
            <v>0</v>
          </cell>
          <cell r="DE324">
            <v>0</v>
          </cell>
          <cell r="DF324">
            <v>0</v>
          </cell>
          <cell r="DG324">
            <v>0</v>
          </cell>
          <cell r="DH324">
            <v>0</v>
          </cell>
          <cell r="DI324">
            <v>0</v>
          </cell>
          <cell r="DJ324">
            <v>0</v>
          </cell>
          <cell r="DK324">
            <v>0</v>
          </cell>
          <cell r="DL324">
            <v>0</v>
          </cell>
          <cell r="DM324"/>
          <cell r="DN324"/>
          <cell r="DO324"/>
          <cell r="DP324"/>
        </row>
        <row r="325">
          <cell r="A325">
            <v>828</v>
          </cell>
          <cell r="B325" t="str">
            <v>Oss</v>
          </cell>
          <cell r="C325">
            <v>10</v>
          </cell>
          <cell r="D325">
            <v>-46859</v>
          </cell>
          <cell r="E325">
            <v>-23430</v>
          </cell>
          <cell r="F325">
            <v>0</v>
          </cell>
          <cell r="G325">
            <v>0</v>
          </cell>
          <cell r="H325">
            <v>-31514</v>
          </cell>
          <cell r="I325">
            <v>-29364</v>
          </cell>
          <cell r="J325"/>
          <cell r="K325">
            <v>0</v>
          </cell>
          <cell r="L325">
            <v>433159</v>
          </cell>
          <cell r="M325">
            <v>406439</v>
          </cell>
          <cell r="N325">
            <v>0</v>
          </cell>
          <cell r="O325">
            <v>0</v>
          </cell>
          <cell r="P325">
            <v>0</v>
          </cell>
          <cell r="Q325">
            <v>0</v>
          </cell>
          <cell r="R325">
            <v>0</v>
          </cell>
          <cell r="S325">
            <v>0</v>
          </cell>
          <cell r="T325">
            <v>0</v>
          </cell>
          <cell r="U325">
            <v>0</v>
          </cell>
          <cell r="V325">
            <v>118750</v>
          </cell>
          <cell r="W325">
            <v>355517</v>
          </cell>
          <cell r="X325">
            <v>0</v>
          </cell>
          <cell r="Y325"/>
          <cell r="Z325">
            <v>0</v>
          </cell>
          <cell r="AA325">
            <v>0</v>
          </cell>
          <cell r="AB325">
            <v>0</v>
          </cell>
          <cell r="AC325"/>
          <cell r="AD325">
            <v>125158</v>
          </cell>
          <cell r="AE325">
            <v>0</v>
          </cell>
          <cell r="AF325">
            <v>0</v>
          </cell>
          <cell r="AG325">
            <v>0</v>
          </cell>
          <cell r="AH325">
            <v>0</v>
          </cell>
          <cell r="AI325">
            <v>0</v>
          </cell>
          <cell r="AJ325">
            <v>0</v>
          </cell>
          <cell r="AK325">
            <v>0</v>
          </cell>
          <cell r="AL325"/>
          <cell r="AM325">
            <v>0</v>
          </cell>
          <cell r="AN325">
            <v>0</v>
          </cell>
          <cell r="AO325">
            <v>0</v>
          </cell>
          <cell r="AP325">
            <v>0</v>
          </cell>
          <cell r="AQ325">
            <v>0</v>
          </cell>
          <cell r="AR325">
            <v>0</v>
          </cell>
          <cell r="AS325">
            <v>0</v>
          </cell>
          <cell r="AT325">
            <v>19000</v>
          </cell>
          <cell r="AU325">
            <v>0</v>
          </cell>
          <cell r="AV325">
            <v>3264263.93086163</v>
          </cell>
          <cell r="AW325">
            <v>0</v>
          </cell>
          <cell r="AX325">
            <v>0</v>
          </cell>
          <cell r="AY325"/>
          <cell r="AZ325"/>
          <cell r="BA325">
            <v>0</v>
          </cell>
          <cell r="BB325"/>
          <cell r="BC325">
            <v>0</v>
          </cell>
          <cell r="BD325">
            <v>31725</v>
          </cell>
          <cell r="BE325"/>
          <cell r="BF325">
            <v>0</v>
          </cell>
          <cell r="BG325">
            <v>0</v>
          </cell>
          <cell r="BH325">
            <v>0</v>
          </cell>
          <cell r="BI325">
            <v>137817</v>
          </cell>
          <cell r="BJ325">
            <v>113444</v>
          </cell>
          <cell r="BK325">
            <v>113444</v>
          </cell>
          <cell r="BL325">
            <v>50000</v>
          </cell>
          <cell r="BM325">
            <v>0</v>
          </cell>
          <cell r="BN325">
            <v>0</v>
          </cell>
          <cell r="BO325">
            <v>334662</v>
          </cell>
          <cell r="BP325">
            <v>34790.800000000003</v>
          </cell>
          <cell r="BQ325">
            <v>62674.418604651197</v>
          </cell>
          <cell r="BR325">
            <v>0</v>
          </cell>
          <cell r="BS325">
            <v>0</v>
          </cell>
          <cell r="BT325">
            <v>150268</v>
          </cell>
          <cell r="BU325"/>
          <cell r="BV325"/>
          <cell r="BW325"/>
          <cell r="BX325"/>
          <cell r="BY325">
            <v>0</v>
          </cell>
          <cell r="BZ325">
            <v>0</v>
          </cell>
          <cell r="CA325">
            <v>0</v>
          </cell>
          <cell r="CB325">
            <v>0</v>
          </cell>
          <cell r="CC325">
            <v>7365328</v>
          </cell>
          <cell r="CD325">
            <v>74362776</v>
          </cell>
          <cell r="CE325">
            <v>3544885</v>
          </cell>
          <cell r="CF325">
            <v>0</v>
          </cell>
          <cell r="CG325">
            <v>3544885</v>
          </cell>
          <cell r="CH325">
            <v>3544885</v>
          </cell>
          <cell r="CI325">
            <v>3544885</v>
          </cell>
          <cell r="CJ325">
            <v>3544885</v>
          </cell>
          <cell r="CK325">
            <v>18704728</v>
          </cell>
          <cell r="CL325">
            <v>18695340</v>
          </cell>
          <cell r="CM325">
            <v>18695188</v>
          </cell>
          <cell r="CN325">
            <v>18694854</v>
          </cell>
          <cell r="CO325">
            <v>18695317</v>
          </cell>
          <cell r="CP325">
            <v>-10540</v>
          </cell>
          <cell r="CQ325">
            <v>19857926</v>
          </cell>
          <cell r="CR325">
            <v>18952245</v>
          </cell>
          <cell r="CS325">
            <v>18429817</v>
          </cell>
          <cell r="CT325">
            <v>18014750</v>
          </cell>
          <cell r="CU325">
            <v>17561796</v>
          </cell>
          <cell r="CV325">
            <v>122143</v>
          </cell>
          <cell r="CW325">
            <v>0</v>
          </cell>
          <cell r="CX325">
            <v>0</v>
          </cell>
          <cell r="CY325">
            <v>0</v>
          </cell>
          <cell r="CZ325">
            <v>0</v>
          </cell>
          <cell r="DA325">
            <v>80000</v>
          </cell>
          <cell r="DB325"/>
          <cell r="DC325">
            <v>0</v>
          </cell>
          <cell r="DD325">
            <v>0</v>
          </cell>
          <cell r="DE325">
            <v>0</v>
          </cell>
          <cell r="DF325">
            <v>0</v>
          </cell>
          <cell r="DG325">
            <v>0</v>
          </cell>
          <cell r="DH325">
            <v>0</v>
          </cell>
          <cell r="DI325">
            <v>0</v>
          </cell>
          <cell r="DJ325">
            <v>0</v>
          </cell>
          <cell r="DK325">
            <v>0</v>
          </cell>
          <cell r="DL325">
            <v>0</v>
          </cell>
          <cell r="DM325"/>
          <cell r="DN325"/>
          <cell r="DO325"/>
          <cell r="DP325"/>
        </row>
        <row r="326">
          <cell r="A326">
            <v>1667</v>
          </cell>
          <cell r="B326" t="str">
            <v>Reusel-De Mierden</v>
          </cell>
          <cell r="C326">
            <v>10</v>
          </cell>
          <cell r="D326">
            <v>2455</v>
          </cell>
          <cell r="E326">
            <v>1227</v>
          </cell>
          <cell r="F326">
            <v>0</v>
          </cell>
          <cell r="G326">
            <v>0</v>
          </cell>
          <cell r="H326">
            <v>-20470</v>
          </cell>
          <cell r="I326">
            <v>-10855</v>
          </cell>
          <cell r="J326"/>
          <cell r="K326">
            <v>0</v>
          </cell>
          <cell r="L326">
            <v>43772</v>
          </cell>
          <cell r="M326">
            <v>42258</v>
          </cell>
          <cell r="N326">
            <v>0</v>
          </cell>
          <cell r="O326">
            <v>0</v>
          </cell>
          <cell r="P326">
            <v>0</v>
          </cell>
          <cell r="Q326">
            <v>0</v>
          </cell>
          <cell r="R326">
            <v>0</v>
          </cell>
          <cell r="S326">
            <v>0</v>
          </cell>
          <cell r="T326">
            <v>0</v>
          </cell>
          <cell r="U326">
            <v>0</v>
          </cell>
          <cell r="V326">
            <v>0</v>
          </cell>
          <cell r="W326">
            <v>48983</v>
          </cell>
          <cell r="X326">
            <v>0</v>
          </cell>
          <cell r="Y326"/>
          <cell r="Z326">
            <v>0</v>
          </cell>
          <cell r="AA326">
            <v>0</v>
          </cell>
          <cell r="AB326">
            <v>0</v>
          </cell>
          <cell r="AC326"/>
          <cell r="AD326">
            <v>0</v>
          </cell>
          <cell r="AE326">
            <v>0</v>
          </cell>
          <cell r="AF326">
            <v>0</v>
          </cell>
          <cell r="AG326">
            <v>0</v>
          </cell>
          <cell r="AH326">
            <v>0</v>
          </cell>
          <cell r="AI326">
            <v>0</v>
          </cell>
          <cell r="AJ326">
            <v>0</v>
          </cell>
          <cell r="AK326">
            <v>0</v>
          </cell>
          <cell r="AL326"/>
          <cell r="AM326">
            <v>0</v>
          </cell>
          <cell r="AN326">
            <v>0</v>
          </cell>
          <cell r="AO326">
            <v>0</v>
          </cell>
          <cell r="AP326">
            <v>0</v>
          </cell>
          <cell r="AQ326">
            <v>0</v>
          </cell>
          <cell r="AR326">
            <v>0</v>
          </cell>
          <cell r="AS326">
            <v>0</v>
          </cell>
          <cell r="AT326">
            <v>0</v>
          </cell>
          <cell r="AU326">
            <v>2370</v>
          </cell>
          <cell r="AV326">
            <v>0</v>
          </cell>
          <cell r="AW326">
            <v>0</v>
          </cell>
          <cell r="AX326">
            <v>0</v>
          </cell>
          <cell r="AY326"/>
          <cell r="AZ326"/>
          <cell r="BA326">
            <v>0</v>
          </cell>
          <cell r="BB326"/>
          <cell r="BC326">
            <v>0</v>
          </cell>
          <cell r="BD326">
            <v>4531</v>
          </cell>
          <cell r="BE326"/>
          <cell r="BF326">
            <v>0</v>
          </cell>
          <cell r="BG326">
            <v>0</v>
          </cell>
          <cell r="BH326">
            <v>0</v>
          </cell>
          <cell r="BI326">
            <v>13090</v>
          </cell>
          <cell r="BJ326">
            <v>10775</v>
          </cell>
          <cell r="BK326">
            <v>10775</v>
          </cell>
          <cell r="BL326">
            <v>0</v>
          </cell>
          <cell r="BM326">
            <v>0</v>
          </cell>
          <cell r="BN326">
            <v>0</v>
          </cell>
          <cell r="BO326">
            <v>0</v>
          </cell>
          <cell r="BP326">
            <v>15814</v>
          </cell>
          <cell r="BQ326">
            <v>28488.372093023299</v>
          </cell>
          <cell r="BR326">
            <v>0</v>
          </cell>
          <cell r="BS326">
            <v>0</v>
          </cell>
          <cell r="BT326">
            <v>22957</v>
          </cell>
          <cell r="BU326"/>
          <cell r="BV326"/>
          <cell r="BW326"/>
          <cell r="BX326"/>
          <cell r="BY326">
            <v>0</v>
          </cell>
          <cell r="BZ326">
            <v>0</v>
          </cell>
          <cell r="CA326">
            <v>0</v>
          </cell>
          <cell r="CB326">
            <v>0</v>
          </cell>
          <cell r="CC326">
            <v>893074</v>
          </cell>
          <cell r="CD326">
            <v>6544394</v>
          </cell>
          <cell r="CE326">
            <v>298111</v>
          </cell>
          <cell r="CF326">
            <v>-19840</v>
          </cell>
          <cell r="CG326">
            <v>298111</v>
          </cell>
          <cell r="CH326">
            <v>298111</v>
          </cell>
          <cell r="CI326">
            <v>298111</v>
          </cell>
          <cell r="CJ326">
            <v>298111</v>
          </cell>
          <cell r="CK326">
            <v>0</v>
          </cell>
          <cell r="CL326">
            <v>0</v>
          </cell>
          <cell r="CM326">
            <v>0</v>
          </cell>
          <cell r="CN326">
            <v>0</v>
          </cell>
          <cell r="CO326">
            <v>0</v>
          </cell>
          <cell r="CP326">
            <v>-939</v>
          </cell>
          <cell r="CQ326">
            <v>2690117</v>
          </cell>
          <cell r="CR326">
            <v>2569627</v>
          </cell>
          <cell r="CS326">
            <v>2498657</v>
          </cell>
          <cell r="CT326">
            <v>2417543</v>
          </cell>
          <cell r="CU326">
            <v>2331179</v>
          </cell>
          <cell r="CV326">
            <v>-805</v>
          </cell>
          <cell r="CW326">
            <v>0</v>
          </cell>
          <cell r="CX326">
            <v>0</v>
          </cell>
          <cell r="CY326">
            <v>0</v>
          </cell>
          <cell r="CZ326">
            <v>0</v>
          </cell>
          <cell r="DA326">
            <v>0</v>
          </cell>
          <cell r="DB326"/>
          <cell r="DC326">
            <v>0</v>
          </cell>
          <cell r="DD326">
            <v>0</v>
          </cell>
          <cell r="DE326">
            <v>0</v>
          </cell>
          <cell r="DF326">
            <v>0</v>
          </cell>
          <cell r="DG326">
            <v>0</v>
          </cell>
          <cell r="DH326">
            <v>0</v>
          </cell>
          <cell r="DI326">
            <v>0</v>
          </cell>
          <cell r="DJ326">
            <v>0</v>
          </cell>
          <cell r="DK326">
            <v>0</v>
          </cell>
          <cell r="DL326">
            <v>0</v>
          </cell>
          <cell r="DM326"/>
          <cell r="DN326"/>
          <cell r="DO326"/>
          <cell r="DP326"/>
        </row>
        <row r="327">
          <cell r="A327">
            <v>1674</v>
          </cell>
          <cell r="B327" t="str">
            <v>Roosendaal</v>
          </cell>
          <cell r="C327">
            <v>10</v>
          </cell>
          <cell r="D327">
            <v>-18508</v>
          </cell>
          <cell r="E327">
            <v>-9254</v>
          </cell>
          <cell r="F327">
            <v>0</v>
          </cell>
          <cell r="G327">
            <v>0</v>
          </cell>
          <cell r="H327">
            <v>0</v>
          </cell>
          <cell r="I327">
            <v>0</v>
          </cell>
          <cell r="J327"/>
          <cell r="K327">
            <v>0</v>
          </cell>
          <cell r="L327">
            <v>426613</v>
          </cell>
          <cell r="M327">
            <v>425556</v>
          </cell>
          <cell r="N327">
            <v>0</v>
          </cell>
          <cell r="O327">
            <v>0</v>
          </cell>
          <cell r="P327">
            <v>0</v>
          </cell>
          <cell r="Q327">
            <v>0</v>
          </cell>
          <cell r="R327">
            <v>0</v>
          </cell>
          <cell r="S327">
            <v>0</v>
          </cell>
          <cell r="T327">
            <v>0</v>
          </cell>
          <cell r="U327">
            <v>0</v>
          </cell>
          <cell r="V327">
            <v>36000</v>
          </cell>
          <cell r="W327">
            <v>299342</v>
          </cell>
          <cell r="X327">
            <v>0</v>
          </cell>
          <cell r="Y327"/>
          <cell r="Z327">
            <v>0</v>
          </cell>
          <cell r="AA327">
            <v>0</v>
          </cell>
          <cell r="AB327">
            <v>0</v>
          </cell>
          <cell r="AC327"/>
          <cell r="AD327">
            <v>176004</v>
          </cell>
          <cell r="AE327">
            <v>0</v>
          </cell>
          <cell r="AF327">
            <v>0</v>
          </cell>
          <cell r="AG327">
            <v>0</v>
          </cell>
          <cell r="AH327">
            <v>0</v>
          </cell>
          <cell r="AI327">
            <v>0</v>
          </cell>
          <cell r="AJ327">
            <v>0</v>
          </cell>
          <cell r="AK327">
            <v>0</v>
          </cell>
          <cell r="AL327"/>
          <cell r="AM327">
            <v>0</v>
          </cell>
          <cell r="AN327">
            <v>0</v>
          </cell>
          <cell r="AO327">
            <v>0</v>
          </cell>
          <cell r="AP327">
            <v>0</v>
          </cell>
          <cell r="AQ327">
            <v>0</v>
          </cell>
          <cell r="AR327">
            <v>0</v>
          </cell>
          <cell r="AS327">
            <v>0</v>
          </cell>
          <cell r="AT327">
            <v>0</v>
          </cell>
          <cell r="AU327">
            <v>2370</v>
          </cell>
          <cell r="AV327">
            <v>0</v>
          </cell>
          <cell r="AW327">
            <v>0</v>
          </cell>
          <cell r="AX327">
            <v>0</v>
          </cell>
          <cell r="AY327"/>
          <cell r="AZ327"/>
          <cell r="BA327">
            <v>0</v>
          </cell>
          <cell r="BB327"/>
          <cell r="BC327">
            <v>20000</v>
          </cell>
          <cell r="BD327">
            <v>27087</v>
          </cell>
          <cell r="BE327"/>
          <cell r="BF327">
            <v>0</v>
          </cell>
          <cell r="BG327">
            <v>0</v>
          </cell>
          <cell r="BH327">
            <v>0</v>
          </cell>
          <cell r="BI327">
            <v>129568</v>
          </cell>
          <cell r="BJ327">
            <v>106653</v>
          </cell>
          <cell r="BK327">
            <v>106653</v>
          </cell>
          <cell r="BL327">
            <v>0</v>
          </cell>
          <cell r="BM327">
            <v>0</v>
          </cell>
          <cell r="BN327">
            <v>0</v>
          </cell>
          <cell r="BO327">
            <v>147388</v>
          </cell>
          <cell r="BP327">
            <v>1581.4</v>
          </cell>
          <cell r="BQ327">
            <v>2848.8372093023299</v>
          </cell>
          <cell r="BR327">
            <v>0</v>
          </cell>
          <cell r="BS327">
            <v>0</v>
          </cell>
          <cell r="BT327">
            <v>123780</v>
          </cell>
          <cell r="BU327"/>
          <cell r="BV327"/>
          <cell r="BW327"/>
          <cell r="BX327"/>
          <cell r="BY327">
            <v>0</v>
          </cell>
          <cell r="BZ327">
            <v>0</v>
          </cell>
          <cell r="CA327">
            <v>0</v>
          </cell>
          <cell r="CB327">
            <v>0</v>
          </cell>
          <cell r="CC327">
            <v>6673912</v>
          </cell>
          <cell r="CD327">
            <v>45525422</v>
          </cell>
          <cell r="CE327">
            <v>2020956</v>
          </cell>
          <cell r="CF327">
            <v>0</v>
          </cell>
          <cell r="CG327">
            <v>2020956</v>
          </cell>
          <cell r="CH327">
            <v>2020956</v>
          </cell>
          <cell r="CI327">
            <v>2020956</v>
          </cell>
          <cell r="CJ327">
            <v>2020956</v>
          </cell>
          <cell r="CK327">
            <v>0</v>
          </cell>
          <cell r="CL327">
            <v>0</v>
          </cell>
          <cell r="CM327">
            <v>0</v>
          </cell>
          <cell r="CN327">
            <v>0</v>
          </cell>
          <cell r="CO327">
            <v>0</v>
          </cell>
          <cell r="CP327">
            <v>0</v>
          </cell>
          <cell r="CQ327">
            <v>14326576</v>
          </cell>
          <cell r="CR327">
            <v>13720963</v>
          </cell>
          <cell r="CS327">
            <v>13425954</v>
          </cell>
          <cell r="CT327">
            <v>13191197</v>
          </cell>
          <cell r="CU327">
            <v>12884979</v>
          </cell>
          <cell r="CV327">
            <v>-151448</v>
          </cell>
          <cell r="CW327">
            <v>0</v>
          </cell>
          <cell r="CX327">
            <v>0</v>
          </cell>
          <cell r="CY327">
            <v>0</v>
          </cell>
          <cell r="CZ327">
            <v>0</v>
          </cell>
          <cell r="DA327">
            <v>0</v>
          </cell>
          <cell r="DB327"/>
          <cell r="DC327">
            <v>0</v>
          </cell>
          <cell r="DD327">
            <v>0</v>
          </cell>
          <cell r="DE327">
            <v>0</v>
          </cell>
          <cell r="DF327">
            <v>0</v>
          </cell>
          <cell r="DG327">
            <v>0</v>
          </cell>
          <cell r="DH327">
            <v>0</v>
          </cell>
          <cell r="DI327">
            <v>0</v>
          </cell>
          <cell r="DJ327">
            <v>0</v>
          </cell>
          <cell r="DK327">
            <v>0</v>
          </cell>
          <cell r="DL327">
            <v>0</v>
          </cell>
          <cell r="DM327"/>
          <cell r="DN327"/>
          <cell r="DO327"/>
          <cell r="DP327"/>
        </row>
        <row r="328">
          <cell r="A328">
            <v>840</v>
          </cell>
          <cell r="B328" t="str">
            <v>Rucphen</v>
          </cell>
          <cell r="C328">
            <v>10</v>
          </cell>
          <cell r="D328">
            <v>-2396</v>
          </cell>
          <cell r="E328">
            <v>-1198</v>
          </cell>
          <cell r="F328">
            <v>0</v>
          </cell>
          <cell r="G328">
            <v>0</v>
          </cell>
          <cell r="H328">
            <v>-32700</v>
          </cell>
          <cell r="I328">
            <v>-18131</v>
          </cell>
          <cell r="J328"/>
          <cell r="K328">
            <v>0</v>
          </cell>
          <cell r="L328">
            <v>64941</v>
          </cell>
          <cell r="M328">
            <v>61518</v>
          </cell>
          <cell r="N328">
            <v>0</v>
          </cell>
          <cell r="O328">
            <v>0</v>
          </cell>
          <cell r="P328">
            <v>0</v>
          </cell>
          <cell r="Q328">
            <v>0</v>
          </cell>
          <cell r="R328">
            <v>0</v>
          </cell>
          <cell r="S328">
            <v>0</v>
          </cell>
          <cell r="T328">
            <v>0</v>
          </cell>
          <cell r="U328">
            <v>0</v>
          </cell>
          <cell r="V328">
            <v>9000</v>
          </cell>
          <cell r="W328">
            <v>0</v>
          </cell>
          <cell r="X328">
            <v>0</v>
          </cell>
          <cell r="Y328"/>
          <cell r="Z328">
            <v>0</v>
          </cell>
          <cell r="AA328">
            <v>0</v>
          </cell>
          <cell r="AB328">
            <v>0</v>
          </cell>
          <cell r="AC328"/>
          <cell r="AD328">
            <v>44978</v>
          </cell>
          <cell r="AE328">
            <v>0</v>
          </cell>
          <cell r="AF328">
            <v>0</v>
          </cell>
          <cell r="AG328">
            <v>0</v>
          </cell>
          <cell r="AH328">
            <v>0</v>
          </cell>
          <cell r="AI328">
            <v>0</v>
          </cell>
          <cell r="AJ328">
            <v>0</v>
          </cell>
          <cell r="AK328">
            <v>0</v>
          </cell>
          <cell r="AL328"/>
          <cell r="AM328">
            <v>0</v>
          </cell>
          <cell r="AN328">
            <v>0</v>
          </cell>
          <cell r="AO328">
            <v>0</v>
          </cell>
          <cell r="AP328">
            <v>0</v>
          </cell>
          <cell r="AQ328">
            <v>0</v>
          </cell>
          <cell r="AR328">
            <v>0</v>
          </cell>
          <cell r="AS328">
            <v>0</v>
          </cell>
          <cell r="AT328">
            <v>0</v>
          </cell>
          <cell r="AU328">
            <v>0</v>
          </cell>
          <cell r="AV328">
            <v>0</v>
          </cell>
          <cell r="AW328">
            <v>0</v>
          </cell>
          <cell r="AX328">
            <v>0</v>
          </cell>
          <cell r="AY328"/>
          <cell r="AZ328"/>
          <cell r="BA328">
            <v>0</v>
          </cell>
          <cell r="BB328"/>
          <cell r="BC328">
            <v>0</v>
          </cell>
          <cell r="BD328">
            <v>7844</v>
          </cell>
          <cell r="BE328"/>
          <cell r="BF328">
            <v>0</v>
          </cell>
          <cell r="BG328">
            <v>0</v>
          </cell>
          <cell r="BH328">
            <v>0</v>
          </cell>
          <cell r="BI328">
            <v>31951</v>
          </cell>
          <cell r="BJ328">
            <v>26301</v>
          </cell>
          <cell r="BK328">
            <v>26301</v>
          </cell>
          <cell r="BL328">
            <v>0</v>
          </cell>
          <cell r="BM328">
            <v>0</v>
          </cell>
          <cell r="BN328">
            <v>0</v>
          </cell>
          <cell r="BO328">
            <v>46697</v>
          </cell>
          <cell r="BP328">
            <v>4744.2</v>
          </cell>
          <cell r="BQ328">
            <v>8546.5116279069807</v>
          </cell>
          <cell r="BR328">
            <v>0</v>
          </cell>
          <cell r="BS328">
            <v>0</v>
          </cell>
          <cell r="BT328">
            <v>31536</v>
          </cell>
          <cell r="BU328"/>
          <cell r="BV328"/>
          <cell r="BW328"/>
          <cell r="BX328"/>
          <cell r="BY328">
            <v>0</v>
          </cell>
          <cell r="BZ328">
            <v>0</v>
          </cell>
          <cell r="CA328">
            <v>0</v>
          </cell>
          <cell r="CB328">
            <v>0</v>
          </cell>
          <cell r="CC328">
            <v>2125473</v>
          </cell>
          <cell r="CD328">
            <v>14855817</v>
          </cell>
          <cell r="CE328">
            <v>352841</v>
          </cell>
          <cell r="CF328">
            <v>-29486</v>
          </cell>
          <cell r="CG328">
            <v>352841</v>
          </cell>
          <cell r="CH328">
            <v>352841</v>
          </cell>
          <cell r="CI328">
            <v>352841</v>
          </cell>
          <cell r="CJ328">
            <v>352841</v>
          </cell>
          <cell r="CK328">
            <v>0</v>
          </cell>
          <cell r="CL328">
            <v>0</v>
          </cell>
          <cell r="CM328">
            <v>0</v>
          </cell>
          <cell r="CN328">
            <v>0</v>
          </cell>
          <cell r="CO328">
            <v>0</v>
          </cell>
          <cell r="CP328">
            <v>-2129</v>
          </cell>
          <cell r="CQ328">
            <v>6354510</v>
          </cell>
          <cell r="CR328">
            <v>6056473</v>
          </cell>
          <cell r="CS328">
            <v>5918032</v>
          </cell>
          <cell r="CT328">
            <v>5761268</v>
          </cell>
          <cell r="CU328">
            <v>5556004</v>
          </cell>
          <cell r="CV328">
            <v>-24759</v>
          </cell>
          <cell r="CW328">
            <v>0</v>
          </cell>
          <cell r="CX328">
            <v>0</v>
          </cell>
          <cell r="CY328">
            <v>0</v>
          </cell>
          <cell r="CZ328">
            <v>0</v>
          </cell>
          <cell r="DA328">
            <v>0</v>
          </cell>
          <cell r="DB328"/>
          <cell r="DC328">
            <v>0</v>
          </cell>
          <cell r="DD328">
            <v>0</v>
          </cell>
          <cell r="DE328">
            <v>0</v>
          </cell>
          <cell r="DF328">
            <v>0</v>
          </cell>
          <cell r="DG328">
            <v>0</v>
          </cell>
          <cell r="DH328">
            <v>0</v>
          </cell>
          <cell r="DI328">
            <v>0</v>
          </cell>
          <cell r="DJ328">
            <v>0</v>
          </cell>
          <cell r="DK328">
            <v>0</v>
          </cell>
          <cell r="DL328">
            <v>0</v>
          </cell>
          <cell r="DM328"/>
          <cell r="DN328"/>
          <cell r="DO328"/>
          <cell r="DP328"/>
        </row>
        <row r="329">
          <cell r="A329">
            <v>796</v>
          </cell>
          <cell r="B329" t="str">
            <v>'s-Hertogenbosch</v>
          </cell>
          <cell r="C329">
            <v>10</v>
          </cell>
          <cell r="D329">
            <v>57848</v>
          </cell>
          <cell r="E329">
            <v>28924</v>
          </cell>
          <cell r="F329">
            <v>0</v>
          </cell>
          <cell r="G329">
            <v>0</v>
          </cell>
          <cell r="H329">
            <v>-101156</v>
          </cell>
          <cell r="I329">
            <v>-83839</v>
          </cell>
          <cell r="J329"/>
          <cell r="K329">
            <v>7500</v>
          </cell>
          <cell r="L329">
            <v>727721</v>
          </cell>
          <cell r="M329">
            <v>763715</v>
          </cell>
          <cell r="N329">
            <v>0</v>
          </cell>
          <cell r="O329">
            <v>0</v>
          </cell>
          <cell r="P329">
            <v>150000</v>
          </cell>
          <cell r="Q329">
            <v>0</v>
          </cell>
          <cell r="R329">
            <v>0</v>
          </cell>
          <cell r="S329">
            <v>760982</v>
          </cell>
          <cell r="T329">
            <v>760982</v>
          </cell>
          <cell r="U329">
            <v>760982</v>
          </cell>
          <cell r="V329">
            <v>170500</v>
          </cell>
          <cell r="W329">
            <v>535512</v>
          </cell>
          <cell r="X329">
            <v>0</v>
          </cell>
          <cell r="Y329"/>
          <cell r="Z329">
            <v>0</v>
          </cell>
          <cell r="AA329">
            <v>40000</v>
          </cell>
          <cell r="AB329">
            <v>0</v>
          </cell>
          <cell r="AC329"/>
          <cell r="AD329">
            <v>252272</v>
          </cell>
          <cell r="AE329">
            <v>0</v>
          </cell>
          <cell r="AF329">
            <v>0</v>
          </cell>
          <cell r="AG329">
            <v>0</v>
          </cell>
          <cell r="AH329">
            <v>0</v>
          </cell>
          <cell r="AI329">
            <v>0</v>
          </cell>
          <cell r="AJ329">
            <v>0</v>
          </cell>
          <cell r="AK329">
            <v>340803</v>
          </cell>
          <cell r="AL329"/>
          <cell r="AM329">
            <v>0</v>
          </cell>
          <cell r="AN329">
            <v>0</v>
          </cell>
          <cell r="AO329">
            <v>0</v>
          </cell>
          <cell r="AP329">
            <v>0</v>
          </cell>
          <cell r="AQ329">
            <v>0</v>
          </cell>
          <cell r="AR329">
            <v>0</v>
          </cell>
          <cell r="AS329">
            <v>0</v>
          </cell>
          <cell r="AT329">
            <v>20000</v>
          </cell>
          <cell r="AU329">
            <v>7110</v>
          </cell>
          <cell r="AV329">
            <v>5334161.9301744904</v>
          </cell>
          <cell r="AW329">
            <v>157716</v>
          </cell>
          <cell r="AX329">
            <v>0</v>
          </cell>
          <cell r="AY329"/>
          <cell r="AZ329"/>
          <cell r="BA329">
            <v>0</v>
          </cell>
          <cell r="BB329"/>
          <cell r="BC329">
            <v>0</v>
          </cell>
          <cell r="BD329">
            <v>53502</v>
          </cell>
          <cell r="BE329"/>
          <cell r="BF329">
            <v>0</v>
          </cell>
          <cell r="BG329">
            <v>0</v>
          </cell>
          <cell r="BH329">
            <v>0</v>
          </cell>
          <cell r="BI329">
            <v>240692</v>
          </cell>
          <cell r="BJ329">
            <v>198125</v>
          </cell>
          <cell r="BK329">
            <v>198125</v>
          </cell>
          <cell r="BL329">
            <v>0</v>
          </cell>
          <cell r="BM329">
            <v>0</v>
          </cell>
          <cell r="BN329">
            <v>251020</v>
          </cell>
          <cell r="BO329">
            <v>302558</v>
          </cell>
          <cell r="BP329">
            <v>33209.4</v>
          </cell>
          <cell r="BQ329">
            <v>59825.581395348803</v>
          </cell>
          <cell r="BR329">
            <v>0</v>
          </cell>
          <cell r="BS329">
            <v>0</v>
          </cell>
          <cell r="BT329">
            <v>248691</v>
          </cell>
          <cell r="BU329"/>
          <cell r="BV329"/>
          <cell r="BW329"/>
          <cell r="BX329"/>
          <cell r="BY329">
            <v>3703268.9399355501</v>
          </cell>
          <cell r="BZ329">
            <v>4291191.4359341701</v>
          </cell>
          <cell r="CA329">
            <v>4341415.9707682198</v>
          </cell>
          <cell r="CB329">
            <v>4483226.4220643695</v>
          </cell>
          <cell r="CC329">
            <v>11130756</v>
          </cell>
          <cell r="CD329">
            <v>108806530</v>
          </cell>
          <cell r="CE329">
            <v>4895083</v>
          </cell>
          <cell r="CF329">
            <v>-60974</v>
          </cell>
          <cell r="CG329">
            <v>4895083</v>
          </cell>
          <cell r="CH329">
            <v>4895083</v>
          </cell>
          <cell r="CI329">
            <v>4895083</v>
          </cell>
          <cell r="CJ329">
            <v>4895083</v>
          </cell>
          <cell r="CK329">
            <v>29501114</v>
          </cell>
          <cell r="CL329">
            <v>29486307</v>
          </cell>
          <cell r="CM329">
            <v>29486067</v>
          </cell>
          <cell r="CN329">
            <v>29485541</v>
          </cell>
          <cell r="CO329">
            <v>29486271</v>
          </cell>
          <cell r="CP329">
            <v>-21140</v>
          </cell>
          <cell r="CQ329">
            <v>23082034</v>
          </cell>
          <cell r="CR329">
            <v>22158937</v>
          </cell>
          <cell r="CS329">
            <v>21660914</v>
          </cell>
          <cell r="CT329">
            <v>21215639</v>
          </cell>
          <cell r="CU329">
            <v>20683725</v>
          </cell>
          <cell r="CV329">
            <v>-12180</v>
          </cell>
          <cell r="CW329">
            <v>0</v>
          </cell>
          <cell r="CX329">
            <v>0</v>
          </cell>
          <cell r="CY329">
            <v>0</v>
          </cell>
          <cell r="CZ329">
            <v>250000</v>
          </cell>
          <cell r="DA329">
            <v>0</v>
          </cell>
          <cell r="DB329"/>
          <cell r="DC329">
            <v>0</v>
          </cell>
          <cell r="DD329">
            <v>0</v>
          </cell>
          <cell r="DE329">
            <v>0</v>
          </cell>
          <cell r="DF329">
            <v>0</v>
          </cell>
          <cell r="DG329">
            <v>0</v>
          </cell>
          <cell r="DH329">
            <v>0</v>
          </cell>
          <cell r="DI329">
            <v>0</v>
          </cell>
          <cell r="DJ329">
            <v>0</v>
          </cell>
          <cell r="DK329">
            <v>0</v>
          </cell>
          <cell r="DL329">
            <v>0</v>
          </cell>
          <cell r="DM329"/>
          <cell r="DN329"/>
          <cell r="DO329"/>
          <cell r="DP329"/>
        </row>
        <row r="330">
          <cell r="A330">
            <v>1702</v>
          </cell>
          <cell r="B330" t="str">
            <v>Sint-Anthonis</v>
          </cell>
          <cell r="C330">
            <v>10</v>
          </cell>
          <cell r="D330">
            <v>9629</v>
          </cell>
          <cell r="E330">
            <v>4815</v>
          </cell>
          <cell r="F330">
            <v>0</v>
          </cell>
          <cell r="G330">
            <v>0</v>
          </cell>
          <cell r="H330">
            <v>-29198</v>
          </cell>
          <cell r="I330">
            <v>-14936</v>
          </cell>
          <cell r="J330"/>
          <cell r="K330">
            <v>0</v>
          </cell>
          <cell r="L330">
            <v>32033</v>
          </cell>
          <cell r="M330">
            <v>31211</v>
          </cell>
          <cell r="N330">
            <v>0</v>
          </cell>
          <cell r="O330">
            <v>0</v>
          </cell>
          <cell r="P330">
            <v>0</v>
          </cell>
          <cell r="Q330">
            <v>0</v>
          </cell>
          <cell r="R330">
            <v>0</v>
          </cell>
          <cell r="S330">
            <v>0</v>
          </cell>
          <cell r="T330">
            <v>0</v>
          </cell>
          <cell r="U330">
            <v>0</v>
          </cell>
          <cell r="V330">
            <v>3000</v>
          </cell>
          <cell r="W330">
            <v>52482</v>
          </cell>
          <cell r="X330">
            <v>0</v>
          </cell>
          <cell r="Y330"/>
          <cell r="Z330">
            <v>0</v>
          </cell>
          <cell r="AA330">
            <v>0</v>
          </cell>
          <cell r="AB330">
            <v>0</v>
          </cell>
          <cell r="AC330"/>
          <cell r="AD330">
            <v>0</v>
          </cell>
          <cell r="AE330">
            <v>0</v>
          </cell>
          <cell r="AF330">
            <v>0</v>
          </cell>
          <cell r="AG330">
            <v>0</v>
          </cell>
          <cell r="AH330">
            <v>0</v>
          </cell>
          <cell r="AI330">
            <v>0</v>
          </cell>
          <cell r="AJ330">
            <v>0</v>
          </cell>
          <cell r="AK330">
            <v>0</v>
          </cell>
          <cell r="AL330"/>
          <cell r="AM330">
            <v>0</v>
          </cell>
          <cell r="AN330">
            <v>0</v>
          </cell>
          <cell r="AO330">
            <v>0</v>
          </cell>
          <cell r="AP330">
            <v>0</v>
          </cell>
          <cell r="AQ330">
            <v>0</v>
          </cell>
          <cell r="AR330">
            <v>0</v>
          </cell>
          <cell r="AS330">
            <v>0</v>
          </cell>
          <cell r="AT330">
            <v>0</v>
          </cell>
          <cell r="AU330">
            <v>0</v>
          </cell>
          <cell r="AV330">
            <v>0</v>
          </cell>
          <cell r="AW330">
            <v>0</v>
          </cell>
          <cell r="AX330">
            <v>0</v>
          </cell>
          <cell r="AY330"/>
          <cell r="AZ330"/>
          <cell r="BA330">
            <v>0</v>
          </cell>
          <cell r="BB330"/>
          <cell r="BC330">
            <v>0</v>
          </cell>
          <cell r="BD330">
            <v>4070</v>
          </cell>
          <cell r="BE330"/>
          <cell r="BF330">
            <v>0</v>
          </cell>
          <cell r="BG330">
            <v>0</v>
          </cell>
          <cell r="BH330">
            <v>0</v>
          </cell>
          <cell r="BI330">
            <v>12138</v>
          </cell>
          <cell r="BJ330">
            <v>9992</v>
          </cell>
          <cell r="BK330">
            <v>9992</v>
          </cell>
          <cell r="BL330">
            <v>0</v>
          </cell>
          <cell r="BM330">
            <v>0</v>
          </cell>
          <cell r="BN330">
            <v>0</v>
          </cell>
          <cell r="BO330">
            <v>158576</v>
          </cell>
          <cell r="BP330">
            <v>0</v>
          </cell>
          <cell r="BQ330">
            <v>0</v>
          </cell>
          <cell r="BR330">
            <v>0</v>
          </cell>
          <cell r="BS330">
            <v>0</v>
          </cell>
          <cell r="BT330">
            <v>20980</v>
          </cell>
          <cell r="BU330"/>
          <cell r="BV330"/>
          <cell r="BW330"/>
          <cell r="BX330"/>
          <cell r="BY330">
            <v>0</v>
          </cell>
          <cell r="BZ330">
            <v>0</v>
          </cell>
          <cell r="CA330">
            <v>0</v>
          </cell>
          <cell r="CB330">
            <v>0</v>
          </cell>
          <cell r="CC330">
            <v>894955</v>
          </cell>
          <cell r="CD330">
            <v>5106310</v>
          </cell>
          <cell r="CE330">
            <v>203009</v>
          </cell>
          <cell r="CF330">
            <v>-23651</v>
          </cell>
          <cell r="CG330">
            <v>203009</v>
          </cell>
          <cell r="CH330">
            <v>203009</v>
          </cell>
          <cell r="CI330">
            <v>203009</v>
          </cell>
          <cell r="CJ330">
            <v>203009</v>
          </cell>
          <cell r="CK330">
            <v>0</v>
          </cell>
          <cell r="CL330">
            <v>0</v>
          </cell>
          <cell r="CM330">
            <v>0</v>
          </cell>
          <cell r="CN330">
            <v>0</v>
          </cell>
          <cell r="CO330">
            <v>0</v>
          </cell>
          <cell r="CP330">
            <v>-1899</v>
          </cell>
          <cell r="CQ330">
            <v>1365894</v>
          </cell>
          <cell r="CR330">
            <v>1281587</v>
          </cell>
          <cell r="CS330">
            <v>1225491</v>
          </cell>
          <cell r="CT330">
            <v>1156588</v>
          </cell>
          <cell r="CU330">
            <v>1129449</v>
          </cell>
          <cell r="CV330">
            <v>22500</v>
          </cell>
          <cell r="CW330">
            <v>0</v>
          </cell>
          <cell r="CX330">
            <v>0</v>
          </cell>
          <cell r="CY330">
            <v>0</v>
          </cell>
          <cell r="CZ330">
            <v>0</v>
          </cell>
          <cell r="DA330">
            <v>0</v>
          </cell>
          <cell r="DB330"/>
          <cell r="DC330">
            <v>0</v>
          </cell>
          <cell r="DD330">
            <v>0</v>
          </cell>
          <cell r="DE330">
            <v>0</v>
          </cell>
          <cell r="DF330">
            <v>0</v>
          </cell>
          <cell r="DG330">
            <v>0</v>
          </cell>
          <cell r="DH330">
            <v>0</v>
          </cell>
          <cell r="DI330">
            <v>0</v>
          </cell>
          <cell r="DJ330">
            <v>0</v>
          </cell>
          <cell r="DK330">
            <v>0</v>
          </cell>
          <cell r="DL330">
            <v>0</v>
          </cell>
          <cell r="DM330"/>
          <cell r="DN330"/>
          <cell r="DO330"/>
          <cell r="DP330"/>
        </row>
        <row r="331">
          <cell r="A331">
            <v>845</v>
          </cell>
          <cell r="B331" t="str">
            <v>Sint-Michielsgestel</v>
          </cell>
          <cell r="C331">
            <v>10</v>
          </cell>
          <cell r="D331">
            <v>-16472</v>
          </cell>
          <cell r="E331">
            <v>-8236</v>
          </cell>
          <cell r="F331">
            <v>0</v>
          </cell>
          <cell r="G331">
            <v>0</v>
          </cell>
          <cell r="H331">
            <v>-16690</v>
          </cell>
          <cell r="I331">
            <v>-16249</v>
          </cell>
          <cell r="J331"/>
          <cell r="K331">
            <v>0</v>
          </cell>
          <cell r="L331">
            <v>80997</v>
          </cell>
          <cell r="M331">
            <v>74445</v>
          </cell>
          <cell r="N331">
            <v>0</v>
          </cell>
          <cell r="O331">
            <v>0</v>
          </cell>
          <cell r="P331">
            <v>0</v>
          </cell>
          <cell r="Q331">
            <v>0</v>
          </cell>
          <cell r="R331">
            <v>0</v>
          </cell>
          <cell r="S331">
            <v>0</v>
          </cell>
          <cell r="T331">
            <v>0</v>
          </cell>
          <cell r="U331">
            <v>0</v>
          </cell>
          <cell r="V331">
            <v>3000</v>
          </cell>
          <cell r="W331">
            <v>87078</v>
          </cell>
          <cell r="X331">
            <v>0</v>
          </cell>
          <cell r="Y331"/>
          <cell r="Z331">
            <v>0</v>
          </cell>
          <cell r="AA331">
            <v>0</v>
          </cell>
          <cell r="AB331">
            <v>0</v>
          </cell>
          <cell r="AC331"/>
          <cell r="AD331">
            <v>0</v>
          </cell>
          <cell r="AE331">
            <v>0</v>
          </cell>
          <cell r="AF331">
            <v>0</v>
          </cell>
          <cell r="AG331">
            <v>0</v>
          </cell>
          <cell r="AH331">
            <v>0</v>
          </cell>
          <cell r="AI331">
            <v>0</v>
          </cell>
          <cell r="AJ331">
            <v>0</v>
          </cell>
          <cell r="AK331">
            <v>0</v>
          </cell>
          <cell r="AL331"/>
          <cell r="AM331">
            <v>0</v>
          </cell>
          <cell r="AN331">
            <v>0</v>
          </cell>
          <cell r="AO331">
            <v>0</v>
          </cell>
          <cell r="AP331">
            <v>0</v>
          </cell>
          <cell r="AQ331">
            <v>0</v>
          </cell>
          <cell r="AR331">
            <v>0</v>
          </cell>
          <cell r="AS331">
            <v>0</v>
          </cell>
          <cell r="AT331">
            <v>0</v>
          </cell>
          <cell r="AU331">
            <v>0</v>
          </cell>
          <cell r="AV331">
            <v>0</v>
          </cell>
          <cell r="AW331">
            <v>0</v>
          </cell>
          <cell r="AX331">
            <v>0</v>
          </cell>
          <cell r="AY331"/>
          <cell r="AZ331"/>
          <cell r="BA331">
            <v>0</v>
          </cell>
          <cell r="BB331"/>
          <cell r="BC331">
            <v>0</v>
          </cell>
          <cell r="BD331">
            <v>10034</v>
          </cell>
          <cell r="BE331"/>
          <cell r="BF331">
            <v>0</v>
          </cell>
          <cell r="BG331">
            <v>0</v>
          </cell>
          <cell r="BH331">
            <v>0</v>
          </cell>
          <cell r="BI331">
            <v>27736</v>
          </cell>
          <cell r="BJ331">
            <v>22831</v>
          </cell>
          <cell r="BK331">
            <v>22831</v>
          </cell>
          <cell r="BL331">
            <v>0</v>
          </cell>
          <cell r="BM331">
            <v>0</v>
          </cell>
          <cell r="BN331">
            <v>0</v>
          </cell>
          <cell r="BO331">
            <v>15566</v>
          </cell>
          <cell r="BP331">
            <v>0</v>
          </cell>
          <cell r="BQ331">
            <v>0</v>
          </cell>
          <cell r="BR331">
            <v>0</v>
          </cell>
          <cell r="BS331">
            <v>0</v>
          </cell>
          <cell r="BT331">
            <v>44392</v>
          </cell>
          <cell r="BU331"/>
          <cell r="BV331"/>
          <cell r="BW331"/>
          <cell r="BX331"/>
          <cell r="BY331">
            <v>0</v>
          </cell>
          <cell r="BZ331">
            <v>0</v>
          </cell>
          <cell r="CA331">
            <v>0</v>
          </cell>
          <cell r="CB331">
            <v>0</v>
          </cell>
          <cell r="CC331">
            <v>2109674</v>
          </cell>
          <cell r="CD331">
            <v>13051393</v>
          </cell>
          <cell r="CE331">
            <v>467068</v>
          </cell>
          <cell r="CF331">
            <v>0</v>
          </cell>
          <cell r="CG331">
            <v>467068</v>
          </cell>
          <cell r="CH331">
            <v>467068</v>
          </cell>
          <cell r="CI331">
            <v>467068</v>
          </cell>
          <cell r="CJ331">
            <v>467068</v>
          </cell>
          <cell r="CK331">
            <v>0</v>
          </cell>
          <cell r="CL331">
            <v>0</v>
          </cell>
          <cell r="CM331">
            <v>0</v>
          </cell>
          <cell r="CN331">
            <v>0</v>
          </cell>
          <cell r="CO331">
            <v>0</v>
          </cell>
          <cell r="CP331">
            <v>-5813</v>
          </cell>
          <cell r="CQ331">
            <v>4443913</v>
          </cell>
          <cell r="CR331">
            <v>4222591</v>
          </cell>
          <cell r="CS331">
            <v>4083194</v>
          </cell>
          <cell r="CT331">
            <v>3967282</v>
          </cell>
          <cell r="CU331">
            <v>3891946</v>
          </cell>
          <cell r="CV331">
            <v>60765</v>
          </cell>
          <cell r="CW331">
            <v>0</v>
          </cell>
          <cell r="CX331">
            <v>0</v>
          </cell>
          <cell r="CY331">
            <v>0</v>
          </cell>
          <cell r="CZ331">
            <v>0</v>
          </cell>
          <cell r="DA331">
            <v>0</v>
          </cell>
          <cell r="DB331"/>
          <cell r="DC331">
            <v>0</v>
          </cell>
          <cell r="DD331">
            <v>0</v>
          </cell>
          <cell r="DE331">
            <v>0</v>
          </cell>
          <cell r="DF331">
            <v>0</v>
          </cell>
          <cell r="DG331">
            <v>0</v>
          </cell>
          <cell r="DH331">
            <v>0</v>
          </cell>
          <cell r="DI331">
            <v>0</v>
          </cell>
          <cell r="DJ331">
            <v>0</v>
          </cell>
          <cell r="DK331">
            <v>0</v>
          </cell>
          <cell r="DL331">
            <v>0</v>
          </cell>
          <cell r="DM331"/>
          <cell r="DN331"/>
          <cell r="DO331"/>
          <cell r="DP331"/>
        </row>
        <row r="332">
          <cell r="A332">
            <v>847</v>
          </cell>
          <cell r="B332" t="str">
            <v>Someren</v>
          </cell>
          <cell r="C332">
            <v>10</v>
          </cell>
          <cell r="D332">
            <v>-20322</v>
          </cell>
          <cell r="E332">
            <v>-10161</v>
          </cell>
          <cell r="F332">
            <v>0</v>
          </cell>
          <cell r="G332">
            <v>0</v>
          </cell>
          <cell r="H332">
            <v>0</v>
          </cell>
          <cell r="I332">
            <v>-5731</v>
          </cell>
          <cell r="J332"/>
          <cell r="K332">
            <v>0</v>
          </cell>
          <cell r="L332">
            <v>71029</v>
          </cell>
          <cell r="M332">
            <v>57495</v>
          </cell>
          <cell r="N332">
            <v>0</v>
          </cell>
          <cell r="O332">
            <v>0</v>
          </cell>
          <cell r="P332">
            <v>0</v>
          </cell>
          <cell r="Q332">
            <v>0</v>
          </cell>
          <cell r="R332">
            <v>0</v>
          </cell>
          <cell r="S332">
            <v>0</v>
          </cell>
          <cell r="T332">
            <v>0</v>
          </cell>
          <cell r="U332">
            <v>0</v>
          </cell>
          <cell r="V332">
            <v>0</v>
          </cell>
          <cell r="W332">
            <v>78917</v>
          </cell>
          <cell r="X332">
            <v>0</v>
          </cell>
          <cell r="Y332"/>
          <cell r="Z332">
            <v>0</v>
          </cell>
          <cell r="AA332">
            <v>0</v>
          </cell>
          <cell r="AB332">
            <v>0</v>
          </cell>
          <cell r="AC332"/>
          <cell r="AD332">
            <v>0</v>
          </cell>
          <cell r="AE332">
            <v>0</v>
          </cell>
          <cell r="AF332">
            <v>0</v>
          </cell>
          <cell r="AG332">
            <v>0</v>
          </cell>
          <cell r="AH332">
            <v>0</v>
          </cell>
          <cell r="AI332">
            <v>0</v>
          </cell>
          <cell r="AJ332">
            <v>0</v>
          </cell>
          <cell r="AK332">
            <v>0</v>
          </cell>
          <cell r="AL332"/>
          <cell r="AM332">
            <v>0</v>
          </cell>
          <cell r="AN332">
            <v>0</v>
          </cell>
          <cell r="AO332">
            <v>0</v>
          </cell>
          <cell r="AP332">
            <v>0</v>
          </cell>
          <cell r="AQ332">
            <v>0</v>
          </cell>
          <cell r="AR332">
            <v>0</v>
          </cell>
          <cell r="AS332">
            <v>0</v>
          </cell>
          <cell r="AT332">
            <v>0</v>
          </cell>
          <cell r="AU332">
            <v>7110</v>
          </cell>
          <cell r="AV332">
            <v>0</v>
          </cell>
          <cell r="AW332">
            <v>0</v>
          </cell>
          <cell r="AX332">
            <v>0</v>
          </cell>
          <cell r="AY332"/>
          <cell r="AZ332"/>
          <cell r="BA332">
            <v>0</v>
          </cell>
          <cell r="BB332"/>
          <cell r="BC332">
            <v>0</v>
          </cell>
          <cell r="BD332">
            <v>6682</v>
          </cell>
          <cell r="BE332"/>
          <cell r="BF332">
            <v>0</v>
          </cell>
          <cell r="BG332">
            <v>0</v>
          </cell>
          <cell r="BH332">
            <v>0</v>
          </cell>
          <cell r="BI332">
            <v>25048</v>
          </cell>
          <cell r="BJ332">
            <v>20619</v>
          </cell>
          <cell r="BK332">
            <v>20619</v>
          </cell>
          <cell r="BL332">
            <v>0</v>
          </cell>
          <cell r="BM332">
            <v>0</v>
          </cell>
          <cell r="BN332">
            <v>0</v>
          </cell>
          <cell r="BO332">
            <v>18971</v>
          </cell>
          <cell r="BP332">
            <v>3162.8</v>
          </cell>
          <cell r="BQ332">
            <v>5697.6744186046499</v>
          </cell>
          <cell r="BR332">
            <v>0</v>
          </cell>
          <cell r="BS332">
            <v>0</v>
          </cell>
          <cell r="BT332">
            <v>28944</v>
          </cell>
          <cell r="BU332"/>
          <cell r="BV332"/>
          <cell r="BW332"/>
          <cell r="BX332"/>
          <cell r="BY332">
            <v>0</v>
          </cell>
          <cell r="BZ332">
            <v>0</v>
          </cell>
          <cell r="CA332">
            <v>0</v>
          </cell>
          <cell r="CB332">
            <v>0</v>
          </cell>
          <cell r="CC332">
            <v>1375307</v>
          </cell>
          <cell r="CD332">
            <v>7176389</v>
          </cell>
          <cell r="CE332">
            <v>560382</v>
          </cell>
          <cell r="CF332">
            <v>0</v>
          </cell>
          <cell r="CG332">
            <v>560382</v>
          </cell>
          <cell r="CH332">
            <v>560382</v>
          </cell>
          <cell r="CI332">
            <v>560382</v>
          </cell>
          <cell r="CJ332">
            <v>560382</v>
          </cell>
          <cell r="CK332">
            <v>0</v>
          </cell>
          <cell r="CL332">
            <v>0</v>
          </cell>
          <cell r="CM332">
            <v>0</v>
          </cell>
          <cell r="CN332">
            <v>0</v>
          </cell>
          <cell r="CO332">
            <v>0</v>
          </cell>
          <cell r="CP332">
            <v>-2070</v>
          </cell>
          <cell r="CQ332">
            <v>1800974</v>
          </cell>
          <cell r="CR332">
            <v>1692580</v>
          </cell>
          <cell r="CS332">
            <v>1610621</v>
          </cell>
          <cell r="CT332">
            <v>1586194</v>
          </cell>
          <cell r="CU332">
            <v>1567534</v>
          </cell>
          <cell r="CV332">
            <v>-8115</v>
          </cell>
          <cell r="CW332">
            <v>0</v>
          </cell>
          <cell r="CX332">
            <v>0</v>
          </cell>
          <cell r="CY332">
            <v>0</v>
          </cell>
          <cell r="CZ332">
            <v>0</v>
          </cell>
          <cell r="DA332">
            <v>0</v>
          </cell>
          <cell r="DB332"/>
          <cell r="DC332">
            <v>0</v>
          </cell>
          <cell r="DD332">
            <v>0</v>
          </cell>
          <cell r="DE332">
            <v>0</v>
          </cell>
          <cell r="DF332">
            <v>0</v>
          </cell>
          <cell r="DG332">
            <v>0</v>
          </cell>
          <cell r="DH332">
            <v>0</v>
          </cell>
          <cell r="DI332">
            <v>0</v>
          </cell>
          <cell r="DJ332">
            <v>0</v>
          </cell>
          <cell r="DK332">
            <v>0</v>
          </cell>
          <cell r="DL332">
            <v>0</v>
          </cell>
          <cell r="DM332"/>
          <cell r="DN332"/>
          <cell r="DO332"/>
          <cell r="DP332"/>
        </row>
        <row r="333">
          <cell r="A333">
            <v>848</v>
          </cell>
          <cell r="B333" t="str">
            <v>Son en Breugel</v>
          </cell>
          <cell r="C333">
            <v>10</v>
          </cell>
          <cell r="D333">
            <v>16439</v>
          </cell>
          <cell r="E333">
            <v>8219</v>
          </cell>
          <cell r="F333">
            <v>0</v>
          </cell>
          <cell r="G333">
            <v>0</v>
          </cell>
          <cell r="H333">
            <v>-12005</v>
          </cell>
          <cell r="I333">
            <v>-4342</v>
          </cell>
          <cell r="J333"/>
          <cell r="K333">
            <v>0</v>
          </cell>
          <cell r="L333">
            <v>54316</v>
          </cell>
          <cell r="M333">
            <v>53328</v>
          </cell>
          <cell r="N333">
            <v>0</v>
          </cell>
          <cell r="O333">
            <v>0</v>
          </cell>
          <cell r="P333">
            <v>0</v>
          </cell>
          <cell r="Q333">
            <v>0</v>
          </cell>
          <cell r="R333">
            <v>0</v>
          </cell>
          <cell r="S333">
            <v>0</v>
          </cell>
          <cell r="T333">
            <v>0</v>
          </cell>
          <cell r="U333">
            <v>0</v>
          </cell>
          <cell r="V333">
            <v>3000</v>
          </cell>
          <cell r="W333">
            <v>48489</v>
          </cell>
          <cell r="X333">
            <v>0</v>
          </cell>
          <cell r="Y333"/>
          <cell r="Z333">
            <v>0</v>
          </cell>
          <cell r="AA333">
            <v>0</v>
          </cell>
          <cell r="AB333">
            <v>0</v>
          </cell>
          <cell r="AC333"/>
          <cell r="AD333">
            <v>0</v>
          </cell>
          <cell r="AE333">
            <v>0</v>
          </cell>
          <cell r="AF333">
            <v>0</v>
          </cell>
          <cell r="AG333">
            <v>0</v>
          </cell>
          <cell r="AH333">
            <v>0</v>
          </cell>
          <cell r="AI333">
            <v>0</v>
          </cell>
          <cell r="AJ333">
            <v>0</v>
          </cell>
          <cell r="AK333">
            <v>0</v>
          </cell>
          <cell r="AL333"/>
          <cell r="AM333">
            <v>0</v>
          </cell>
          <cell r="AN333">
            <v>0</v>
          </cell>
          <cell r="AO333">
            <v>0</v>
          </cell>
          <cell r="AP333">
            <v>0</v>
          </cell>
          <cell r="AQ333">
            <v>0</v>
          </cell>
          <cell r="AR333">
            <v>0</v>
          </cell>
          <cell r="AS333">
            <v>0</v>
          </cell>
          <cell r="AT333">
            <v>0</v>
          </cell>
          <cell r="AU333">
            <v>4740</v>
          </cell>
          <cell r="AV333">
            <v>0</v>
          </cell>
          <cell r="AW333">
            <v>0</v>
          </cell>
          <cell r="AX333">
            <v>0</v>
          </cell>
          <cell r="AY333"/>
          <cell r="AZ333"/>
          <cell r="BA333">
            <v>0</v>
          </cell>
          <cell r="BB333"/>
          <cell r="BC333">
            <v>0</v>
          </cell>
          <cell r="BD333">
            <v>5836</v>
          </cell>
          <cell r="BE333"/>
          <cell r="BF333">
            <v>0</v>
          </cell>
          <cell r="BG333">
            <v>0</v>
          </cell>
          <cell r="BH333">
            <v>0</v>
          </cell>
          <cell r="BI333">
            <v>14041</v>
          </cell>
          <cell r="BJ333">
            <v>11558</v>
          </cell>
          <cell r="BK333">
            <v>11558</v>
          </cell>
          <cell r="BL333">
            <v>0</v>
          </cell>
          <cell r="BM333">
            <v>0</v>
          </cell>
          <cell r="BN333">
            <v>0</v>
          </cell>
          <cell r="BO333">
            <v>38914</v>
          </cell>
          <cell r="BP333">
            <v>12651.2</v>
          </cell>
          <cell r="BQ333">
            <v>22790.697674418599</v>
          </cell>
          <cell r="BR333">
            <v>0</v>
          </cell>
          <cell r="BS333">
            <v>0</v>
          </cell>
          <cell r="BT333">
            <v>25175</v>
          </cell>
          <cell r="BU333"/>
          <cell r="BV333"/>
          <cell r="BW333"/>
          <cell r="BX333"/>
          <cell r="BY333">
            <v>0</v>
          </cell>
          <cell r="BZ333">
            <v>0</v>
          </cell>
          <cell r="CA333">
            <v>0</v>
          </cell>
          <cell r="CB333">
            <v>0</v>
          </cell>
          <cell r="CC333">
            <v>1253241</v>
          </cell>
          <cell r="CD333">
            <v>5369036</v>
          </cell>
          <cell r="CE333">
            <v>296269</v>
          </cell>
          <cell r="CF333">
            <v>0</v>
          </cell>
          <cell r="CG333">
            <v>296269</v>
          </cell>
          <cell r="CH333">
            <v>296269</v>
          </cell>
          <cell r="CI333">
            <v>296269</v>
          </cell>
          <cell r="CJ333">
            <v>296269</v>
          </cell>
          <cell r="CK333">
            <v>0</v>
          </cell>
          <cell r="CL333">
            <v>0</v>
          </cell>
          <cell r="CM333">
            <v>0</v>
          </cell>
          <cell r="CN333">
            <v>0</v>
          </cell>
          <cell r="CO333">
            <v>0</v>
          </cell>
          <cell r="CP333">
            <v>-1558</v>
          </cell>
          <cell r="CQ333">
            <v>901596</v>
          </cell>
          <cell r="CR333">
            <v>858309</v>
          </cell>
          <cell r="CS333">
            <v>851673</v>
          </cell>
          <cell r="CT333">
            <v>816284</v>
          </cell>
          <cell r="CU333">
            <v>791922</v>
          </cell>
          <cell r="CV333">
            <v>29320</v>
          </cell>
          <cell r="CW333">
            <v>0</v>
          </cell>
          <cell r="CX333">
            <v>0</v>
          </cell>
          <cell r="CY333">
            <v>0</v>
          </cell>
          <cell r="CZ333">
            <v>0</v>
          </cell>
          <cell r="DA333">
            <v>0</v>
          </cell>
          <cell r="DB333"/>
          <cell r="DC333">
            <v>0</v>
          </cell>
          <cell r="DD333">
            <v>0</v>
          </cell>
          <cell r="DE333">
            <v>0</v>
          </cell>
          <cell r="DF333">
            <v>0</v>
          </cell>
          <cell r="DG333">
            <v>0</v>
          </cell>
          <cell r="DH333">
            <v>0</v>
          </cell>
          <cell r="DI333">
            <v>0</v>
          </cell>
          <cell r="DJ333">
            <v>0</v>
          </cell>
          <cell r="DK333">
            <v>0</v>
          </cell>
          <cell r="DL333">
            <v>0</v>
          </cell>
          <cell r="DM333"/>
          <cell r="DN333"/>
          <cell r="DO333"/>
          <cell r="DP333"/>
        </row>
        <row r="334">
          <cell r="A334">
            <v>851</v>
          </cell>
          <cell r="B334" t="str">
            <v>Steenbergen</v>
          </cell>
          <cell r="C334">
            <v>10</v>
          </cell>
          <cell r="D334">
            <v>1592</v>
          </cell>
          <cell r="E334">
            <v>796</v>
          </cell>
          <cell r="F334">
            <v>0</v>
          </cell>
          <cell r="G334">
            <v>0</v>
          </cell>
          <cell r="H334">
            <v>-21621</v>
          </cell>
          <cell r="I334">
            <v>-11111</v>
          </cell>
          <cell r="J334"/>
          <cell r="K334">
            <v>0</v>
          </cell>
          <cell r="L334">
            <v>88578</v>
          </cell>
          <cell r="M334">
            <v>80992</v>
          </cell>
          <cell r="N334">
            <v>0</v>
          </cell>
          <cell r="O334">
            <v>0</v>
          </cell>
          <cell r="P334">
            <v>0</v>
          </cell>
          <cell r="Q334">
            <v>0</v>
          </cell>
          <cell r="R334">
            <v>0</v>
          </cell>
          <cell r="S334">
            <v>0</v>
          </cell>
          <cell r="T334">
            <v>0</v>
          </cell>
          <cell r="U334">
            <v>0</v>
          </cell>
          <cell r="V334">
            <v>6000</v>
          </cell>
          <cell r="W334">
            <v>89608</v>
          </cell>
          <cell r="X334">
            <v>0</v>
          </cell>
          <cell r="Y334"/>
          <cell r="Z334">
            <v>0</v>
          </cell>
          <cell r="AA334">
            <v>0</v>
          </cell>
          <cell r="AB334">
            <v>0</v>
          </cell>
          <cell r="AC334"/>
          <cell r="AD334">
            <v>0</v>
          </cell>
          <cell r="AE334">
            <v>0</v>
          </cell>
          <cell r="AF334">
            <v>0</v>
          </cell>
          <cell r="AG334">
            <v>0</v>
          </cell>
          <cell r="AH334">
            <v>0</v>
          </cell>
          <cell r="AI334">
            <v>0</v>
          </cell>
          <cell r="AJ334">
            <v>0</v>
          </cell>
          <cell r="AK334">
            <v>0</v>
          </cell>
          <cell r="AL334"/>
          <cell r="AM334">
            <v>0</v>
          </cell>
          <cell r="AN334">
            <v>0</v>
          </cell>
          <cell r="AO334">
            <v>0</v>
          </cell>
          <cell r="AP334">
            <v>0</v>
          </cell>
          <cell r="AQ334">
            <v>0</v>
          </cell>
          <cell r="AR334">
            <v>0</v>
          </cell>
          <cell r="AS334">
            <v>0</v>
          </cell>
          <cell r="AT334">
            <v>0</v>
          </cell>
          <cell r="AU334">
            <v>4740</v>
          </cell>
          <cell r="AV334">
            <v>0</v>
          </cell>
          <cell r="AW334">
            <v>0</v>
          </cell>
          <cell r="AX334">
            <v>0</v>
          </cell>
          <cell r="AY334"/>
          <cell r="AZ334"/>
          <cell r="BA334">
            <v>0</v>
          </cell>
          <cell r="BB334"/>
          <cell r="BC334">
            <v>0</v>
          </cell>
          <cell r="BD334">
            <v>8414</v>
          </cell>
          <cell r="BE334"/>
          <cell r="BF334">
            <v>0</v>
          </cell>
          <cell r="BG334">
            <v>0</v>
          </cell>
          <cell r="BH334">
            <v>0</v>
          </cell>
          <cell r="BI334">
            <v>35967</v>
          </cell>
          <cell r="BJ334">
            <v>29606</v>
          </cell>
          <cell r="BK334">
            <v>29606</v>
          </cell>
          <cell r="BL334">
            <v>0</v>
          </cell>
          <cell r="BM334">
            <v>0</v>
          </cell>
          <cell r="BN334">
            <v>0</v>
          </cell>
          <cell r="BO334">
            <v>39887</v>
          </cell>
          <cell r="BP334">
            <v>14232.6</v>
          </cell>
          <cell r="BQ334">
            <v>25639.534883720899</v>
          </cell>
          <cell r="BR334">
            <v>0</v>
          </cell>
          <cell r="BS334">
            <v>0</v>
          </cell>
          <cell r="BT334">
            <v>38110</v>
          </cell>
          <cell r="BU334"/>
          <cell r="BV334"/>
          <cell r="BW334"/>
          <cell r="BX334"/>
          <cell r="BY334">
            <v>0</v>
          </cell>
          <cell r="BZ334">
            <v>0</v>
          </cell>
          <cell r="CA334">
            <v>0</v>
          </cell>
          <cell r="CB334">
            <v>0</v>
          </cell>
          <cell r="CC334">
            <v>2150904</v>
          </cell>
          <cell r="CD334">
            <v>11018848</v>
          </cell>
          <cell r="CE334">
            <v>1231223</v>
          </cell>
          <cell r="CF334">
            <v>0</v>
          </cell>
          <cell r="CG334">
            <v>1231223</v>
          </cell>
          <cell r="CH334">
            <v>1231223</v>
          </cell>
          <cell r="CI334">
            <v>1231223</v>
          </cell>
          <cell r="CJ334">
            <v>1231223</v>
          </cell>
          <cell r="CK334">
            <v>0</v>
          </cell>
          <cell r="CL334">
            <v>0</v>
          </cell>
          <cell r="CM334">
            <v>0</v>
          </cell>
          <cell r="CN334">
            <v>0</v>
          </cell>
          <cell r="CO334">
            <v>0</v>
          </cell>
          <cell r="CP334">
            <v>-3969</v>
          </cell>
          <cell r="CQ334">
            <v>2656616</v>
          </cell>
          <cell r="CR334">
            <v>2533201</v>
          </cell>
          <cell r="CS334">
            <v>2478707</v>
          </cell>
          <cell r="CT334">
            <v>2421961</v>
          </cell>
          <cell r="CU334">
            <v>2352838</v>
          </cell>
          <cell r="CV334">
            <v>91995</v>
          </cell>
          <cell r="CW334">
            <v>0</v>
          </cell>
          <cell r="CX334">
            <v>0</v>
          </cell>
          <cell r="CY334">
            <v>0</v>
          </cell>
          <cell r="CZ334">
            <v>0</v>
          </cell>
          <cell r="DA334">
            <v>0</v>
          </cell>
          <cell r="DB334"/>
          <cell r="DC334">
            <v>0</v>
          </cell>
          <cell r="DD334">
            <v>0</v>
          </cell>
          <cell r="DE334">
            <v>0</v>
          </cell>
          <cell r="DF334">
            <v>0</v>
          </cell>
          <cell r="DG334">
            <v>0</v>
          </cell>
          <cell r="DH334">
            <v>0</v>
          </cell>
          <cell r="DI334">
            <v>0</v>
          </cell>
          <cell r="DJ334">
            <v>0</v>
          </cell>
          <cell r="DK334">
            <v>0</v>
          </cell>
          <cell r="DL334">
            <v>0</v>
          </cell>
          <cell r="DM334"/>
          <cell r="DN334"/>
          <cell r="DO334"/>
          <cell r="DP334"/>
        </row>
        <row r="335">
          <cell r="A335">
            <v>855</v>
          </cell>
          <cell r="B335" t="str">
            <v>Tilburg</v>
          </cell>
          <cell r="C335">
            <v>10</v>
          </cell>
          <cell r="D335">
            <v>-59055</v>
          </cell>
          <cell r="E335">
            <v>-29527</v>
          </cell>
          <cell r="F335">
            <v>0</v>
          </cell>
          <cell r="G335">
            <v>155457</v>
          </cell>
          <cell r="H335">
            <v>-91056</v>
          </cell>
          <cell r="I335">
            <v>-64960</v>
          </cell>
          <cell r="J335"/>
          <cell r="K335">
            <v>0</v>
          </cell>
          <cell r="L335">
            <v>1274368</v>
          </cell>
          <cell r="M335">
            <v>1284643</v>
          </cell>
          <cell r="N335">
            <v>0</v>
          </cell>
          <cell r="O335">
            <v>0</v>
          </cell>
          <cell r="P335">
            <v>150000</v>
          </cell>
          <cell r="Q335">
            <v>0</v>
          </cell>
          <cell r="R335">
            <v>0</v>
          </cell>
          <cell r="S335">
            <v>2871340</v>
          </cell>
          <cell r="T335">
            <v>2366962</v>
          </cell>
          <cell r="U335">
            <v>2871340</v>
          </cell>
          <cell r="V335">
            <v>114000</v>
          </cell>
          <cell r="W335">
            <v>732222</v>
          </cell>
          <cell r="X335">
            <v>0</v>
          </cell>
          <cell r="Y335"/>
          <cell r="Z335">
            <v>0</v>
          </cell>
          <cell r="AA335">
            <v>40000</v>
          </cell>
          <cell r="AB335">
            <v>0</v>
          </cell>
          <cell r="AC335"/>
          <cell r="AD335">
            <v>532901</v>
          </cell>
          <cell r="AE335">
            <v>0</v>
          </cell>
          <cell r="AF335">
            <v>0</v>
          </cell>
          <cell r="AG335">
            <v>0</v>
          </cell>
          <cell r="AH335">
            <v>0</v>
          </cell>
          <cell r="AI335">
            <v>148777</v>
          </cell>
          <cell r="AJ335">
            <v>0</v>
          </cell>
          <cell r="AK335">
            <v>826949</v>
          </cell>
          <cell r="AL335"/>
          <cell r="AM335">
            <v>0</v>
          </cell>
          <cell r="AN335">
            <v>0</v>
          </cell>
          <cell r="AO335">
            <v>0</v>
          </cell>
          <cell r="AP335">
            <v>0</v>
          </cell>
          <cell r="AQ335">
            <v>0</v>
          </cell>
          <cell r="AR335">
            <v>0</v>
          </cell>
          <cell r="AS335">
            <v>0</v>
          </cell>
          <cell r="AT335">
            <v>20000</v>
          </cell>
          <cell r="AU335">
            <v>7110</v>
          </cell>
          <cell r="AV335">
            <v>8155169.1697052</v>
          </cell>
          <cell r="AW335">
            <v>89463</v>
          </cell>
          <cell r="AX335">
            <v>0</v>
          </cell>
          <cell r="AY335"/>
          <cell r="AZ335"/>
          <cell r="BA335">
            <v>0</v>
          </cell>
          <cell r="BB335"/>
          <cell r="BC335">
            <v>0</v>
          </cell>
          <cell r="BD335">
            <v>75053</v>
          </cell>
          <cell r="BE335"/>
          <cell r="BF335">
            <v>0</v>
          </cell>
          <cell r="BG335">
            <v>0</v>
          </cell>
          <cell r="BH335">
            <v>0</v>
          </cell>
          <cell r="BI335">
            <v>408064</v>
          </cell>
          <cell r="BJ335">
            <v>335897</v>
          </cell>
          <cell r="BK335">
            <v>335897</v>
          </cell>
          <cell r="BL335">
            <v>0</v>
          </cell>
          <cell r="BM335">
            <v>0</v>
          </cell>
          <cell r="BN335">
            <v>461230</v>
          </cell>
          <cell r="BO335">
            <v>368712</v>
          </cell>
          <cell r="BP335">
            <v>42697.8</v>
          </cell>
          <cell r="BQ335">
            <v>76918.604651162794</v>
          </cell>
          <cell r="BR335">
            <v>61000</v>
          </cell>
          <cell r="BS335">
            <v>0</v>
          </cell>
          <cell r="BT335">
            <v>369159</v>
          </cell>
          <cell r="BU335"/>
          <cell r="BV335"/>
          <cell r="BW335"/>
          <cell r="BX335"/>
          <cell r="BY335">
            <v>5192153.6065940596</v>
          </cell>
          <cell r="BZ335">
            <v>5691315.6644652998</v>
          </cell>
          <cell r="CA335">
            <v>5733957.6493085697</v>
          </cell>
          <cell r="CB335">
            <v>5854358.5476895701</v>
          </cell>
          <cell r="CC335">
            <v>17017639</v>
          </cell>
          <cell r="CD335">
            <v>177787437</v>
          </cell>
          <cell r="CE335">
            <v>9917833</v>
          </cell>
          <cell r="CF335">
            <v>-72921</v>
          </cell>
          <cell r="CG335">
            <v>9802833</v>
          </cell>
          <cell r="CH335">
            <v>9802833</v>
          </cell>
          <cell r="CI335">
            <v>9802833</v>
          </cell>
          <cell r="CJ335">
            <v>9802833</v>
          </cell>
          <cell r="CK335">
            <v>56628643</v>
          </cell>
          <cell r="CL335">
            <v>56600522</v>
          </cell>
          <cell r="CM335">
            <v>56600067</v>
          </cell>
          <cell r="CN335">
            <v>56599067</v>
          </cell>
          <cell r="CO335">
            <v>56600453</v>
          </cell>
          <cell r="CP335">
            <v>-12419</v>
          </cell>
          <cell r="CQ335">
            <v>30950533</v>
          </cell>
          <cell r="CR335">
            <v>29394971</v>
          </cell>
          <cell r="CS335">
            <v>28454112</v>
          </cell>
          <cell r="CT335">
            <v>27664173</v>
          </cell>
          <cell r="CU335">
            <v>26914346</v>
          </cell>
          <cell r="CV335">
            <v>439173</v>
          </cell>
          <cell r="CW335">
            <v>0</v>
          </cell>
          <cell r="CX335">
            <v>0</v>
          </cell>
          <cell r="CY335">
            <v>0</v>
          </cell>
          <cell r="CZ335">
            <v>0</v>
          </cell>
          <cell r="DA335">
            <v>0</v>
          </cell>
          <cell r="DB335"/>
          <cell r="DC335">
            <v>0</v>
          </cell>
          <cell r="DD335">
            <v>0</v>
          </cell>
          <cell r="DE335">
            <v>0</v>
          </cell>
          <cell r="DF335">
            <v>0</v>
          </cell>
          <cell r="DG335">
            <v>0</v>
          </cell>
          <cell r="DH335">
            <v>0</v>
          </cell>
          <cell r="DI335">
            <v>0</v>
          </cell>
          <cell r="DJ335">
            <v>0</v>
          </cell>
          <cell r="DK335">
            <v>0</v>
          </cell>
          <cell r="DL335">
            <v>0</v>
          </cell>
          <cell r="DM335"/>
          <cell r="DN335"/>
          <cell r="DO335"/>
          <cell r="DP335"/>
        </row>
        <row r="336">
          <cell r="A336">
            <v>856</v>
          </cell>
          <cell r="B336" t="str">
            <v>Uden</v>
          </cell>
          <cell r="C336">
            <v>10</v>
          </cell>
          <cell r="D336">
            <v>-8903</v>
          </cell>
          <cell r="E336">
            <v>-4452</v>
          </cell>
          <cell r="F336">
            <v>0</v>
          </cell>
          <cell r="G336">
            <v>130599</v>
          </cell>
          <cell r="H336">
            <v>-21851</v>
          </cell>
          <cell r="I336">
            <v>-11756</v>
          </cell>
          <cell r="J336"/>
          <cell r="K336">
            <v>0</v>
          </cell>
          <cell r="L336">
            <v>181095</v>
          </cell>
          <cell r="M336">
            <v>173746</v>
          </cell>
          <cell r="N336">
            <v>0</v>
          </cell>
          <cell r="O336">
            <v>0</v>
          </cell>
          <cell r="P336">
            <v>0</v>
          </cell>
          <cell r="Q336">
            <v>0</v>
          </cell>
          <cell r="R336">
            <v>0</v>
          </cell>
          <cell r="S336">
            <v>0</v>
          </cell>
          <cell r="T336">
            <v>0</v>
          </cell>
          <cell r="U336">
            <v>0</v>
          </cell>
          <cell r="V336">
            <v>3000</v>
          </cell>
          <cell r="W336">
            <v>165999</v>
          </cell>
          <cell r="X336">
            <v>0</v>
          </cell>
          <cell r="Y336"/>
          <cell r="Z336">
            <v>0</v>
          </cell>
          <cell r="AA336">
            <v>0</v>
          </cell>
          <cell r="AB336">
            <v>0</v>
          </cell>
          <cell r="AC336"/>
          <cell r="AD336">
            <v>0</v>
          </cell>
          <cell r="AE336">
            <v>0</v>
          </cell>
          <cell r="AF336">
            <v>0</v>
          </cell>
          <cell r="AG336">
            <v>0</v>
          </cell>
          <cell r="AH336">
            <v>0</v>
          </cell>
          <cell r="AI336">
            <v>0</v>
          </cell>
          <cell r="AJ336">
            <v>0</v>
          </cell>
          <cell r="AK336">
            <v>0</v>
          </cell>
          <cell r="AL336"/>
          <cell r="AM336">
            <v>0</v>
          </cell>
          <cell r="AN336">
            <v>0</v>
          </cell>
          <cell r="AO336">
            <v>0</v>
          </cell>
          <cell r="AP336">
            <v>0</v>
          </cell>
          <cell r="AQ336">
            <v>0</v>
          </cell>
          <cell r="AR336">
            <v>0</v>
          </cell>
          <cell r="AS336">
            <v>0</v>
          </cell>
          <cell r="AT336">
            <v>0</v>
          </cell>
          <cell r="AU336">
            <v>0</v>
          </cell>
          <cell r="AV336">
            <v>0</v>
          </cell>
          <cell r="AW336">
            <v>0</v>
          </cell>
          <cell r="AX336">
            <v>0</v>
          </cell>
          <cell r="AY336"/>
          <cell r="AZ336"/>
          <cell r="BA336">
            <v>0</v>
          </cell>
          <cell r="BB336"/>
          <cell r="BC336">
            <v>0</v>
          </cell>
          <cell r="BD336">
            <v>14527</v>
          </cell>
          <cell r="BE336"/>
          <cell r="BF336">
            <v>0</v>
          </cell>
          <cell r="BG336">
            <v>0</v>
          </cell>
          <cell r="BH336">
            <v>0</v>
          </cell>
          <cell r="BI336">
            <v>60842</v>
          </cell>
          <cell r="BJ336">
            <v>50082</v>
          </cell>
          <cell r="BK336">
            <v>50082</v>
          </cell>
          <cell r="BL336">
            <v>0</v>
          </cell>
          <cell r="BM336">
            <v>0</v>
          </cell>
          <cell r="BN336">
            <v>0</v>
          </cell>
          <cell r="BO336">
            <v>211596</v>
          </cell>
          <cell r="BP336">
            <v>30046.6</v>
          </cell>
          <cell r="BQ336">
            <v>54127.906976744198</v>
          </cell>
          <cell r="BR336">
            <v>0</v>
          </cell>
          <cell r="BS336">
            <v>0</v>
          </cell>
          <cell r="BT336">
            <v>65546</v>
          </cell>
          <cell r="BU336"/>
          <cell r="BV336"/>
          <cell r="BW336"/>
          <cell r="BX336"/>
          <cell r="BY336">
            <v>0</v>
          </cell>
          <cell r="BZ336">
            <v>0</v>
          </cell>
          <cell r="CA336">
            <v>0</v>
          </cell>
          <cell r="CB336">
            <v>0</v>
          </cell>
          <cell r="CC336">
            <v>3248663</v>
          </cell>
          <cell r="CD336">
            <v>23519542</v>
          </cell>
          <cell r="CE336">
            <v>1123029</v>
          </cell>
          <cell r="CF336">
            <v>0</v>
          </cell>
          <cell r="CG336">
            <v>1123029</v>
          </cell>
          <cell r="CH336">
            <v>1123029</v>
          </cell>
          <cell r="CI336">
            <v>1123029</v>
          </cell>
          <cell r="CJ336">
            <v>1123029</v>
          </cell>
          <cell r="CK336">
            <v>0</v>
          </cell>
          <cell r="CL336">
            <v>0</v>
          </cell>
          <cell r="CM336">
            <v>0</v>
          </cell>
          <cell r="CN336">
            <v>0</v>
          </cell>
          <cell r="CO336">
            <v>0</v>
          </cell>
          <cell r="CP336">
            <v>-4229</v>
          </cell>
          <cell r="CQ336">
            <v>7805082</v>
          </cell>
          <cell r="CR336">
            <v>7360815</v>
          </cell>
          <cell r="CS336">
            <v>7150081</v>
          </cell>
          <cell r="CT336">
            <v>6914145</v>
          </cell>
          <cell r="CU336">
            <v>6758124</v>
          </cell>
          <cell r="CV336">
            <v>-44572</v>
          </cell>
          <cell r="CW336">
            <v>0</v>
          </cell>
          <cell r="CX336">
            <v>0</v>
          </cell>
          <cell r="CY336">
            <v>0</v>
          </cell>
          <cell r="CZ336">
            <v>0</v>
          </cell>
          <cell r="DA336">
            <v>0</v>
          </cell>
          <cell r="DB336"/>
          <cell r="DC336">
            <v>0</v>
          </cell>
          <cell r="DD336">
            <v>0</v>
          </cell>
          <cell r="DE336">
            <v>0</v>
          </cell>
          <cell r="DF336">
            <v>0</v>
          </cell>
          <cell r="DG336">
            <v>0</v>
          </cell>
          <cell r="DH336">
            <v>0</v>
          </cell>
          <cell r="DI336">
            <v>0</v>
          </cell>
          <cell r="DJ336">
            <v>0</v>
          </cell>
          <cell r="DK336">
            <v>0</v>
          </cell>
          <cell r="DL336">
            <v>0</v>
          </cell>
          <cell r="DM336"/>
          <cell r="DN336"/>
          <cell r="DO336"/>
          <cell r="DP336"/>
        </row>
        <row r="337">
          <cell r="A337">
            <v>858</v>
          </cell>
          <cell r="B337" t="str">
            <v>Valkenswaard</v>
          </cell>
          <cell r="C337">
            <v>10</v>
          </cell>
          <cell r="D337">
            <v>-10564</v>
          </cell>
          <cell r="E337">
            <v>-5282</v>
          </cell>
          <cell r="F337">
            <v>0</v>
          </cell>
          <cell r="G337">
            <v>0</v>
          </cell>
          <cell r="H337">
            <v>-38666</v>
          </cell>
          <cell r="I337">
            <v>-31696</v>
          </cell>
          <cell r="J337"/>
          <cell r="K337">
            <v>0</v>
          </cell>
          <cell r="L337">
            <v>116910</v>
          </cell>
          <cell r="M337">
            <v>105228</v>
          </cell>
          <cell r="N337">
            <v>0</v>
          </cell>
          <cell r="O337">
            <v>0</v>
          </cell>
          <cell r="P337">
            <v>0</v>
          </cell>
          <cell r="Q337">
            <v>0</v>
          </cell>
          <cell r="R337">
            <v>0</v>
          </cell>
          <cell r="S337">
            <v>0</v>
          </cell>
          <cell r="T337">
            <v>0</v>
          </cell>
          <cell r="U337">
            <v>0</v>
          </cell>
          <cell r="V337">
            <v>0</v>
          </cell>
          <cell r="W337">
            <v>110795</v>
          </cell>
          <cell r="X337">
            <v>0</v>
          </cell>
          <cell r="Y337"/>
          <cell r="Z337">
            <v>0</v>
          </cell>
          <cell r="AA337">
            <v>0</v>
          </cell>
          <cell r="AB337">
            <v>0</v>
          </cell>
          <cell r="AC337"/>
          <cell r="AD337">
            <v>0</v>
          </cell>
          <cell r="AE337">
            <v>0</v>
          </cell>
          <cell r="AF337">
            <v>0</v>
          </cell>
          <cell r="AG337">
            <v>0</v>
          </cell>
          <cell r="AH337">
            <v>0</v>
          </cell>
          <cell r="AI337">
            <v>0</v>
          </cell>
          <cell r="AJ337">
            <v>0</v>
          </cell>
          <cell r="AK337">
            <v>0</v>
          </cell>
          <cell r="AL337"/>
          <cell r="AM337">
            <v>0</v>
          </cell>
          <cell r="AN337">
            <v>0</v>
          </cell>
          <cell r="AO337">
            <v>0</v>
          </cell>
          <cell r="AP337">
            <v>0</v>
          </cell>
          <cell r="AQ337">
            <v>0</v>
          </cell>
          <cell r="AR337">
            <v>0</v>
          </cell>
          <cell r="AS337">
            <v>0</v>
          </cell>
          <cell r="AT337">
            <v>0</v>
          </cell>
          <cell r="AU337">
            <v>0</v>
          </cell>
          <cell r="AV337">
            <v>0</v>
          </cell>
          <cell r="AW337">
            <v>0</v>
          </cell>
          <cell r="AX337">
            <v>0</v>
          </cell>
          <cell r="AY337"/>
          <cell r="AZ337"/>
          <cell r="BA337">
            <v>0</v>
          </cell>
          <cell r="BB337"/>
          <cell r="BC337">
            <v>0</v>
          </cell>
          <cell r="BD337">
            <v>10712</v>
          </cell>
          <cell r="BE337"/>
          <cell r="BF337">
            <v>0</v>
          </cell>
          <cell r="BG337">
            <v>0</v>
          </cell>
          <cell r="BH337">
            <v>0</v>
          </cell>
          <cell r="BI337">
            <v>51616</v>
          </cell>
          <cell r="BJ337">
            <v>42488</v>
          </cell>
          <cell r="BK337">
            <v>42488</v>
          </cell>
          <cell r="BL337">
            <v>0</v>
          </cell>
          <cell r="BM337">
            <v>0</v>
          </cell>
          <cell r="BN337">
            <v>0</v>
          </cell>
          <cell r="BO337">
            <v>18971</v>
          </cell>
          <cell r="BP337">
            <v>0</v>
          </cell>
          <cell r="BQ337">
            <v>0</v>
          </cell>
          <cell r="BR337">
            <v>0</v>
          </cell>
          <cell r="BS337">
            <v>0</v>
          </cell>
          <cell r="BT337">
            <v>42411</v>
          </cell>
          <cell r="BU337"/>
          <cell r="BV337"/>
          <cell r="BW337"/>
          <cell r="BX337"/>
          <cell r="BY337">
            <v>0</v>
          </cell>
          <cell r="BZ337">
            <v>0</v>
          </cell>
          <cell r="CA337">
            <v>0</v>
          </cell>
          <cell r="CB337">
            <v>0</v>
          </cell>
          <cell r="CC337">
            <v>2918145</v>
          </cell>
          <cell r="CD337">
            <v>13213496</v>
          </cell>
          <cell r="CE337">
            <v>604575</v>
          </cell>
          <cell r="CF337">
            <v>-75394</v>
          </cell>
          <cell r="CG337">
            <v>604575</v>
          </cell>
          <cell r="CH337">
            <v>604575</v>
          </cell>
          <cell r="CI337">
            <v>604575</v>
          </cell>
          <cell r="CJ337">
            <v>604575</v>
          </cell>
          <cell r="CK337">
            <v>0</v>
          </cell>
          <cell r="CL337">
            <v>0</v>
          </cell>
          <cell r="CM337">
            <v>0</v>
          </cell>
          <cell r="CN337">
            <v>0</v>
          </cell>
          <cell r="CO337">
            <v>0</v>
          </cell>
          <cell r="CP337">
            <v>-224</v>
          </cell>
          <cell r="CQ337">
            <v>3379476</v>
          </cell>
          <cell r="CR337">
            <v>3281981</v>
          </cell>
          <cell r="CS337">
            <v>3249778</v>
          </cell>
          <cell r="CT337">
            <v>3178411</v>
          </cell>
          <cell r="CU337">
            <v>3144925</v>
          </cell>
          <cell r="CV337">
            <v>12258</v>
          </cell>
          <cell r="CW337">
            <v>0</v>
          </cell>
          <cell r="CX337">
            <v>0</v>
          </cell>
          <cell r="CY337">
            <v>0</v>
          </cell>
          <cell r="CZ337">
            <v>0</v>
          </cell>
          <cell r="DA337">
            <v>0</v>
          </cell>
          <cell r="DB337"/>
          <cell r="DC337">
            <v>0</v>
          </cell>
          <cell r="DD337">
            <v>0</v>
          </cell>
          <cell r="DE337">
            <v>0</v>
          </cell>
          <cell r="DF337">
            <v>0</v>
          </cell>
          <cell r="DG337">
            <v>0</v>
          </cell>
          <cell r="DH337">
            <v>0</v>
          </cell>
          <cell r="DI337">
            <v>0</v>
          </cell>
          <cell r="DJ337">
            <v>0</v>
          </cell>
          <cell r="DK337">
            <v>0</v>
          </cell>
          <cell r="DL337">
            <v>0</v>
          </cell>
          <cell r="DM337"/>
          <cell r="DN337"/>
          <cell r="DO337"/>
          <cell r="DP337"/>
        </row>
        <row r="338">
          <cell r="A338">
            <v>861</v>
          </cell>
          <cell r="B338" t="str">
            <v>Veldhoven</v>
          </cell>
          <cell r="C338">
            <v>10</v>
          </cell>
          <cell r="D338">
            <v>-34381</v>
          </cell>
          <cell r="E338">
            <v>-17191</v>
          </cell>
          <cell r="F338">
            <v>0</v>
          </cell>
          <cell r="G338">
            <v>0</v>
          </cell>
          <cell r="H338">
            <v>-12824</v>
          </cell>
          <cell r="I338">
            <v>-13539</v>
          </cell>
          <cell r="J338"/>
          <cell r="K338">
            <v>0</v>
          </cell>
          <cell r="L338">
            <v>155230</v>
          </cell>
          <cell r="M338">
            <v>147986</v>
          </cell>
          <cell r="N338">
            <v>0</v>
          </cell>
          <cell r="O338">
            <v>0</v>
          </cell>
          <cell r="P338">
            <v>0</v>
          </cell>
          <cell r="Q338">
            <v>0</v>
          </cell>
          <cell r="R338">
            <v>0</v>
          </cell>
          <cell r="S338">
            <v>0</v>
          </cell>
          <cell r="T338">
            <v>0</v>
          </cell>
          <cell r="U338">
            <v>0</v>
          </cell>
          <cell r="V338">
            <v>9000</v>
          </cell>
          <cell r="W338">
            <v>125666</v>
          </cell>
          <cell r="X338">
            <v>0</v>
          </cell>
          <cell r="Y338"/>
          <cell r="Z338">
            <v>0</v>
          </cell>
          <cell r="AA338">
            <v>0</v>
          </cell>
          <cell r="AB338">
            <v>0</v>
          </cell>
          <cell r="AC338"/>
          <cell r="AD338">
            <v>0</v>
          </cell>
          <cell r="AE338">
            <v>0</v>
          </cell>
          <cell r="AF338">
            <v>0</v>
          </cell>
          <cell r="AG338">
            <v>0</v>
          </cell>
          <cell r="AH338">
            <v>0</v>
          </cell>
          <cell r="AI338">
            <v>0</v>
          </cell>
          <cell r="AJ338">
            <v>0</v>
          </cell>
          <cell r="AK338">
            <v>0</v>
          </cell>
          <cell r="AL338"/>
          <cell r="AM338">
            <v>0</v>
          </cell>
          <cell r="AN338">
            <v>0</v>
          </cell>
          <cell r="AO338">
            <v>0</v>
          </cell>
          <cell r="AP338">
            <v>0</v>
          </cell>
          <cell r="AQ338">
            <v>0</v>
          </cell>
          <cell r="AR338">
            <v>0</v>
          </cell>
          <cell r="AS338">
            <v>0</v>
          </cell>
          <cell r="AT338">
            <v>0</v>
          </cell>
          <cell r="AU338">
            <v>2370</v>
          </cell>
          <cell r="AV338">
            <v>0</v>
          </cell>
          <cell r="AW338">
            <v>0</v>
          </cell>
          <cell r="AX338">
            <v>0</v>
          </cell>
          <cell r="AY338"/>
          <cell r="AZ338"/>
          <cell r="BA338">
            <v>0</v>
          </cell>
          <cell r="BB338"/>
          <cell r="BC338">
            <v>0</v>
          </cell>
          <cell r="BD338">
            <v>15700</v>
          </cell>
          <cell r="BE338"/>
          <cell r="BF338">
            <v>0</v>
          </cell>
          <cell r="BG338">
            <v>0</v>
          </cell>
          <cell r="BH338">
            <v>0</v>
          </cell>
          <cell r="BI338">
            <v>53372</v>
          </cell>
          <cell r="BJ338">
            <v>43933</v>
          </cell>
          <cell r="BK338">
            <v>43933</v>
          </cell>
          <cell r="BL338">
            <v>0</v>
          </cell>
          <cell r="BM338">
            <v>0</v>
          </cell>
          <cell r="BN338">
            <v>0</v>
          </cell>
          <cell r="BO338">
            <v>103609</v>
          </cell>
          <cell r="BP338">
            <v>14232.6</v>
          </cell>
          <cell r="BQ338">
            <v>25639.534883720899</v>
          </cell>
          <cell r="BR338">
            <v>0</v>
          </cell>
          <cell r="BS338">
            <v>0</v>
          </cell>
          <cell r="BT338">
            <v>61797</v>
          </cell>
          <cell r="BU338"/>
          <cell r="BV338"/>
          <cell r="BW338"/>
          <cell r="BX338"/>
          <cell r="BY338">
            <v>0</v>
          </cell>
          <cell r="BZ338">
            <v>0</v>
          </cell>
          <cell r="CA338">
            <v>0</v>
          </cell>
          <cell r="CB338">
            <v>0</v>
          </cell>
          <cell r="CC338">
            <v>3520055</v>
          </cell>
          <cell r="CD338">
            <v>18273471</v>
          </cell>
          <cell r="CE338">
            <v>1342779</v>
          </cell>
          <cell r="CF338">
            <v>0</v>
          </cell>
          <cell r="CG338">
            <v>1342779</v>
          </cell>
          <cell r="CH338">
            <v>1342779</v>
          </cell>
          <cell r="CI338">
            <v>1342779</v>
          </cell>
          <cell r="CJ338">
            <v>1342779</v>
          </cell>
          <cell r="CK338">
            <v>0</v>
          </cell>
          <cell r="CL338">
            <v>0</v>
          </cell>
          <cell r="CM338">
            <v>0</v>
          </cell>
          <cell r="CN338">
            <v>0</v>
          </cell>
          <cell r="CO338">
            <v>0</v>
          </cell>
          <cell r="CP338">
            <v>-4890</v>
          </cell>
          <cell r="CQ338">
            <v>4085266</v>
          </cell>
          <cell r="CR338">
            <v>3840010</v>
          </cell>
          <cell r="CS338">
            <v>3745307</v>
          </cell>
          <cell r="CT338">
            <v>3648091</v>
          </cell>
          <cell r="CU338">
            <v>3518652</v>
          </cell>
          <cell r="CV338">
            <v>-8705</v>
          </cell>
          <cell r="CW338">
            <v>0</v>
          </cell>
          <cell r="CX338">
            <v>0</v>
          </cell>
          <cell r="CY338">
            <v>0</v>
          </cell>
          <cell r="CZ338">
            <v>0</v>
          </cell>
          <cell r="DA338">
            <v>0</v>
          </cell>
          <cell r="DB338"/>
          <cell r="DC338">
            <v>0</v>
          </cell>
          <cell r="DD338">
            <v>0</v>
          </cell>
          <cell r="DE338">
            <v>0</v>
          </cell>
          <cell r="DF338">
            <v>0</v>
          </cell>
          <cell r="DG338">
            <v>0</v>
          </cell>
          <cell r="DH338">
            <v>0</v>
          </cell>
          <cell r="DI338">
            <v>0</v>
          </cell>
          <cell r="DJ338">
            <v>0</v>
          </cell>
          <cell r="DK338">
            <v>0</v>
          </cell>
          <cell r="DL338">
            <v>0</v>
          </cell>
          <cell r="DM338"/>
          <cell r="DN338"/>
          <cell r="DO338"/>
          <cell r="DP338"/>
        </row>
        <row r="339">
          <cell r="A339">
            <v>865</v>
          </cell>
          <cell r="B339" t="str">
            <v>Vught</v>
          </cell>
          <cell r="C339">
            <v>10</v>
          </cell>
          <cell r="D339">
            <v>25643</v>
          </cell>
          <cell r="E339">
            <v>12821</v>
          </cell>
          <cell r="F339">
            <v>0</v>
          </cell>
          <cell r="G339">
            <v>0</v>
          </cell>
          <cell r="H339">
            <v>-17354</v>
          </cell>
          <cell r="I339">
            <v>-14025</v>
          </cell>
          <cell r="J339"/>
          <cell r="K339">
            <v>0</v>
          </cell>
          <cell r="L339">
            <v>80699</v>
          </cell>
          <cell r="M339">
            <v>79231</v>
          </cell>
          <cell r="N339">
            <v>0</v>
          </cell>
          <cell r="O339">
            <v>0</v>
          </cell>
          <cell r="P339">
            <v>0</v>
          </cell>
          <cell r="Q339">
            <v>0</v>
          </cell>
          <cell r="R339">
            <v>0</v>
          </cell>
          <cell r="S339">
            <v>0</v>
          </cell>
          <cell r="T339">
            <v>0</v>
          </cell>
          <cell r="U339">
            <v>0</v>
          </cell>
          <cell r="V339">
            <v>9000</v>
          </cell>
          <cell r="W339">
            <v>46266</v>
          </cell>
          <cell r="X339">
            <v>0</v>
          </cell>
          <cell r="Y339"/>
          <cell r="Z339">
            <v>0</v>
          </cell>
          <cell r="AA339">
            <v>0</v>
          </cell>
          <cell r="AB339">
            <v>0</v>
          </cell>
          <cell r="AC339"/>
          <cell r="AD339">
            <v>0</v>
          </cell>
          <cell r="AE339">
            <v>0</v>
          </cell>
          <cell r="AF339">
            <v>0</v>
          </cell>
          <cell r="AG339">
            <v>0</v>
          </cell>
          <cell r="AH339">
            <v>0</v>
          </cell>
          <cell r="AI339">
            <v>0</v>
          </cell>
          <cell r="AJ339">
            <v>0</v>
          </cell>
          <cell r="AK339">
            <v>0</v>
          </cell>
          <cell r="AL339"/>
          <cell r="AM339">
            <v>0</v>
          </cell>
          <cell r="AN339">
            <v>0</v>
          </cell>
          <cell r="AO339">
            <v>0</v>
          </cell>
          <cell r="AP339">
            <v>0</v>
          </cell>
          <cell r="AQ339">
            <v>0</v>
          </cell>
          <cell r="AR339">
            <v>0</v>
          </cell>
          <cell r="AS339">
            <v>0</v>
          </cell>
          <cell r="AT339">
            <v>0</v>
          </cell>
          <cell r="AU339">
            <v>7110</v>
          </cell>
          <cell r="AV339">
            <v>0</v>
          </cell>
          <cell r="AW339">
            <v>0</v>
          </cell>
          <cell r="AX339">
            <v>0</v>
          </cell>
          <cell r="AY339"/>
          <cell r="AZ339"/>
          <cell r="BA339">
            <v>0</v>
          </cell>
          <cell r="BB339"/>
          <cell r="BC339">
            <v>0</v>
          </cell>
          <cell r="BD339">
            <v>9191</v>
          </cell>
          <cell r="BE339"/>
          <cell r="BF339">
            <v>0</v>
          </cell>
          <cell r="BG339">
            <v>0</v>
          </cell>
          <cell r="BH339">
            <v>0</v>
          </cell>
          <cell r="BI339">
            <v>33331</v>
          </cell>
          <cell r="BJ339">
            <v>27436</v>
          </cell>
          <cell r="BK339">
            <v>27436</v>
          </cell>
          <cell r="BL339">
            <v>0</v>
          </cell>
          <cell r="BM339">
            <v>0</v>
          </cell>
          <cell r="BN339">
            <v>0</v>
          </cell>
          <cell r="BO339">
            <v>0</v>
          </cell>
          <cell r="BP339">
            <v>11069.8</v>
          </cell>
          <cell r="BQ339">
            <v>19941.8604651163</v>
          </cell>
          <cell r="BR339">
            <v>0</v>
          </cell>
          <cell r="BS339">
            <v>0</v>
          </cell>
          <cell r="BT339">
            <v>37801</v>
          </cell>
          <cell r="BU339"/>
          <cell r="BV339"/>
          <cell r="BW339"/>
          <cell r="BX339"/>
          <cell r="BY339">
            <v>0</v>
          </cell>
          <cell r="BZ339">
            <v>0</v>
          </cell>
          <cell r="CA339">
            <v>0</v>
          </cell>
          <cell r="CB339">
            <v>0</v>
          </cell>
          <cell r="CC339">
            <v>1892809</v>
          </cell>
          <cell r="CD339">
            <v>12480853</v>
          </cell>
          <cell r="CE339">
            <v>246167</v>
          </cell>
          <cell r="CF339">
            <v>-22228</v>
          </cell>
          <cell r="CG339">
            <v>246167</v>
          </cell>
          <cell r="CH339">
            <v>246167</v>
          </cell>
          <cell r="CI339">
            <v>246167</v>
          </cell>
          <cell r="CJ339">
            <v>246167</v>
          </cell>
          <cell r="CK339">
            <v>0</v>
          </cell>
          <cell r="CL339">
            <v>0</v>
          </cell>
          <cell r="CM339">
            <v>0</v>
          </cell>
          <cell r="CN339">
            <v>0</v>
          </cell>
          <cell r="CO339">
            <v>0</v>
          </cell>
          <cell r="CP339">
            <v>-1704</v>
          </cell>
          <cell r="CQ339">
            <v>4341719</v>
          </cell>
          <cell r="CR339">
            <v>4150192</v>
          </cell>
          <cell r="CS339">
            <v>4018146</v>
          </cell>
          <cell r="CT339">
            <v>3931094</v>
          </cell>
          <cell r="CU339">
            <v>3871568</v>
          </cell>
          <cell r="CV339">
            <v>-12387</v>
          </cell>
          <cell r="CW339">
            <v>0</v>
          </cell>
          <cell r="CX339">
            <v>0</v>
          </cell>
          <cell r="CY339">
            <v>0</v>
          </cell>
          <cell r="CZ339">
            <v>0</v>
          </cell>
          <cell r="DA339">
            <v>0</v>
          </cell>
          <cell r="DB339"/>
          <cell r="DC339">
            <v>0</v>
          </cell>
          <cell r="DD339">
            <v>0</v>
          </cell>
          <cell r="DE339">
            <v>0</v>
          </cell>
          <cell r="DF339">
            <v>0</v>
          </cell>
          <cell r="DG339">
            <v>0</v>
          </cell>
          <cell r="DH339">
            <v>0</v>
          </cell>
          <cell r="DI339">
            <v>0</v>
          </cell>
          <cell r="DJ339">
            <v>0</v>
          </cell>
          <cell r="DK339">
            <v>0</v>
          </cell>
          <cell r="DL339">
            <v>0</v>
          </cell>
          <cell r="DM339"/>
          <cell r="DN339"/>
          <cell r="DO339"/>
          <cell r="DP339"/>
        </row>
        <row r="340">
          <cell r="A340">
            <v>866</v>
          </cell>
          <cell r="B340" t="str">
            <v>Waalre</v>
          </cell>
          <cell r="C340">
            <v>10</v>
          </cell>
          <cell r="D340">
            <v>-32227</v>
          </cell>
          <cell r="E340">
            <v>-16113</v>
          </cell>
          <cell r="F340">
            <v>0</v>
          </cell>
          <cell r="G340">
            <v>0</v>
          </cell>
          <cell r="H340">
            <v>0</v>
          </cell>
          <cell r="I340">
            <v>0</v>
          </cell>
          <cell r="J340"/>
          <cell r="K340">
            <v>0</v>
          </cell>
          <cell r="L340">
            <v>55013</v>
          </cell>
          <cell r="M340">
            <v>44163</v>
          </cell>
          <cell r="N340">
            <v>0</v>
          </cell>
          <cell r="O340">
            <v>0</v>
          </cell>
          <cell r="P340">
            <v>0</v>
          </cell>
          <cell r="Q340">
            <v>0</v>
          </cell>
          <cell r="R340">
            <v>0</v>
          </cell>
          <cell r="S340">
            <v>0</v>
          </cell>
          <cell r="T340">
            <v>0</v>
          </cell>
          <cell r="U340">
            <v>0</v>
          </cell>
          <cell r="V340">
            <v>0</v>
          </cell>
          <cell r="W340">
            <v>52327</v>
          </cell>
          <cell r="X340">
            <v>0</v>
          </cell>
          <cell r="Y340"/>
          <cell r="Z340">
            <v>0</v>
          </cell>
          <cell r="AA340">
            <v>0</v>
          </cell>
          <cell r="AB340">
            <v>0</v>
          </cell>
          <cell r="AC340"/>
          <cell r="AD340">
            <v>0</v>
          </cell>
          <cell r="AE340">
            <v>0</v>
          </cell>
          <cell r="AF340">
            <v>0</v>
          </cell>
          <cell r="AG340">
            <v>0</v>
          </cell>
          <cell r="AH340">
            <v>0</v>
          </cell>
          <cell r="AI340">
            <v>0</v>
          </cell>
          <cell r="AJ340">
            <v>0</v>
          </cell>
          <cell r="AK340">
            <v>0</v>
          </cell>
          <cell r="AL340"/>
          <cell r="AM340">
            <v>0</v>
          </cell>
          <cell r="AN340">
            <v>0</v>
          </cell>
          <cell r="AO340">
            <v>0</v>
          </cell>
          <cell r="AP340">
            <v>0</v>
          </cell>
          <cell r="AQ340">
            <v>0</v>
          </cell>
          <cell r="AR340">
            <v>0</v>
          </cell>
          <cell r="AS340">
            <v>0</v>
          </cell>
          <cell r="AT340">
            <v>0</v>
          </cell>
          <cell r="AU340">
            <v>2370</v>
          </cell>
          <cell r="AV340">
            <v>0</v>
          </cell>
          <cell r="AW340">
            <v>0</v>
          </cell>
          <cell r="AX340">
            <v>0</v>
          </cell>
          <cell r="AY340"/>
          <cell r="AZ340"/>
          <cell r="BA340">
            <v>0</v>
          </cell>
          <cell r="BB340"/>
          <cell r="BC340">
            <v>0</v>
          </cell>
          <cell r="BD340">
            <v>5932</v>
          </cell>
          <cell r="BE340"/>
          <cell r="BF340">
            <v>0</v>
          </cell>
          <cell r="BG340">
            <v>0</v>
          </cell>
          <cell r="BH340">
            <v>0</v>
          </cell>
          <cell r="BI340">
            <v>16232</v>
          </cell>
          <cell r="BJ340">
            <v>13361</v>
          </cell>
          <cell r="BK340">
            <v>13361</v>
          </cell>
          <cell r="BL340">
            <v>0</v>
          </cell>
          <cell r="BM340">
            <v>0</v>
          </cell>
          <cell r="BN340">
            <v>0</v>
          </cell>
          <cell r="BO340">
            <v>16052</v>
          </cell>
          <cell r="BP340">
            <v>4744.2</v>
          </cell>
          <cell r="BQ340">
            <v>8546.5116279069807</v>
          </cell>
          <cell r="BR340">
            <v>0</v>
          </cell>
          <cell r="BS340">
            <v>0</v>
          </cell>
          <cell r="BT340">
            <v>23994</v>
          </cell>
          <cell r="BU340"/>
          <cell r="BV340"/>
          <cell r="BW340"/>
          <cell r="BX340"/>
          <cell r="BY340">
            <v>0</v>
          </cell>
          <cell r="BZ340">
            <v>0</v>
          </cell>
          <cell r="CA340">
            <v>0</v>
          </cell>
          <cell r="CB340">
            <v>0</v>
          </cell>
          <cell r="CC340">
            <v>1116030</v>
          </cell>
          <cell r="CD340">
            <v>5366407</v>
          </cell>
          <cell r="CE340">
            <v>430155</v>
          </cell>
          <cell r="CF340">
            <v>0</v>
          </cell>
          <cell r="CG340">
            <v>430155</v>
          </cell>
          <cell r="CH340">
            <v>430155</v>
          </cell>
          <cell r="CI340">
            <v>430155</v>
          </cell>
          <cell r="CJ340">
            <v>430155</v>
          </cell>
          <cell r="CK340">
            <v>0</v>
          </cell>
          <cell r="CL340">
            <v>0</v>
          </cell>
          <cell r="CM340">
            <v>0</v>
          </cell>
          <cell r="CN340">
            <v>0</v>
          </cell>
          <cell r="CO340">
            <v>0</v>
          </cell>
          <cell r="CP340">
            <v>0</v>
          </cell>
          <cell r="CQ340">
            <v>1083187</v>
          </cell>
          <cell r="CR340">
            <v>1020468</v>
          </cell>
          <cell r="CS340">
            <v>980797</v>
          </cell>
          <cell r="CT340">
            <v>967702</v>
          </cell>
          <cell r="CU340">
            <v>948892</v>
          </cell>
          <cell r="CV340">
            <v>-9062</v>
          </cell>
          <cell r="CW340">
            <v>0</v>
          </cell>
          <cell r="CX340">
            <v>0</v>
          </cell>
          <cell r="CY340">
            <v>0</v>
          </cell>
          <cell r="CZ340">
            <v>0</v>
          </cell>
          <cell r="DA340">
            <v>0</v>
          </cell>
          <cell r="DB340"/>
          <cell r="DC340">
            <v>0</v>
          </cell>
          <cell r="DD340">
            <v>0</v>
          </cell>
          <cell r="DE340">
            <v>0</v>
          </cell>
          <cell r="DF340">
            <v>0</v>
          </cell>
          <cell r="DG340">
            <v>0</v>
          </cell>
          <cell r="DH340">
            <v>0</v>
          </cell>
          <cell r="DI340">
            <v>0</v>
          </cell>
          <cell r="DJ340">
            <v>0</v>
          </cell>
          <cell r="DK340">
            <v>0</v>
          </cell>
          <cell r="DL340">
            <v>0</v>
          </cell>
          <cell r="DM340"/>
          <cell r="DN340"/>
          <cell r="DO340"/>
          <cell r="DP340"/>
        </row>
        <row r="341">
          <cell r="A341">
            <v>867</v>
          </cell>
          <cell r="B341" t="str">
            <v>Waalwijk</v>
          </cell>
          <cell r="C341">
            <v>10</v>
          </cell>
          <cell r="D341">
            <v>-32596</v>
          </cell>
          <cell r="E341">
            <v>-16298</v>
          </cell>
          <cell r="F341">
            <v>0</v>
          </cell>
          <cell r="G341">
            <v>0</v>
          </cell>
          <cell r="H341">
            <v>-68465</v>
          </cell>
          <cell r="I341">
            <v>-40634</v>
          </cell>
          <cell r="J341"/>
          <cell r="K341">
            <v>0</v>
          </cell>
          <cell r="L341">
            <v>185591</v>
          </cell>
          <cell r="M341">
            <v>175984</v>
          </cell>
          <cell r="N341">
            <v>0</v>
          </cell>
          <cell r="O341">
            <v>0</v>
          </cell>
          <cell r="P341">
            <v>0</v>
          </cell>
          <cell r="Q341">
            <v>0</v>
          </cell>
          <cell r="R341">
            <v>0</v>
          </cell>
          <cell r="S341">
            <v>0</v>
          </cell>
          <cell r="T341">
            <v>0</v>
          </cell>
          <cell r="U341">
            <v>0</v>
          </cell>
          <cell r="V341">
            <v>9000</v>
          </cell>
          <cell r="W341">
            <v>174163</v>
          </cell>
          <cell r="X341">
            <v>0</v>
          </cell>
          <cell r="Y341"/>
          <cell r="Z341">
            <v>0</v>
          </cell>
          <cell r="AA341">
            <v>0</v>
          </cell>
          <cell r="AB341">
            <v>0</v>
          </cell>
          <cell r="AC341"/>
          <cell r="AD341">
            <v>45956</v>
          </cell>
          <cell r="AE341">
            <v>0</v>
          </cell>
          <cell r="AF341">
            <v>0</v>
          </cell>
          <cell r="AG341">
            <v>0</v>
          </cell>
          <cell r="AH341">
            <v>0</v>
          </cell>
          <cell r="AI341">
            <v>0</v>
          </cell>
          <cell r="AJ341">
            <v>0</v>
          </cell>
          <cell r="AK341">
            <v>0</v>
          </cell>
          <cell r="AL341"/>
          <cell r="AM341">
            <v>0</v>
          </cell>
          <cell r="AN341">
            <v>0</v>
          </cell>
          <cell r="AO341">
            <v>0</v>
          </cell>
          <cell r="AP341">
            <v>0</v>
          </cell>
          <cell r="AQ341">
            <v>0</v>
          </cell>
          <cell r="AR341">
            <v>0</v>
          </cell>
          <cell r="AS341">
            <v>0</v>
          </cell>
          <cell r="AT341">
            <v>0</v>
          </cell>
          <cell r="AU341">
            <v>4740</v>
          </cell>
          <cell r="AV341">
            <v>0</v>
          </cell>
          <cell r="AW341">
            <v>0</v>
          </cell>
          <cell r="AX341">
            <v>0</v>
          </cell>
          <cell r="AY341"/>
          <cell r="AZ341"/>
          <cell r="BA341">
            <v>0</v>
          </cell>
          <cell r="BB341"/>
          <cell r="BC341">
            <v>0</v>
          </cell>
          <cell r="BD341">
            <v>16643</v>
          </cell>
          <cell r="BE341"/>
          <cell r="BF341">
            <v>0</v>
          </cell>
          <cell r="BG341">
            <v>0</v>
          </cell>
          <cell r="BH341">
            <v>0</v>
          </cell>
          <cell r="BI341">
            <v>79275</v>
          </cell>
          <cell r="BJ341">
            <v>65255</v>
          </cell>
          <cell r="BK341">
            <v>65255</v>
          </cell>
          <cell r="BL341">
            <v>0</v>
          </cell>
          <cell r="BM341">
            <v>0</v>
          </cell>
          <cell r="BN341">
            <v>0</v>
          </cell>
          <cell r="BO341">
            <v>395466</v>
          </cell>
          <cell r="BP341">
            <v>31628</v>
          </cell>
          <cell r="BQ341">
            <v>56976.744186046497</v>
          </cell>
          <cell r="BR341">
            <v>0</v>
          </cell>
          <cell r="BS341">
            <v>0</v>
          </cell>
          <cell r="BT341">
            <v>67454</v>
          </cell>
          <cell r="BU341"/>
          <cell r="BV341"/>
          <cell r="BW341"/>
          <cell r="BX341"/>
          <cell r="BY341">
            <v>0</v>
          </cell>
          <cell r="BZ341">
            <v>0</v>
          </cell>
          <cell r="CA341">
            <v>0</v>
          </cell>
          <cell r="CB341">
            <v>0</v>
          </cell>
          <cell r="CC341">
            <v>4047570</v>
          </cell>
          <cell r="CD341">
            <v>22246702</v>
          </cell>
          <cell r="CE341">
            <v>1366755</v>
          </cell>
          <cell r="CF341">
            <v>-56439</v>
          </cell>
          <cell r="CG341">
            <v>1366755</v>
          </cell>
          <cell r="CH341">
            <v>1366755</v>
          </cell>
          <cell r="CI341">
            <v>1366755</v>
          </cell>
          <cell r="CJ341">
            <v>1366755</v>
          </cell>
          <cell r="CK341">
            <v>0</v>
          </cell>
          <cell r="CL341">
            <v>0</v>
          </cell>
          <cell r="CM341">
            <v>0</v>
          </cell>
          <cell r="CN341">
            <v>0</v>
          </cell>
          <cell r="CO341">
            <v>0</v>
          </cell>
          <cell r="CP341">
            <v>-6179</v>
          </cell>
          <cell r="CQ341">
            <v>5702111</v>
          </cell>
          <cell r="CR341">
            <v>5380132</v>
          </cell>
          <cell r="CS341">
            <v>5273449</v>
          </cell>
          <cell r="CT341">
            <v>5119550</v>
          </cell>
          <cell r="CU341">
            <v>4952920</v>
          </cell>
          <cell r="CV341">
            <v>-5195</v>
          </cell>
          <cell r="CW341">
            <v>0</v>
          </cell>
          <cell r="CX341">
            <v>0</v>
          </cell>
          <cell r="CY341">
            <v>0</v>
          </cell>
          <cell r="CZ341">
            <v>0</v>
          </cell>
          <cell r="DA341">
            <v>0</v>
          </cell>
          <cell r="DB341"/>
          <cell r="DC341">
            <v>0</v>
          </cell>
          <cell r="DD341">
            <v>0</v>
          </cell>
          <cell r="DE341">
            <v>0</v>
          </cell>
          <cell r="DF341">
            <v>0</v>
          </cell>
          <cell r="DG341">
            <v>0</v>
          </cell>
          <cell r="DH341">
            <v>0</v>
          </cell>
          <cell r="DI341">
            <v>0</v>
          </cell>
          <cell r="DJ341">
            <v>0</v>
          </cell>
          <cell r="DK341">
            <v>0</v>
          </cell>
          <cell r="DL341">
            <v>0</v>
          </cell>
          <cell r="DM341"/>
          <cell r="DN341"/>
          <cell r="DO341"/>
          <cell r="DP341"/>
        </row>
        <row r="342">
          <cell r="A342">
            <v>870</v>
          </cell>
          <cell r="B342" t="str">
            <v>Werkendam</v>
          </cell>
          <cell r="C342">
            <v>10</v>
          </cell>
          <cell r="D342">
            <v>-13825</v>
          </cell>
          <cell r="E342">
            <v>-6913</v>
          </cell>
          <cell r="F342">
            <v>0</v>
          </cell>
          <cell r="G342">
            <v>363449</v>
          </cell>
          <cell r="H342">
            <v>-26203</v>
          </cell>
          <cell r="I342">
            <v>-23213</v>
          </cell>
          <cell r="J342"/>
          <cell r="K342">
            <v>0</v>
          </cell>
          <cell r="L342">
            <v>72700</v>
          </cell>
          <cell r="M342">
            <v>67660</v>
          </cell>
          <cell r="N342">
            <v>0</v>
          </cell>
          <cell r="O342">
            <v>0</v>
          </cell>
          <cell r="P342">
            <v>0</v>
          </cell>
          <cell r="Q342">
            <v>0</v>
          </cell>
          <cell r="R342">
            <v>0</v>
          </cell>
          <cell r="S342">
            <v>0</v>
          </cell>
          <cell r="T342">
            <v>0</v>
          </cell>
          <cell r="U342">
            <v>0</v>
          </cell>
          <cell r="V342">
            <v>3000</v>
          </cell>
          <cell r="W342">
            <v>84653</v>
          </cell>
          <cell r="X342">
            <v>0</v>
          </cell>
          <cell r="Y342"/>
          <cell r="Z342">
            <v>0</v>
          </cell>
          <cell r="AA342">
            <v>0</v>
          </cell>
          <cell r="AB342">
            <v>0</v>
          </cell>
          <cell r="AC342"/>
          <cell r="AD342">
            <v>0</v>
          </cell>
          <cell r="AE342">
            <v>0</v>
          </cell>
          <cell r="AF342">
            <v>0</v>
          </cell>
          <cell r="AG342">
            <v>0</v>
          </cell>
          <cell r="AH342">
            <v>0</v>
          </cell>
          <cell r="AI342">
            <v>0</v>
          </cell>
          <cell r="AJ342">
            <v>0</v>
          </cell>
          <cell r="AK342">
            <v>0</v>
          </cell>
          <cell r="AL342"/>
          <cell r="AM342">
            <v>0</v>
          </cell>
          <cell r="AN342">
            <v>0</v>
          </cell>
          <cell r="AO342">
            <v>0</v>
          </cell>
          <cell r="AP342">
            <v>0</v>
          </cell>
          <cell r="AQ342">
            <v>0</v>
          </cell>
          <cell r="AR342">
            <v>0</v>
          </cell>
          <cell r="AS342">
            <v>0</v>
          </cell>
          <cell r="AT342">
            <v>0</v>
          </cell>
          <cell r="AU342">
            <v>4740</v>
          </cell>
          <cell r="AV342">
            <v>0</v>
          </cell>
          <cell r="AW342">
            <v>0</v>
          </cell>
          <cell r="AX342">
            <v>0</v>
          </cell>
          <cell r="AY342"/>
          <cell r="AZ342"/>
          <cell r="BA342">
            <v>0</v>
          </cell>
          <cell r="BB342"/>
          <cell r="BC342">
            <v>0</v>
          </cell>
          <cell r="BD342">
            <v>47096</v>
          </cell>
          <cell r="BE342"/>
          <cell r="BF342">
            <v>0</v>
          </cell>
          <cell r="BG342">
            <v>0</v>
          </cell>
          <cell r="BH342">
            <v>0</v>
          </cell>
          <cell r="BI342">
            <v>27037</v>
          </cell>
          <cell r="BJ342">
            <v>22255</v>
          </cell>
          <cell r="BK342">
            <v>22255</v>
          </cell>
          <cell r="BL342">
            <v>0</v>
          </cell>
          <cell r="BM342">
            <v>0</v>
          </cell>
          <cell r="BN342">
            <v>0</v>
          </cell>
          <cell r="BO342">
            <v>338554</v>
          </cell>
          <cell r="BP342">
            <v>7907</v>
          </cell>
          <cell r="BQ342">
            <v>14244.186046511601</v>
          </cell>
          <cell r="BR342">
            <v>0</v>
          </cell>
          <cell r="BS342">
            <v>0</v>
          </cell>
          <cell r="BT342">
            <v>46178</v>
          </cell>
          <cell r="BU342"/>
          <cell r="BV342"/>
          <cell r="BW342"/>
          <cell r="BX342"/>
          <cell r="BY342">
            <v>0</v>
          </cell>
          <cell r="BZ342">
            <v>0</v>
          </cell>
          <cell r="CA342">
            <v>0</v>
          </cell>
          <cell r="CB342">
            <v>0</v>
          </cell>
          <cell r="CC342">
            <v>1795744</v>
          </cell>
          <cell r="CD342">
            <v>9641258</v>
          </cell>
          <cell r="CE342">
            <v>625819</v>
          </cell>
          <cell r="CF342">
            <v>-53381</v>
          </cell>
          <cell r="CG342">
            <v>625819</v>
          </cell>
          <cell r="CH342">
            <v>625819</v>
          </cell>
          <cell r="CI342">
            <v>625819</v>
          </cell>
          <cell r="CJ342">
            <v>625819</v>
          </cell>
          <cell r="CK342">
            <v>0</v>
          </cell>
          <cell r="CL342">
            <v>0</v>
          </cell>
          <cell r="CM342">
            <v>0</v>
          </cell>
          <cell r="CN342">
            <v>0</v>
          </cell>
          <cell r="CO342">
            <v>0</v>
          </cell>
          <cell r="CP342">
            <v>-390</v>
          </cell>
          <cell r="CQ342">
            <v>1732567</v>
          </cell>
          <cell r="CR342">
            <v>1665133</v>
          </cell>
          <cell r="CS342">
            <v>1623741</v>
          </cell>
          <cell r="CT342">
            <v>1600624</v>
          </cell>
          <cell r="CU342">
            <v>1568613</v>
          </cell>
          <cell r="CV342">
            <v>15240</v>
          </cell>
          <cell r="CW342">
            <v>0</v>
          </cell>
          <cell r="CX342">
            <v>0</v>
          </cell>
          <cell r="CY342">
            <v>0</v>
          </cell>
          <cell r="CZ342">
            <v>0</v>
          </cell>
          <cell r="DA342">
            <v>0</v>
          </cell>
          <cell r="DB342"/>
          <cell r="DC342">
            <v>0</v>
          </cell>
          <cell r="DD342">
            <v>0</v>
          </cell>
          <cell r="DE342">
            <v>0</v>
          </cell>
          <cell r="DF342">
            <v>0</v>
          </cell>
          <cell r="DG342">
            <v>0</v>
          </cell>
          <cell r="DH342">
            <v>0</v>
          </cell>
          <cell r="DI342">
            <v>0</v>
          </cell>
          <cell r="DJ342">
            <v>0</v>
          </cell>
          <cell r="DK342">
            <v>0</v>
          </cell>
          <cell r="DL342">
            <v>0</v>
          </cell>
          <cell r="DM342"/>
          <cell r="DN342"/>
          <cell r="DO342"/>
          <cell r="DP342"/>
        </row>
        <row r="343">
          <cell r="A343">
            <v>873</v>
          </cell>
          <cell r="B343" t="str">
            <v>Woensdrecht</v>
          </cell>
          <cell r="C343">
            <v>10</v>
          </cell>
          <cell r="D343">
            <v>-10201</v>
          </cell>
          <cell r="E343">
            <v>-5101</v>
          </cell>
          <cell r="F343">
            <v>0</v>
          </cell>
          <cell r="G343">
            <v>0</v>
          </cell>
          <cell r="H343">
            <v>-15446</v>
          </cell>
          <cell r="I343">
            <v>-9589</v>
          </cell>
          <cell r="J343"/>
          <cell r="K343">
            <v>0</v>
          </cell>
          <cell r="L343">
            <v>74491</v>
          </cell>
          <cell r="M343">
            <v>66946</v>
          </cell>
          <cell r="N343">
            <v>0</v>
          </cell>
          <cell r="O343">
            <v>0</v>
          </cell>
          <cell r="P343">
            <v>0</v>
          </cell>
          <cell r="Q343">
            <v>0</v>
          </cell>
          <cell r="R343">
            <v>0</v>
          </cell>
          <cell r="S343">
            <v>0</v>
          </cell>
          <cell r="T343">
            <v>0</v>
          </cell>
          <cell r="U343">
            <v>0</v>
          </cell>
          <cell r="V343">
            <v>9000</v>
          </cell>
          <cell r="W343">
            <v>34346</v>
          </cell>
          <cell r="X343">
            <v>0</v>
          </cell>
          <cell r="Y343"/>
          <cell r="Z343">
            <v>0</v>
          </cell>
          <cell r="AA343">
            <v>0</v>
          </cell>
          <cell r="AB343">
            <v>0</v>
          </cell>
          <cell r="AC343"/>
          <cell r="AD343">
            <v>0</v>
          </cell>
          <cell r="AE343">
            <v>0</v>
          </cell>
          <cell r="AF343">
            <v>0</v>
          </cell>
          <cell r="AG343">
            <v>0</v>
          </cell>
          <cell r="AH343">
            <v>0</v>
          </cell>
          <cell r="AI343">
            <v>0</v>
          </cell>
          <cell r="AJ343">
            <v>0</v>
          </cell>
          <cell r="AK343">
            <v>0</v>
          </cell>
          <cell r="AL343"/>
          <cell r="AM343">
            <v>0</v>
          </cell>
          <cell r="AN343">
            <v>0</v>
          </cell>
          <cell r="AO343">
            <v>0</v>
          </cell>
          <cell r="AP343">
            <v>0</v>
          </cell>
          <cell r="AQ343">
            <v>0</v>
          </cell>
          <cell r="AR343">
            <v>0</v>
          </cell>
          <cell r="AS343">
            <v>0</v>
          </cell>
          <cell r="AT343">
            <v>0</v>
          </cell>
          <cell r="AU343">
            <v>2370</v>
          </cell>
          <cell r="AV343">
            <v>0</v>
          </cell>
          <cell r="AW343">
            <v>0</v>
          </cell>
          <cell r="AX343">
            <v>0</v>
          </cell>
          <cell r="AY343"/>
          <cell r="AZ343"/>
          <cell r="BA343">
            <v>0</v>
          </cell>
          <cell r="BB343"/>
          <cell r="BC343">
            <v>0</v>
          </cell>
          <cell r="BD343">
            <v>7666</v>
          </cell>
          <cell r="BE343"/>
          <cell r="BF343">
            <v>0</v>
          </cell>
          <cell r="BG343">
            <v>0</v>
          </cell>
          <cell r="BH343">
            <v>0</v>
          </cell>
          <cell r="BI343">
            <v>27382</v>
          </cell>
          <cell r="BJ343">
            <v>22539</v>
          </cell>
          <cell r="BK343">
            <v>22539</v>
          </cell>
          <cell r="BL343">
            <v>0</v>
          </cell>
          <cell r="BM343">
            <v>0</v>
          </cell>
          <cell r="BN343">
            <v>0</v>
          </cell>
          <cell r="BO343">
            <v>62749</v>
          </cell>
          <cell r="BP343">
            <v>0</v>
          </cell>
          <cell r="BQ343">
            <v>0</v>
          </cell>
          <cell r="BR343">
            <v>0</v>
          </cell>
          <cell r="BS343">
            <v>0</v>
          </cell>
          <cell r="BT343">
            <v>32955</v>
          </cell>
          <cell r="BU343"/>
          <cell r="BV343"/>
          <cell r="BW343"/>
          <cell r="BX343"/>
          <cell r="BY343">
            <v>0</v>
          </cell>
          <cell r="BZ343">
            <v>0</v>
          </cell>
          <cell r="CA343">
            <v>0</v>
          </cell>
          <cell r="CB343">
            <v>0</v>
          </cell>
          <cell r="CC343">
            <v>1757599</v>
          </cell>
          <cell r="CD343">
            <v>9975393</v>
          </cell>
          <cell r="CE343">
            <v>1737586</v>
          </cell>
          <cell r="CF343">
            <v>-4999</v>
          </cell>
          <cell r="CG343">
            <v>1737586</v>
          </cell>
          <cell r="CH343">
            <v>1737586</v>
          </cell>
          <cell r="CI343">
            <v>1737586</v>
          </cell>
          <cell r="CJ343">
            <v>1737586</v>
          </cell>
          <cell r="CK343">
            <v>0</v>
          </cell>
          <cell r="CL343">
            <v>0</v>
          </cell>
          <cell r="CM343">
            <v>0</v>
          </cell>
          <cell r="CN343">
            <v>0</v>
          </cell>
          <cell r="CO343">
            <v>0</v>
          </cell>
          <cell r="CP343">
            <v>-2714</v>
          </cell>
          <cell r="CQ343">
            <v>2171082</v>
          </cell>
          <cell r="CR343">
            <v>2107179</v>
          </cell>
          <cell r="CS343">
            <v>2082599</v>
          </cell>
          <cell r="CT343">
            <v>2058451</v>
          </cell>
          <cell r="CU343">
            <v>2022927</v>
          </cell>
          <cell r="CV343">
            <v>35588</v>
          </cell>
          <cell r="CW343">
            <v>0</v>
          </cell>
          <cell r="CX343">
            <v>0</v>
          </cell>
          <cell r="CY343">
            <v>0</v>
          </cell>
          <cell r="CZ343">
            <v>0</v>
          </cell>
          <cell r="DA343">
            <v>0</v>
          </cell>
          <cell r="DB343"/>
          <cell r="DC343">
            <v>0</v>
          </cell>
          <cell r="DD343">
            <v>0</v>
          </cell>
          <cell r="DE343">
            <v>0</v>
          </cell>
          <cell r="DF343">
            <v>0</v>
          </cell>
          <cell r="DG343">
            <v>0</v>
          </cell>
          <cell r="DH343">
            <v>0</v>
          </cell>
          <cell r="DI343">
            <v>0</v>
          </cell>
          <cell r="DJ343">
            <v>0</v>
          </cell>
          <cell r="DK343">
            <v>0</v>
          </cell>
          <cell r="DL343">
            <v>0</v>
          </cell>
          <cell r="DM343"/>
          <cell r="DN343"/>
          <cell r="DO343"/>
          <cell r="DP343"/>
        </row>
        <row r="344">
          <cell r="A344">
            <v>874</v>
          </cell>
          <cell r="B344" t="str">
            <v>Woudrichem</v>
          </cell>
          <cell r="C344">
            <v>10</v>
          </cell>
          <cell r="D344">
            <v>-6960</v>
          </cell>
          <cell r="E344">
            <v>-3480</v>
          </cell>
          <cell r="F344">
            <v>0</v>
          </cell>
          <cell r="G344">
            <v>231636</v>
          </cell>
          <cell r="H344">
            <v>-512</v>
          </cell>
          <cell r="I344">
            <v>0</v>
          </cell>
          <cell r="J344"/>
          <cell r="K344">
            <v>0</v>
          </cell>
          <cell r="L344">
            <v>37604</v>
          </cell>
          <cell r="M344">
            <v>29997</v>
          </cell>
          <cell r="N344">
            <v>0</v>
          </cell>
          <cell r="O344">
            <v>0</v>
          </cell>
          <cell r="P344">
            <v>0</v>
          </cell>
          <cell r="Q344">
            <v>0</v>
          </cell>
          <cell r="R344">
            <v>0</v>
          </cell>
          <cell r="S344">
            <v>0</v>
          </cell>
          <cell r="T344">
            <v>0</v>
          </cell>
          <cell r="U344">
            <v>0</v>
          </cell>
          <cell r="V344">
            <v>3000</v>
          </cell>
          <cell r="W344">
            <v>45256</v>
          </cell>
          <cell r="X344">
            <v>0</v>
          </cell>
          <cell r="Y344"/>
          <cell r="Z344">
            <v>0</v>
          </cell>
          <cell r="AA344">
            <v>0</v>
          </cell>
          <cell r="AB344">
            <v>0</v>
          </cell>
          <cell r="AC344"/>
          <cell r="AD344">
            <v>0</v>
          </cell>
          <cell r="AE344">
            <v>0</v>
          </cell>
          <cell r="AF344">
            <v>0</v>
          </cell>
          <cell r="AG344">
            <v>0</v>
          </cell>
          <cell r="AH344">
            <v>0</v>
          </cell>
          <cell r="AI344">
            <v>0</v>
          </cell>
          <cell r="AJ344">
            <v>0</v>
          </cell>
          <cell r="AK344">
            <v>0</v>
          </cell>
          <cell r="AL344"/>
          <cell r="AM344">
            <v>0</v>
          </cell>
          <cell r="AN344">
            <v>0</v>
          </cell>
          <cell r="AO344">
            <v>0</v>
          </cell>
          <cell r="AP344">
            <v>0</v>
          </cell>
          <cell r="AQ344">
            <v>0</v>
          </cell>
          <cell r="AR344">
            <v>0</v>
          </cell>
          <cell r="AS344">
            <v>0</v>
          </cell>
          <cell r="AT344">
            <v>0</v>
          </cell>
          <cell r="AU344">
            <v>2370</v>
          </cell>
          <cell r="AV344">
            <v>0</v>
          </cell>
          <cell r="AW344">
            <v>0</v>
          </cell>
          <cell r="AX344">
            <v>0</v>
          </cell>
          <cell r="AY344"/>
          <cell r="AZ344"/>
          <cell r="BA344">
            <v>0</v>
          </cell>
          <cell r="BB344"/>
          <cell r="BC344">
            <v>0</v>
          </cell>
          <cell r="BD344">
            <v>25508</v>
          </cell>
          <cell r="BE344"/>
          <cell r="BF344">
            <v>0</v>
          </cell>
          <cell r="BG344">
            <v>0</v>
          </cell>
          <cell r="BH344">
            <v>0</v>
          </cell>
          <cell r="BI344">
            <v>15915</v>
          </cell>
          <cell r="BJ344">
            <v>13101</v>
          </cell>
          <cell r="BK344">
            <v>13101</v>
          </cell>
          <cell r="BL344">
            <v>0</v>
          </cell>
          <cell r="BM344">
            <v>0</v>
          </cell>
          <cell r="BN344">
            <v>0</v>
          </cell>
          <cell r="BO344">
            <v>77828</v>
          </cell>
          <cell r="BP344">
            <v>4744.2</v>
          </cell>
          <cell r="BQ344">
            <v>8546.5116279069807</v>
          </cell>
          <cell r="BR344">
            <v>0</v>
          </cell>
          <cell r="BS344">
            <v>0</v>
          </cell>
          <cell r="BT344">
            <v>26508</v>
          </cell>
          <cell r="BU344"/>
          <cell r="BV344"/>
          <cell r="BW344"/>
          <cell r="BX344"/>
          <cell r="BY344">
            <v>0</v>
          </cell>
          <cell r="BZ344">
            <v>0</v>
          </cell>
          <cell r="CA344">
            <v>0</v>
          </cell>
          <cell r="CB344">
            <v>0</v>
          </cell>
          <cell r="CC344">
            <v>1002683</v>
          </cell>
          <cell r="CD344">
            <v>5792105</v>
          </cell>
          <cell r="CE344">
            <v>359824</v>
          </cell>
          <cell r="CF344">
            <v>0</v>
          </cell>
          <cell r="CG344">
            <v>359824</v>
          </cell>
          <cell r="CH344">
            <v>359824</v>
          </cell>
          <cell r="CI344">
            <v>359824</v>
          </cell>
          <cell r="CJ344">
            <v>359824</v>
          </cell>
          <cell r="CK344">
            <v>0</v>
          </cell>
          <cell r="CL344">
            <v>0</v>
          </cell>
          <cell r="CM344">
            <v>0</v>
          </cell>
          <cell r="CN344">
            <v>0</v>
          </cell>
          <cell r="CO344">
            <v>0</v>
          </cell>
          <cell r="CP344">
            <v>0</v>
          </cell>
          <cell r="CQ344">
            <v>1080559</v>
          </cell>
          <cell r="CR344">
            <v>1009237</v>
          </cell>
          <cell r="CS344">
            <v>963394</v>
          </cell>
          <cell r="CT344">
            <v>947637</v>
          </cell>
          <cell r="CU344">
            <v>906736</v>
          </cell>
          <cell r="CV344">
            <v>-13560</v>
          </cell>
          <cell r="CW344">
            <v>0</v>
          </cell>
          <cell r="CX344">
            <v>0</v>
          </cell>
          <cell r="CY344">
            <v>0</v>
          </cell>
          <cell r="CZ344">
            <v>0</v>
          </cell>
          <cell r="DA344">
            <v>0</v>
          </cell>
          <cell r="DB344"/>
          <cell r="DC344">
            <v>0</v>
          </cell>
          <cell r="DD344">
            <v>0</v>
          </cell>
          <cell r="DE344">
            <v>0</v>
          </cell>
          <cell r="DF344">
            <v>0</v>
          </cell>
          <cell r="DG344">
            <v>0</v>
          </cell>
          <cell r="DH344">
            <v>0</v>
          </cell>
          <cell r="DI344">
            <v>0</v>
          </cell>
          <cell r="DJ344">
            <v>0</v>
          </cell>
          <cell r="DK344">
            <v>0</v>
          </cell>
          <cell r="DL344">
            <v>0</v>
          </cell>
          <cell r="DM344"/>
          <cell r="DN344"/>
          <cell r="DO344"/>
          <cell r="DP344"/>
        </row>
        <row r="345">
          <cell r="A345">
            <v>879</v>
          </cell>
          <cell r="B345" t="str">
            <v>Zundert</v>
          </cell>
          <cell r="C345">
            <v>10</v>
          </cell>
          <cell r="D345">
            <v>-29745</v>
          </cell>
          <cell r="E345">
            <v>-14873</v>
          </cell>
          <cell r="F345">
            <v>0</v>
          </cell>
          <cell r="G345">
            <v>0</v>
          </cell>
          <cell r="H345">
            <v>-21006</v>
          </cell>
          <cell r="I345">
            <v>-15527</v>
          </cell>
          <cell r="J345"/>
          <cell r="K345">
            <v>0</v>
          </cell>
          <cell r="L345">
            <v>67329</v>
          </cell>
          <cell r="M345">
            <v>61709</v>
          </cell>
          <cell r="N345">
            <v>0</v>
          </cell>
          <cell r="O345">
            <v>0</v>
          </cell>
          <cell r="P345">
            <v>0</v>
          </cell>
          <cell r="Q345">
            <v>0</v>
          </cell>
          <cell r="R345">
            <v>0</v>
          </cell>
          <cell r="S345">
            <v>0</v>
          </cell>
          <cell r="T345">
            <v>0</v>
          </cell>
          <cell r="U345">
            <v>0</v>
          </cell>
          <cell r="V345">
            <v>9000</v>
          </cell>
          <cell r="W345">
            <v>35558</v>
          </cell>
          <cell r="X345">
            <v>0</v>
          </cell>
          <cell r="Y345"/>
          <cell r="Z345">
            <v>0</v>
          </cell>
          <cell r="AA345">
            <v>0</v>
          </cell>
          <cell r="AB345">
            <v>0</v>
          </cell>
          <cell r="AC345"/>
          <cell r="AD345">
            <v>0</v>
          </cell>
          <cell r="AE345">
            <v>0</v>
          </cell>
          <cell r="AF345">
            <v>0</v>
          </cell>
          <cell r="AG345">
            <v>0</v>
          </cell>
          <cell r="AH345">
            <v>0</v>
          </cell>
          <cell r="AI345">
            <v>0</v>
          </cell>
          <cell r="AJ345">
            <v>0</v>
          </cell>
          <cell r="AK345">
            <v>0</v>
          </cell>
          <cell r="AL345"/>
          <cell r="AM345">
            <v>0</v>
          </cell>
          <cell r="AN345">
            <v>0</v>
          </cell>
          <cell r="AO345">
            <v>0</v>
          </cell>
          <cell r="AP345">
            <v>0</v>
          </cell>
          <cell r="AQ345">
            <v>0</v>
          </cell>
          <cell r="AR345">
            <v>0</v>
          </cell>
          <cell r="AS345">
            <v>0</v>
          </cell>
          <cell r="AT345">
            <v>0</v>
          </cell>
          <cell r="AU345">
            <v>7110</v>
          </cell>
          <cell r="AV345">
            <v>0</v>
          </cell>
          <cell r="AW345">
            <v>0</v>
          </cell>
          <cell r="AX345">
            <v>0</v>
          </cell>
          <cell r="AY345"/>
          <cell r="AZ345"/>
          <cell r="BA345">
            <v>0</v>
          </cell>
          <cell r="BB345"/>
          <cell r="BC345">
            <v>0</v>
          </cell>
          <cell r="BD345">
            <v>7602</v>
          </cell>
          <cell r="BE345"/>
          <cell r="BF345">
            <v>0</v>
          </cell>
          <cell r="BG345">
            <v>0</v>
          </cell>
          <cell r="BH345">
            <v>0</v>
          </cell>
          <cell r="BI345">
            <v>29569</v>
          </cell>
          <cell r="BJ345">
            <v>24340</v>
          </cell>
          <cell r="BK345">
            <v>24340</v>
          </cell>
          <cell r="BL345">
            <v>0</v>
          </cell>
          <cell r="BM345">
            <v>0</v>
          </cell>
          <cell r="BN345">
            <v>0</v>
          </cell>
          <cell r="BO345">
            <v>42319</v>
          </cell>
          <cell r="BP345">
            <v>12651.2</v>
          </cell>
          <cell r="BQ345">
            <v>22790.697674418599</v>
          </cell>
          <cell r="BR345">
            <v>0</v>
          </cell>
          <cell r="BS345">
            <v>0</v>
          </cell>
          <cell r="BT345">
            <v>30360</v>
          </cell>
          <cell r="BU345"/>
          <cell r="BV345"/>
          <cell r="BW345"/>
          <cell r="BX345"/>
          <cell r="BY345">
            <v>0</v>
          </cell>
          <cell r="BZ345">
            <v>0</v>
          </cell>
          <cell r="CA345">
            <v>0</v>
          </cell>
          <cell r="CB345">
            <v>0</v>
          </cell>
          <cell r="CC345">
            <v>1876603</v>
          </cell>
          <cell r="CD345">
            <v>9148455</v>
          </cell>
          <cell r="CE345">
            <v>906909</v>
          </cell>
          <cell r="CF345">
            <v>-25974</v>
          </cell>
          <cell r="CG345">
            <v>906909</v>
          </cell>
          <cell r="CH345">
            <v>906909</v>
          </cell>
          <cell r="CI345">
            <v>906909</v>
          </cell>
          <cell r="CJ345">
            <v>906909</v>
          </cell>
          <cell r="CK345">
            <v>0</v>
          </cell>
          <cell r="CL345">
            <v>0</v>
          </cell>
          <cell r="CM345">
            <v>0</v>
          </cell>
          <cell r="CN345">
            <v>0</v>
          </cell>
          <cell r="CO345">
            <v>0</v>
          </cell>
          <cell r="CP345">
            <v>-1738</v>
          </cell>
          <cell r="CQ345">
            <v>2026362</v>
          </cell>
          <cell r="CR345">
            <v>1911331</v>
          </cell>
          <cell r="CS345">
            <v>1841608</v>
          </cell>
          <cell r="CT345">
            <v>1810720</v>
          </cell>
          <cell r="CU345">
            <v>1790925</v>
          </cell>
          <cell r="CV345">
            <v>22143</v>
          </cell>
          <cell r="CW345">
            <v>0</v>
          </cell>
          <cell r="CX345">
            <v>0</v>
          </cell>
          <cell r="CY345">
            <v>0</v>
          </cell>
          <cell r="CZ345">
            <v>0</v>
          </cell>
          <cell r="DA345">
            <v>0</v>
          </cell>
          <cell r="DB345"/>
          <cell r="DC345">
            <v>0</v>
          </cell>
          <cell r="DD345">
            <v>0</v>
          </cell>
          <cell r="DE345">
            <v>0</v>
          </cell>
          <cell r="DF345">
            <v>0</v>
          </cell>
          <cell r="DG345">
            <v>0</v>
          </cell>
          <cell r="DH345">
            <v>0</v>
          </cell>
          <cell r="DI345">
            <v>0</v>
          </cell>
          <cell r="DJ345">
            <v>0</v>
          </cell>
          <cell r="DK345">
            <v>0</v>
          </cell>
          <cell r="DL345">
            <v>0</v>
          </cell>
          <cell r="DM345"/>
          <cell r="DN345"/>
          <cell r="DO345"/>
          <cell r="DP345"/>
        </row>
        <row r="346">
          <cell r="A346">
            <v>888</v>
          </cell>
          <cell r="B346" t="str">
            <v>Beek</v>
          </cell>
          <cell r="C346">
            <v>11</v>
          </cell>
          <cell r="D346">
            <v>31122</v>
          </cell>
          <cell r="E346">
            <v>15561</v>
          </cell>
          <cell r="F346">
            <v>0</v>
          </cell>
          <cell r="G346">
            <v>0</v>
          </cell>
          <cell r="H346">
            <v>-5475</v>
          </cell>
          <cell r="I346">
            <v>0</v>
          </cell>
          <cell r="J346"/>
          <cell r="K346">
            <v>0</v>
          </cell>
          <cell r="L346">
            <v>61240</v>
          </cell>
          <cell r="M346">
            <v>57209</v>
          </cell>
          <cell r="N346">
            <v>0</v>
          </cell>
          <cell r="O346">
            <v>0</v>
          </cell>
          <cell r="P346">
            <v>0</v>
          </cell>
          <cell r="Q346">
            <v>0</v>
          </cell>
          <cell r="R346">
            <v>0</v>
          </cell>
          <cell r="S346">
            <v>0</v>
          </cell>
          <cell r="T346">
            <v>0</v>
          </cell>
          <cell r="U346">
            <v>0</v>
          </cell>
          <cell r="V346">
            <v>3000</v>
          </cell>
          <cell r="W346">
            <v>61812</v>
          </cell>
          <cell r="X346">
            <v>0</v>
          </cell>
          <cell r="Y346"/>
          <cell r="Z346">
            <v>0</v>
          </cell>
          <cell r="AA346">
            <v>0</v>
          </cell>
          <cell r="AB346">
            <v>0</v>
          </cell>
          <cell r="AC346"/>
          <cell r="AD346">
            <v>0</v>
          </cell>
          <cell r="AE346">
            <v>0</v>
          </cell>
          <cell r="AF346">
            <v>0</v>
          </cell>
          <cell r="AG346">
            <v>0</v>
          </cell>
          <cell r="AH346">
            <v>0</v>
          </cell>
          <cell r="AI346">
            <v>0</v>
          </cell>
          <cell r="AJ346">
            <v>0</v>
          </cell>
          <cell r="AK346">
            <v>0</v>
          </cell>
          <cell r="AL346"/>
          <cell r="AM346">
            <v>0</v>
          </cell>
          <cell r="AN346">
            <v>0</v>
          </cell>
          <cell r="AO346">
            <v>0</v>
          </cell>
          <cell r="AP346">
            <v>0</v>
          </cell>
          <cell r="AQ346">
            <v>0</v>
          </cell>
          <cell r="AR346">
            <v>0</v>
          </cell>
          <cell r="AS346">
            <v>0</v>
          </cell>
          <cell r="AT346">
            <v>0</v>
          </cell>
          <cell r="AU346">
            <v>11850</v>
          </cell>
          <cell r="AV346">
            <v>0</v>
          </cell>
          <cell r="AW346">
            <v>0</v>
          </cell>
          <cell r="AX346">
            <v>0</v>
          </cell>
          <cell r="AY346"/>
          <cell r="AZ346"/>
          <cell r="BA346">
            <v>0</v>
          </cell>
          <cell r="BB346"/>
          <cell r="BC346">
            <v>0</v>
          </cell>
          <cell r="BD346">
            <v>5599</v>
          </cell>
          <cell r="BE346"/>
          <cell r="BF346">
            <v>0</v>
          </cell>
          <cell r="BG346">
            <v>0</v>
          </cell>
          <cell r="BH346">
            <v>0</v>
          </cell>
          <cell r="BI346">
            <v>24820</v>
          </cell>
          <cell r="BJ346">
            <v>20431</v>
          </cell>
          <cell r="BK346">
            <v>20431</v>
          </cell>
          <cell r="BL346">
            <v>0</v>
          </cell>
          <cell r="BM346">
            <v>0</v>
          </cell>
          <cell r="BN346">
            <v>0</v>
          </cell>
          <cell r="BO346">
            <v>51561</v>
          </cell>
          <cell r="BP346">
            <v>7907</v>
          </cell>
          <cell r="BQ346">
            <v>14244.186046511601</v>
          </cell>
          <cell r="BR346">
            <v>0</v>
          </cell>
          <cell r="BS346">
            <v>0</v>
          </cell>
          <cell r="BT346">
            <v>23555</v>
          </cell>
          <cell r="BU346"/>
          <cell r="BV346"/>
          <cell r="BW346"/>
          <cell r="BX346"/>
          <cell r="BY346">
            <v>0</v>
          </cell>
          <cell r="BZ346">
            <v>0</v>
          </cell>
          <cell r="CA346">
            <v>0</v>
          </cell>
          <cell r="CB346">
            <v>0</v>
          </cell>
          <cell r="CC346">
            <v>1506652</v>
          </cell>
          <cell r="CD346">
            <v>7047113</v>
          </cell>
          <cell r="CE346">
            <v>444818</v>
          </cell>
          <cell r="CF346">
            <v>0</v>
          </cell>
          <cell r="CG346">
            <v>444818</v>
          </cell>
          <cell r="CH346">
            <v>444818</v>
          </cell>
          <cell r="CI346">
            <v>444818</v>
          </cell>
          <cell r="CJ346">
            <v>444818</v>
          </cell>
          <cell r="CK346">
            <v>0</v>
          </cell>
          <cell r="CL346">
            <v>0</v>
          </cell>
          <cell r="CM346">
            <v>0</v>
          </cell>
          <cell r="CN346">
            <v>0</v>
          </cell>
          <cell r="CO346">
            <v>0</v>
          </cell>
          <cell r="CP346">
            <v>0</v>
          </cell>
          <cell r="CQ346">
            <v>1417104</v>
          </cell>
          <cell r="CR346">
            <v>1339787</v>
          </cell>
          <cell r="CS346">
            <v>1254697</v>
          </cell>
          <cell r="CT346">
            <v>1199645</v>
          </cell>
          <cell r="CU346">
            <v>1153718</v>
          </cell>
          <cell r="CV346">
            <v>22761</v>
          </cell>
          <cell r="CW346">
            <v>0</v>
          </cell>
          <cell r="CX346">
            <v>0</v>
          </cell>
          <cell r="CY346">
            <v>0</v>
          </cell>
          <cell r="CZ346">
            <v>0</v>
          </cell>
          <cell r="DA346">
            <v>0</v>
          </cell>
          <cell r="DB346"/>
          <cell r="DC346">
            <v>0</v>
          </cell>
          <cell r="DD346">
            <v>0</v>
          </cell>
          <cell r="DE346">
            <v>0</v>
          </cell>
          <cell r="DF346">
            <v>0</v>
          </cell>
          <cell r="DG346">
            <v>0</v>
          </cell>
          <cell r="DH346">
            <v>0</v>
          </cell>
          <cell r="DI346">
            <v>0</v>
          </cell>
          <cell r="DJ346">
            <v>0</v>
          </cell>
          <cell r="DK346">
            <v>0</v>
          </cell>
          <cell r="DL346">
            <v>0</v>
          </cell>
          <cell r="DM346"/>
          <cell r="DN346"/>
          <cell r="DO346"/>
          <cell r="DP346"/>
        </row>
        <row r="347">
          <cell r="A347">
            <v>889</v>
          </cell>
          <cell r="B347" t="str">
            <v>Beesel</v>
          </cell>
          <cell r="C347">
            <v>11</v>
          </cell>
          <cell r="D347">
            <v>-16592</v>
          </cell>
          <cell r="E347">
            <v>-8296</v>
          </cell>
          <cell r="F347">
            <v>0</v>
          </cell>
          <cell r="G347">
            <v>0</v>
          </cell>
          <cell r="H347">
            <v>0</v>
          </cell>
          <cell r="I347">
            <v>0</v>
          </cell>
          <cell r="J347"/>
          <cell r="K347">
            <v>0</v>
          </cell>
          <cell r="L347">
            <v>46259</v>
          </cell>
          <cell r="M347">
            <v>51995</v>
          </cell>
          <cell r="N347">
            <v>0</v>
          </cell>
          <cell r="O347">
            <v>0</v>
          </cell>
          <cell r="P347">
            <v>0</v>
          </cell>
          <cell r="Q347">
            <v>0</v>
          </cell>
          <cell r="R347">
            <v>0</v>
          </cell>
          <cell r="S347">
            <v>0</v>
          </cell>
          <cell r="T347">
            <v>0</v>
          </cell>
          <cell r="U347">
            <v>0</v>
          </cell>
          <cell r="V347">
            <v>0</v>
          </cell>
          <cell r="W347">
            <v>53648</v>
          </cell>
          <cell r="X347">
            <v>0</v>
          </cell>
          <cell r="Y347"/>
          <cell r="Z347">
            <v>0</v>
          </cell>
          <cell r="AA347">
            <v>0</v>
          </cell>
          <cell r="AB347">
            <v>0</v>
          </cell>
          <cell r="AC347"/>
          <cell r="AD347">
            <v>0</v>
          </cell>
          <cell r="AE347">
            <v>0</v>
          </cell>
          <cell r="AF347">
            <v>0</v>
          </cell>
          <cell r="AG347">
            <v>0</v>
          </cell>
          <cell r="AH347">
            <v>0</v>
          </cell>
          <cell r="AI347">
            <v>0</v>
          </cell>
          <cell r="AJ347">
            <v>0</v>
          </cell>
          <cell r="AK347">
            <v>0</v>
          </cell>
          <cell r="AL347"/>
          <cell r="AM347">
            <v>0</v>
          </cell>
          <cell r="AN347">
            <v>0</v>
          </cell>
          <cell r="AO347">
            <v>0</v>
          </cell>
          <cell r="AP347">
            <v>0</v>
          </cell>
          <cell r="AQ347">
            <v>0</v>
          </cell>
          <cell r="AR347">
            <v>0</v>
          </cell>
          <cell r="AS347">
            <v>0</v>
          </cell>
          <cell r="AT347">
            <v>0</v>
          </cell>
          <cell r="AU347">
            <v>0</v>
          </cell>
          <cell r="AV347">
            <v>0</v>
          </cell>
          <cell r="AW347">
            <v>0</v>
          </cell>
          <cell r="AX347">
            <v>0</v>
          </cell>
          <cell r="AY347"/>
          <cell r="AZ347"/>
          <cell r="BA347">
            <v>0</v>
          </cell>
          <cell r="BB347"/>
          <cell r="BC347">
            <v>0</v>
          </cell>
          <cell r="BD347">
            <v>4706</v>
          </cell>
          <cell r="BE347"/>
          <cell r="BF347">
            <v>0</v>
          </cell>
          <cell r="BG347">
            <v>0</v>
          </cell>
          <cell r="BH347">
            <v>0</v>
          </cell>
          <cell r="BI347">
            <v>19900</v>
          </cell>
          <cell r="BJ347">
            <v>16381</v>
          </cell>
          <cell r="BK347">
            <v>16381</v>
          </cell>
          <cell r="BL347">
            <v>0</v>
          </cell>
          <cell r="BM347">
            <v>0</v>
          </cell>
          <cell r="BN347">
            <v>0</v>
          </cell>
          <cell r="BO347">
            <v>20430</v>
          </cell>
          <cell r="BP347">
            <v>0</v>
          </cell>
          <cell r="BQ347">
            <v>0</v>
          </cell>
          <cell r="BR347">
            <v>0</v>
          </cell>
          <cell r="BS347">
            <v>0</v>
          </cell>
          <cell r="BT347">
            <v>20837</v>
          </cell>
          <cell r="BU347"/>
          <cell r="BV347"/>
          <cell r="BW347"/>
          <cell r="BX347"/>
          <cell r="BY347">
            <v>0</v>
          </cell>
          <cell r="BZ347">
            <v>0</v>
          </cell>
          <cell r="CA347">
            <v>0</v>
          </cell>
          <cell r="CB347">
            <v>0</v>
          </cell>
          <cell r="CC347">
            <v>1212678</v>
          </cell>
          <cell r="CD347">
            <v>6443852</v>
          </cell>
          <cell r="CE347">
            <v>262945</v>
          </cell>
          <cell r="CF347">
            <v>-2361</v>
          </cell>
          <cell r="CG347">
            <v>262945</v>
          </cell>
          <cell r="CH347">
            <v>262945</v>
          </cell>
          <cell r="CI347">
            <v>262945</v>
          </cell>
          <cell r="CJ347">
            <v>262945</v>
          </cell>
          <cell r="CK347">
            <v>0</v>
          </cell>
          <cell r="CL347">
            <v>0</v>
          </cell>
          <cell r="CM347">
            <v>0</v>
          </cell>
          <cell r="CN347">
            <v>0</v>
          </cell>
          <cell r="CO347">
            <v>0</v>
          </cell>
          <cell r="CP347">
            <v>0</v>
          </cell>
          <cell r="CQ347">
            <v>1535494</v>
          </cell>
          <cell r="CR347">
            <v>1448170</v>
          </cell>
          <cell r="CS347">
            <v>1361251</v>
          </cell>
          <cell r="CT347">
            <v>1321583</v>
          </cell>
          <cell r="CU347">
            <v>1320682</v>
          </cell>
          <cell r="CV347">
            <v>4553</v>
          </cell>
          <cell r="CW347">
            <v>0</v>
          </cell>
          <cell r="CX347">
            <v>0</v>
          </cell>
          <cell r="CY347">
            <v>0</v>
          </cell>
          <cell r="CZ347">
            <v>0</v>
          </cell>
          <cell r="DA347">
            <v>0</v>
          </cell>
          <cell r="DB347"/>
          <cell r="DC347">
            <v>0</v>
          </cell>
          <cell r="DD347">
            <v>0</v>
          </cell>
          <cell r="DE347">
            <v>0</v>
          </cell>
          <cell r="DF347">
            <v>0</v>
          </cell>
          <cell r="DG347">
            <v>0</v>
          </cell>
          <cell r="DH347">
            <v>0</v>
          </cell>
          <cell r="DI347">
            <v>0</v>
          </cell>
          <cell r="DJ347">
            <v>0</v>
          </cell>
          <cell r="DK347">
            <v>0</v>
          </cell>
          <cell r="DL347">
            <v>0</v>
          </cell>
          <cell r="DM347"/>
          <cell r="DN347"/>
          <cell r="DO347"/>
          <cell r="DP347"/>
        </row>
        <row r="348">
          <cell r="A348">
            <v>893</v>
          </cell>
          <cell r="B348" t="str">
            <v>Bergen L</v>
          </cell>
          <cell r="C348">
            <v>11</v>
          </cell>
          <cell r="D348">
            <v>-11205</v>
          </cell>
          <cell r="E348">
            <v>-5603</v>
          </cell>
          <cell r="F348">
            <v>0</v>
          </cell>
          <cell r="G348">
            <v>0</v>
          </cell>
          <cell r="H348">
            <v>-29627</v>
          </cell>
          <cell r="I348">
            <v>-17632</v>
          </cell>
          <cell r="J348"/>
          <cell r="K348">
            <v>0</v>
          </cell>
          <cell r="L348">
            <v>40111</v>
          </cell>
          <cell r="M348">
            <v>43425</v>
          </cell>
          <cell r="N348">
            <v>0</v>
          </cell>
          <cell r="O348">
            <v>0</v>
          </cell>
          <cell r="P348">
            <v>0</v>
          </cell>
          <cell r="Q348">
            <v>0</v>
          </cell>
          <cell r="R348">
            <v>0</v>
          </cell>
          <cell r="S348">
            <v>0</v>
          </cell>
          <cell r="T348">
            <v>0</v>
          </cell>
          <cell r="U348">
            <v>0</v>
          </cell>
          <cell r="V348">
            <v>0</v>
          </cell>
          <cell r="W348">
            <v>54426</v>
          </cell>
          <cell r="X348">
            <v>0</v>
          </cell>
          <cell r="Y348"/>
          <cell r="Z348">
            <v>0</v>
          </cell>
          <cell r="AA348">
            <v>0</v>
          </cell>
          <cell r="AB348">
            <v>0</v>
          </cell>
          <cell r="AC348"/>
          <cell r="AD348">
            <v>26400</v>
          </cell>
          <cell r="AE348">
            <v>0</v>
          </cell>
          <cell r="AF348">
            <v>0</v>
          </cell>
          <cell r="AG348">
            <v>0</v>
          </cell>
          <cell r="AH348">
            <v>0</v>
          </cell>
          <cell r="AI348">
            <v>0</v>
          </cell>
          <cell r="AJ348">
            <v>0</v>
          </cell>
          <cell r="AK348">
            <v>0</v>
          </cell>
          <cell r="AL348"/>
          <cell r="AM348">
            <v>0</v>
          </cell>
          <cell r="AN348">
            <v>0</v>
          </cell>
          <cell r="AO348">
            <v>0</v>
          </cell>
          <cell r="AP348">
            <v>0</v>
          </cell>
          <cell r="AQ348">
            <v>0</v>
          </cell>
          <cell r="AR348">
            <v>0</v>
          </cell>
          <cell r="AS348">
            <v>0</v>
          </cell>
          <cell r="AT348">
            <v>0</v>
          </cell>
          <cell r="AU348">
            <v>0</v>
          </cell>
          <cell r="AV348">
            <v>0</v>
          </cell>
          <cell r="AW348">
            <v>0</v>
          </cell>
          <cell r="AX348">
            <v>0</v>
          </cell>
          <cell r="AY348"/>
          <cell r="AZ348"/>
          <cell r="BA348">
            <v>0</v>
          </cell>
          <cell r="BB348"/>
          <cell r="BC348">
            <v>0</v>
          </cell>
          <cell r="BD348">
            <v>4597</v>
          </cell>
          <cell r="BE348"/>
          <cell r="BF348">
            <v>0</v>
          </cell>
          <cell r="BG348">
            <v>0</v>
          </cell>
          <cell r="BH348">
            <v>0</v>
          </cell>
          <cell r="BI348">
            <v>19601</v>
          </cell>
          <cell r="BJ348">
            <v>16135</v>
          </cell>
          <cell r="BK348">
            <v>16135</v>
          </cell>
          <cell r="BL348">
            <v>0</v>
          </cell>
          <cell r="BM348">
            <v>0</v>
          </cell>
          <cell r="BN348">
            <v>0</v>
          </cell>
          <cell r="BO348">
            <v>12161</v>
          </cell>
          <cell r="BP348">
            <v>0</v>
          </cell>
          <cell r="BQ348">
            <v>0</v>
          </cell>
          <cell r="BR348">
            <v>0</v>
          </cell>
          <cell r="BS348">
            <v>0</v>
          </cell>
          <cell r="BT348">
            <v>27189</v>
          </cell>
          <cell r="BU348"/>
          <cell r="BV348"/>
          <cell r="BW348"/>
          <cell r="BX348"/>
          <cell r="BY348">
            <v>0</v>
          </cell>
          <cell r="BZ348">
            <v>0</v>
          </cell>
          <cell r="CA348">
            <v>0</v>
          </cell>
          <cell r="CB348">
            <v>0</v>
          </cell>
          <cell r="CC348">
            <v>1232654</v>
          </cell>
          <cell r="CD348">
            <v>7356422</v>
          </cell>
          <cell r="CE348">
            <v>418772</v>
          </cell>
          <cell r="CF348">
            <v>-25248</v>
          </cell>
          <cell r="CG348">
            <v>418772</v>
          </cell>
          <cell r="CH348">
            <v>418772</v>
          </cell>
          <cell r="CI348">
            <v>418772</v>
          </cell>
          <cell r="CJ348">
            <v>418772</v>
          </cell>
          <cell r="CK348">
            <v>0</v>
          </cell>
          <cell r="CL348">
            <v>0</v>
          </cell>
          <cell r="CM348">
            <v>0</v>
          </cell>
          <cell r="CN348">
            <v>0</v>
          </cell>
          <cell r="CO348">
            <v>0</v>
          </cell>
          <cell r="CP348">
            <v>-2639</v>
          </cell>
          <cell r="CQ348">
            <v>2348627</v>
          </cell>
          <cell r="CR348">
            <v>2221013</v>
          </cell>
          <cell r="CS348">
            <v>2175805</v>
          </cell>
          <cell r="CT348">
            <v>2114838</v>
          </cell>
          <cell r="CU348">
            <v>2017311</v>
          </cell>
          <cell r="CV348">
            <v>-1954</v>
          </cell>
          <cell r="CW348">
            <v>0</v>
          </cell>
          <cell r="CX348">
            <v>0</v>
          </cell>
          <cell r="CY348">
            <v>0</v>
          </cell>
          <cell r="CZ348">
            <v>0</v>
          </cell>
          <cell r="DA348">
            <v>0</v>
          </cell>
          <cell r="DB348"/>
          <cell r="DC348">
            <v>0</v>
          </cell>
          <cell r="DD348">
            <v>0</v>
          </cell>
          <cell r="DE348">
            <v>0</v>
          </cell>
          <cell r="DF348">
            <v>0</v>
          </cell>
          <cell r="DG348">
            <v>0</v>
          </cell>
          <cell r="DH348">
            <v>0</v>
          </cell>
          <cell r="DI348">
            <v>0</v>
          </cell>
          <cell r="DJ348">
            <v>0</v>
          </cell>
          <cell r="DK348">
            <v>0</v>
          </cell>
          <cell r="DL348">
            <v>0</v>
          </cell>
          <cell r="DM348"/>
          <cell r="DN348"/>
          <cell r="DO348"/>
          <cell r="DP348"/>
        </row>
        <row r="349">
          <cell r="A349">
            <v>899</v>
          </cell>
          <cell r="B349" t="str">
            <v>Brunssum</v>
          </cell>
          <cell r="C349">
            <v>11</v>
          </cell>
          <cell r="D349">
            <v>23113</v>
          </cell>
          <cell r="E349">
            <v>11557</v>
          </cell>
          <cell r="F349">
            <v>0</v>
          </cell>
          <cell r="G349">
            <v>0</v>
          </cell>
          <cell r="H349">
            <v>-26623</v>
          </cell>
          <cell r="I349">
            <v>-23290</v>
          </cell>
          <cell r="J349"/>
          <cell r="K349">
            <v>0</v>
          </cell>
          <cell r="L349">
            <v>183960</v>
          </cell>
          <cell r="M349">
            <v>179031</v>
          </cell>
          <cell r="N349">
            <v>0</v>
          </cell>
          <cell r="O349">
            <v>0</v>
          </cell>
          <cell r="P349">
            <v>0</v>
          </cell>
          <cell r="Q349">
            <v>0</v>
          </cell>
          <cell r="R349">
            <v>0</v>
          </cell>
          <cell r="S349">
            <v>0</v>
          </cell>
          <cell r="T349">
            <v>0</v>
          </cell>
          <cell r="U349">
            <v>0</v>
          </cell>
          <cell r="V349">
            <v>3000</v>
          </cell>
          <cell r="W349">
            <v>99133</v>
          </cell>
          <cell r="X349">
            <v>0</v>
          </cell>
          <cell r="Y349"/>
          <cell r="Z349">
            <v>0</v>
          </cell>
          <cell r="AA349">
            <v>0</v>
          </cell>
          <cell r="AB349">
            <v>0</v>
          </cell>
          <cell r="AC349"/>
          <cell r="AD349">
            <v>94846</v>
          </cell>
          <cell r="AE349">
            <v>0</v>
          </cell>
          <cell r="AF349">
            <v>0</v>
          </cell>
          <cell r="AG349">
            <v>0</v>
          </cell>
          <cell r="AH349">
            <v>0</v>
          </cell>
          <cell r="AI349">
            <v>0</v>
          </cell>
          <cell r="AJ349">
            <v>0</v>
          </cell>
          <cell r="AK349">
            <v>0</v>
          </cell>
          <cell r="AL349"/>
          <cell r="AM349">
            <v>0</v>
          </cell>
          <cell r="AN349">
            <v>0</v>
          </cell>
          <cell r="AO349">
            <v>0</v>
          </cell>
          <cell r="AP349">
            <v>0</v>
          </cell>
          <cell r="AQ349">
            <v>0</v>
          </cell>
          <cell r="AR349">
            <v>0</v>
          </cell>
          <cell r="AS349">
            <v>0</v>
          </cell>
          <cell r="AT349">
            <v>0</v>
          </cell>
          <cell r="AU349">
            <v>2370</v>
          </cell>
          <cell r="AV349">
            <v>0</v>
          </cell>
          <cell r="AW349">
            <v>0</v>
          </cell>
          <cell r="AX349">
            <v>0</v>
          </cell>
          <cell r="AY349"/>
          <cell r="AZ349"/>
          <cell r="BA349">
            <v>0</v>
          </cell>
          <cell r="BB349"/>
          <cell r="BC349">
            <v>0</v>
          </cell>
          <cell r="BD349">
            <v>9955</v>
          </cell>
          <cell r="BE349"/>
          <cell r="BF349">
            <v>0</v>
          </cell>
          <cell r="BG349">
            <v>0</v>
          </cell>
          <cell r="BH349">
            <v>0</v>
          </cell>
          <cell r="BI349">
            <v>67861</v>
          </cell>
          <cell r="BJ349">
            <v>55860</v>
          </cell>
          <cell r="BK349">
            <v>55860</v>
          </cell>
          <cell r="BL349">
            <v>0</v>
          </cell>
          <cell r="BM349">
            <v>0</v>
          </cell>
          <cell r="BN349">
            <v>0</v>
          </cell>
          <cell r="BO349">
            <v>81233</v>
          </cell>
          <cell r="BP349">
            <v>42697.8</v>
          </cell>
          <cell r="BQ349">
            <v>76918.604651162794</v>
          </cell>
          <cell r="BR349">
            <v>0</v>
          </cell>
          <cell r="BS349">
            <v>0</v>
          </cell>
          <cell r="BT349">
            <v>46488</v>
          </cell>
          <cell r="BU349"/>
          <cell r="BV349"/>
          <cell r="BW349"/>
          <cell r="BX349"/>
          <cell r="BY349">
            <v>0</v>
          </cell>
          <cell r="BZ349">
            <v>0</v>
          </cell>
          <cell r="CA349">
            <v>0</v>
          </cell>
          <cell r="CB349">
            <v>0</v>
          </cell>
          <cell r="CC349">
            <v>3427625</v>
          </cell>
          <cell r="CD349">
            <v>25688538</v>
          </cell>
          <cell r="CE349">
            <v>709681</v>
          </cell>
          <cell r="CF349">
            <v>-56908</v>
          </cell>
          <cell r="CG349">
            <v>709681</v>
          </cell>
          <cell r="CH349">
            <v>709681</v>
          </cell>
          <cell r="CI349">
            <v>709681</v>
          </cell>
          <cell r="CJ349">
            <v>709681</v>
          </cell>
          <cell r="CK349">
            <v>0</v>
          </cell>
          <cell r="CL349">
            <v>0</v>
          </cell>
          <cell r="CM349">
            <v>0</v>
          </cell>
          <cell r="CN349">
            <v>0</v>
          </cell>
          <cell r="CO349">
            <v>0</v>
          </cell>
          <cell r="CP349">
            <v>0</v>
          </cell>
          <cell r="CQ349">
            <v>10102968</v>
          </cell>
          <cell r="CR349">
            <v>9427747</v>
          </cell>
          <cell r="CS349">
            <v>9098090</v>
          </cell>
          <cell r="CT349">
            <v>8791639</v>
          </cell>
          <cell r="CU349">
            <v>8414181</v>
          </cell>
          <cell r="CV349">
            <v>-12631</v>
          </cell>
          <cell r="CW349">
            <v>0</v>
          </cell>
          <cell r="CX349">
            <v>0</v>
          </cell>
          <cell r="CY349">
            <v>0</v>
          </cell>
          <cell r="CZ349">
            <v>0</v>
          </cell>
          <cell r="DA349">
            <v>80000</v>
          </cell>
          <cell r="DB349"/>
          <cell r="DC349">
            <v>0</v>
          </cell>
          <cell r="DD349">
            <v>0</v>
          </cell>
          <cell r="DE349">
            <v>0</v>
          </cell>
          <cell r="DF349">
            <v>0</v>
          </cell>
          <cell r="DG349">
            <v>0</v>
          </cell>
          <cell r="DH349">
            <v>0</v>
          </cell>
          <cell r="DI349">
            <v>0</v>
          </cell>
          <cell r="DJ349">
            <v>0</v>
          </cell>
          <cell r="DK349">
            <v>0</v>
          </cell>
          <cell r="DL349">
            <v>0</v>
          </cell>
          <cell r="DM349"/>
          <cell r="DN349"/>
          <cell r="DO349"/>
          <cell r="DP349"/>
        </row>
        <row r="350">
          <cell r="A350">
            <v>1711</v>
          </cell>
          <cell r="B350" t="str">
            <v>Echt-Susteren</v>
          </cell>
          <cell r="C350">
            <v>11</v>
          </cell>
          <cell r="D350">
            <v>-27988</v>
          </cell>
          <cell r="E350">
            <v>-13994</v>
          </cell>
          <cell r="F350">
            <v>0</v>
          </cell>
          <cell r="G350">
            <v>0</v>
          </cell>
          <cell r="H350">
            <v>-17386</v>
          </cell>
          <cell r="I350">
            <v>-3818</v>
          </cell>
          <cell r="J350"/>
          <cell r="K350">
            <v>0</v>
          </cell>
          <cell r="L350">
            <v>110424</v>
          </cell>
          <cell r="M350">
            <v>98800</v>
          </cell>
          <cell r="N350">
            <v>0</v>
          </cell>
          <cell r="O350">
            <v>0</v>
          </cell>
          <cell r="P350">
            <v>0</v>
          </cell>
          <cell r="Q350">
            <v>0</v>
          </cell>
          <cell r="R350">
            <v>0</v>
          </cell>
          <cell r="S350">
            <v>0</v>
          </cell>
          <cell r="T350">
            <v>0</v>
          </cell>
          <cell r="U350">
            <v>0</v>
          </cell>
          <cell r="V350">
            <v>3000</v>
          </cell>
          <cell r="W350">
            <v>110795</v>
          </cell>
          <cell r="X350">
            <v>0</v>
          </cell>
          <cell r="Y350"/>
          <cell r="Z350">
            <v>0</v>
          </cell>
          <cell r="AA350">
            <v>0</v>
          </cell>
          <cell r="AB350">
            <v>0</v>
          </cell>
          <cell r="AC350"/>
          <cell r="AD350">
            <v>0</v>
          </cell>
          <cell r="AE350">
            <v>0</v>
          </cell>
          <cell r="AF350">
            <v>0</v>
          </cell>
          <cell r="AG350">
            <v>0</v>
          </cell>
          <cell r="AH350">
            <v>0</v>
          </cell>
          <cell r="AI350">
            <v>0</v>
          </cell>
          <cell r="AJ350">
            <v>0</v>
          </cell>
          <cell r="AK350">
            <v>0</v>
          </cell>
          <cell r="AL350"/>
          <cell r="AM350">
            <v>0</v>
          </cell>
          <cell r="AN350">
            <v>0</v>
          </cell>
          <cell r="AO350">
            <v>0</v>
          </cell>
          <cell r="AP350">
            <v>0</v>
          </cell>
          <cell r="AQ350">
            <v>0</v>
          </cell>
          <cell r="AR350">
            <v>0</v>
          </cell>
          <cell r="AS350">
            <v>0</v>
          </cell>
          <cell r="AT350">
            <v>0</v>
          </cell>
          <cell r="AU350">
            <v>4740</v>
          </cell>
          <cell r="AV350">
            <v>0</v>
          </cell>
          <cell r="AW350">
            <v>0</v>
          </cell>
          <cell r="AX350">
            <v>0</v>
          </cell>
          <cell r="AY350"/>
          <cell r="AZ350"/>
          <cell r="BA350">
            <v>0</v>
          </cell>
          <cell r="BB350"/>
          <cell r="BC350">
            <v>0</v>
          </cell>
          <cell r="BD350">
            <v>11168</v>
          </cell>
          <cell r="BE350"/>
          <cell r="BF350">
            <v>0</v>
          </cell>
          <cell r="BG350">
            <v>0</v>
          </cell>
          <cell r="BH350">
            <v>0</v>
          </cell>
          <cell r="BI350">
            <v>51382</v>
          </cell>
          <cell r="BJ350">
            <v>42295</v>
          </cell>
          <cell r="BK350">
            <v>42295</v>
          </cell>
          <cell r="BL350">
            <v>0</v>
          </cell>
          <cell r="BM350">
            <v>0</v>
          </cell>
          <cell r="BN350">
            <v>0</v>
          </cell>
          <cell r="BO350">
            <v>161008</v>
          </cell>
          <cell r="BP350">
            <v>15814</v>
          </cell>
          <cell r="BQ350">
            <v>28488.372093023299</v>
          </cell>
          <cell r="BR350">
            <v>0</v>
          </cell>
          <cell r="BS350">
            <v>0</v>
          </cell>
          <cell r="BT350">
            <v>48614</v>
          </cell>
          <cell r="BU350"/>
          <cell r="BV350"/>
          <cell r="BW350"/>
          <cell r="BX350"/>
          <cell r="BY350">
            <v>0</v>
          </cell>
          <cell r="BZ350">
            <v>0</v>
          </cell>
          <cell r="CA350">
            <v>0</v>
          </cell>
          <cell r="CB350">
            <v>0</v>
          </cell>
          <cell r="CC350">
            <v>3100361</v>
          </cell>
          <cell r="CD350">
            <v>16126831</v>
          </cell>
          <cell r="CE350">
            <v>722399</v>
          </cell>
          <cell r="CF350">
            <v>-9241</v>
          </cell>
          <cell r="CG350">
            <v>722399</v>
          </cell>
          <cell r="CH350">
            <v>722399</v>
          </cell>
          <cell r="CI350">
            <v>722399</v>
          </cell>
          <cell r="CJ350">
            <v>722399</v>
          </cell>
          <cell r="CK350">
            <v>0</v>
          </cell>
          <cell r="CL350">
            <v>0</v>
          </cell>
          <cell r="CM350">
            <v>0</v>
          </cell>
          <cell r="CN350">
            <v>0</v>
          </cell>
          <cell r="CO350">
            <v>0</v>
          </cell>
          <cell r="CP350">
            <v>0</v>
          </cell>
          <cell r="CQ350">
            <v>3586682</v>
          </cell>
          <cell r="CR350">
            <v>3420250</v>
          </cell>
          <cell r="CS350">
            <v>3264113</v>
          </cell>
          <cell r="CT350">
            <v>3137302</v>
          </cell>
          <cell r="CU350">
            <v>2995291</v>
          </cell>
          <cell r="CV350">
            <v>3294</v>
          </cell>
          <cell r="CW350">
            <v>0</v>
          </cell>
          <cell r="CX350">
            <v>0</v>
          </cell>
          <cell r="CY350">
            <v>0</v>
          </cell>
          <cell r="CZ350">
            <v>0</v>
          </cell>
          <cell r="DA350">
            <v>0</v>
          </cell>
          <cell r="DB350"/>
          <cell r="DC350">
            <v>0</v>
          </cell>
          <cell r="DD350">
            <v>0</v>
          </cell>
          <cell r="DE350">
            <v>0</v>
          </cell>
          <cell r="DF350">
            <v>0</v>
          </cell>
          <cell r="DG350">
            <v>0</v>
          </cell>
          <cell r="DH350">
            <v>0</v>
          </cell>
          <cell r="DI350">
            <v>0</v>
          </cell>
          <cell r="DJ350">
            <v>0</v>
          </cell>
          <cell r="DK350">
            <v>0</v>
          </cell>
          <cell r="DL350">
            <v>0</v>
          </cell>
          <cell r="DM350"/>
          <cell r="DN350"/>
          <cell r="DO350"/>
          <cell r="DP350"/>
        </row>
        <row r="351">
          <cell r="A351">
            <v>1903</v>
          </cell>
          <cell r="B351" t="str">
            <v>Eijsden-Margraten</v>
          </cell>
          <cell r="C351">
            <v>11</v>
          </cell>
          <cell r="D351">
            <v>-1464</v>
          </cell>
          <cell r="E351">
            <v>-732</v>
          </cell>
          <cell r="F351">
            <v>0</v>
          </cell>
          <cell r="G351">
            <v>0</v>
          </cell>
          <cell r="H351">
            <v>-11268</v>
          </cell>
          <cell r="I351">
            <v>-10146</v>
          </cell>
          <cell r="J351"/>
          <cell r="K351">
            <v>0</v>
          </cell>
          <cell r="L351">
            <v>66533</v>
          </cell>
          <cell r="M351">
            <v>52376</v>
          </cell>
          <cell r="N351">
            <v>0</v>
          </cell>
          <cell r="O351">
            <v>0</v>
          </cell>
          <cell r="P351">
            <v>0</v>
          </cell>
          <cell r="Q351">
            <v>0</v>
          </cell>
          <cell r="R351">
            <v>0</v>
          </cell>
          <cell r="S351">
            <v>0</v>
          </cell>
          <cell r="T351">
            <v>0</v>
          </cell>
          <cell r="U351">
            <v>0</v>
          </cell>
          <cell r="V351">
            <v>0</v>
          </cell>
          <cell r="W351">
            <v>53648</v>
          </cell>
          <cell r="X351">
            <v>0</v>
          </cell>
          <cell r="Y351"/>
          <cell r="Z351">
            <v>0</v>
          </cell>
          <cell r="AA351">
            <v>0</v>
          </cell>
          <cell r="AB351">
            <v>0</v>
          </cell>
          <cell r="AC351"/>
          <cell r="AD351">
            <v>0</v>
          </cell>
          <cell r="AE351">
            <v>0</v>
          </cell>
          <cell r="AF351">
            <v>0</v>
          </cell>
          <cell r="AG351">
            <v>0</v>
          </cell>
          <cell r="AH351">
            <v>0</v>
          </cell>
          <cell r="AI351">
            <v>0</v>
          </cell>
          <cell r="AJ351">
            <v>0</v>
          </cell>
          <cell r="AK351">
            <v>0</v>
          </cell>
          <cell r="AL351"/>
          <cell r="AM351">
            <v>0</v>
          </cell>
          <cell r="AN351">
            <v>0</v>
          </cell>
          <cell r="AO351">
            <v>0</v>
          </cell>
          <cell r="AP351">
            <v>0</v>
          </cell>
          <cell r="AQ351">
            <v>0</v>
          </cell>
          <cell r="AR351">
            <v>0</v>
          </cell>
          <cell r="AS351">
            <v>0</v>
          </cell>
          <cell r="AT351">
            <v>0</v>
          </cell>
          <cell r="AU351">
            <v>0</v>
          </cell>
          <cell r="AV351">
            <v>0</v>
          </cell>
          <cell r="AW351">
            <v>0</v>
          </cell>
          <cell r="AX351">
            <v>0</v>
          </cell>
          <cell r="AY351"/>
          <cell r="AZ351"/>
          <cell r="BA351">
            <v>0</v>
          </cell>
          <cell r="BB351"/>
          <cell r="BC351">
            <v>0</v>
          </cell>
          <cell r="BD351">
            <v>8880</v>
          </cell>
          <cell r="BE351"/>
          <cell r="BF351">
            <v>0</v>
          </cell>
          <cell r="BG351">
            <v>0</v>
          </cell>
          <cell r="BH351">
            <v>0</v>
          </cell>
          <cell r="BI351">
            <v>24186</v>
          </cell>
          <cell r="BJ351">
            <v>19909</v>
          </cell>
          <cell r="BK351">
            <v>19909</v>
          </cell>
          <cell r="BL351">
            <v>0</v>
          </cell>
          <cell r="BM351">
            <v>0</v>
          </cell>
          <cell r="BN351">
            <v>0</v>
          </cell>
          <cell r="BO351">
            <v>0</v>
          </cell>
          <cell r="BP351">
            <v>3162.8</v>
          </cell>
          <cell r="BQ351">
            <v>5697.6744186046499</v>
          </cell>
          <cell r="BR351">
            <v>0</v>
          </cell>
          <cell r="BS351">
            <v>0</v>
          </cell>
          <cell r="BT351">
            <v>46834</v>
          </cell>
          <cell r="BU351"/>
          <cell r="BV351"/>
          <cell r="BW351"/>
          <cell r="BX351"/>
          <cell r="BY351">
            <v>0</v>
          </cell>
          <cell r="BZ351">
            <v>0</v>
          </cell>
          <cell r="CA351">
            <v>0</v>
          </cell>
          <cell r="CB351">
            <v>0</v>
          </cell>
          <cell r="CC351">
            <v>1875787</v>
          </cell>
          <cell r="CD351">
            <v>9972958</v>
          </cell>
          <cell r="CE351">
            <v>1892495</v>
          </cell>
          <cell r="CF351">
            <v>-24544</v>
          </cell>
          <cell r="CG351">
            <v>1892495</v>
          </cell>
          <cell r="CH351">
            <v>1892495</v>
          </cell>
          <cell r="CI351">
            <v>1892495</v>
          </cell>
          <cell r="CJ351">
            <v>1892495</v>
          </cell>
          <cell r="CK351">
            <v>0</v>
          </cell>
          <cell r="CL351">
            <v>0</v>
          </cell>
          <cell r="CM351">
            <v>0</v>
          </cell>
          <cell r="CN351">
            <v>0</v>
          </cell>
          <cell r="CO351">
            <v>0</v>
          </cell>
          <cell r="CP351">
            <v>0</v>
          </cell>
          <cell r="CQ351">
            <v>2007450</v>
          </cell>
          <cell r="CR351">
            <v>1910139</v>
          </cell>
          <cell r="CS351">
            <v>1791041</v>
          </cell>
          <cell r="CT351">
            <v>1738450</v>
          </cell>
          <cell r="CU351">
            <v>1653623</v>
          </cell>
          <cell r="CV351">
            <v>61657</v>
          </cell>
          <cell r="CW351">
            <v>0</v>
          </cell>
          <cell r="CX351">
            <v>0</v>
          </cell>
          <cell r="CY351">
            <v>0</v>
          </cell>
          <cell r="CZ351">
            <v>0</v>
          </cell>
          <cell r="DA351">
            <v>0</v>
          </cell>
          <cell r="DB351"/>
          <cell r="DC351">
            <v>0</v>
          </cell>
          <cell r="DD351">
            <v>0</v>
          </cell>
          <cell r="DE351">
            <v>0</v>
          </cell>
          <cell r="DF351">
            <v>0</v>
          </cell>
          <cell r="DG351">
            <v>0</v>
          </cell>
          <cell r="DH351">
            <v>0</v>
          </cell>
          <cell r="DI351">
            <v>0</v>
          </cell>
          <cell r="DJ351">
            <v>0</v>
          </cell>
          <cell r="DK351">
            <v>0</v>
          </cell>
          <cell r="DL351">
            <v>0</v>
          </cell>
          <cell r="DM351"/>
          <cell r="DN351"/>
          <cell r="DO351"/>
          <cell r="DP351"/>
        </row>
        <row r="352">
          <cell r="A352">
            <v>907</v>
          </cell>
          <cell r="B352" t="str">
            <v>Gennep</v>
          </cell>
          <cell r="C352">
            <v>11</v>
          </cell>
          <cell r="D352">
            <v>-21616</v>
          </cell>
          <cell r="E352">
            <v>-10808</v>
          </cell>
          <cell r="F352">
            <v>0</v>
          </cell>
          <cell r="G352">
            <v>0</v>
          </cell>
          <cell r="H352">
            <v>-55291</v>
          </cell>
          <cell r="I352">
            <v>-40030</v>
          </cell>
          <cell r="J352"/>
          <cell r="K352">
            <v>0</v>
          </cell>
          <cell r="L352">
            <v>63688</v>
          </cell>
          <cell r="M352">
            <v>54995</v>
          </cell>
          <cell r="N352">
            <v>0</v>
          </cell>
          <cell r="O352">
            <v>0</v>
          </cell>
          <cell r="P352">
            <v>0</v>
          </cell>
          <cell r="Q352">
            <v>0</v>
          </cell>
          <cell r="R352">
            <v>0</v>
          </cell>
          <cell r="S352">
            <v>0</v>
          </cell>
          <cell r="T352">
            <v>0</v>
          </cell>
          <cell r="U352">
            <v>0</v>
          </cell>
          <cell r="V352">
            <v>9000</v>
          </cell>
          <cell r="W352">
            <v>63367</v>
          </cell>
          <cell r="X352">
            <v>0</v>
          </cell>
          <cell r="Y352"/>
          <cell r="Z352">
            <v>0</v>
          </cell>
          <cell r="AA352">
            <v>0</v>
          </cell>
          <cell r="AB352">
            <v>0</v>
          </cell>
          <cell r="AC352"/>
          <cell r="AD352">
            <v>44001</v>
          </cell>
          <cell r="AE352">
            <v>0</v>
          </cell>
          <cell r="AF352">
            <v>0</v>
          </cell>
          <cell r="AG352">
            <v>0</v>
          </cell>
          <cell r="AH352">
            <v>0</v>
          </cell>
          <cell r="AI352">
            <v>0</v>
          </cell>
          <cell r="AJ352">
            <v>0</v>
          </cell>
          <cell r="AK352">
            <v>0</v>
          </cell>
          <cell r="AL352"/>
          <cell r="AM352">
            <v>0</v>
          </cell>
          <cell r="AN352">
            <v>0</v>
          </cell>
          <cell r="AO352">
            <v>0</v>
          </cell>
          <cell r="AP352">
            <v>0</v>
          </cell>
          <cell r="AQ352">
            <v>0</v>
          </cell>
          <cell r="AR352">
            <v>0</v>
          </cell>
          <cell r="AS352">
            <v>0</v>
          </cell>
          <cell r="AT352">
            <v>0</v>
          </cell>
          <cell r="AU352">
            <v>2370</v>
          </cell>
          <cell r="AV352">
            <v>0</v>
          </cell>
          <cell r="AW352">
            <v>0</v>
          </cell>
          <cell r="AX352">
            <v>0</v>
          </cell>
          <cell r="AY352"/>
          <cell r="AZ352"/>
          <cell r="BA352">
            <v>0</v>
          </cell>
          <cell r="BB352"/>
          <cell r="BC352">
            <v>0</v>
          </cell>
          <cell r="BD352">
            <v>6013</v>
          </cell>
          <cell r="BE352"/>
          <cell r="BF352">
            <v>0</v>
          </cell>
          <cell r="BG352">
            <v>0</v>
          </cell>
          <cell r="BH352">
            <v>0</v>
          </cell>
          <cell r="BI352">
            <v>22851</v>
          </cell>
          <cell r="BJ352">
            <v>18810</v>
          </cell>
          <cell r="BK352">
            <v>18810</v>
          </cell>
          <cell r="BL352">
            <v>0</v>
          </cell>
          <cell r="BM352">
            <v>0</v>
          </cell>
          <cell r="BN352">
            <v>0</v>
          </cell>
          <cell r="BO352">
            <v>28213</v>
          </cell>
          <cell r="BP352">
            <v>0</v>
          </cell>
          <cell r="BQ352">
            <v>0</v>
          </cell>
          <cell r="BR352">
            <v>0</v>
          </cell>
          <cell r="BS352">
            <v>0</v>
          </cell>
          <cell r="BT352">
            <v>28381</v>
          </cell>
          <cell r="BU352"/>
          <cell r="BV352"/>
          <cell r="BW352"/>
          <cell r="BX352"/>
          <cell r="BY352">
            <v>0</v>
          </cell>
          <cell r="BZ352">
            <v>0</v>
          </cell>
          <cell r="CA352">
            <v>0</v>
          </cell>
          <cell r="CB352">
            <v>0</v>
          </cell>
          <cell r="CC352">
            <v>1830288</v>
          </cell>
          <cell r="CD352">
            <v>13074629</v>
          </cell>
          <cell r="CE352">
            <v>265766</v>
          </cell>
          <cell r="CF352">
            <v>-60947</v>
          </cell>
          <cell r="CG352">
            <v>265766</v>
          </cell>
          <cell r="CH352">
            <v>265766</v>
          </cell>
          <cell r="CI352">
            <v>265766</v>
          </cell>
          <cell r="CJ352">
            <v>265766</v>
          </cell>
          <cell r="CK352">
            <v>0</v>
          </cell>
          <cell r="CL352">
            <v>0</v>
          </cell>
          <cell r="CM352">
            <v>0</v>
          </cell>
          <cell r="CN352">
            <v>0</v>
          </cell>
          <cell r="CO352">
            <v>0</v>
          </cell>
          <cell r="CP352">
            <v>-5360</v>
          </cell>
          <cell r="CQ352">
            <v>5387563</v>
          </cell>
          <cell r="CR352">
            <v>5093453</v>
          </cell>
          <cell r="CS352">
            <v>4869741</v>
          </cell>
          <cell r="CT352">
            <v>4723747</v>
          </cell>
          <cell r="CU352">
            <v>4577120</v>
          </cell>
          <cell r="CV352">
            <v>-1476</v>
          </cell>
          <cell r="CW352">
            <v>0</v>
          </cell>
          <cell r="CX352">
            <v>0</v>
          </cell>
          <cell r="CY352">
            <v>0</v>
          </cell>
          <cell r="CZ352">
            <v>0</v>
          </cell>
          <cell r="DA352">
            <v>0</v>
          </cell>
          <cell r="DB352"/>
          <cell r="DC352">
            <v>0</v>
          </cell>
          <cell r="DD352">
            <v>0</v>
          </cell>
          <cell r="DE352">
            <v>0</v>
          </cell>
          <cell r="DF352">
            <v>0</v>
          </cell>
          <cell r="DG352">
            <v>0</v>
          </cell>
          <cell r="DH352">
            <v>0</v>
          </cell>
          <cell r="DI352">
            <v>0</v>
          </cell>
          <cell r="DJ352">
            <v>0</v>
          </cell>
          <cell r="DK352">
            <v>0</v>
          </cell>
          <cell r="DL352">
            <v>0</v>
          </cell>
          <cell r="DM352"/>
          <cell r="DN352"/>
          <cell r="DO352"/>
          <cell r="DP352"/>
        </row>
        <row r="353">
          <cell r="A353">
            <v>1729</v>
          </cell>
          <cell r="B353" t="str">
            <v>Gulpen-Wittem</v>
          </cell>
          <cell r="C353">
            <v>11</v>
          </cell>
          <cell r="D353">
            <v>22255</v>
          </cell>
          <cell r="E353">
            <v>11127</v>
          </cell>
          <cell r="F353">
            <v>0</v>
          </cell>
          <cell r="G353">
            <v>0</v>
          </cell>
          <cell r="H353">
            <v>-13180</v>
          </cell>
          <cell r="I353">
            <v>-9452</v>
          </cell>
          <cell r="J353"/>
          <cell r="K353">
            <v>0</v>
          </cell>
          <cell r="L353">
            <v>36768</v>
          </cell>
          <cell r="M353">
            <v>30497</v>
          </cell>
          <cell r="N353">
            <v>0</v>
          </cell>
          <cell r="O353">
            <v>0</v>
          </cell>
          <cell r="P353">
            <v>0</v>
          </cell>
          <cell r="Q353">
            <v>0</v>
          </cell>
          <cell r="R353">
            <v>0</v>
          </cell>
          <cell r="S353">
            <v>0</v>
          </cell>
          <cell r="T353">
            <v>0</v>
          </cell>
          <cell r="U353">
            <v>0</v>
          </cell>
          <cell r="V353">
            <v>0</v>
          </cell>
          <cell r="W353">
            <v>22628</v>
          </cell>
          <cell r="X353">
            <v>0</v>
          </cell>
          <cell r="Y353"/>
          <cell r="Z353">
            <v>0</v>
          </cell>
          <cell r="AA353">
            <v>0</v>
          </cell>
          <cell r="AB353">
            <v>0</v>
          </cell>
          <cell r="AC353"/>
          <cell r="AD353">
            <v>20000</v>
          </cell>
          <cell r="AE353">
            <v>0</v>
          </cell>
          <cell r="AF353">
            <v>0</v>
          </cell>
          <cell r="AG353">
            <v>0</v>
          </cell>
          <cell r="AH353">
            <v>0</v>
          </cell>
          <cell r="AI353">
            <v>0</v>
          </cell>
          <cell r="AJ353">
            <v>0</v>
          </cell>
          <cell r="AK353">
            <v>0</v>
          </cell>
          <cell r="AL353"/>
          <cell r="AM353">
            <v>0</v>
          </cell>
          <cell r="AN353">
            <v>0</v>
          </cell>
          <cell r="AO353">
            <v>0</v>
          </cell>
          <cell r="AP353">
            <v>0</v>
          </cell>
          <cell r="AQ353">
            <v>0</v>
          </cell>
          <cell r="AR353">
            <v>0</v>
          </cell>
          <cell r="AS353">
            <v>0</v>
          </cell>
          <cell r="AT353">
            <v>0</v>
          </cell>
          <cell r="AU353">
            <v>4740</v>
          </cell>
          <cell r="AV353">
            <v>0</v>
          </cell>
          <cell r="AW353">
            <v>0</v>
          </cell>
          <cell r="AX353">
            <v>0</v>
          </cell>
          <cell r="AY353"/>
          <cell r="AZ353"/>
          <cell r="BA353">
            <v>0</v>
          </cell>
          <cell r="BB353"/>
          <cell r="BC353">
            <v>0</v>
          </cell>
          <cell r="BD353">
            <v>5033</v>
          </cell>
          <cell r="BE353"/>
          <cell r="BF353">
            <v>0</v>
          </cell>
          <cell r="BG353">
            <v>0</v>
          </cell>
          <cell r="BH353">
            <v>0</v>
          </cell>
          <cell r="BI353">
            <v>21866</v>
          </cell>
          <cell r="BJ353">
            <v>17999</v>
          </cell>
          <cell r="BK353">
            <v>17999</v>
          </cell>
          <cell r="BL353">
            <v>0</v>
          </cell>
          <cell r="BM353">
            <v>0</v>
          </cell>
          <cell r="BN353">
            <v>0</v>
          </cell>
          <cell r="BO353">
            <v>0</v>
          </cell>
          <cell r="BP353">
            <v>4744.2</v>
          </cell>
          <cell r="BQ353">
            <v>8546.5116279069807</v>
          </cell>
          <cell r="BR353">
            <v>0</v>
          </cell>
          <cell r="BS353">
            <v>0</v>
          </cell>
          <cell r="BT353">
            <v>33186</v>
          </cell>
          <cell r="BU353"/>
          <cell r="BV353"/>
          <cell r="BW353"/>
          <cell r="BX353"/>
          <cell r="BY353">
            <v>0</v>
          </cell>
          <cell r="BZ353">
            <v>0</v>
          </cell>
          <cell r="CA353">
            <v>0</v>
          </cell>
          <cell r="CB353">
            <v>0</v>
          </cell>
          <cell r="CC353">
            <v>1298585</v>
          </cell>
          <cell r="CD353">
            <v>6636444</v>
          </cell>
          <cell r="CE353">
            <v>222902</v>
          </cell>
          <cell r="CF353">
            <v>-19255</v>
          </cell>
          <cell r="CG353">
            <v>222902</v>
          </cell>
          <cell r="CH353">
            <v>222902</v>
          </cell>
          <cell r="CI353">
            <v>222902</v>
          </cell>
          <cell r="CJ353">
            <v>222902</v>
          </cell>
          <cell r="CK353">
            <v>0</v>
          </cell>
          <cell r="CL353">
            <v>0</v>
          </cell>
          <cell r="CM353">
            <v>0</v>
          </cell>
          <cell r="CN353">
            <v>0</v>
          </cell>
          <cell r="CO353">
            <v>0</v>
          </cell>
          <cell r="CP353">
            <v>-535</v>
          </cell>
          <cell r="CQ353">
            <v>2123284</v>
          </cell>
          <cell r="CR353">
            <v>1985175</v>
          </cell>
          <cell r="CS353">
            <v>1900142</v>
          </cell>
          <cell r="CT353">
            <v>1746052</v>
          </cell>
          <cell r="CU353">
            <v>1674229</v>
          </cell>
          <cell r="CV353">
            <v>-47780</v>
          </cell>
          <cell r="CW353">
            <v>0</v>
          </cell>
          <cell r="CX353">
            <v>0</v>
          </cell>
          <cell r="CY353">
            <v>0</v>
          </cell>
          <cell r="CZ353">
            <v>0</v>
          </cell>
          <cell r="DA353">
            <v>0</v>
          </cell>
          <cell r="DB353"/>
          <cell r="DC353">
            <v>0</v>
          </cell>
          <cell r="DD353">
            <v>0</v>
          </cell>
          <cell r="DE353">
            <v>0</v>
          </cell>
          <cell r="DF353">
            <v>0</v>
          </cell>
          <cell r="DG353">
            <v>0</v>
          </cell>
          <cell r="DH353">
            <v>0</v>
          </cell>
          <cell r="DI353">
            <v>0</v>
          </cell>
          <cell r="DJ353">
            <v>0</v>
          </cell>
          <cell r="DK353">
            <v>0</v>
          </cell>
          <cell r="DL353">
            <v>0</v>
          </cell>
          <cell r="DM353"/>
          <cell r="DN353"/>
          <cell r="DO353"/>
          <cell r="DP353"/>
        </row>
        <row r="354">
          <cell r="A354">
            <v>917</v>
          </cell>
          <cell r="B354" t="str">
            <v>Heerlen</v>
          </cell>
          <cell r="C354">
            <v>11</v>
          </cell>
          <cell r="D354">
            <v>233909</v>
          </cell>
          <cell r="E354">
            <v>116954</v>
          </cell>
          <cell r="F354">
            <v>0</v>
          </cell>
          <cell r="G354">
            <v>0</v>
          </cell>
          <cell r="H354">
            <v>21534</v>
          </cell>
          <cell r="I354">
            <v>-33467</v>
          </cell>
          <cell r="J354"/>
          <cell r="K354">
            <v>7500</v>
          </cell>
          <cell r="L354">
            <v>701219</v>
          </cell>
          <cell r="M354">
            <v>722790</v>
          </cell>
          <cell r="N354">
            <v>0</v>
          </cell>
          <cell r="O354">
            <v>0</v>
          </cell>
          <cell r="P354">
            <v>150000</v>
          </cell>
          <cell r="Q354">
            <v>0</v>
          </cell>
          <cell r="R354">
            <v>3910787</v>
          </cell>
          <cell r="S354">
            <v>538747</v>
          </cell>
          <cell r="T354">
            <v>538747</v>
          </cell>
          <cell r="U354">
            <v>538747</v>
          </cell>
          <cell r="V354">
            <v>9000</v>
          </cell>
          <cell r="W354">
            <v>291761</v>
          </cell>
          <cell r="X354">
            <v>0</v>
          </cell>
          <cell r="Y354"/>
          <cell r="Z354">
            <v>0</v>
          </cell>
          <cell r="AA354">
            <v>40000</v>
          </cell>
          <cell r="AB354">
            <v>0</v>
          </cell>
          <cell r="AC354"/>
          <cell r="AD354">
            <v>376453</v>
          </cell>
          <cell r="AE354">
            <v>0</v>
          </cell>
          <cell r="AF354">
            <v>0</v>
          </cell>
          <cell r="AG354">
            <v>0</v>
          </cell>
          <cell r="AH354">
            <v>0</v>
          </cell>
          <cell r="AI354">
            <v>0</v>
          </cell>
          <cell r="AJ354">
            <v>0</v>
          </cell>
          <cell r="AK354">
            <v>277192</v>
          </cell>
          <cell r="AL354"/>
          <cell r="AM354">
            <v>0</v>
          </cell>
          <cell r="AN354">
            <v>0</v>
          </cell>
          <cell r="AO354">
            <v>0</v>
          </cell>
          <cell r="AP354">
            <v>0</v>
          </cell>
          <cell r="AQ354">
            <v>0</v>
          </cell>
          <cell r="AR354">
            <v>0</v>
          </cell>
          <cell r="AS354">
            <v>0</v>
          </cell>
          <cell r="AT354">
            <v>20000</v>
          </cell>
          <cell r="AU354">
            <v>21330</v>
          </cell>
          <cell r="AV354">
            <v>5964804.3785083601</v>
          </cell>
          <cell r="AW354">
            <v>80000</v>
          </cell>
          <cell r="AX354">
            <v>0</v>
          </cell>
          <cell r="AY354"/>
          <cell r="AZ354"/>
          <cell r="BA354">
            <v>0</v>
          </cell>
          <cell r="BB354"/>
          <cell r="BC354">
            <v>0</v>
          </cell>
          <cell r="BD354">
            <v>30606</v>
          </cell>
          <cell r="BE354"/>
          <cell r="BF354">
            <v>0</v>
          </cell>
          <cell r="BG354">
            <v>0</v>
          </cell>
          <cell r="BH354">
            <v>0</v>
          </cell>
          <cell r="BI354">
            <v>250787</v>
          </cell>
          <cell r="BJ354">
            <v>206435</v>
          </cell>
          <cell r="BK354">
            <v>206435</v>
          </cell>
          <cell r="BL354">
            <v>0</v>
          </cell>
          <cell r="BM354">
            <v>0</v>
          </cell>
          <cell r="BN354">
            <v>0</v>
          </cell>
          <cell r="BO354">
            <v>207705</v>
          </cell>
          <cell r="BP354">
            <v>39535</v>
          </cell>
          <cell r="BQ354">
            <v>71220.930232558094</v>
          </cell>
          <cell r="BR354">
            <v>0</v>
          </cell>
          <cell r="BS354">
            <v>0</v>
          </cell>
          <cell r="BT354">
            <v>168113</v>
          </cell>
          <cell r="BU354"/>
          <cell r="BV354"/>
          <cell r="BW354"/>
          <cell r="BX354"/>
          <cell r="BY354">
            <v>1705510.7451126</v>
          </cell>
          <cell r="BZ354">
            <v>1977085.30018813</v>
          </cell>
          <cell r="CA354">
            <v>2000285.1365513699</v>
          </cell>
          <cell r="CB354">
            <v>2065790.5568711001</v>
          </cell>
          <cell r="CC354">
            <v>11104535</v>
          </cell>
          <cell r="CD354">
            <v>118997399</v>
          </cell>
          <cell r="CE354">
            <v>2318854</v>
          </cell>
          <cell r="CF354">
            <v>-81622</v>
          </cell>
          <cell r="CG354">
            <v>2318854</v>
          </cell>
          <cell r="CH354">
            <v>2318854</v>
          </cell>
          <cell r="CI354">
            <v>2318854</v>
          </cell>
          <cell r="CJ354">
            <v>2318854</v>
          </cell>
          <cell r="CK354">
            <v>37658392</v>
          </cell>
          <cell r="CL354">
            <v>37639491</v>
          </cell>
          <cell r="CM354">
            <v>37639186</v>
          </cell>
          <cell r="CN354">
            <v>37638513</v>
          </cell>
          <cell r="CO354">
            <v>37639445</v>
          </cell>
          <cell r="CP354">
            <v>0</v>
          </cell>
          <cell r="CQ354">
            <v>28739142</v>
          </cell>
          <cell r="CR354">
            <v>27341485</v>
          </cell>
          <cell r="CS354">
            <v>26659143</v>
          </cell>
          <cell r="CT354">
            <v>25902728</v>
          </cell>
          <cell r="CU354">
            <v>25255209</v>
          </cell>
          <cell r="CV354">
            <v>201283</v>
          </cell>
          <cell r="CW354">
            <v>0</v>
          </cell>
          <cell r="CX354">
            <v>0</v>
          </cell>
          <cell r="CY354">
            <v>0</v>
          </cell>
          <cell r="CZ354">
            <v>0</v>
          </cell>
          <cell r="DA354">
            <v>0</v>
          </cell>
          <cell r="DB354"/>
          <cell r="DC354">
            <v>0</v>
          </cell>
          <cell r="DD354">
            <v>0</v>
          </cell>
          <cell r="DE354">
            <v>0</v>
          </cell>
          <cell r="DF354">
            <v>0</v>
          </cell>
          <cell r="DG354">
            <v>0</v>
          </cell>
          <cell r="DH354">
            <v>0</v>
          </cell>
          <cell r="DI354">
            <v>0</v>
          </cell>
          <cell r="DJ354">
            <v>0</v>
          </cell>
          <cell r="DK354">
            <v>0</v>
          </cell>
          <cell r="DL354">
            <v>0</v>
          </cell>
          <cell r="DM354"/>
          <cell r="DN354"/>
          <cell r="DO354"/>
          <cell r="DP354"/>
        </row>
        <row r="355">
          <cell r="A355">
            <v>1507</v>
          </cell>
          <cell r="B355" t="str">
            <v>Horst aan de Maas</v>
          </cell>
          <cell r="C355">
            <v>11</v>
          </cell>
          <cell r="D355">
            <v>79111</v>
          </cell>
          <cell r="E355">
            <v>39555</v>
          </cell>
          <cell r="F355">
            <v>0</v>
          </cell>
          <cell r="G355">
            <v>147825</v>
          </cell>
          <cell r="H355">
            <v>-46338</v>
          </cell>
          <cell r="I355">
            <v>-18731</v>
          </cell>
          <cell r="J355"/>
          <cell r="K355">
            <v>0</v>
          </cell>
          <cell r="L355">
            <v>123993</v>
          </cell>
          <cell r="M355">
            <v>107371</v>
          </cell>
          <cell r="N355">
            <v>0</v>
          </cell>
          <cell r="O355">
            <v>0</v>
          </cell>
          <cell r="P355">
            <v>0</v>
          </cell>
          <cell r="Q355">
            <v>0</v>
          </cell>
          <cell r="R355">
            <v>0</v>
          </cell>
          <cell r="S355">
            <v>0</v>
          </cell>
          <cell r="T355">
            <v>0</v>
          </cell>
          <cell r="U355">
            <v>0</v>
          </cell>
          <cell r="V355">
            <v>15000</v>
          </cell>
          <cell r="W355">
            <v>170664</v>
          </cell>
          <cell r="X355">
            <v>0</v>
          </cell>
          <cell r="Y355"/>
          <cell r="Z355">
            <v>0</v>
          </cell>
          <cell r="AA355">
            <v>0</v>
          </cell>
          <cell r="AB355">
            <v>0</v>
          </cell>
          <cell r="AC355"/>
          <cell r="AD355">
            <v>0</v>
          </cell>
          <cell r="AE355">
            <v>0</v>
          </cell>
          <cell r="AF355">
            <v>0</v>
          </cell>
          <cell r="AG355">
            <v>0</v>
          </cell>
          <cell r="AH355">
            <v>0</v>
          </cell>
          <cell r="AI355">
            <v>0</v>
          </cell>
          <cell r="AJ355">
            <v>0</v>
          </cell>
          <cell r="AK355">
            <v>0</v>
          </cell>
          <cell r="AL355"/>
          <cell r="AM355">
            <v>0</v>
          </cell>
          <cell r="AN355">
            <v>0</v>
          </cell>
          <cell r="AO355">
            <v>0</v>
          </cell>
          <cell r="AP355">
            <v>0</v>
          </cell>
          <cell r="AQ355">
            <v>0</v>
          </cell>
          <cell r="AR355">
            <v>0</v>
          </cell>
          <cell r="AS355">
            <v>0</v>
          </cell>
          <cell r="AT355">
            <v>0</v>
          </cell>
          <cell r="AU355">
            <v>4740</v>
          </cell>
          <cell r="AV355">
            <v>0</v>
          </cell>
          <cell r="AW355">
            <v>0</v>
          </cell>
          <cell r="AX355">
            <v>0</v>
          </cell>
          <cell r="AY355"/>
          <cell r="AZ355"/>
          <cell r="BA355">
            <v>0</v>
          </cell>
          <cell r="BB355"/>
          <cell r="BC355">
            <v>0</v>
          </cell>
          <cell r="BD355">
            <v>14792</v>
          </cell>
          <cell r="BE355"/>
          <cell r="BF355">
            <v>0</v>
          </cell>
          <cell r="BG355">
            <v>0</v>
          </cell>
          <cell r="BH355">
            <v>0</v>
          </cell>
          <cell r="BI355">
            <v>49008</v>
          </cell>
          <cell r="BJ355">
            <v>40340</v>
          </cell>
          <cell r="BK355">
            <v>40340</v>
          </cell>
          <cell r="BL355">
            <v>0</v>
          </cell>
          <cell r="BM355">
            <v>0</v>
          </cell>
          <cell r="BN355">
            <v>0</v>
          </cell>
          <cell r="BO355">
            <v>162953</v>
          </cell>
          <cell r="BP355">
            <v>9488.4</v>
          </cell>
          <cell r="BQ355">
            <v>17093.023255814001</v>
          </cell>
          <cell r="BR355">
            <v>0</v>
          </cell>
          <cell r="BS355">
            <v>0</v>
          </cell>
          <cell r="BT355">
            <v>69682</v>
          </cell>
          <cell r="BU355"/>
          <cell r="BV355"/>
          <cell r="BW355"/>
          <cell r="BX355"/>
          <cell r="BY355">
            <v>0</v>
          </cell>
          <cell r="BZ355">
            <v>0</v>
          </cell>
          <cell r="CA355">
            <v>0</v>
          </cell>
          <cell r="CB355">
            <v>0</v>
          </cell>
          <cell r="CC355">
            <v>3181262</v>
          </cell>
          <cell r="CD355">
            <v>16825943</v>
          </cell>
          <cell r="CE355">
            <v>1553164</v>
          </cell>
          <cell r="CF355">
            <v>0</v>
          </cell>
          <cell r="CG355">
            <v>1553164</v>
          </cell>
          <cell r="CH355">
            <v>1553164</v>
          </cell>
          <cell r="CI355">
            <v>1553164</v>
          </cell>
          <cell r="CJ355">
            <v>1553164</v>
          </cell>
          <cell r="CK355">
            <v>0</v>
          </cell>
          <cell r="CL355">
            <v>0</v>
          </cell>
          <cell r="CM355">
            <v>0</v>
          </cell>
          <cell r="CN355">
            <v>0</v>
          </cell>
          <cell r="CO355">
            <v>0</v>
          </cell>
          <cell r="CP355">
            <v>-6777</v>
          </cell>
          <cell r="CQ355">
            <v>4132629</v>
          </cell>
          <cell r="CR355">
            <v>3923552</v>
          </cell>
          <cell r="CS355">
            <v>3774157</v>
          </cell>
          <cell r="CT355">
            <v>3613183</v>
          </cell>
          <cell r="CU355">
            <v>3459594</v>
          </cell>
          <cell r="CV355">
            <v>-13347</v>
          </cell>
          <cell r="CW355">
            <v>0</v>
          </cell>
          <cell r="CX355">
            <v>0</v>
          </cell>
          <cell r="CY355">
            <v>0</v>
          </cell>
          <cell r="CZ355">
            <v>0</v>
          </cell>
          <cell r="DA355">
            <v>0</v>
          </cell>
          <cell r="DB355"/>
          <cell r="DC355">
            <v>0</v>
          </cell>
          <cell r="DD355">
            <v>0</v>
          </cell>
          <cell r="DE355">
            <v>0</v>
          </cell>
          <cell r="DF355">
            <v>0</v>
          </cell>
          <cell r="DG355">
            <v>0</v>
          </cell>
          <cell r="DH355">
            <v>0</v>
          </cell>
          <cell r="DI355">
            <v>0</v>
          </cell>
          <cell r="DJ355">
            <v>0</v>
          </cell>
          <cell r="DK355">
            <v>0</v>
          </cell>
          <cell r="DL355">
            <v>0</v>
          </cell>
          <cell r="DM355"/>
          <cell r="DN355"/>
          <cell r="DO355"/>
          <cell r="DP355"/>
        </row>
        <row r="356">
          <cell r="A356">
            <v>928</v>
          </cell>
          <cell r="B356" t="str">
            <v>Kerkrade</v>
          </cell>
          <cell r="C356">
            <v>11</v>
          </cell>
          <cell r="D356">
            <v>179343</v>
          </cell>
          <cell r="E356">
            <v>89671</v>
          </cell>
          <cell r="F356">
            <v>0</v>
          </cell>
          <cell r="G356">
            <v>0</v>
          </cell>
          <cell r="H356">
            <v>418411</v>
          </cell>
          <cell r="I356">
            <v>0</v>
          </cell>
          <cell r="J356"/>
          <cell r="K356">
            <v>0</v>
          </cell>
          <cell r="L356">
            <v>319432</v>
          </cell>
          <cell r="M356">
            <v>317399</v>
          </cell>
          <cell r="N356">
            <v>0</v>
          </cell>
          <cell r="O356">
            <v>0</v>
          </cell>
          <cell r="P356">
            <v>0</v>
          </cell>
          <cell r="Q356">
            <v>0</v>
          </cell>
          <cell r="R356">
            <v>0</v>
          </cell>
          <cell r="S356">
            <v>0</v>
          </cell>
          <cell r="T356">
            <v>0</v>
          </cell>
          <cell r="U356">
            <v>0</v>
          </cell>
          <cell r="V356">
            <v>0</v>
          </cell>
          <cell r="W356">
            <v>0</v>
          </cell>
          <cell r="X356">
            <v>0</v>
          </cell>
          <cell r="Y356"/>
          <cell r="Z356">
            <v>0</v>
          </cell>
          <cell r="AA356">
            <v>0</v>
          </cell>
          <cell r="AB356">
            <v>0</v>
          </cell>
          <cell r="AC356"/>
          <cell r="AD356">
            <v>142758</v>
          </cell>
          <cell r="AE356">
            <v>0</v>
          </cell>
          <cell r="AF356">
            <v>0</v>
          </cell>
          <cell r="AG356">
            <v>0</v>
          </cell>
          <cell r="AH356">
            <v>0</v>
          </cell>
          <cell r="AI356">
            <v>0</v>
          </cell>
          <cell r="AJ356">
            <v>0</v>
          </cell>
          <cell r="AK356">
            <v>0</v>
          </cell>
          <cell r="AL356"/>
          <cell r="AM356">
            <v>0</v>
          </cell>
          <cell r="AN356">
            <v>0</v>
          </cell>
          <cell r="AO356">
            <v>0</v>
          </cell>
          <cell r="AP356">
            <v>0</v>
          </cell>
          <cell r="AQ356">
            <v>0</v>
          </cell>
          <cell r="AR356">
            <v>0</v>
          </cell>
          <cell r="AS356">
            <v>0</v>
          </cell>
          <cell r="AT356">
            <v>0</v>
          </cell>
          <cell r="AU356">
            <v>2370</v>
          </cell>
          <cell r="AV356">
            <v>0</v>
          </cell>
          <cell r="AW356">
            <v>0</v>
          </cell>
          <cell r="AX356">
            <v>0</v>
          </cell>
          <cell r="AY356"/>
          <cell r="AZ356"/>
          <cell r="BA356">
            <v>0</v>
          </cell>
          <cell r="BB356"/>
          <cell r="BC356">
            <v>0</v>
          </cell>
          <cell r="BD356">
            <v>16126</v>
          </cell>
          <cell r="BE356"/>
          <cell r="BF356">
            <v>0</v>
          </cell>
          <cell r="BG356">
            <v>0</v>
          </cell>
          <cell r="BH356">
            <v>0</v>
          </cell>
          <cell r="BI356">
            <v>122658</v>
          </cell>
          <cell r="BJ356">
            <v>100966</v>
          </cell>
          <cell r="BK356">
            <v>100966</v>
          </cell>
          <cell r="BL356">
            <v>0</v>
          </cell>
          <cell r="BM356">
            <v>0</v>
          </cell>
          <cell r="BN356">
            <v>0</v>
          </cell>
          <cell r="BO356">
            <v>152252</v>
          </cell>
          <cell r="BP356">
            <v>9488.4</v>
          </cell>
          <cell r="BQ356">
            <v>17093.023255814001</v>
          </cell>
          <cell r="BR356">
            <v>0</v>
          </cell>
          <cell r="BS356">
            <v>0</v>
          </cell>
          <cell r="BT356">
            <v>77766</v>
          </cell>
          <cell r="BU356"/>
          <cell r="BV356"/>
          <cell r="BW356"/>
          <cell r="BX356"/>
          <cell r="BY356">
            <v>0</v>
          </cell>
          <cell r="BZ356">
            <v>0</v>
          </cell>
          <cell r="CA356">
            <v>0</v>
          </cell>
          <cell r="CB356">
            <v>0</v>
          </cell>
          <cell r="CC356">
            <v>5724630</v>
          </cell>
          <cell r="CD356">
            <v>46325216</v>
          </cell>
          <cell r="CE356">
            <v>1178170</v>
          </cell>
          <cell r="CF356">
            <v>0</v>
          </cell>
          <cell r="CG356">
            <v>1178170</v>
          </cell>
          <cell r="CH356">
            <v>1178170</v>
          </cell>
          <cell r="CI356">
            <v>1178170</v>
          </cell>
          <cell r="CJ356">
            <v>1178170</v>
          </cell>
          <cell r="CK356">
            <v>0</v>
          </cell>
          <cell r="CL356">
            <v>0</v>
          </cell>
          <cell r="CM356">
            <v>0</v>
          </cell>
          <cell r="CN356">
            <v>0</v>
          </cell>
          <cell r="CO356">
            <v>0</v>
          </cell>
          <cell r="CP356">
            <v>0</v>
          </cell>
          <cell r="CQ356">
            <v>19761594</v>
          </cell>
          <cell r="CR356">
            <v>18500923</v>
          </cell>
          <cell r="CS356">
            <v>17879471</v>
          </cell>
          <cell r="CT356">
            <v>17078939</v>
          </cell>
          <cell r="CU356">
            <v>16403280</v>
          </cell>
          <cell r="CV356">
            <v>34587</v>
          </cell>
          <cell r="CW356">
            <v>0</v>
          </cell>
          <cell r="CX356">
            <v>0</v>
          </cell>
          <cell r="CY356">
            <v>0</v>
          </cell>
          <cell r="CZ356">
            <v>0</v>
          </cell>
          <cell r="DA356">
            <v>0</v>
          </cell>
          <cell r="DB356"/>
          <cell r="DC356">
            <v>0</v>
          </cell>
          <cell r="DD356">
            <v>0</v>
          </cell>
          <cell r="DE356">
            <v>0</v>
          </cell>
          <cell r="DF356">
            <v>0</v>
          </cell>
          <cell r="DG356">
            <v>0</v>
          </cell>
          <cell r="DH356">
            <v>0</v>
          </cell>
          <cell r="DI356">
            <v>0</v>
          </cell>
          <cell r="DJ356">
            <v>0</v>
          </cell>
          <cell r="DK356">
            <v>0</v>
          </cell>
          <cell r="DL356">
            <v>0</v>
          </cell>
          <cell r="DM356"/>
          <cell r="DN356"/>
          <cell r="DO356"/>
          <cell r="DP356"/>
        </row>
        <row r="357">
          <cell r="A357">
            <v>882</v>
          </cell>
          <cell r="B357" t="str">
            <v>Landgraaf</v>
          </cell>
          <cell r="C357">
            <v>11</v>
          </cell>
          <cell r="D357">
            <v>91419</v>
          </cell>
          <cell r="E357">
            <v>45710</v>
          </cell>
          <cell r="F357">
            <v>0</v>
          </cell>
          <cell r="G357">
            <v>0</v>
          </cell>
          <cell r="H357">
            <v>-35655</v>
          </cell>
          <cell r="I357">
            <v>-25071</v>
          </cell>
          <cell r="J357"/>
          <cell r="K357">
            <v>0</v>
          </cell>
          <cell r="L357">
            <v>206562</v>
          </cell>
          <cell r="M357">
            <v>208504</v>
          </cell>
          <cell r="N357">
            <v>0</v>
          </cell>
          <cell r="O357">
            <v>0</v>
          </cell>
          <cell r="P357">
            <v>0</v>
          </cell>
          <cell r="Q357">
            <v>0</v>
          </cell>
          <cell r="R357">
            <v>0</v>
          </cell>
          <cell r="S357">
            <v>0</v>
          </cell>
          <cell r="T357">
            <v>0</v>
          </cell>
          <cell r="U357">
            <v>0</v>
          </cell>
          <cell r="V357">
            <v>3000</v>
          </cell>
          <cell r="W357">
            <v>96169</v>
          </cell>
          <cell r="X357">
            <v>0</v>
          </cell>
          <cell r="Y357"/>
          <cell r="Z357">
            <v>0</v>
          </cell>
          <cell r="AA357">
            <v>0</v>
          </cell>
          <cell r="AB357">
            <v>0</v>
          </cell>
          <cell r="AC357"/>
          <cell r="AD357">
            <v>74312</v>
          </cell>
          <cell r="AE357">
            <v>0</v>
          </cell>
          <cell r="AF357">
            <v>0</v>
          </cell>
          <cell r="AG357">
            <v>0</v>
          </cell>
          <cell r="AH357">
            <v>0</v>
          </cell>
          <cell r="AI357">
            <v>0</v>
          </cell>
          <cell r="AJ357">
            <v>0</v>
          </cell>
          <cell r="AK357">
            <v>0</v>
          </cell>
          <cell r="AL357"/>
          <cell r="AM357">
            <v>0</v>
          </cell>
          <cell r="AN357">
            <v>0</v>
          </cell>
          <cell r="AO357">
            <v>0</v>
          </cell>
          <cell r="AP357">
            <v>0</v>
          </cell>
          <cell r="AQ357">
            <v>0</v>
          </cell>
          <cell r="AR357">
            <v>0</v>
          </cell>
          <cell r="AS357">
            <v>0</v>
          </cell>
          <cell r="AT357">
            <v>0</v>
          </cell>
          <cell r="AU357">
            <v>0</v>
          </cell>
          <cell r="AV357">
            <v>0</v>
          </cell>
          <cell r="AW357">
            <v>0</v>
          </cell>
          <cell r="AX357">
            <v>0</v>
          </cell>
          <cell r="AY357"/>
          <cell r="AZ357"/>
          <cell r="BA357">
            <v>0</v>
          </cell>
          <cell r="BB357"/>
          <cell r="BC357">
            <v>0</v>
          </cell>
          <cell r="BD357">
            <v>13149</v>
          </cell>
          <cell r="BE357"/>
          <cell r="BF357">
            <v>0</v>
          </cell>
          <cell r="BG357">
            <v>0</v>
          </cell>
          <cell r="BH357">
            <v>0</v>
          </cell>
          <cell r="BI357">
            <v>75683</v>
          </cell>
          <cell r="BJ357">
            <v>62299</v>
          </cell>
          <cell r="BK357">
            <v>62299</v>
          </cell>
          <cell r="BL357">
            <v>0</v>
          </cell>
          <cell r="BM357">
            <v>0</v>
          </cell>
          <cell r="BN357">
            <v>0</v>
          </cell>
          <cell r="BO357">
            <v>75396</v>
          </cell>
          <cell r="BP357">
            <v>3162.8</v>
          </cell>
          <cell r="BQ357">
            <v>5697.6744186046499</v>
          </cell>
          <cell r="BR357">
            <v>0</v>
          </cell>
          <cell r="BS357">
            <v>0</v>
          </cell>
          <cell r="BT357">
            <v>56066</v>
          </cell>
          <cell r="BU357"/>
          <cell r="BV357"/>
          <cell r="BW357"/>
          <cell r="BX357"/>
          <cell r="BY357">
            <v>0</v>
          </cell>
          <cell r="BZ357">
            <v>0</v>
          </cell>
          <cell r="CA357">
            <v>0</v>
          </cell>
          <cell r="CB357">
            <v>0</v>
          </cell>
          <cell r="CC357">
            <v>4162545</v>
          </cell>
          <cell r="CD357">
            <v>29914894</v>
          </cell>
          <cell r="CE357">
            <v>1302630</v>
          </cell>
          <cell r="CF357">
            <v>-60808</v>
          </cell>
          <cell r="CG357">
            <v>1302630</v>
          </cell>
          <cell r="CH357">
            <v>1302630</v>
          </cell>
          <cell r="CI357">
            <v>1302630</v>
          </cell>
          <cell r="CJ357">
            <v>1302630</v>
          </cell>
          <cell r="CK357">
            <v>0</v>
          </cell>
          <cell r="CL357">
            <v>0</v>
          </cell>
          <cell r="CM357">
            <v>0</v>
          </cell>
          <cell r="CN357">
            <v>0</v>
          </cell>
          <cell r="CO357">
            <v>0</v>
          </cell>
          <cell r="CP357">
            <v>0</v>
          </cell>
          <cell r="CQ357">
            <v>10771803</v>
          </cell>
          <cell r="CR357">
            <v>10077986</v>
          </cell>
          <cell r="CS357">
            <v>9622199</v>
          </cell>
          <cell r="CT357">
            <v>9186713</v>
          </cell>
          <cell r="CU357">
            <v>8804436</v>
          </cell>
          <cell r="CV357">
            <v>34426</v>
          </cell>
          <cell r="CW357">
            <v>0</v>
          </cell>
          <cell r="CX357">
            <v>0</v>
          </cell>
          <cell r="CY357">
            <v>0</v>
          </cell>
          <cell r="CZ357">
            <v>0</v>
          </cell>
          <cell r="DA357">
            <v>0</v>
          </cell>
          <cell r="DB357"/>
          <cell r="DC357">
            <v>0</v>
          </cell>
          <cell r="DD357">
            <v>0</v>
          </cell>
          <cell r="DE357">
            <v>0</v>
          </cell>
          <cell r="DF357">
            <v>0</v>
          </cell>
          <cell r="DG357">
            <v>0</v>
          </cell>
          <cell r="DH357">
            <v>0</v>
          </cell>
          <cell r="DI357">
            <v>0</v>
          </cell>
          <cell r="DJ357">
            <v>0</v>
          </cell>
          <cell r="DK357">
            <v>0</v>
          </cell>
          <cell r="DL357">
            <v>0</v>
          </cell>
          <cell r="DM357"/>
          <cell r="DN357"/>
          <cell r="DO357"/>
          <cell r="DP357"/>
        </row>
        <row r="358">
          <cell r="A358">
            <v>1640</v>
          </cell>
          <cell r="B358" t="str">
            <v>Leudal</v>
          </cell>
          <cell r="C358">
            <v>11</v>
          </cell>
          <cell r="D358">
            <v>-39634</v>
          </cell>
          <cell r="E358">
            <v>-19817</v>
          </cell>
          <cell r="F358">
            <v>0</v>
          </cell>
          <cell r="G358">
            <v>0</v>
          </cell>
          <cell r="H358">
            <v>0</v>
          </cell>
          <cell r="I358">
            <v>0</v>
          </cell>
          <cell r="J358"/>
          <cell r="K358">
            <v>0</v>
          </cell>
          <cell r="L358">
            <v>100277</v>
          </cell>
          <cell r="M358">
            <v>94467</v>
          </cell>
          <cell r="N358">
            <v>0</v>
          </cell>
          <cell r="O358">
            <v>0</v>
          </cell>
          <cell r="P358">
            <v>0</v>
          </cell>
          <cell r="Q358">
            <v>0</v>
          </cell>
          <cell r="R358">
            <v>0</v>
          </cell>
          <cell r="S358">
            <v>0</v>
          </cell>
          <cell r="T358">
            <v>0</v>
          </cell>
          <cell r="U358">
            <v>0</v>
          </cell>
          <cell r="V358">
            <v>3000</v>
          </cell>
          <cell r="W358">
            <v>149671</v>
          </cell>
          <cell r="X358">
            <v>0</v>
          </cell>
          <cell r="Y358"/>
          <cell r="Z358">
            <v>0</v>
          </cell>
          <cell r="AA358">
            <v>0</v>
          </cell>
          <cell r="AB358">
            <v>0</v>
          </cell>
          <cell r="AC358"/>
          <cell r="AD358">
            <v>0</v>
          </cell>
          <cell r="AE358">
            <v>0</v>
          </cell>
          <cell r="AF358">
            <v>0</v>
          </cell>
          <cell r="AG358">
            <v>0</v>
          </cell>
          <cell r="AH358">
            <v>0</v>
          </cell>
          <cell r="AI358">
            <v>0</v>
          </cell>
          <cell r="AJ358">
            <v>0</v>
          </cell>
          <cell r="AK358">
            <v>0</v>
          </cell>
          <cell r="AL358"/>
          <cell r="AM358">
            <v>0</v>
          </cell>
          <cell r="AN358">
            <v>0</v>
          </cell>
          <cell r="AO358">
            <v>0</v>
          </cell>
          <cell r="AP358">
            <v>0</v>
          </cell>
          <cell r="AQ358">
            <v>0</v>
          </cell>
          <cell r="AR358">
            <v>0</v>
          </cell>
          <cell r="AS358">
            <v>0</v>
          </cell>
          <cell r="AT358">
            <v>0</v>
          </cell>
          <cell r="AU358">
            <v>0</v>
          </cell>
          <cell r="AV358">
            <v>0</v>
          </cell>
          <cell r="AW358">
            <v>0</v>
          </cell>
          <cell r="AX358">
            <v>0</v>
          </cell>
          <cell r="AY358"/>
          <cell r="AZ358"/>
          <cell r="BA358">
            <v>0</v>
          </cell>
          <cell r="BB358"/>
          <cell r="BC358">
            <v>0</v>
          </cell>
          <cell r="BD358">
            <v>12594</v>
          </cell>
          <cell r="BE358"/>
          <cell r="BF358">
            <v>0</v>
          </cell>
          <cell r="BG358">
            <v>0</v>
          </cell>
          <cell r="BH358">
            <v>0</v>
          </cell>
          <cell r="BI358">
            <v>44432</v>
          </cell>
          <cell r="BJ358">
            <v>36574</v>
          </cell>
          <cell r="BK358">
            <v>36574</v>
          </cell>
          <cell r="BL358">
            <v>0</v>
          </cell>
          <cell r="BM358">
            <v>0</v>
          </cell>
          <cell r="BN358">
            <v>0</v>
          </cell>
          <cell r="BO358">
            <v>104582</v>
          </cell>
          <cell r="BP358">
            <v>20558.2</v>
          </cell>
          <cell r="BQ358">
            <v>37034.8837209302</v>
          </cell>
          <cell r="BR358">
            <v>0</v>
          </cell>
          <cell r="BS358">
            <v>0</v>
          </cell>
          <cell r="BT358">
            <v>60313</v>
          </cell>
          <cell r="BU358"/>
          <cell r="BV358"/>
          <cell r="BW358"/>
          <cell r="BX358"/>
          <cell r="BY358">
            <v>0</v>
          </cell>
          <cell r="BZ358">
            <v>0</v>
          </cell>
          <cell r="CA358">
            <v>0</v>
          </cell>
          <cell r="CB358">
            <v>0</v>
          </cell>
          <cell r="CC358">
            <v>2783842</v>
          </cell>
          <cell r="CD358">
            <v>15190673</v>
          </cell>
          <cell r="CE358">
            <v>2394718</v>
          </cell>
          <cell r="CF358">
            <v>0</v>
          </cell>
          <cell r="CG358">
            <v>2394718</v>
          </cell>
          <cell r="CH358">
            <v>2394718</v>
          </cell>
          <cell r="CI358">
            <v>2394718</v>
          </cell>
          <cell r="CJ358">
            <v>2394718</v>
          </cell>
          <cell r="CK358">
            <v>0</v>
          </cell>
          <cell r="CL358">
            <v>0</v>
          </cell>
          <cell r="CM358">
            <v>0</v>
          </cell>
          <cell r="CN358">
            <v>0</v>
          </cell>
          <cell r="CO358">
            <v>0</v>
          </cell>
          <cell r="CP358">
            <v>0</v>
          </cell>
          <cell r="CQ358">
            <v>2918543</v>
          </cell>
          <cell r="CR358">
            <v>2816416</v>
          </cell>
          <cell r="CS358">
            <v>2752445</v>
          </cell>
          <cell r="CT358">
            <v>2707074</v>
          </cell>
          <cell r="CU358">
            <v>2620465</v>
          </cell>
          <cell r="CV358">
            <v>79421</v>
          </cell>
          <cell r="CW358">
            <v>0</v>
          </cell>
          <cell r="CX358">
            <v>0</v>
          </cell>
          <cell r="CY358">
            <v>0</v>
          </cell>
          <cell r="CZ358">
            <v>0</v>
          </cell>
          <cell r="DA358">
            <v>0</v>
          </cell>
          <cell r="DB358"/>
          <cell r="DC358">
            <v>0</v>
          </cell>
          <cell r="DD358">
            <v>0</v>
          </cell>
          <cell r="DE358">
            <v>0</v>
          </cell>
          <cell r="DF358">
            <v>0</v>
          </cell>
          <cell r="DG358">
            <v>0</v>
          </cell>
          <cell r="DH358">
            <v>0</v>
          </cell>
          <cell r="DI358">
            <v>0</v>
          </cell>
          <cell r="DJ358">
            <v>0</v>
          </cell>
          <cell r="DK358">
            <v>0</v>
          </cell>
          <cell r="DL358">
            <v>0</v>
          </cell>
          <cell r="DM358"/>
          <cell r="DN358"/>
          <cell r="DO358"/>
          <cell r="DP358"/>
        </row>
        <row r="359">
          <cell r="A359">
            <v>1641</v>
          </cell>
          <cell r="B359" t="str">
            <v>Maasgouw</v>
          </cell>
          <cell r="C359">
            <v>11</v>
          </cell>
          <cell r="D359">
            <v>-19211</v>
          </cell>
          <cell r="E359">
            <v>-9606</v>
          </cell>
          <cell r="F359">
            <v>0</v>
          </cell>
          <cell r="G359">
            <v>0</v>
          </cell>
          <cell r="H359">
            <v>-23601</v>
          </cell>
          <cell r="I359">
            <v>-14580</v>
          </cell>
          <cell r="J359"/>
          <cell r="K359">
            <v>0</v>
          </cell>
          <cell r="L359">
            <v>64782</v>
          </cell>
          <cell r="M359">
            <v>55495</v>
          </cell>
          <cell r="N359">
            <v>0</v>
          </cell>
          <cell r="O359">
            <v>0</v>
          </cell>
          <cell r="P359">
            <v>0</v>
          </cell>
          <cell r="Q359">
            <v>0</v>
          </cell>
          <cell r="R359">
            <v>0</v>
          </cell>
          <cell r="S359">
            <v>0</v>
          </cell>
          <cell r="T359">
            <v>0</v>
          </cell>
          <cell r="U359">
            <v>0</v>
          </cell>
          <cell r="V359">
            <v>6000</v>
          </cell>
          <cell r="W359">
            <v>85526</v>
          </cell>
          <cell r="X359">
            <v>0</v>
          </cell>
          <cell r="Y359"/>
          <cell r="Z359">
            <v>0</v>
          </cell>
          <cell r="AA359">
            <v>0</v>
          </cell>
          <cell r="AB359">
            <v>0</v>
          </cell>
          <cell r="AC359"/>
          <cell r="AD359">
            <v>0</v>
          </cell>
          <cell r="AE359">
            <v>0</v>
          </cell>
          <cell r="AF359">
            <v>0</v>
          </cell>
          <cell r="AG359">
            <v>0</v>
          </cell>
          <cell r="AH359">
            <v>0</v>
          </cell>
          <cell r="AI359">
            <v>0</v>
          </cell>
          <cell r="AJ359">
            <v>0</v>
          </cell>
          <cell r="AK359">
            <v>0</v>
          </cell>
          <cell r="AL359"/>
          <cell r="AM359">
            <v>0</v>
          </cell>
          <cell r="AN359">
            <v>0</v>
          </cell>
          <cell r="AO359">
            <v>0</v>
          </cell>
          <cell r="AP359">
            <v>0</v>
          </cell>
          <cell r="AQ359">
            <v>0</v>
          </cell>
          <cell r="AR359">
            <v>0</v>
          </cell>
          <cell r="AS359">
            <v>0</v>
          </cell>
          <cell r="AT359">
            <v>0</v>
          </cell>
          <cell r="AU359">
            <v>0</v>
          </cell>
          <cell r="AV359">
            <v>0</v>
          </cell>
          <cell r="AW359">
            <v>0</v>
          </cell>
          <cell r="AX359">
            <v>0</v>
          </cell>
          <cell r="AY359"/>
          <cell r="AZ359"/>
          <cell r="BA359">
            <v>0</v>
          </cell>
          <cell r="BB359"/>
          <cell r="BC359">
            <v>0</v>
          </cell>
          <cell r="BD359">
            <v>8346</v>
          </cell>
          <cell r="BE359"/>
          <cell r="BF359">
            <v>0</v>
          </cell>
          <cell r="BG359">
            <v>0</v>
          </cell>
          <cell r="BH359">
            <v>0</v>
          </cell>
          <cell r="BI359">
            <v>33248</v>
          </cell>
          <cell r="BJ359">
            <v>27368</v>
          </cell>
          <cell r="BK359">
            <v>27368</v>
          </cell>
          <cell r="BL359">
            <v>0</v>
          </cell>
          <cell r="BM359">
            <v>0</v>
          </cell>
          <cell r="BN359">
            <v>0</v>
          </cell>
          <cell r="BO359">
            <v>523396</v>
          </cell>
          <cell r="BP359">
            <v>1581.4</v>
          </cell>
          <cell r="BQ359">
            <v>2848.8372093023299</v>
          </cell>
          <cell r="BR359">
            <v>0</v>
          </cell>
          <cell r="BS359">
            <v>0</v>
          </cell>
          <cell r="BT359">
            <v>35595</v>
          </cell>
          <cell r="BU359"/>
          <cell r="BV359"/>
          <cell r="BW359"/>
          <cell r="BX359"/>
          <cell r="BY359">
            <v>0</v>
          </cell>
          <cell r="BZ359">
            <v>0</v>
          </cell>
          <cell r="CA359">
            <v>0</v>
          </cell>
          <cell r="CB359">
            <v>0</v>
          </cell>
          <cell r="CC359">
            <v>2334964</v>
          </cell>
          <cell r="CD359">
            <v>11113706</v>
          </cell>
          <cell r="CE359">
            <v>849744</v>
          </cell>
          <cell r="CF359">
            <v>-8291</v>
          </cell>
          <cell r="CG359">
            <v>849744</v>
          </cell>
          <cell r="CH359">
            <v>849744</v>
          </cell>
          <cell r="CI359">
            <v>849744</v>
          </cell>
          <cell r="CJ359">
            <v>849744</v>
          </cell>
          <cell r="CK359">
            <v>0</v>
          </cell>
          <cell r="CL359">
            <v>0</v>
          </cell>
          <cell r="CM359">
            <v>0</v>
          </cell>
          <cell r="CN359">
            <v>0</v>
          </cell>
          <cell r="CO359">
            <v>0</v>
          </cell>
          <cell r="CP359">
            <v>-4060</v>
          </cell>
          <cell r="CQ359">
            <v>2363951</v>
          </cell>
          <cell r="CR359">
            <v>2255193</v>
          </cell>
          <cell r="CS359">
            <v>2188660</v>
          </cell>
          <cell r="CT359">
            <v>2062340</v>
          </cell>
          <cell r="CU359">
            <v>2008793</v>
          </cell>
          <cell r="CV359">
            <v>58367</v>
          </cell>
          <cell r="CW359">
            <v>0</v>
          </cell>
          <cell r="CX359">
            <v>0</v>
          </cell>
          <cell r="CY359">
            <v>0</v>
          </cell>
          <cell r="CZ359">
            <v>0</v>
          </cell>
          <cell r="DA359">
            <v>0</v>
          </cell>
          <cell r="DB359"/>
          <cell r="DC359">
            <v>0</v>
          </cell>
          <cell r="DD359">
            <v>0</v>
          </cell>
          <cell r="DE359">
            <v>0</v>
          </cell>
          <cell r="DF359">
            <v>0</v>
          </cell>
          <cell r="DG359">
            <v>0</v>
          </cell>
          <cell r="DH359">
            <v>0</v>
          </cell>
          <cell r="DI359">
            <v>0</v>
          </cell>
          <cell r="DJ359">
            <v>0</v>
          </cell>
          <cell r="DK359">
            <v>0</v>
          </cell>
          <cell r="DL359">
            <v>0</v>
          </cell>
          <cell r="DM359"/>
          <cell r="DN359"/>
          <cell r="DO359"/>
          <cell r="DP359"/>
        </row>
        <row r="360">
          <cell r="A360">
            <v>935</v>
          </cell>
          <cell r="B360" t="str">
            <v>Maastricht</v>
          </cell>
          <cell r="C360">
            <v>11</v>
          </cell>
          <cell r="D360">
            <v>269992</v>
          </cell>
          <cell r="E360">
            <v>134996</v>
          </cell>
          <cell r="F360">
            <v>0</v>
          </cell>
          <cell r="G360">
            <v>0</v>
          </cell>
          <cell r="H360">
            <v>-47247</v>
          </cell>
          <cell r="I360">
            <v>0</v>
          </cell>
          <cell r="J360"/>
          <cell r="K360">
            <v>0</v>
          </cell>
          <cell r="L360">
            <v>618491</v>
          </cell>
          <cell r="M360">
            <v>654511</v>
          </cell>
          <cell r="N360">
            <v>0</v>
          </cell>
          <cell r="O360">
            <v>0</v>
          </cell>
          <cell r="P360">
            <v>324169</v>
          </cell>
          <cell r="Q360">
            <v>0</v>
          </cell>
          <cell r="R360">
            <v>844762</v>
          </cell>
          <cell r="S360">
            <v>712741</v>
          </cell>
          <cell r="T360">
            <v>712741</v>
          </cell>
          <cell r="U360">
            <v>712741</v>
          </cell>
          <cell r="V360">
            <v>6000</v>
          </cell>
          <cell r="W360">
            <v>352213</v>
          </cell>
          <cell r="X360">
            <v>0</v>
          </cell>
          <cell r="Y360"/>
          <cell r="Z360">
            <v>0</v>
          </cell>
          <cell r="AA360">
            <v>0</v>
          </cell>
          <cell r="AB360">
            <v>0</v>
          </cell>
          <cell r="AC360"/>
          <cell r="AD360">
            <v>413609</v>
          </cell>
          <cell r="AE360">
            <v>0</v>
          </cell>
          <cell r="AF360">
            <v>0</v>
          </cell>
          <cell r="AG360">
            <v>0</v>
          </cell>
          <cell r="AH360">
            <v>0</v>
          </cell>
          <cell r="AI360">
            <v>0</v>
          </cell>
          <cell r="AJ360">
            <v>0</v>
          </cell>
          <cell r="AK360">
            <v>230543</v>
          </cell>
          <cell r="AL360"/>
          <cell r="AM360">
            <v>0</v>
          </cell>
          <cell r="AN360">
            <v>0</v>
          </cell>
          <cell r="AO360">
            <v>0</v>
          </cell>
          <cell r="AP360">
            <v>0</v>
          </cell>
          <cell r="AQ360">
            <v>0</v>
          </cell>
          <cell r="AR360">
            <v>0</v>
          </cell>
          <cell r="AS360">
            <v>0</v>
          </cell>
          <cell r="AT360">
            <v>20000</v>
          </cell>
          <cell r="AU360">
            <v>7110</v>
          </cell>
          <cell r="AV360">
            <v>6522922.8342351699</v>
          </cell>
          <cell r="AW360">
            <v>0</v>
          </cell>
          <cell r="AX360">
            <v>0</v>
          </cell>
          <cell r="AY360"/>
          <cell r="AZ360"/>
          <cell r="BA360">
            <v>0</v>
          </cell>
          <cell r="BB360"/>
          <cell r="BC360">
            <v>22546</v>
          </cell>
          <cell r="BD360">
            <v>43091</v>
          </cell>
          <cell r="BE360"/>
          <cell r="BF360">
            <v>0</v>
          </cell>
          <cell r="BG360">
            <v>0</v>
          </cell>
          <cell r="BH360">
            <v>0</v>
          </cell>
          <cell r="BI360">
            <v>247376</v>
          </cell>
          <cell r="BJ360">
            <v>203627</v>
          </cell>
          <cell r="BK360">
            <v>203627</v>
          </cell>
          <cell r="BL360">
            <v>0</v>
          </cell>
          <cell r="BM360">
            <v>0</v>
          </cell>
          <cell r="BN360">
            <v>259490</v>
          </cell>
          <cell r="BO360">
            <v>368226</v>
          </cell>
          <cell r="BP360">
            <v>31628</v>
          </cell>
          <cell r="BQ360">
            <v>56976.744186046497</v>
          </cell>
          <cell r="BR360">
            <v>299150</v>
          </cell>
          <cell r="BS360">
            <v>0</v>
          </cell>
          <cell r="BT360">
            <v>181552</v>
          </cell>
          <cell r="BU360"/>
          <cell r="BV360"/>
          <cell r="BW360"/>
          <cell r="BX360"/>
          <cell r="BY360">
            <v>2312837.4536231598</v>
          </cell>
          <cell r="BZ360">
            <v>2681118.8052532701</v>
          </cell>
          <cell r="CA360">
            <v>2712580.0262468001</v>
          </cell>
          <cell r="CB360">
            <v>2801411.7090520598</v>
          </cell>
          <cell r="CC360">
            <v>11516130</v>
          </cell>
          <cell r="CD360">
            <v>99564676</v>
          </cell>
          <cell r="CE360">
            <v>3480201</v>
          </cell>
          <cell r="CF360">
            <v>0</v>
          </cell>
          <cell r="CG360">
            <v>3480201</v>
          </cell>
          <cell r="CH360">
            <v>3480201</v>
          </cell>
          <cell r="CI360">
            <v>3480201</v>
          </cell>
          <cell r="CJ360">
            <v>3480201</v>
          </cell>
          <cell r="CK360">
            <v>29705337</v>
          </cell>
          <cell r="CL360">
            <v>29690428</v>
          </cell>
          <cell r="CM360">
            <v>29690187</v>
          </cell>
          <cell r="CN360">
            <v>29689656</v>
          </cell>
          <cell r="CO360">
            <v>29690391</v>
          </cell>
          <cell r="CP360">
            <v>0</v>
          </cell>
          <cell r="CQ360">
            <v>20930964</v>
          </cell>
          <cell r="CR360">
            <v>19866497</v>
          </cell>
          <cell r="CS360">
            <v>19125769</v>
          </cell>
          <cell r="CT360">
            <v>18512876</v>
          </cell>
          <cell r="CU360">
            <v>17839518</v>
          </cell>
          <cell r="CV360">
            <v>735456</v>
          </cell>
          <cell r="CW360">
            <v>0</v>
          </cell>
          <cell r="CX360">
            <v>0</v>
          </cell>
          <cell r="CY360">
            <v>0</v>
          </cell>
          <cell r="CZ360">
            <v>0</v>
          </cell>
          <cell r="DA360">
            <v>0</v>
          </cell>
          <cell r="DB360"/>
          <cell r="DC360">
            <v>283000</v>
          </cell>
          <cell r="DD360">
            <v>0</v>
          </cell>
          <cell r="DE360">
            <v>0</v>
          </cell>
          <cell r="DF360">
            <v>0</v>
          </cell>
          <cell r="DG360">
            <v>0</v>
          </cell>
          <cell r="DH360">
            <v>0</v>
          </cell>
          <cell r="DI360">
            <v>0</v>
          </cell>
          <cell r="DJ360">
            <v>0</v>
          </cell>
          <cell r="DK360">
            <v>0</v>
          </cell>
          <cell r="DL360">
            <v>0</v>
          </cell>
          <cell r="DM360"/>
          <cell r="DN360"/>
          <cell r="DO360"/>
          <cell r="DP360"/>
        </row>
        <row r="361">
          <cell r="A361">
            <v>938</v>
          </cell>
          <cell r="B361" t="str">
            <v>Meerssen</v>
          </cell>
          <cell r="C361">
            <v>11</v>
          </cell>
          <cell r="D361">
            <v>17866</v>
          </cell>
          <cell r="E361">
            <v>8933</v>
          </cell>
          <cell r="F361">
            <v>0</v>
          </cell>
          <cell r="G361">
            <v>0</v>
          </cell>
          <cell r="H361">
            <v>0</v>
          </cell>
          <cell r="I361">
            <v>0</v>
          </cell>
          <cell r="J361"/>
          <cell r="K361">
            <v>0</v>
          </cell>
          <cell r="L361">
            <v>59848</v>
          </cell>
          <cell r="M361">
            <v>52567</v>
          </cell>
          <cell r="N361">
            <v>0</v>
          </cell>
          <cell r="O361">
            <v>0</v>
          </cell>
          <cell r="P361">
            <v>0</v>
          </cell>
          <cell r="Q361">
            <v>0</v>
          </cell>
          <cell r="R361">
            <v>0</v>
          </cell>
          <cell r="S361">
            <v>0</v>
          </cell>
          <cell r="T361">
            <v>0</v>
          </cell>
          <cell r="U361">
            <v>0</v>
          </cell>
          <cell r="V361">
            <v>0</v>
          </cell>
          <cell r="W361">
            <v>32326</v>
          </cell>
          <cell r="X361">
            <v>0</v>
          </cell>
          <cell r="Y361"/>
          <cell r="Z361">
            <v>0</v>
          </cell>
          <cell r="AA361">
            <v>0</v>
          </cell>
          <cell r="AB361">
            <v>0</v>
          </cell>
          <cell r="AC361"/>
          <cell r="AD361">
            <v>36178</v>
          </cell>
          <cell r="AE361">
            <v>0</v>
          </cell>
          <cell r="AF361">
            <v>0</v>
          </cell>
          <cell r="AG361">
            <v>0</v>
          </cell>
          <cell r="AH361">
            <v>0</v>
          </cell>
          <cell r="AI361">
            <v>0</v>
          </cell>
          <cell r="AJ361">
            <v>0</v>
          </cell>
          <cell r="AK361">
            <v>0</v>
          </cell>
          <cell r="AL361"/>
          <cell r="AM361">
            <v>0</v>
          </cell>
          <cell r="AN361">
            <v>0</v>
          </cell>
          <cell r="AO361">
            <v>0</v>
          </cell>
          <cell r="AP361">
            <v>0</v>
          </cell>
          <cell r="AQ361">
            <v>0</v>
          </cell>
          <cell r="AR361">
            <v>0</v>
          </cell>
          <cell r="AS361">
            <v>0</v>
          </cell>
          <cell r="AT361">
            <v>0</v>
          </cell>
          <cell r="AU361">
            <v>0</v>
          </cell>
          <cell r="AV361">
            <v>0</v>
          </cell>
          <cell r="AW361">
            <v>0</v>
          </cell>
          <cell r="AX361">
            <v>0</v>
          </cell>
          <cell r="AY361"/>
          <cell r="AZ361"/>
          <cell r="BA361">
            <v>0</v>
          </cell>
          <cell r="BB361"/>
          <cell r="BC361">
            <v>0</v>
          </cell>
          <cell r="BD361">
            <v>6695</v>
          </cell>
          <cell r="BE361"/>
          <cell r="BF361">
            <v>0</v>
          </cell>
          <cell r="BG361">
            <v>0</v>
          </cell>
          <cell r="BH361">
            <v>0</v>
          </cell>
          <cell r="BI361">
            <v>25023</v>
          </cell>
          <cell r="BJ361">
            <v>20597</v>
          </cell>
          <cell r="BK361">
            <v>20597</v>
          </cell>
          <cell r="BL361">
            <v>0</v>
          </cell>
          <cell r="BM361">
            <v>0</v>
          </cell>
          <cell r="BN361">
            <v>0</v>
          </cell>
          <cell r="BO361">
            <v>29672</v>
          </cell>
          <cell r="BP361">
            <v>0</v>
          </cell>
          <cell r="BQ361">
            <v>0</v>
          </cell>
          <cell r="BR361">
            <v>0</v>
          </cell>
          <cell r="BS361">
            <v>0</v>
          </cell>
          <cell r="BT361">
            <v>29285</v>
          </cell>
          <cell r="BU361"/>
          <cell r="BV361"/>
          <cell r="BW361"/>
          <cell r="BX361"/>
          <cell r="BY361">
            <v>0</v>
          </cell>
          <cell r="BZ361">
            <v>0</v>
          </cell>
          <cell r="CA361">
            <v>0</v>
          </cell>
          <cell r="CB361">
            <v>0</v>
          </cell>
          <cell r="CC361">
            <v>1686245</v>
          </cell>
          <cell r="CD361">
            <v>8208238</v>
          </cell>
          <cell r="CE361">
            <v>497325</v>
          </cell>
          <cell r="CF361">
            <v>0</v>
          </cell>
          <cell r="CG361">
            <v>497325</v>
          </cell>
          <cell r="CH361">
            <v>497325</v>
          </cell>
          <cell r="CI361">
            <v>497325</v>
          </cell>
          <cell r="CJ361">
            <v>497325</v>
          </cell>
          <cell r="CK361">
            <v>0</v>
          </cell>
          <cell r="CL361">
            <v>0</v>
          </cell>
          <cell r="CM361">
            <v>0</v>
          </cell>
          <cell r="CN361">
            <v>0</v>
          </cell>
          <cell r="CO361">
            <v>0</v>
          </cell>
          <cell r="CP361">
            <v>-995</v>
          </cell>
          <cell r="CQ361">
            <v>1690274</v>
          </cell>
          <cell r="CR361">
            <v>1591740</v>
          </cell>
          <cell r="CS361">
            <v>1550897</v>
          </cell>
          <cell r="CT361">
            <v>1521660</v>
          </cell>
          <cell r="CU361">
            <v>1513183</v>
          </cell>
          <cell r="CV361">
            <v>6124</v>
          </cell>
          <cell r="CW361">
            <v>0</v>
          </cell>
          <cell r="CX361">
            <v>0</v>
          </cell>
          <cell r="CY361">
            <v>0</v>
          </cell>
          <cell r="CZ361">
            <v>0</v>
          </cell>
          <cell r="DA361">
            <v>0</v>
          </cell>
          <cell r="DB361"/>
          <cell r="DC361">
            <v>0</v>
          </cell>
          <cell r="DD361">
            <v>0</v>
          </cell>
          <cell r="DE361">
            <v>0</v>
          </cell>
          <cell r="DF361">
            <v>0</v>
          </cell>
          <cell r="DG361">
            <v>0</v>
          </cell>
          <cell r="DH361">
            <v>0</v>
          </cell>
          <cell r="DI361">
            <v>0</v>
          </cell>
          <cell r="DJ361">
            <v>0</v>
          </cell>
          <cell r="DK361">
            <v>0</v>
          </cell>
          <cell r="DL361">
            <v>0</v>
          </cell>
          <cell r="DM361"/>
          <cell r="DN361"/>
          <cell r="DO361"/>
          <cell r="DP361"/>
        </row>
        <row r="362">
          <cell r="A362">
            <v>944</v>
          </cell>
          <cell r="B362" t="str">
            <v>Mook en Middelaar</v>
          </cell>
          <cell r="C362">
            <v>11</v>
          </cell>
          <cell r="D362">
            <v>6756</v>
          </cell>
          <cell r="E362">
            <v>3378</v>
          </cell>
          <cell r="F362">
            <v>0</v>
          </cell>
          <cell r="G362">
            <v>0</v>
          </cell>
          <cell r="H362">
            <v>-12726</v>
          </cell>
          <cell r="I362">
            <v>-10888</v>
          </cell>
          <cell r="J362"/>
          <cell r="K362">
            <v>0</v>
          </cell>
          <cell r="L362">
            <v>21448</v>
          </cell>
          <cell r="M362">
            <v>14999</v>
          </cell>
          <cell r="N362">
            <v>0</v>
          </cell>
          <cell r="O362">
            <v>0</v>
          </cell>
          <cell r="P362">
            <v>0</v>
          </cell>
          <cell r="Q362">
            <v>0</v>
          </cell>
          <cell r="R362">
            <v>0</v>
          </cell>
          <cell r="S362">
            <v>0</v>
          </cell>
          <cell r="T362">
            <v>0</v>
          </cell>
          <cell r="U362">
            <v>0</v>
          </cell>
          <cell r="V362">
            <v>0</v>
          </cell>
          <cell r="W362">
            <v>24244</v>
          </cell>
          <cell r="X362">
            <v>0</v>
          </cell>
          <cell r="Y362"/>
          <cell r="Z362">
            <v>0</v>
          </cell>
          <cell r="AA362">
            <v>0</v>
          </cell>
          <cell r="AB362">
            <v>0</v>
          </cell>
          <cell r="AC362"/>
          <cell r="AD362">
            <v>0</v>
          </cell>
          <cell r="AE362">
            <v>0</v>
          </cell>
          <cell r="AF362">
            <v>0</v>
          </cell>
          <cell r="AG362">
            <v>0</v>
          </cell>
          <cell r="AH362">
            <v>0</v>
          </cell>
          <cell r="AI362">
            <v>0</v>
          </cell>
          <cell r="AJ362">
            <v>0</v>
          </cell>
          <cell r="AK362">
            <v>0</v>
          </cell>
          <cell r="AL362"/>
          <cell r="AM362">
            <v>0</v>
          </cell>
          <cell r="AN362">
            <v>0</v>
          </cell>
          <cell r="AO362">
            <v>0</v>
          </cell>
          <cell r="AP362">
            <v>0</v>
          </cell>
          <cell r="AQ362">
            <v>0</v>
          </cell>
          <cell r="AR362">
            <v>0</v>
          </cell>
          <cell r="AS362">
            <v>0</v>
          </cell>
          <cell r="AT362">
            <v>0</v>
          </cell>
          <cell r="AU362">
            <v>0</v>
          </cell>
          <cell r="AV362">
            <v>0</v>
          </cell>
          <cell r="AW362">
            <v>0</v>
          </cell>
          <cell r="AX362">
            <v>0</v>
          </cell>
          <cell r="AY362"/>
          <cell r="AZ362"/>
          <cell r="BA362">
            <v>0</v>
          </cell>
          <cell r="BB362"/>
          <cell r="BC362">
            <v>0</v>
          </cell>
          <cell r="BD362">
            <v>2729</v>
          </cell>
          <cell r="BE362"/>
          <cell r="BF362">
            <v>0</v>
          </cell>
          <cell r="BG362">
            <v>0</v>
          </cell>
          <cell r="BH362">
            <v>0</v>
          </cell>
          <cell r="BI362">
            <v>7672</v>
          </cell>
          <cell r="BJ362">
            <v>6316</v>
          </cell>
          <cell r="BK362">
            <v>6316</v>
          </cell>
          <cell r="BL362">
            <v>0</v>
          </cell>
          <cell r="BM362">
            <v>0</v>
          </cell>
          <cell r="BN362">
            <v>0</v>
          </cell>
          <cell r="BO362">
            <v>41833</v>
          </cell>
          <cell r="BP362">
            <v>0</v>
          </cell>
          <cell r="BQ362">
            <v>0</v>
          </cell>
          <cell r="BR362">
            <v>0</v>
          </cell>
          <cell r="BS362">
            <v>0</v>
          </cell>
          <cell r="BT362">
            <v>13764</v>
          </cell>
          <cell r="BU362"/>
          <cell r="BV362"/>
          <cell r="BW362"/>
          <cell r="BX362"/>
          <cell r="BY362">
            <v>0</v>
          </cell>
          <cell r="BZ362">
            <v>0</v>
          </cell>
          <cell r="CA362">
            <v>0</v>
          </cell>
          <cell r="CB362">
            <v>0</v>
          </cell>
          <cell r="CC362">
            <v>568956</v>
          </cell>
          <cell r="CD362">
            <v>2660759</v>
          </cell>
          <cell r="CE362">
            <v>60499</v>
          </cell>
          <cell r="CF362">
            <v>-20277</v>
          </cell>
          <cell r="CG362">
            <v>60499</v>
          </cell>
          <cell r="CH362">
            <v>60499</v>
          </cell>
          <cell r="CI362">
            <v>60499</v>
          </cell>
          <cell r="CJ362">
            <v>60499</v>
          </cell>
          <cell r="CK362">
            <v>0</v>
          </cell>
          <cell r="CL362">
            <v>0</v>
          </cell>
          <cell r="CM362">
            <v>0</v>
          </cell>
          <cell r="CN362">
            <v>0</v>
          </cell>
          <cell r="CO362">
            <v>0</v>
          </cell>
          <cell r="CP362">
            <v>-921</v>
          </cell>
          <cell r="CQ362">
            <v>518239</v>
          </cell>
          <cell r="CR362">
            <v>506642</v>
          </cell>
          <cell r="CS362">
            <v>495846</v>
          </cell>
          <cell r="CT362">
            <v>497178</v>
          </cell>
          <cell r="CU362">
            <v>498617</v>
          </cell>
          <cell r="CV362">
            <v>2767</v>
          </cell>
          <cell r="CW362">
            <v>0</v>
          </cell>
          <cell r="CX362">
            <v>0</v>
          </cell>
          <cell r="CY362">
            <v>0</v>
          </cell>
          <cell r="CZ362">
            <v>0</v>
          </cell>
          <cell r="DA362">
            <v>0</v>
          </cell>
          <cell r="DB362"/>
          <cell r="DC362">
            <v>0</v>
          </cell>
          <cell r="DD362">
            <v>0</v>
          </cell>
          <cell r="DE362">
            <v>0</v>
          </cell>
          <cell r="DF362">
            <v>0</v>
          </cell>
          <cell r="DG362">
            <v>0</v>
          </cell>
          <cell r="DH362">
            <v>0</v>
          </cell>
          <cell r="DI362">
            <v>0</v>
          </cell>
          <cell r="DJ362">
            <v>0</v>
          </cell>
          <cell r="DK362">
            <v>0</v>
          </cell>
          <cell r="DL362">
            <v>0</v>
          </cell>
          <cell r="DM362"/>
          <cell r="DN362"/>
          <cell r="DO362"/>
          <cell r="DP362"/>
        </row>
        <row r="363">
          <cell r="A363">
            <v>946</v>
          </cell>
          <cell r="B363" t="str">
            <v>Nederweert</v>
          </cell>
          <cell r="C363">
            <v>11</v>
          </cell>
          <cell r="D363">
            <v>26349</v>
          </cell>
          <cell r="E363">
            <v>13175</v>
          </cell>
          <cell r="F363">
            <v>0</v>
          </cell>
          <cell r="G363">
            <v>0</v>
          </cell>
          <cell r="H363">
            <v>-9780</v>
          </cell>
          <cell r="I363">
            <v>0</v>
          </cell>
          <cell r="J363"/>
          <cell r="K363">
            <v>0</v>
          </cell>
          <cell r="L363">
            <v>59211</v>
          </cell>
          <cell r="M363">
            <v>56090</v>
          </cell>
          <cell r="N363">
            <v>0</v>
          </cell>
          <cell r="O363">
            <v>0</v>
          </cell>
          <cell r="P363">
            <v>0</v>
          </cell>
          <cell r="Q363">
            <v>0</v>
          </cell>
          <cell r="R363">
            <v>0</v>
          </cell>
          <cell r="S363">
            <v>0</v>
          </cell>
          <cell r="T363">
            <v>0</v>
          </cell>
          <cell r="U363">
            <v>0</v>
          </cell>
          <cell r="V363">
            <v>0</v>
          </cell>
          <cell r="W363">
            <v>66866</v>
          </cell>
          <cell r="X363">
            <v>0</v>
          </cell>
          <cell r="Y363"/>
          <cell r="Z363">
            <v>0</v>
          </cell>
          <cell r="AA363">
            <v>0</v>
          </cell>
          <cell r="AB363">
            <v>0</v>
          </cell>
          <cell r="AC363"/>
          <cell r="AD363">
            <v>0</v>
          </cell>
          <cell r="AE363">
            <v>0</v>
          </cell>
          <cell r="AF363">
            <v>0</v>
          </cell>
          <cell r="AG363">
            <v>0</v>
          </cell>
          <cell r="AH363">
            <v>0</v>
          </cell>
          <cell r="AI363">
            <v>0</v>
          </cell>
          <cell r="AJ363">
            <v>0</v>
          </cell>
          <cell r="AK363">
            <v>0</v>
          </cell>
          <cell r="AL363"/>
          <cell r="AM363">
            <v>0</v>
          </cell>
          <cell r="AN363">
            <v>0</v>
          </cell>
          <cell r="AO363">
            <v>0</v>
          </cell>
          <cell r="AP363">
            <v>0</v>
          </cell>
          <cell r="AQ363">
            <v>0</v>
          </cell>
          <cell r="AR363">
            <v>0</v>
          </cell>
          <cell r="AS363">
            <v>0</v>
          </cell>
          <cell r="AT363">
            <v>0</v>
          </cell>
          <cell r="AU363">
            <v>0</v>
          </cell>
          <cell r="AV363">
            <v>0</v>
          </cell>
          <cell r="AW363">
            <v>0</v>
          </cell>
          <cell r="AX363">
            <v>0</v>
          </cell>
          <cell r="AY363"/>
          <cell r="AZ363"/>
          <cell r="BA363">
            <v>0</v>
          </cell>
          <cell r="BB363"/>
          <cell r="BC363">
            <v>0</v>
          </cell>
          <cell r="BD363">
            <v>5920</v>
          </cell>
          <cell r="BE363"/>
          <cell r="BF363">
            <v>0</v>
          </cell>
          <cell r="BG363">
            <v>0</v>
          </cell>
          <cell r="BH363">
            <v>0</v>
          </cell>
          <cell r="BI363">
            <v>22380</v>
          </cell>
          <cell r="BJ363">
            <v>18422</v>
          </cell>
          <cell r="BK363">
            <v>18422</v>
          </cell>
          <cell r="BL363">
            <v>0</v>
          </cell>
          <cell r="BM363">
            <v>0</v>
          </cell>
          <cell r="BN363">
            <v>0</v>
          </cell>
          <cell r="BO363">
            <v>86584</v>
          </cell>
          <cell r="BP363">
            <v>11069.8</v>
          </cell>
          <cell r="BQ363">
            <v>19941.8604651163</v>
          </cell>
          <cell r="BR363">
            <v>0</v>
          </cell>
          <cell r="BS363">
            <v>0</v>
          </cell>
          <cell r="BT363">
            <v>26625</v>
          </cell>
          <cell r="BU363"/>
          <cell r="BV363"/>
          <cell r="BW363"/>
          <cell r="BX363"/>
          <cell r="BY363">
            <v>0</v>
          </cell>
          <cell r="BZ363">
            <v>0</v>
          </cell>
          <cell r="CA363">
            <v>0</v>
          </cell>
          <cell r="CB363">
            <v>0</v>
          </cell>
          <cell r="CC363">
            <v>1373993</v>
          </cell>
          <cell r="CD363">
            <v>7438430</v>
          </cell>
          <cell r="CE363">
            <v>321555</v>
          </cell>
          <cell r="CF363">
            <v>0</v>
          </cell>
          <cell r="CG363">
            <v>321555</v>
          </cell>
          <cell r="CH363">
            <v>321555</v>
          </cell>
          <cell r="CI363">
            <v>321555</v>
          </cell>
          <cell r="CJ363">
            <v>321555</v>
          </cell>
          <cell r="CK363">
            <v>0</v>
          </cell>
          <cell r="CL363">
            <v>0</v>
          </cell>
          <cell r="CM363">
            <v>0</v>
          </cell>
          <cell r="CN363">
            <v>0</v>
          </cell>
          <cell r="CO363">
            <v>0</v>
          </cell>
          <cell r="CP363">
            <v>0</v>
          </cell>
          <cell r="CQ363">
            <v>2393506</v>
          </cell>
          <cell r="CR363">
            <v>2242157</v>
          </cell>
          <cell r="CS363">
            <v>2179005</v>
          </cell>
          <cell r="CT363">
            <v>2110705</v>
          </cell>
          <cell r="CU363">
            <v>2080675</v>
          </cell>
          <cell r="CV363">
            <v>39541</v>
          </cell>
          <cell r="CW363">
            <v>0</v>
          </cell>
          <cell r="CX363">
            <v>0</v>
          </cell>
          <cell r="CY363">
            <v>0</v>
          </cell>
          <cell r="CZ363">
            <v>0</v>
          </cell>
          <cell r="DA363">
            <v>0</v>
          </cell>
          <cell r="DB363"/>
          <cell r="DC363">
            <v>0</v>
          </cell>
          <cell r="DD363">
            <v>0</v>
          </cell>
          <cell r="DE363">
            <v>0</v>
          </cell>
          <cell r="DF363">
            <v>0</v>
          </cell>
          <cell r="DG363">
            <v>0</v>
          </cell>
          <cell r="DH363">
            <v>0</v>
          </cell>
          <cell r="DI363">
            <v>0</v>
          </cell>
          <cell r="DJ363">
            <v>0</v>
          </cell>
          <cell r="DK363">
            <v>0</v>
          </cell>
          <cell r="DL363">
            <v>0</v>
          </cell>
          <cell r="DM363"/>
          <cell r="DN363"/>
          <cell r="DO363"/>
          <cell r="DP363"/>
        </row>
        <row r="364">
          <cell r="A364">
            <v>951</v>
          </cell>
          <cell r="B364" t="str">
            <v>Nuth</v>
          </cell>
          <cell r="C364">
            <v>11</v>
          </cell>
          <cell r="D364">
            <v>9246</v>
          </cell>
          <cell r="E364">
            <v>4623</v>
          </cell>
          <cell r="F364">
            <v>0</v>
          </cell>
          <cell r="G364">
            <v>0</v>
          </cell>
          <cell r="H364">
            <v>-12358</v>
          </cell>
          <cell r="I364">
            <v>-12964</v>
          </cell>
          <cell r="J364"/>
          <cell r="K364">
            <v>0</v>
          </cell>
          <cell r="L364">
            <v>46756</v>
          </cell>
          <cell r="M364">
            <v>39877</v>
          </cell>
          <cell r="N364">
            <v>0</v>
          </cell>
          <cell r="O364">
            <v>0</v>
          </cell>
          <cell r="P364">
            <v>0</v>
          </cell>
          <cell r="Q364">
            <v>0</v>
          </cell>
          <cell r="R364">
            <v>0</v>
          </cell>
          <cell r="S364">
            <v>0</v>
          </cell>
          <cell r="T364">
            <v>0</v>
          </cell>
          <cell r="U364">
            <v>0</v>
          </cell>
          <cell r="V364">
            <v>0</v>
          </cell>
          <cell r="W364">
            <v>40205</v>
          </cell>
          <cell r="X364">
            <v>0</v>
          </cell>
          <cell r="Y364"/>
          <cell r="Z364">
            <v>0</v>
          </cell>
          <cell r="AA364">
            <v>0</v>
          </cell>
          <cell r="AB364">
            <v>0</v>
          </cell>
          <cell r="AC364"/>
          <cell r="AD364">
            <v>31289</v>
          </cell>
          <cell r="AE364">
            <v>0</v>
          </cell>
          <cell r="AF364">
            <v>0</v>
          </cell>
          <cell r="AG364">
            <v>0</v>
          </cell>
          <cell r="AH364">
            <v>0</v>
          </cell>
          <cell r="AI364">
            <v>0</v>
          </cell>
          <cell r="AJ364">
            <v>0</v>
          </cell>
          <cell r="AK364">
            <v>0</v>
          </cell>
          <cell r="AL364"/>
          <cell r="AM364">
            <v>0</v>
          </cell>
          <cell r="AN364">
            <v>0</v>
          </cell>
          <cell r="AO364">
            <v>0</v>
          </cell>
          <cell r="AP364">
            <v>0</v>
          </cell>
          <cell r="AQ364">
            <v>0</v>
          </cell>
          <cell r="AR364">
            <v>0</v>
          </cell>
          <cell r="AS364">
            <v>0</v>
          </cell>
          <cell r="AT364">
            <v>0</v>
          </cell>
          <cell r="AU364">
            <v>0</v>
          </cell>
          <cell r="AV364">
            <v>0</v>
          </cell>
          <cell r="AW364">
            <v>0</v>
          </cell>
          <cell r="AX364">
            <v>0</v>
          </cell>
          <cell r="AY364"/>
          <cell r="AZ364"/>
          <cell r="BA364">
            <v>0</v>
          </cell>
          <cell r="BB364"/>
          <cell r="BC364">
            <v>0</v>
          </cell>
          <cell r="BD364">
            <v>26852</v>
          </cell>
          <cell r="BE364"/>
          <cell r="BF364">
            <v>0</v>
          </cell>
          <cell r="BG364">
            <v>0</v>
          </cell>
          <cell r="BH364">
            <v>0</v>
          </cell>
          <cell r="BI364">
            <v>24002</v>
          </cell>
          <cell r="BJ364">
            <v>19757</v>
          </cell>
          <cell r="BK364">
            <v>19757</v>
          </cell>
          <cell r="BL364">
            <v>0</v>
          </cell>
          <cell r="BM364">
            <v>0</v>
          </cell>
          <cell r="BN364">
            <v>0</v>
          </cell>
          <cell r="BO364">
            <v>11674</v>
          </cell>
          <cell r="BP364">
            <v>0</v>
          </cell>
          <cell r="BQ364">
            <v>0</v>
          </cell>
          <cell r="BR364">
            <v>0</v>
          </cell>
          <cell r="BS364">
            <v>0</v>
          </cell>
          <cell r="BT364">
            <v>22883</v>
          </cell>
          <cell r="BU364"/>
          <cell r="BV364"/>
          <cell r="BW364"/>
          <cell r="BX364"/>
          <cell r="BY364">
            <v>0</v>
          </cell>
          <cell r="BZ364">
            <v>0</v>
          </cell>
          <cell r="CA364">
            <v>0</v>
          </cell>
          <cell r="CB364">
            <v>0</v>
          </cell>
          <cell r="CC364">
            <v>1469360</v>
          </cell>
          <cell r="CD364">
            <v>7565161</v>
          </cell>
          <cell r="CE364">
            <v>162435</v>
          </cell>
          <cell r="CF364">
            <v>-31524</v>
          </cell>
          <cell r="CG364">
            <v>162435</v>
          </cell>
          <cell r="CH364">
            <v>162435</v>
          </cell>
          <cell r="CI364">
            <v>162435</v>
          </cell>
          <cell r="CJ364">
            <v>162435</v>
          </cell>
          <cell r="CK364">
            <v>0</v>
          </cell>
          <cell r="CL364">
            <v>0</v>
          </cell>
          <cell r="CM364">
            <v>0</v>
          </cell>
          <cell r="CN364">
            <v>0</v>
          </cell>
          <cell r="CO364">
            <v>0</v>
          </cell>
          <cell r="CP364">
            <v>0</v>
          </cell>
          <cell r="CQ364">
            <v>2281482</v>
          </cell>
          <cell r="CR364">
            <v>2149076</v>
          </cell>
          <cell r="CS364">
            <v>2094996</v>
          </cell>
          <cell r="CT364">
            <v>2031700</v>
          </cell>
          <cell r="CU364">
            <v>1927242</v>
          </cell>
          <cell r="CV364">
            <v>11639</v>
          </cell>
          <cell r="CW364">
            <v>0</v>
          </cell>
          <cell r="CX364">
            <v>0</v>
          </cell>
          <cell r="CY364">
            <v>0</v>
          </cell>
          <cell r="CZ364">
            <v>0</v>
          </cell>
          <cell r="DA364">
            <v>0</v>
          </cell>
          <cell r="DB364"/>
          <cell r="DC364">
            <v>0</v>
          </cell>
          <cell r="DD364">
            <v>0</v>
          </cell>
          <cell r="DE364">
            <v>0</v>
          </cell>
          <cell r="DF364">
            <v>0</v>
          </cell>
          <cell r="DG364">
            <v>0</v>
          </cell>
          <cell r="DH364">
            <v>0</v>
          </cell>
          <cell r="DI364">
            <v>0</v>
          </cell>
          <cell r="DJ364">
            <v>0</v>
          </cell>
          <cell r="DK364">
            <v>0</v>
          </cell>
          <cell r="DL364">
            <v>0</v>
          </cell>
          <cell r="DM364"/>
          <cell r="DN364"/>
          <cell r="DO364"/>
          <cell r="DP364"/>
        </row>
        <row r="365">
          <cell r="A365">
            <v>881</v>
          </cell>
          <cell r="B365" t="str">
            <v>Onderbanken</v>
          </cell>
          <cell r="C365">
            <v>11</v>
          </cell>
          <cell r="D365">
            <v>16403</v>
          </cell>
          <cell r="E365">
            <v>8202</v>
          </cell>
          <cell r="F365">
            <v>0</v>
          </cell>
          <cell r="G365">
            <v>42945</v>
          </cell>
          <cell r="H365">
            <v>360624</v>
          </cell>
          <cell r="I365">
            <v>715978</v>
          </cell>
          <cell r="J365"/>
          <cell r="K365">
            <v>0</v>
          </cell>
          <cell r="L365">
            <v>35952</v>
          </cell>
          <cell r="M365">
            <v>31878</v>
          </cell>
          <cell r="N365">
            <v>0</v>
          </cell>
          <cell r="O365">
            <v>0</v>
          </cell>
          <cell r="P365">
            <v>0</v>
          </cell>
          <cell r="Q365">
            <v>0</v>
          </cell>
          <cell r="R365">
            <v>0</v>
          </cell>
          <cell r="S365">
            <v>0</v>
          </cell>
          <cell r="T365">
            <v>0</v>
          </cell>
          <cell r="U365">
            <v>0</v>
          </cell>
          <cell r="V365">
            <v>0</v>
          </cell>
          <cell r="W365">
            <v>13536</v>
          </cell>
          <cell r="X365">
            <v>0</v>
          </cell>
          <cell r="Y365"/>
          <cell r="Z365">
            <v>0</v>
          </cell>
          <cell r="AA365">
            <v>0</v>
          </cell>
          <cell r="AB365">
            <v>0</v>
          </cell>
          <cell r="AC365"/>
          <cell r="AD365">
            <v>0</v>
          </cell>
          <cell r="AE365">
            <v>0</v>
          </cell>
          <cell r="AF365">
            <v>0</v>
          </cell>
          <cell r="AG365">
            <v>0</v>
          </cell>
          <cell r="AH365">
            <v>0</v>
          </cell>
          <cell r="AI365">
            <v>0</v>
          </cell>
          <cell r="AJ365">
            <v>0</v>
          </cell>
          <cell r="AK365">
            <v>0</v>
          </cell>
          <cell r="AL365"/>
          <cell r="AM365">
            <v>0</v>
          </cell>
          <cell r="AN365">
            <v>0</v>
          </cell>
          <cell r="AO365">
            <v>0</v>
          </cell>
          <cell r="AP365">
            <v>0</v>
          </cell>
          <cell r="AQ365">
            <v>0</v>
          </cell>
          <cell r="AR365">
            <v>0</v>
          </cell>
          <cell r="AS365">
            <v>0</v>
          </cell>
          <cell r="AT365">
            <v>0</v>
          </cell>
          <cell r="AU365">
            <v>0</v>
          </cell>
          <cell r="AV365">
            <v>0</v>
          </cell>
          <cell r="AW365">
            <v>0</v>
          </cell>
          <cell r="AX365">
            <v>0</v>
          </cell>
          <cell r="AY365"/>
          <cell r="AZ365"/>
          <cell r="BA365">
            <v>0</v>
          </cell>
          <cell r="BB365"/>
          <cell r="BC365">
            <v>0</v>
          </cell>
          <cell r="BD365">
            <v>13799</v>
          </cell>
          <cell r="BE365"/>
          <cell r="BF365">
            <v>0</v>
          </cell>
          <cell r="BG365">
            <v>0</v>
          </cell>
          <cell r="BH365">
            <v>0</v>
          </cell>
          <cell r="BI365">
            <v>12697</v>
          </cell>
          <cell r="BJ365">
            <v>10451</v>
          </cell>
          <cell r="BK365">
            <v>10451</v>
          </cell>
          <cell r="BL365">
            <v>0</v>
          </cell>
          <cell r="BM365">
            <v>0</v>
          </cell>
          <cell r="BN365">
            <v>0</v>
          </cell>
          <cell r="BO365">
            <v>0</v>
          </cell>
          <cell r="BP365">
            <v>6325.6</v>
          </cell>
          <cell r="BQ365">
            <v>11395.3488372093</v>
          </cell>
          <cell r="BR365">
            <v>0</v>
          </cell>
          <cell r="BS365">
            <v>0</v>
          </cell>
          <cell r="BT365">
            <v>14067</v>
          </cell>
          <cell r="BU365"/>
          <cell r="BV365"/>
          <cell r="BW365"/>
          <cell r="BX365"/>
          <cell r="BY365">
            <v>0</v>
          </cell>
          <cell r="BZ365">
            <v>0</v>
          </cell>
          <cell r="CA365">
            <v>0</v>
          </cell>
          <cell r="CB365">
            <v>0</v>
          </cell>
          <cell r="CC365">
            <v>734192</v>
          </cell>
          <cell r="CD365">
            <v>5313607</v>
          </cell>
          <cell r="CE365">
            <v>189589</v>
          </cell>
          <cell r="CF365">
            <v>0</v>
          </cell>
          <cell r="CG365">
            <v>189589</v>
          </cell>
          <cell r="CH365">
            <v>189589</v>
          </cell>
          <cell r="CI365">
            <v>189589</v>
          </cell>
          <cell r="CJ365">
            <v>189589</v>
          </cell>
          <cell r="CK365">
            <v>0</v>
          </cell>
          <cell r="CL365">
            <v>0</v>
          </cell>
          <cell r="CM365">
            <v>0</v>
          </cell>
          <cell r="CN365">
            <v>0</v>
          </cell>
          <cell r="CO365">
            <v>0</v>
          </cell>
          <cell r="CP365">
            <v>0</v>
          </cell>
          <cell r="CQ365">
            <v>1763324</v>
          </cell>
          <cell r="CR365">
            <v>1673420</v>
          </cell>
          <cell r="CS365">
            <v>1603879</v>
          </cell>
          <cell r="CT365">
            <v>1552953</v>
          </cell>
          <cell r="CU365">
            <v>1475513</v>
          </cell>
          <cell r="CV365">
            <v>5475</v>
          </cell>
          <cell r="CW365">
            <v>0</v>
          </cell>
          <cell r="CX365">
            <v>0</v>
          </cell>
          <cell r="CY365">
            <v>0</v>
          </cell>
          <cell r="CZ365">
            <v>0</v>
          </cell>
          <cell r="DA365">
            <v>0</v>
          </cell>
          <cell r="DB365"/>
          <cell r="DC365">
            <v>0</v>
          </cell>
          <cell r="DD365">
            <v>0</v>
          </cell>
          <cell r="DE365">
            <v>0</v>
          </cell>
          <cell r="DF365">
            <v>0</v>
          </cell>
          <cell r="DG365">
            <v>0</v>
          </cell>
          <cell r="DH365">
            <v>0</v>
          </cell>
          <cell r="DI365">
            <v>0</v>
          </cell>
          <cell r="DJ365">
            <v>0</v>
          </cell>
          <cell r="DK365">
            <v>0</v>
          </cell>
          <cell r="DL365">
            <v>0</v>
          </cell>
          <cell r="DM365"/>
          <cell r="DN365"/>
          <cell r="DO365"/>
          <cell r="DP365"/>
        </row>
        <row r="366">
          <cell r="A366">
            <v>1894</v>
          </cell>
          <cell r="B366" t="str">
            <v>Peel en Maas</v>
          </cell>
          <cell r="C366">
            <v>11</v>
          </cell>
          <cell r="D366">
            <v>2978</v>
          </cell>
          <cell r="E366">
            <v>1489</v>
          </cell>
          <cell r="F366">
            <v>0</v>
          </cell>
          <cell r="G366">
            <v>61170</v>
          </cell>
          <cell r="H366">
            <v>-29252</v>
          </cell>
          <cell r="I366">
            <v>-7120</v>
          </cell>
          <cell r="J366"/>
          <cell r="K366">
            <v>0</v>
          </cell>
          <cell r="L366">
            <v>125624</v>
          </cell>
          <cell r="M366">
            <v>107371</v>
          </cell>
          <cell r="N366">
            <v>0</v>
          </cell>
          <cell r="O366">
            <v>0</v>
          </cell>
          <cell r="P366">
            <v>0</v>
          </cell>
          <cell r="Q366">
            <v>0</v>
          </cell>
          <cell r="R366">
            <v>0</v>
          </cell>
          <cell r="S366">
            <v>0</v>
          </cell>
          <cell r="T366">
            <v>0</v>
          </cell>
          <cell r="U366">
            <v>0</v>
          </cell>
          <cell r="V366">
            <v>9000</v>
          </cell>
          <cell r="W366">
            <v>176884</v>
          </cell>
          <cell r="X366">
            <v>0</v>
          </cell>
          <cell r="Y366"/>
          <cell r="Z366">
            <v>0</v>
          </cell>
          <cell r="AA366">
            <v>0</v>
          </cell>
          <cell r="AB366">
            <v>0</v>
          </cell>
          <cell r="AC366"/>
          <cell r="AD366">
            <v>35200</v>
          </cell>
          <cell r="AE366">
            <v>0</v>
          </cell>
          <cell r="AF366">
            <v>0</v>
          </cell>
          <cell r="AG366">
            <v>0</v>
          </cell>
          <cell r="AH366">
            <v>0</v>
          </cell>
          <cell r="AI366">
            <v>0</v>
          </cell>
          <cell r="AJ366">
            <v>0</v>
          </cell>
          <cell r="AK366">
            <v>0</v>
          </cell>
          <cell r="AL366"/>
          <cell r="AM366">
            <v>0</v>
          </cell>
          <cell r="AN366">
            <v>0</v>
          </cell>
          <cell r="AO366">
            <v>0</v>
          </cell>
          <cell r="AP366">
            <v>0</v>
          </cell>
          <cell r="AQ366">
            <v>0</v>
          </cell>
          <cell r="AR366">
            <v>0</v>
          </cell>
          <cell r="AS366">
            <v>0</v>
          </cell>
          <cell r="AT366">
            <v>0</v>
          </cell>
          <cell r="AU366">
            <v>16590</v>
          </cell>
          <cell r="AV366">
            <v>0</v>
          </cell>
          <cell r="AW366">
            <v>0</v>
          </cell>
          <cell r="AX366">
            <v>0</v>
          </cell>
          <cell r="AY366"/>
          <cell r="AZ366"/>
          <cell r="BA366">
            <v>0</v>
          </cell>
          <cell r="BB366"/>
          <cell r="BC366">
            <v>0</v>
          </cell>
          <cell r="BD366">
            <v>15216</v>
          </cell>
          <cell r="BE366"/>
          <cell r="BF366">
            <v>0</v>
          </cell>
          <cell r="BG366">
            <v>0</v>
          </cell>
          <cell r="BH366">
            <v>0</v>
          </cell>
          <cell r="BI366">
            <v>54262</v>
          </cell>
          <cell r="BJ366">
            <v>44666</v>
          </cell>
          <cell r="BK366">
            <v>44666</v>
          </cell>
          <cell r="BL366">
            <v>0</v>
          </cell>
          <cell r="BM366">
            <v>0</v>
          </cell>
          <cell r="BN366">
            <v>0</v>
          </cell>
          <cell r="BO366">
            <v>147874</v>
          </cell>
          <cell r="BP366">
            <v>44279.199999999997</v>
          </cell>
          <cell r="BQ366">
            <v>79767.4418604651</v>
          </cell>
          <cell r="BR366">
            <v>0</v>
          </cell>
          <cell r="BS366">
            <v>0</v>
          </cell>
          <cell r="BT366">
            <v>71106</v>
          </cell>
          <cell r="BU366"/>
          <cell r="BV366"/>
          <cell r="BW366"/>
          <cell r="BX366"/>
          <cell r="BY366">
            <v>0</v>
          </cell>
          <cell r="BZ366">
            <v>0</v>
          </cell>
          <cell r="CA366">
            <v>0</v>
          </cell>
          <cell r="CB366">
            <v>0</v>
          </cell>
          <cell r="CC366">
            <v>3391872</v>
          </cell>
          <cell r="CD366">
            <v>19254136</v>
          </cell>
          <cell r="CE366">
            <v>1103781</v>
          </cell>
          <cell r="CF366">
            <v>-15021</v>
          </cell>
          <cell r="CG366">
            <v>1103781</v>
          </cell>
          <cell r="CH366">
            <v>1103781</v>
          </cell>
          <cell r="CI366">
            <v>1103781</v>
          </cell>
          <cell r="CJ366">
            <v>1103781</v>
          </cell>
          <cell r="CK366">
            <v>0</v>
          </cell>
          <cell r="CL366">
            <v>0</v>
          </cell>
          <cell r="CM366">
            <v>0</v>
          </cell>
          <cell r="CN366">
            <v>0</v>
          </cell>
          <cell r="CO366">
            <v>0</v>
          </cell>
          <cell r="CP366">
            <v>-320</v>
          </cell>
          <cell r="CQ366">
            <v>5851792</v>
          </cell>
          <cell r="CR366">
            <v>5517870</v>
          </cell>
          <cell r="CS366">
            <v>5369399</v>
          </cell>
          <cell r="CT366">
            <v>5250284</v>
          </cell>
          <cell r="CU366">
            <v>5075512</v>
          </cell>
          <cell r="CV366">
            <v>-15473</v>
          </cell>
          <cell r="CW366">
            <v>0</v>
          </cell>
          <cell r="CX366">
            <v>0</v>
          </cell>
          <cell r="CY366">
            <v>0</v>
          </cell>
          <cell r="CZ366">
            <v>0</v>
          </cell>
          <cell r="DA366">
            <v>0</v>
          </cell>
          <cell r="DB366"/>
          <cell r="DC366">
            <v>0</v>
          </cell>
          <cell r="DD366">
            <v>0</v>
          </cell>
          <cell r="DE366">
            <v>0</v>
          </cell>
          <cell r="DF366">
            <v>0</v>
          </cell>
          <cell r="DG366">
            <v>0</v>
          </cell>
          <cell r="DH366">
            <v>0</v>
          </cell>
          <cell r="DI366">
            <v>0</v>
          </cell>
          <cell r="DJ366">
            <v>0</v>
          </cell>
          <cell r="DK366">
            <v>0</v>
          </cell>
          <cell r="DL366">
            <v>0</v>
          </cell>
          <cell r="DM366"/>
          <cell r="DN366"/>
          <cell r="DO366"/>
          <cell r="DP366"/>
        </row>
        <row r="367">
          <cell r="A367">
            <v>1669</v>
          </cell>
          <cell r="B367" t="str">
            <v>Roerdalen</v>
          </cell>
          <cell r="C367">
            <v>11</v>
          </cell>
          <cell r="D367">
            <v>1596</v>
          </cell>
          <cell r="E367">
            <v>798</v>
          </cell>
          <cell r="F367">
            <v>0</v>
          </cell>
          <cell r="G367">
            <v>0</v>
          </cell>
          <cell r="H367">
            <v>-8541</v>
          </cell>
          <cell r="I367">
            <v>0</v>
          </cell>
          <cell r="J367"/>
          <cell r="K367">
            <v>0</v>
          </cell>
          <cell r="L367">
            <v>72223</v>
          </cell>
          <cell r="M367">
            <v>68803</v>
          </cell>
          <cell r="N367">
            <v>0</v>
          </cell>
          <cell r="O367">
            <v>0</v>
          </cell>
          <cell r="P367">
            <v>0</v>
          </cell>
          <cell r="Q367">
            <v>0</v>
          </cell>
          <cell r="R367">
            <v>0</v>
          </cell>
          <cell r="S367">
            <v>0</v>
          </cell>
          <cell r="T367">
            <v>0</v>
          </cell>
          <cell r="U367">
            <v>0</v>
          </cell>
          <cell r="V367">
            <v>3000</v>
          </cell>
          <cell r="W367">
            <v>72697</v>
          </cell>
          <cell r="X367">
            <v>0</v>
          </cell>
          <cell r="Y367"/>
          <cell r="Z367">
            <v>0</v>
          </cell>
          <cell r="AA367">
            <v>0</v>
          </cell>
          <cell r="AB367">
            <v>0</v>
          </cell>
          <cell r="AC367"/>
          <cell r="AD367">
            <v>0</v>
          </cell>
          <cell r="AE367">
            <v>0</v>
          </cell>
          <cell r="AF367">
            <v>0</v>
          </cell>
          <cell r="AG367">
            <v>0</v>
          </cell>
          <cell r="AH367">
            <v>0</v>
          </cell>
          <cell r="AI367">
            <v>0</v>
          </cell>
          <cell r="AJ367">
            <v>0</v>
          </cell>
          <cell r="AK367">
            <v>0</v>
          </cell>
          <cell r="AL367"/>
          <cell r="AM367">
            <v>0</v>
          </cell>
          <cell r="AN367">
            <v>0</v>
          </cell>
          <cell r="AO367">
            <v>0</v>
          </cell>
          <cell r="AP367">
            <v>0</v>
          </cell>
          <cell r="AQ367">
            <v>0</v>
          </cell>
          <cell r="AR367">
            <v>0</v>
          </cell>
          <cell r="AS367">
            <v>0</v>
          </cell>
          <cell r="AT367">
            <v>0</v>
          </cell>
          <cell r="AU367">
            <v>2370</v>
          </cell>
          <cell r="AV367">
            <v>0</v>
          </cell>
          <cell r="AW367">
            <v>0</v>
          </cell>
          <cell r="AX367">
            <v>0</v>
          </cell>
          <cell r="AY367"/>
          <cell r="AZ367"/>
          <cell r="BA367">
            <v>0</v>
          </cell>
          <cell r="BB367"/>
          <cell r="BC367">
            <v>0</v>
          </cell>
          <cell r="BD367">
            <v>7266</v>
          </cell>
          <cell r="BE367"/>
          <cell r="BF367">
            <v>0</v>
          </cell>
          <cell r="BG367">
            <v>0</v>
          </cell>
          <cell r="BH367">
            <v>0</v>
          </cell>
          <cell r="BI367">
            <v>30123</v>
          </cell>
          <cell r="BJ367">
            <v>24796</v>
          </cell>
          <cell r="BK367">
            <v>24796</v>
          </cell>
          <cell r="BL367">
            <v>0</v>
          </cell>
          <cell r="BM367">
            <v>0</v>
          </cell>
          <cell r="BN367">
            <v>0</v>
          </cell>
          <cell r="BO367">
            <v>84638</v>
          </cell>
          <cell r="BP367">
            <v>12651.2</v>
          </cell>
          <cell r="BQ367">
            <v>22790.697674418599</v>
          </cell>
          <cell r="BR367">
            <v>0</v>
          </cell>
          <cell r="BS367">
            <v>0</v>
          </cell>
          <cell r="BT367">
            <v>34620</v>
          </cell>
          <cell r="BU367"/>
          <cell r="BV367"/>
          <cell r="BW367"/>
          <cell r="BX367"/>
          <cell r="BY367">
            <v>0</v>
          </cell>
          <cell r="BZ367">
            <v>0</v>
          </cell>
          <cell r="CA367">
            <v>0</v>
          </cell>
          <cell r="CB367">
            <v>0</v>
          </cell>
          <cell r="CC367">
            <v>1857348</v>
          </cell>
          <cell r="CD367">
            <v>10576095</v>
          </cell>
          <cell r="CE367">
            <v>875792</v>
          </cell>
          <cell r="CF367">
            <v>0</v>
          </cell>
          <cell r="CG367">
            <v>875792</v>
          </cell>
          <cell r="CH367">
            <v>875792</v>
          </cell>
          <cell r="CI367">
            <v>875792</v>
          </cell>
          <cell r="CJ367">
            <v>875792</v>
          </cell>
          <cell r="CK367">
            <v>0</v>
          </cell>
          <cell r="CL367">
            <v>0</v>
          </cell>
          <cell r="CM367">
            <v>0</v>
          </cell>
          <cell r="CN367">
            <v>0</v>
          </cell>
          <cell r="CO367">
            <v>0</v>
          </cell>
          <cell r="CP367">
            <v>0</v>
          </cell>
          <cell r="CQ367">
            <v>2951396</v>
          </cell>
          <cell r="CR367">
            <v>2756196</v>
          </cell>
          <cell r="CS367">
            <v>2631720</v>
          </cell>
          <cell r="CT367">
            <v>2528368</v>
          </cell>
          <cell r="CU367">
            <v>2414803</v>
          </cell>
          <cell r="CV367">
            <v>-2253</v>
          </cell>
          <cell r="CW367">
            <v>0</v>
          </cell>
          <cell r="CX367">
            <v>0</v>
          </cell>
          <cell r="CY367">
            <v>0</v>
          </cell>
          <cell r="CZ367">
            <v>0</v>
          </cell>
          <cell r="DA367">
            <v>0</v>
          </cell>
          <cell r="DB367"/>
          <cell r="DC367">
            <v>0</v>
          </cell>
          <cell r="DD367">
            <v>0</v>
          </cell>
          <cell r="DE367">
            <v>0</v>
          </cell>
          <cell r="DF367">
            <v>0</v>
          </cell>
          <cell r="DG367">
            <v>0</v>
          </cell>
          <cell r="DH367">
            <v>0</v>
          </cell>
          <cell r="DI367">
            <v>0</v>
          </cell>
          <cell r="DJ367">
            <v>0</v>
          </cell>
          <cell r="DK367">
            <v>0</v>
          </cell>
          <cell r="DL367">
            <v>0</v>
          </cell>
          <cell r="DM367"/>
          <cell r="DN367"/>
          <cell r="DO367"/>
          <cell r="DP367"/>
        </row>
        <row r="368">
          <cell r="A368">
            <v>957</v>
          </cell>
          <cell r="B368" t="str">
            <v>Roermond</v>
          </cell>
          <cell r="C368">
            <v>11</v>
          </cell>
          <cell r="D368">
            <v>65589</v>
          </cell>
          <cell r="E368">
            <v>32795</v>
          </cell>
          <cell r="F368">
            <v>0</v>
          </cell>
          <cell r="G368">
            <v>28285</v>
          </cell>
          <cell r="H368">
            <v>92060</v>
          </cell>
          <cell r="I368">
            <v>0</v>
          </cell>
          <cell r="J368"/>
          <cell r="K368">
            <v>0</v>
          </cell>
          <cell r="L368">
            <v>366089</v>
          </cell>
          <cell r="M368">
            <v>371394</v>
          </cell>
          <cell r="N368">
            <v>0</v>
          </cell>
          <cell r="O368">
            <v>0</v>
          </cell>
          <cell r="P368">
            <v>0</v>
          </cell>
          <cell r="Q368">
            <v>0</v>
          </cell>
          <cell r="R368">
            <v>0</v>
          </cell>
          <cell r="S368">
            <v>0</v>
          </cell>
          <cell r="T368">
            <v>0</v>
          </cell>
          <cell r="U368">
            <v>0</v>
          </cell>
          <cell r="V368">
            <v>48000</v>
          </cell>
          <cell r="W368">
            <v>175367</v>
          </cell>
          <cell r="X368">
            <v>0</v>
          </cell>
          <cell r="Y368"/>
          <cell r="Z368">
            <v>0</v>
          </cell>
          <cell r="AA368">
            <v>0</v>
          </cell>
          <cell r="AB368">
            <v>0</v>
          </cell>
          <cell r="AC368"/>
          <cell r="AD368">
            <v>100713</v>
          </cell>
          <cell r="AE368">
            <v>0</v>
          </cell>
          <cell r="AF368">
            <v>0</v>
          </cell>
          <cell r="AG368">
            <v>0</v>
          </cell>
          <cell r="AH368">
            <v>0</v>
          </cell>
          <cell r="AI368">
            <v>0</v>
          </cell>
          <cell r="AJ368">
            <v>0</v>
          </cell>
          <cell r="AK368">
            <v>0</v>
          </cell>
          <cell r="AL368"/>
          <cell r="AM368">
            <v>0</v>
          </cell>
          <cell r="AN368">
            <v>0</v>
          </cell>
          <cell r="AO368">
            <v>0</v>
          </cell>
          <cell r="AP368">
            <v>0</v>
          </cell>
          <cell r="AQ368">
            <v>0</v>
          </cell>
          <cell r="AR368">
            <v>0</v>
          </cell>
          <cell r="AS368">
            <v>0</v>
          </cell>
          <cell r="AT368">
            <v>0</v>
          </cell>
          <cell r="AU368">
            <v>0</v>
          </cell>
          <cell r="AV368">
            <v>0</v>
          </cell>
          <cell r="AW368">
            <v>80000</v>
          </cell>
          <cell r="AX368">
            <v>0</v>
          </cell>
          <cell r="AY368"/>
          <cell r="AZ368"/>
          <cell r="BA368">
            <v>0</v>
          </cell>
          <cell r="BB368"/>
          <cell r="BC368">
            <v>0</v>
          </cell>
          <cell r="BD368">
            <v>20146</v>
          </cell>
          <cell r="BE368"/>
          <cell r="BF368">
            <v>0</v>
          </cell>
          <cell r="BG368">
            <v>0</v>
          </cell>
          <cell r="BH368">
            <v>0</v>
          </cell>
          <cell r="BI368">
            <v>126650</v>
          </cell>
          <cell r="BJ368">
            <v>104252</v>
          </cell>
          <cell r="BK368">
            <v>104252</v>
          </cell>
          <cell r="BL368">
            <v>0</v>
          </cell>
          <cell r="BM368">
            <v>0</v>
          </cell>
          <cell r="BN368">
            <v>0</v>
          </cell>
          <cell r="BO368">
            <v>239323</v>
          </cell>
          <cell r="BP368">
            <v>28465.200000000001</v>
          </cell>
          <cell r="BQ368">
            <v>51279.069767441899</v>
          </cell>
          <cell r="BR368">
            <v>0</v>
          </cell>
          <cell r="BS368">
            <v>0</v>
          </cell>
          <cell r="BT368">
            <v>99130</v>
          </cell>
          <cell r="BU368"/>
          <cell r="BV368"/>
          <cell r="BW368"/>
          <cell r="BX368"/>
          <cell r="BY368">
            <v>0</v>
          </cell>
          <cell r="BZ368">
            <v>0</v>
          </cell>
          <cell r="CA368">
            <v>0</v>
          </cell>
          <cell r="CB368">
            <v>0</v>
          </cell>
          <cell r="CC368">
            <v>5471504</v>
          </cell>
          <cell r="CD368">
            <v>38728096</v>
          </cell>
          <cell r="CE368">
            <v>2821261</v>
          </cell>
          <cell r="CF368">
            <v>0</v>
          </cell>
          <cell r="CG368">
            <v>2821261</v>
          </cell>
          <cell r="CH368">
            <v>2821261</v>
          </cell>
          <cell r="CI368">
            <v>2821261</v>
          </cell>
          <cell r="CJ368">
            <v>2821261</v>
          </cell>
          <cell r="CK368">
            <v>0</v>
          </cell>
          <cell r="CL368">
            <v>0</v>
          </cell>
          <cell r="CM368">
            <v>0</v>
          </cell>
          <cell r="CN368">
            <v>0</v>
          </cell>
          <cell r="CO368">
            <v>0</v>
          </cell>
          <cell r="CP368">
            <v>0</v>
          </cell>
          <cell r="CQ368">
            <v>11677816</v>
          </cell>
          <cell r="CR368">
            <v>11016173</v>
          </cell>
          <cell r="CS368">
            <v>10633438</v>
          </cell>
          <cell r="CT368">
            <v>10366924</v>
          </cell>
          <cell r="CU368">
            <v>9979559</v>
          </cell>
          <cell r="CV368">
            <v>-17155</v>
          </cell>
          <cell r="CW368">
            <v>0</v>
          </cell>
          <cell r="CX368">
            <v>0</v>
          </cell>
          <cell r="CY368">
            <v>0</v>
          </cell>
          <cell r="CZ368">
            <v>0</v>
          </cell>
          <cell r="DA368">
            <v>0</v>
          </cell>
          <cell r="DB368"/>
          <cell r="DC368">
            <v>0</v>
          </cell>
          <cell r="DD368">
            <v>0</v>
          </cell>
          <cell r="DE368">
            <v>0</v>
          </cell>
          <cell r="DF368">
            <v>0</v>
          </cell>
          <cell r="DG368">
            <v>0</v>
          </cell>
          <cell r="DH368">
            <v>0</v>
          </cell>
          <cell r="DI368">
            <v>0</v>
          </cell>
          <cell r="DJ368">
            <v>0</v>
          </cell>
          <cell r="DK368">
            <v>0</v>
          </cell>
          <cell r="DL368">
            <v>0</v>
          </cell>
          <cell r="DM368"/>
          <cell r="DN368"/>
          <cell r="DO368"/>
          <cell r="DP368"/>
        </row>
        <row r="369">
          <cell r="A369">
            <v>962</v>
          </cell>
          <cell r="B369" t="str">
            <v>Schinnen</v>
          </cell>
          <cell r="C369">
            <v>11</v>
          </cell>
          <cell r="D369">
            <v>2586</v>
          </cell>
          <cell r="E369">
            <v>1293</v>
          </cell>
          <cell r="F369">
            <v>0</v>
          </cell>
          <cell r="G369">
            <v>0</v>
          </cell>
          <cell r="H369">
            <v>539318</v>
          </cell>
          <cell r="I369">
            <v>1093772</v>
          </cell>
          <cell r="J369"/>
          <cell r="K369">
            <v>0</v>
          </cell>
          <cell r="L369">
            <v>39275</v>
          </cell>
          <cell r="M369">
            <v>39996</v>
          </cell>
          <cell r="N369">
            <v>0</v>
          </cell>
          <cell r="O369">
            <v>0</v>
          </cell>
          <cell r="P369">
            <v>0</v>
          </cell>
          <cell r="Q369">
            <v>0</v>
          </cell>
          <cell r="R369">
            <v>0</v>
          </cell>
          <cell r="S369">
            <v>0</v>
          </cell>
          <cell r="T369">
            <v>0</v>
          </cell>
          <cell r="U369">
            <v>0</v>
          </cell>
          <cell r="V369">
            <v>0</v>
          </cell>
          <cell r="W369">
            <v>49178</v>
          </cell>
          <cell r="X369">
            <v>0</v>
          </cell>
          <cell r="Y369"/>
          <cell r="Z369">
            <v>0</v>
          </cell>
          <cell r="AA369">
            <v>0</v>
          </cell>
          <cell r="AB369">
            <v>0</v>
          </cell>
          <cell r="AC369"/>
          <cell r="AD369">
            <v>0</v>
          </cell>
          <cell r="AE369">
            <v>0</v>
          </cell>
          <cell r="AF369">
            <v>0</v>
          </cell>
          <cell r="AG369">
            <v>0</v>
          </cell>
          <cell r="AH369">
            <v>0</v>
          </cell>
          <cell r="AI369">
            <v>0</v>
          </cell>
          <cell r="AJ369">
            <v>0</v>
          </cell>
          <cell r="AK369">
            <v>0</v>
          </cell>
          <cell r="AL369"/>
          <cell r="AM369">
            <v>0</v>
          </cell>
          <cell r="AN369">
            <v>0</v>
          </cell>
          <cell r="AO369">
            <v>0</v>
          </cell>
          <cell r="AP369">
            <v>0</v>
          </cell>
          <cell r="AQ369">
            <v>0</v>
          </cell>
          <cell r="AR369">
            <v>0</v>
          </cell>
          <cell r="AS369">
            <v>0</v>
          </cell>
          <cell r="AT369">
            <v>0</v>
          </cell>
          <cell r="AU369">
            <v>0</v>
          </cell>
          <cell r="AV369">
            <v>0</v>
          </cell>
          <cell r="AW369">
            <v>0</v>
          </cell>
          <cell r="AX369">
            <v>0</v>
          </cell>
          <cell r="AY369"/>
          <cell r="AZ369"/>
          <cell r="BA369">
            <v>0</v>
          </cell>
          <cell r="BB369"/>
          <cell r="BC369">
            <v>0</v>
          </cell>
          <cell r="BD369">
            <v>22727</v>
          </cell>
          <cell r="BE369"/>
          <cell r="BF369">
            <v>0</v>
          </cell>
          <cell r="BG369">
            <v>0</v>
          </cell>
          <cell r="BH369">
            <v>0</v>
          </cell>
          <cell r="BI369">
            <v>17357</v>
          </cell>
          <cell r="BJ369">
            <v>14287</v>
          </cell>
          <cell r="BK369">
            <v>14287</v>
          </cell>
          <cell r="BL369">
            <v>0</v>
          </cell>
          <cell r="BM369">
            <v>0</v>
          </cell>
          <cell r="BN369">
            <v>0</v>
          </cell>
          <cell r="BO369">
            <v>31618</v>
          </cell>
          <cell r="BP369">
            <v>4744.2</v>
          </cell>
          <cell r="BQ369">
            <v>8546.5116279069807</v>
          </cell>
          <cell r="BR369">
            <v>0</v>
          </cell>
          <cell r="BS369">
            <v>0</v>
          </cell>
          <cell r="BT369">
            <v>19240</v>
          </cell>
          <cell r="BU369"/>
          <cell r="BV369"/>
          <cell r="BW369"/>
          <cell r="BX369"/>
          <cell r="BY369">
            <v>0</v>
          </cell>
          <cell r="BZ369">
            <v>0</v>
          </cell>
          <cell r="CA369">
            <v>0</v>
          </cell>
          <cell r="CB369">
            <v>0</v>
          </cell>
          <cell r="CC369">
            <v>1124891</v>
          </cell>
          <cell r="CD369">
            <v>5618110</v>
          </cell>
          <cell r="CE369">
            <v>361394</v>
          </cell>
          <cell r="CF369">
            <v>0</v>
          </cell>
          <cell r="CG369">
            <v>361394</v>
          </cell>
          <cell r="CH369">
            <v>361394</v>
          </cell>
          <cell r="CI369">
            <v>361394</v>
          </cell>
          <cell r="CJ369">
            <v>361394</v>
          </cell>
          <cell r="CK369">
            <v>0</v>
          </cell>
          <cell r="CL369">
            <v>0</v>
          </cell>
          <cell r="CM369">
            <v>0</v>
          </cell>
          <cell r="CN369">
            <v>0</v>
          </cell>
          <cell r="CO369">
            <v>0</v>
          </cell>
          <cell r="CP369">
            <v>244490</v>
          </cell>
          <cell r="CQ369">
            <v>839177</v>
          </cell>
          <cell r="CR369">
            <v>761299</v>
          </cell>
          <cell r="CS369">
            <v>743534</v>
          </cell>
          <cell r="CT369">
            <v>714840</v>
          </cell>
          <cell r="CU369">
            <v>689381</v>
          </cell>
          <cell r="CV369">
            <v>-10995</v>
          </cell>
          <cell r="CW369">
            <v>0</v>
          </cell>
          <cell r="CX369">
            <v>0</v>
          </cell>
          <cell r="CY369">
            <v>0</v>
          </cell>
          <cell r="CZ369">
            <v>0</v>
          </cell>
          <cell r="DA369">
            <v>0</v>
          </cell>
          <cell r="DB369"/>
          <cell r="DC369">
            <v>0</v>
          </cell>
          <cell r="DD369">
            <v>0</v>
          </cell>
          <cell r="DE369">
            <v>0</v>
          </cell>
          <cell r="DF369">
            <v>0</v>
          </cell>
          <cell r="DG369">
            <v>0</v>
          </cell>
          <cell r="DH369">
            <v>0</v>
          </cell>
          <cell r="DI369">
            <v>0</v>
          </cell>
          <cell r="DJ369">
            <v>0</v>
          </cell>
          <cell r="DK369">
            <v>0</v>
          </cell>
          <cell r="DL369">
            <v>0</v>
          </cell>
          <cell r="DM369"/>
          <cell r="DN369"/>
          <cell r="DO369"/>
          <cell r="DP369"/>
        </row>
        <row r="370">
          <cell r="A370">
            <v>965</v>
          </cell>
          <cell r="B370" t="str">
            <v>Simpelveld</v>
          </cell>
          <cell r="C370">
            <v>11</v>
          </cell>
          <cell r="D370">
            <v>27278</v>
          </cell>
          <cell r="E370">
            <v>13639</v>
          </cell>
          <cell r="F370">
            <v>0</v>
          </cell>
          <cell r="G370">
            <v>0</v>
          </cell>
          <cell r="H370">
            <v>-1833</v>
          </cell>
          <cell r="I370">
            <v>0</v>
          </cell>
          <cell r="J370"/>
          <cell r="K370">
            <v>0</v>
          </cell>
          <cell r="L370">
            <v>31794</v>
          </cell>
          <cell r="M370">
            <v>31973</v>
          </cell>
          <cell r="N370">
            <v>0</v>
          </cell>
          <cell r="O370">
            <v>0</v>
          </cell>
          <cell r="P370">
            <v>0</v>
          </cell>
          <cell r="Q370">
            <v>0</v>
          </cell>
          <cell r="R370">
            <v>0</v>
          </cell>
          <cell r="S370">
            <v>0</v>
          </cell>
          <cell r="T370">
            <v>0</v>
          </cell>
          <cell r="U370">
            <v>0</v>
          </cell>
          <cell r="V370">
            <v>0</v>
          </cell>
          <cell r="W370">
            <v>38876</v>
          </cell>
          <cell r="X370">
            <v>0</v>
          </cell>
          <cell r="Y370"/>
          <cell r="Z370">
            <v>0</v>
          </cell>
          <cell r="AA370">
            <v>0</v>
          </cell>
          <cell r="AB370">
            <v>0</v>
          </cell>
          <cell r="AC370"/>
          <cell r="AD370">
            <v>0</v>
          </cell>
          <cell r="AE370">
            <v>0</v>
          </cell>
          <cell r="AF370">
            <v>0</v>
          </cell>
          <cell r="AG370">
            <v>0</v>
          </cell>
          <cell r="AH370">
            <v>0</v>
          </cell>
          <cell r="AI370">
            <v>0</v>
          </cell>
          <cell r="AJ370">
            <v>0</v>
          </cell>
          <cell r="AK370">
            <v>0</v>
          </cell>
          <cell r="AL370"/>
          <cell r="AM370">
            <v>0</v>
          </cell>
          <cell r="AN370">
            <v>0</v>
          </cell>
          <cell r="AO370">
            <v>0</v>
          </cell>
          <cell r="AP370">
            <v>0</v>
          </cell>
          <cell r="AQ370">
            <v>0</v>
          </cell>
          <cell r="AR370">
            <v>0</v>
          </cell>
          <cell r="AS370">
            <v>0</v>
          </cell>
          <cell r="AT370">
            <v>0</v>
          </cell>
          <cell r="AU370">
            <v>2370</v>
          </cell>
          <cell r="AV370">
            <v>0</v>
          </cell>
          <cell r="AW370">
            <v>0</v>
          </cell>
          <cell r="AX370">
            <v>0</v>
          </cell>
          <cell r="AY370"/>
          <cell r="AZ370"/>
          <cell r="BA370">
            <v>0</v>
          </cell>
          <cell r="BB370"/>
          <cell r="BC370">
            <v>0</v>
          </cell>
          <cell r="BD370">
            <v>3711</v>
          </cell>
          <cell r="BE370"/>
          <cell r="BF370">
            <v>0</v>
          </cell>
          <cell r="BG370">
            <v>0</v>
          </cell>
          <cell r="BH370">
            <v>0</v>
          </cell>
          <cell r="BI370">
            <v>17816</v>
          </cell>
          <cell r="BJ370">
            <v>14665</v>
          </cell>
          <cell r="BK370">
            <v>14665</v>
          </cell>
          <cell r="BL370">
            <v>0</v>
          </cell>
          <cell r="BM370">
            <v>0</v>
          </cell>
          <cell r="BN370">
            <v>0</v>
          </cell>
          <cell r="BO370">
            <v>13620</v>
          </cell>
          <cell r="BP370">
            <v>1581.4</v>
          </cell>
          <cell r="BQ370">
            <v>2848.8372093023299</v>
          </cell>
          <cell r="BR370">
            <v>0</v>
          </cell>
          <cell r="BS370">
            <v>0</v>
          </cell>
          <cell r="BT370">
            <v>15796</v>
          </cell>
          <cell r="BU370"/>
          <cell r="BV370"/>
          <cell r="BW370"/>
          <cell r="BX370"/>
          <cell r="BY370">
            <v>0</v>
          </cell>
          <cell r="BZ370">
            <v>0</v>
          </cell>
          <cell r="CA370">
            <v>0</v>
          </cell>
          <cell r="CB370">
            <v>0</v>
          </cell>
          <cell r="CC370">
            <v>1103752</v>
          </cell>
          <cell r="CD370">
            <v>7318643</v>
          </cell>
          <cell r="CE370">
            <v>881570</v>
          </cell>
          <cell r="CF370">
            <v>0</v>
          </cell>
          <cell r="CG370">
            <v>881570</v>
          </cell>
          <cell r="CH370">
            <v>881570</v>
          </cell>
          <cell r="CI370">
            <v>881570</v>
          </cell>
          <cell r="CJ370">
            <v>881570</v>
          </cell>
          <cell r="CK370">
            <v>0</v>
          </cell>
          <cell r="CL370">
            <v>0</v>
          </cell>
          <cell r="CM370">
            <v>0</v>
          </cell>
          <cell r="CN370">
            <v>0</v>
          </cell>
          <cell r="CO370">
            <v>0</v>
          </cell>
          <cell r="CP370">
            <v>0</v>
          </cell>
          <cell r="CQ370">
            <v>2383495</v>
          </cell>
          <cell r="CR370">
            <v>2232852</v>
          </cell>
          <cell r="CS370">
            <v>2109292</v>
          </cell>
          <cell r="CT370">
            <v>2004259</v>
          </cell>
          <cell r="CU370">
            <v>1856192</v>
          </cell>
          <cell r="CV370">
            <v>6967</v>
          </cell>
          <cell r="CW370">
            <v>0</v>
          </cell>
          <cell r="CX370">
            <v>0</v>
          </cell>
          <cell r="CY370">
            <v>0</v>
          </cell>
          <cell r="CZ370">
            <v>0</v>
          </cell>
          <cell r="DA370">
            <v>0</v>
          </cell>
          <cell r="DB370"/>
          <cell r="DC370">
            <v>0</v>
          </cell>
          <cell r="DD370">
            <v>0</v>
          </cell>
          <cell r="DE370">
            <v>0</v>
          </cell>
          <cell r="DF370">
            <v>0</v>
          </cell>
          <cell r="DG370">
            <v>0</v>
          </cell>
          <cell r="DH370">
            <v>0</v>
          </cell>
          <cell r="DI370">
            <v>0</v>
          </cell>
          <cell r="DJ370">
            <v>0</v>
          </cell>
          <cell r="DK370">
            <v>0</v>
          </cell>
          <cell r="DL370">
            <v>0</v>
          </cell>
          <cell r="DM370"/>
          <cell r="DN370"/>
          <cell r="DO370"/>
          <cell r="DP370"/>
        </row>
        <row r="371">
          <cell r="A371">
            <v>1883</v>
          </cell>
          <cell r="B371" t="str">
            <v>Sittard-Geleen</v>
          </cell>
          <cell r="C371">
            <v>11</v>
          </cell>
          <cell r="D371">
            <v>158310</v>
          </cell>
          <cell r="E371">
            <v>79155</v>
          </cell>
          <cell r="F371">
            <v>0</v>
          </cell>
          <cell r="G371">
            <v>6329</v>
          </cell>
          <cell r="H371">
            <v>-34756</v>
          </cell>
          <cell r="I371">
            <v>0</v>
          </cell>
          <cell r="J371"/>
          <cell r="K371">
            <v>0</v>
          </cell>
          <cell r="L371">
            <v>489445</v>
          </cell>
          <cell r="M371">
            <v>471385</v>
          </cell>
          <cell r="N371">
            <v>0</v>
          </cell>
          <cell r="O371">
            <v>0</v>
          </cell>
          <cell r="P371">
            <v>150000</v>
          </cell>
          <cell r="Q371">
            <v>0</v>
          </cell>
          <cell r="R371">
            <v>765230</v>
          </cell>
          <cell r="S371">
            <v>0</v>
          </cell>
          <cell r="T371">
            <v>0</v>
          </cell>
          <cell r="U371">
            <v>0</v>
          </cell>
          <cell r="V371">
            <v>9000</v>
          </cell>
          <cell r="W371">
            <v>338801</v>
          </cell>
          <cell r="X371">
            <v>0</v>
          </cell>
          <cell r="Y371"/>
          <cell r="Z371">
            <v>0</v>
          </cell>
          <cell r="AA371">
            <v>0</v>
          </cell>
          <cell r="AB371">
            <v>0</v>
          </cell>
          <cell r="AC371"/>
          <cell r="AD371">
            <v>157425</v>
          </cell>
          <cell r="AE371">
            <v>0</v>
          </cell>
          <cell r="AF371">
            <v>0</v>
          </cell>
          <cell r="AG371">
            <v>0</v>
          </cell>
          <cell r="AH371">
            <v>0</v>
          </cell>
          <cell r="AI371">
            <v>0</v>
          </cell>
          <cell r="AJ371">
            <v>0</v>
          </cell>
          <cell r="AK371">
            <v>176185</v>
          </cell>
          <cell r="AL371"/>
          <cell r="AM371">
            <v>0</v>
          </cell>
          <cell r="AN371">
            <v>0</v>
          </cell>
          <cell r="AO371">
            <v>0</v>
          </cell>
          <cell r="AP371">
            <v>0</v>
          </cell>
          <cell r="AQ371">
            <v>0</v>
          </cell>
          <cell r="AR371">
            <v>0</v>
          </cell>
          <cell r="AS371">
            <v>0</v>
          </cell>
          <cell r="AT371">
            <v>20000</v>
          </cell>
          <cell r="AU371">
            <v>9480</v>
          </cell>
          <cell r="AV371">
            <v>0</v>
          </cell>
          <cell r="AW371">
            <v>0</v>
          </cell>
          <cell r="AX371">
            <v>0</v>
          </cell>
          <cell r="AY371"/>
          <cell r="AZ371"/>
          <cell r="BA371">
            <v>0</v>
          </cell>
          <cell r="BB371"/>
          <cell r="BC371">
            <v>0</v>
          </cell>
          <cell r="BD371">
            <v>32758</v>
          </cell>
          <cell r="BE371"/>
          <cell r="BF371">
            <v>0</v>
          </cell>
          <cell r="BG371">
            <v>0</v>
          </cell>
          <cell r="BH371">
            <v>0</v>
          </cell>
          <cell r="BI371">
            <v>197384</v>
          </cell>
          <cell r="BJ371">
            <v>162477</v>
          </cell>
          <cell r="BK371">
            <v>162477</v>
          </cell>
          <cell r="BL371">
            <v>0</v>
          </cell>
          <cell r="BM371">
            <v>0</v>
          </cell>
          <cell r="BN371">
            <v>0</v>
          </cell>
          <cell r="BO371">
            <v>213055</v>
          </cell>
          <cell r="BP371">
            <v>42697.8</v>
          </cell>
          <cell r="BQ371">
            <v>76918.604651162794</v>
          </cell>
          <cell r="BR371">
            <v>0</v>
          </cell>
          <cell r="BS371">
            <v>0</v>
          </cell>
          <cell r="BT371">
            <v>147691</v>
          </cell>
          <cell r="BU371"/>
          <cell r="BV371"/>
          <cell r="BW371"/>
          <cell r="BX371"/>
          <cell r="BY371">
            <v>0</v>
          </cell>
          <cell r="BZ371">
            <v>0</v>
          </cell>
          <cell r="CA371">
            <v>0</v>
          </cell>
          <cell r="CB371">
            <v>0</v>
          </cell>
          <cell r="CC371">
            <v>9859039</v>
          </cell>
          <cell r="CD371">
            <v>57736431</v>
          </cell>
          <cell r="CE371">
            <v>1676246</v>
          </cell>
          <cell r="CF371">
            <v>0</v>
          </cell>
          <cell r="CG371">
            <v>1676246</v>
          </cell>
          <cell r="CH371">
            <v>1676246</v>
          </cell>
          <cell r="CI371">
            <v>1676246</v>
          </cell>
          <cell r="CJ371">
            <v>1676246</v>
          </cell>
          <cell r="CK371">
            <v>0</v>
          </cell>
          <cell r="CL371">
            <v>0</v>
          </cell>
          <cell r="CM371">
            <v>0</v>
          </cell>
          <cell r="CN371">
            <v>0</v>
          </cell>
          <cell r="CO371">
            <v>0</v>
          </cell>
          <cell r="CP371">
            <v>0</v>
          </cell>
          <cell r="CQ371">
            <v>14250835</v>
          </cell>
          <cell r="CR371">
            <v>13357396</v>
          </cell>
          <cell r="CS371">
            <v>12757133</v>
          </cell>
          <cell r="CT371">
            <v>12279516</v>
          </cell>
          <cell r="CU371">
            <v>11881646</v>
          </cell>
          <cell r="CV371">
            <v>93735</v>
          </cell>
          <cell r="CW371">
            <v>0</v>
          </cell>
          <cell r="CX371">
            <v>0</v>
          </cell>
          <cell r="CY371">
            <v>0</v>
          </cell>
          <cell r="CZ371">
            <v>0</v>
          </cell>
          <cell r="DA371">
            <v>0</v>
          </cell>
          <cell r="DB371"/>
          <cell r="DC371">
            <v>0</v>
          </cell>
          <cell r="DD371">
            <v>0</v>
          </cell>
          <cell r="DE371">
            <v>0</v>
          </cell>
          <cell r="DF371">
            <v>0</v>
          </cell>
          <cell r="DG371">
            <v>0</v>
          </cell>
          <cell r="DH371">
            <v>0</v>
          </cell>
          <cell r="DI371">
            <v>0</v>
          </cell>
          <cell r="DJ371">
            <v>0</v>
          </cell>
          <cell r="DK371">
            <v>0</v>
          </cell>
          <cell r="DL371">
            <v>0</v>
          </cell>
          <cell r="DM371"/>
          <cell r="DN371"/>
          <cell r="DO371"/>
          <cell r="DP371"/>
        </row>
        <row r="372">
          <cell r="A372">
            <v>971</v>
          </cell>
          <cell r="B372" t="str">
            <v>Stein</v>
          </cell>
          <cell r="C372">
            <v>11</v>
          </cell>
          <cell r="D372">
            <v>29309</v>
          </cell>
          <cell r="E372">
            <v>14654</v>
          </cell>
          <cell r="F372">
            <v>0</v>
          </cell>
          <cell r="G372">
            <v>0</v>
          </cell>
          <cell r="H372">
            <v>-3103</v>
          </cell>
          <cell r="I372">
            <v>-514</v>
          </cell>
          <cell r="J372"/>
          <cell r="K372">
            <v>0</v>
          </cell>
          <cell r="L372">
            <v>83564</v>
          </cell>
          <cell r="M372">
            <v>77136</v>
          </cell>
          <cell r="N372">
            <v>0</v>
          </cell>
          <cell r="O372">
            <v>0</v>
          </cell>
          <cell r="P372">
            <v>0</v>
          </cell>
          <cell r="Q372">
            <v>0</v>
          </cell>
          <cell r="R372">
            <v>0</v>
          </cell>
          <cell r="S372">
            <v>0</v>
          </cell>
          <cell r="T372">
            <v>0</v>
          </cell>
          <cell r="U372">
            <v>0</v>
          </cell>
          <cell r="V372">
            <v>0</v>
          </cell>
          <cell r="W372">
            <v>67480</v>
          </cell>
          <cell r="X372">
            <v>0</v>
          </cell>
          <cell r="Y372"/>
          <cell r="Z372">
            <v>0</v>
          </cell>
          <cell r="AA372">
            <v>0</v>
          </cell>
          <cell r="AB372">
            <v>0</v>
          </cell>
          <cell r="AC372"/>
          <cell r="AD372">
            <v>0</v>
          </cell>
          <cell r="AE372">
            <v>0</v>
          </cell>
          <cell r="AF372">
            <v>0</v>
          </cell>
          <cell r="AG372">
            <v>0</v>
          </cell>
          <cell r="AH372">
            <v>0</v>
          </cell>
          <cell r="AI372">
            <v>0</v>
          </cell>
          <cell r="AJ372">
            <v>0</v>
          </cell>
          <cell r="AK372">
            <v>0</v>
          </cell>
          <cell r="AL372"/>
          <cell r="AM372">
            <v>0</v>
          </cell>
          <cell r="AN372">
            <v>0</v>
          </cell>
          <cell r="AO372">
            <v>0</v>
          </cell>
          <cell r="AP372">
            <v>0</v>
          </cell>
          <cell r="AQ372">
            <v>0</v>
          </cell>
          <cell r="AR372">
            <v>0</v>
          </cell>
          <cell r="AS372">
            <v>0</v>
          </cell>
          <cell r="AT372">
            <v>0</v>
          </cell>
          <cell r="AU372">
            <v>4740</v>
          </cell>
          <cell r="AV372">
            <v>0</v>
          </cell>
          <cell r="AW372">
            <v>0</v>
          </cell>
          <cell r="AX372">
            <v>0</v>
          </cell>
          <cell r="AY372"/>
          <cell r="AZ372"/>
          <cell r="BA372">
            <v>0</v>
          </cell>
          <cell r="BB372"/>
          <cell r="BC372">
            <v>0</v>
          </cell>
          <cell r="BD372">
            <v>8797</v>
          </cell>
          <cell r="BE372"/>
          <cell r="BF372">
            <v>0</v>
          </cell>
          <cell r="BG372">
            <v>0</v>
          </cell>
          <cell r="BH372">
            <v>0</v>
          </cell>
          <cell r="BI372">
            <v>38960</v>
          </cell>
          <cell r="BJ372">
            <v>32070</v>
          </cell>
          <cell r="BK372">
            <v>32070</v>
          </cell>
          <cell r="BL372">
            <v>0</v>
          </cell>
          <cell r="BM372">
            <v>0</v>
          </cell>
          <cell r="BN372">
            <v>0</v>
          </cell>
          <cell r="BO372">
            <v>149333</v>
          </cell>
          <cell r="BP372">
            <v>4744.2</v>
          </cell>
          <cell r="BQ372">
            <v>8546.5116279069807</v>
          </cell>
          <cell r="BR372">
            <v>0</v>
          </cell>
          <cell r="BS372">
            <v>0</v>
          </cell>
          <cell r="BT372">
            <v>32292</v>
          </cell>
          <cell r="BU372"/>
          <cell r="BV372"/>
          <cell r="BW372"/>
          <cell r="BX372"/>
          <cell r="BY372">
            <v>0</v>
          </cell>
          <cell r="BZ372">
            <v>0</v>
          </cell>
          <cell r="CA372">
            <v>0</v>
          </cell>
          <cell r="CB372">
            <v>0</v>
          </cell>
          <cell r="CC372">
            <v>2492701</v>
          </cell>
          <cell r="CD372">
            <v>12510571</v>
          </cell>
          <cell r="CE372">
            <v>437134</v>
          </cell>
          <cell r="CF372">
            <v>0</v>
          </cell>
          <cell r="CG372">
            <v>437134</v>
          </cell>
          <cell r="CH372">
            <v>437134</v>
          </cell>
          <cell r="CI372">
            <v>437134</v>
          </cell>
          <cell r="CJ372">
            <v>437134</v>
          </cell>
          <cell r="CK372">
            <v>0</v>
          </cell>
          <cell r="CL372">
            <v>0</v>
          </cell>
          <cell r="CM372">
            <v>0</v>
          </cell>
          <cell r="CN372">
            <v>0</v>
          </cell>
          <cell r="CO372">
            <v>0</v>
          </cell>
          <cell r="CP372">
            <v>-187</v>
          </cell>
          <cell r="CQ372">
            <v>3081435</v>
          </cell>
          <cell r="CR372">
            <v>2890837</v>
          </cell>
          <cell r="CS372">
            <v>2727528</v>
          </cell>
          <cell r="CT372">
            <v>2578141</v>
          </cell>
          <cell r="CU372">
            <v>2394107</v>
          </cell>
          <cell r="CV372">
            <v>52610</v>
          </cell>
          <cell r="CW372">
            <v>0</v>
          </cell>
          <cell r="CX372">
            <v>0</v>
          </cell>
          <cell r="CY372">
            <v>0</v>
          </cell>
          <cell r="CZ372">
            <v>0</v>
          </cell>
          <cell r="DA372">
            <v>0</v>
          </cell>
          <cell r="DB372"/>
          <cell r="DC372">
            <v>0</v>
          </cell>
          <cell r="DD372">
            <v>0</v>
          </cell>
          <cell r="DE372">
            <v>0</v>
          </cell>
          <cell r="DF372">
            <v>0</v>
          </cell>
          <cell r="DG372">
            <v>0</v>
          </cell>
          <cell r="DH372">
            <v>0</v>
          </cell>
          <cell r="DI372">
            <v>0</v>
          </cell>
          <cell r="DJ372">
            <v>0</v>
          </cell>
          <cell r="DK372">
            <v>0</v>
          </cell>
          <cell r="DL372">
            <v>0</v>
          </cell>
          <cell r="DM372"/>
          <cell r="DN372"/>
          <cell r="DO372"/>
          <cell r="DP372"/>
        </row>
        <row r="373">
          <cell r="A373">
            <v>981</v>
          </cell>
          <cell r="B373" t="str">
            <v>Vaals</v>
          </cell>
          <cell r="C373">
            <v>11</v>
          </cell>
          <cell r="D373">
            <v>-10180</v>
          </cell>
          <cell r="E373">
            <v>-5090</v>
          </cell>
          <cell r="F373">
            <v>0</v>
          </cell>
          <cell r="G373">
            <v>0</v>
          </cell>
          <cell r="H373">
            <v>-13099</v>
          </cell>
          <cell r="I373">
            <v>-7415</v>
          </cell>
          <cell r="J373"/>
          <cell r="K373">
            <v>0</v>
          </cell>
          <cell r="L373">
            <v>44766</v>
          </cell>
          <cell r="M373">
            <v>46853</v>
          </cell>
          <cell r="N373">
            <v>0</v>
          </cell>
          <cell r="O373">
            <v>0</v>
          </cell>
          <cell r="P373">
            <v>0</v>
          </cell>
          <cell r="Q373">
            <v>0</v>
          </cell>
          <cell r="R373">
            <v>0</v>
          </cell>
          <cell r="S373">
            <v>0</v>
          </cell>
          <cell r="T373">
            <v>0</v>
          </cell>
          <cell r="U373">
            <v>0</v>
          </cell>
          <cell r="V373">
            <v>0</v>
          </cell>
          <cell r="W373">
            <v>31100</v>
          </cell>
          <cell r="X373">
            <v>0</v>
          </cell>
          <cell r="Y373"/>
          <cell r="Z373">
            <v>0</v>
          </cell>
          <cell r="AA373">
            <v>0</v>
          </cell>
          <cell r="AB373">
            <v>0</v>
          </cell>
          <cell r="AC373"/>
          <cell r="AD373">
            <v>36178</v>
          </cell>
          <cell r="AE373">
            <v>0</v>
          </cell>
          <cell r="AF373">
            <v>0</v>
          </cell>
          <cell r="AG373">
            <v>0</v>
          </cell>
          <cell r="AH373">
            <v>0</v>
          </cell>
          <cell r="AI373">
            <v>0</v>
          </cell>
          <cell r="AJ373">
            <v>0</v>
          </cell>
          <cell r="AK373">
            <v>0</v>
          </cell>
          <cell r="AL373"/>
          <cell r="AM373">
            <v>0</v>
          </cell>
          <cell r="AN373">
            <v>0</v>
          </cell>
          <cell r="AO373">
            <v>0</v>
          </cell>
          <cell r="AP373">
            <v>0</v>
          </cell>
          <cell r="AQ373">
            <v>0</v>
          </cell>
          <cell r="AR373">
            <v>0</v>
          </cell>
          <cell r="AS373">
            <v>0</v>
          </cell>
          <cell r="AT373">
            <v>0</v>
          </cell>
          <cell r="AU373">
            <v>0</v>
          </cell>
          <cell r="AV373">
            <v>0</v>
          </cell>
          <cell r="AW373">
            <v>0</v>
          </cell>
          <cell r="AX373">
            <v>0</v>
          </cell>
          <cell r="AY373"/>
          <cell r="AZ373"/>
          <cell r="BA373">
            <v>0</v>
          </cell>
          <cell r="BB373"/>
          <cell r="BC373">
            <v>0</v>
          </cell>
          <cell r="BD373">
            <v>3409</v>
          </cell>
          <cell r="BE373"/>
          <cell r="BF373">
            <v>0</v>
          </cell>
          <cell r="BG373">
            <v>0</v>
          </cell>
          <cell r="BH373">
            <v>0</v>
          </cell>
          <cell r="BI373">
            <v>23349</v>
          </cell>
          <cell r="BJ373">
            <v>19220</v>
          </cell>
          <cell r="BK373">
            <v>19220</v>
          </cell>
          <cell r="BL373">
            <v>0</v>
          </cell>
          <cell r="BM373">
            <v>0</v>
          </cell>
          <cell r="BN373">
            <v>0</v>
          </cell>
          <cell r="BO373">
            <v>29186</v>
          </cell>
          <cell r="BP373">
            <v>6325.6</v>
          </cell>
          <cell r="BQ373">
            <v>11395.3488372093</v>
          </cell>
          <cell r="BR373">
            <v>0</v>
          </cell>
          <cell r="BS373">
            <v>0</v>
          </cell>
          <cell r="BT373">
            <v>18998</v>
          </cell>
          <cell r="BU373"/>
          <cell r="BV373"/>
          <cell r="BW373"/>
          <cell r="BX373"/>
          <cell r="BY373">
            <v>0</v>
          </cell>
          <cell r="BZ373">
            <v>0</v>
          </cell>
          <cell r="CA373">
            <v>0</v>
          </cell>
          <cell r="CB373">
            <v>0</v>
          </cell>
          <cell r="CC373">
            <v>1096461</v>
          </cell>
          <cell r="CD373">
            <v>5193782</v>
          </cell>
          <cell r="CE373">
            <v>52357</v>
          </cell>
          <cell r="CF373">
            <v>-17913</v>
          </cell>
          <cell r="CG373">
            <v>52357</v>
          </cell>
          <cell r="CH373">
            <v>52357</v>
          </cell>
          <cell r="CI373">
            <v>52357</v>
          </cell>
          <cell r="CJ373">
            <v>52357</v>
          </cell>
          <cell r="CK373">
            <v>0</v>
          </cell>
          <cell r="CL373">
            <v>0</v>
          </cell>
          <cell r="CM373">
            <v>0</v>
          </cell>
          <cell r="CN373">
            <v>0</v>
          </cell>
          <cell r="CO373">
            <v>0</v>
          </cell>
          <cell r="CP373">
            <v>0</v>
          </cell>
          <cell r="CQ373">
            <v>1470280</v>
          </cell>
          <cell r="CR373">
            <v>1339173</v>
          </cell>
          <cell r="CS373">
            <v>1240565</v>
          </cell>
          <cell r="CT373">
            <v>1164533</v>
          </cell>
          <cell r="CU373">
            <v>1128076</v>
          </cell>
          <cell r="CV373">
            <v>61526</v>
          </cell>
          <cell r="CW373">
            <v>0</v>
          </cell>
          <cell r="CX373">
            <v>0</v>
          </cell>
          <cell r="CY373">
            <v>0</v>
          </cell>
          <cell r="CZ373">
            <v>0</v>
          </cell>
          <cell r="DA373">
            <v>0</v>
          </cell>
          <cell r="DB373"/>
          <cell r="DC373">
            <v>0</v>
          </cell>
          <cell r="DD373">
            <v>0</v>
          </cell>
          <cell r="DE373">
            <v>0</v>
          </cell>
          <cell r="DF373">
            <v>0</v>
          </cell>
          <cell r="DG373">
            <v>0</v>
          </cell>
          <cell r="DH373">
            <v>0</v>
          </cell>
          <cell r="DI373">
            <v>0</v>
          </cell>
          <cell r="DJ373">
            <v>0</v>
          </cell>
          <cell r="DK373">
            <v>0</v>
          </cell>
          <cell r="DL373">
            <v>0</v>
          </cell>
          <cell r="DM373"/>
          <cell r="DN373"/>
          <cell r="DO373"/>
          <cell r="DP373"/>
        </row>
        <row r="374">
          <cell r="A374">
            <v>994</v>
          </cell>
          <cell r="B374" t="str">
            <v>Valkenburg aan de Geul</v>
          </cell>
          <cell r="C374">
            <v>11</v>
          </cell>
          <cell r="D374">
            <v>40826</v>
          </cell>
          <cell r="E374">
            <v>20413</v>
          </cell>
          <cell r="F374">
            <v>0</v>
          </cell>
          <cell r="G374">
            <v>0</v>
          </cell>
          <cell r="H374">
            <v>-13174</v>
          </cell>
          <cell r="I374">
            <v>-5164</v>
          </cell>
          <cell r="J374"/>
          <cell r="K374">
            <v>0</v>
          </cell>
          <cell r="L374">
            <v>59211</v>
          </cell>
          <cell r="M374">
            <v>59518</v>
          </cell>
          <cell r="N374">
            <v>0</v>
          </cell>
          <cell r="O374">
            <v>0</v>
          </cell>
          <cell r="P374">
            <v>0</v>
          </cell>
          <cell r="Q374">
            <v>0</v>
          </cell>
          <cell r="R374">
            <v>0</v>
          </cell>
          <cell r="S374">
            <v>0</v>
          </cell>
          <cell r="T374">
            <v>0</v>
          </cell>
          <cell r="U374">
            <v>0</v>
          </cell>
          <cell r="V374">
            <v>0</v>
          </cell>
          <cell r="W374">
            <v>40407</v>
          </cell>
          <cell r="X374">
            <v>0</v>
          </cell>
          <cell r="Y374"/>
          <cell r="Z374">
            <v>0</v>
          </cell>
          <cell r="AA374">
            <v>0</v>
          </cell>
          <cell r="AB374">
            <v>0</v>
          </cell>
          <cell r="AC374"/>
          <cell r="AD374">
            <v>51823</v>
          </cell>
          <cell r="AE374">
            <v>0</v>
          </cell>
          <cell r="AF374">
            <v>0</v>
          </cell>
          <cell r="AG374">
            <v>0</v>
          </cell>
          <cell r="AH374">
            <v>0</v>
          </cell>
          <cell r="AI374">
            <v>0</v>
          </cell>
          <cell r="AJ374">
            <v>0</v>
          </cell>
          <cell r="AK374">
            <v>0</v>
          </cell>
          <cell r="AL374"/>
          <cell r="AM374">
            <v>0</v>
          </cell>
          <cell r="AN374">
            <v>0</v>
          </cell>
          <cell r="AO374">
            <v>0</v>
          </cell>
          <cell r="AP374">
            <v>0</v>
          </cell>
          <cell r="AQ374">
            <v>0</v>
          </cell>
          <cell r="AR374">
            <v>0</v>
          </cell>
          <cell r="AS374">
            <v>0</v>
          </cell>
          <cell r="AT374">
            <v>0</v>
          </cell>
          <cell r="AU374">
            <v>2370</v>
          </cell>
          <cell r="AV374">
            <v>0</v>
          </cell>
          <cell r="AW374">
            <v>0</v>
          </cell>
          <cell r="AX374">
            <v>0</v>
          </cell>
          <cell r="AY374"/>
          <cell r="AZ374"/>
          <cell r="BA374">
            <v>0</v>
          </cell>
          <cell r="BB374"/>
          <cell r="BC374">
            <v>0</v>
          </cell>
          <cell r="BD374">
            <v>5771</v>
          </cell>
          <cell r="BE374"/>
          <cell r="BF374">
            <v>0</v>
          </cell>
          <cell r="BG374">
            <v>0</v>
          </cell>
          <cell r="BH374">
            <v>0</v>
          </cell>
          <cell r="BI374">
            <v>31076</v>
          </cell>
          <cell r="BJ374">
            <v>25581</v>
          </cell>
          <cell r="BK374">
            <v>25581</v>
          </cell>
          <cell r="BL374">
            <v>0</v>
          </cell>
          <cell r="BM374">
            <v>0</v>
          </cell>
          <cell r="BN374">
            <v>0</v>
          </cell>
          <cell r="BO374">
            <v>31618</v>
          </cell>
          <cell r="BP374">
            <v>1581.4</v>
          </cell>
          <cell r="BQ374">
            <v>2848.8372093023299</v>
          </cell>
          <cell r="BR374">
            <v>0</v>
          </cell>
          <cell r="BS374">
            <v>0</v>
          </cell>
          <cell r="BT374">
            <v>25832</v>
          </cell>
          <cell r="BU374"/>
          <cell r="BV374"/>
          <cell r="BW374"/>
          <cell r="BX374"/>
          <cell r="BY374">
            <v>0</v>
          </cell>
          <cell r="BZ374">
            <v>0</v>
          </cell>
          <cell r="CA374">
            <v>0</v>
          </cell>
          <cell r="CB374">
            <v>0</v>
          </cell>
          <cell r="CC374">
            <v>1720024</v>
          </cell>
          <cell r="CD374">
            <v>7731428</v>
          </cell>
          <cell r="CE374">
            <v>475464</v>
          </cell>
          <cell r="CF374">
            <v>-12530</v>
          </cell>
          <cell r="CG374">
            <v>475464</v>
          </cell>
          <cell r="CH374">
            <v>475464</v>
          </cell>
          <cell r="CI374">
            <v>475464</v>
          </cell>
          <cell r="CJ374">
            <v>475464</v>
          </cell>
          <cell r="CK374">
            <v>0</v>
          </cell>
          <cell r="CL374">
            <v>0</v>
          </cell>
          <cell r="CM374">
            <v>0</v>
          </cell>
          <cell r="CN374">
            <v>0</v>
          </cell>
          <cell r="CO374">
            <v>0</v>
          </cell>
          <cell r="CP374">
            <v>0</v>
          </cell>
          <cell r="CQ374">
            <v>1682989</v>
          </cell>
          <cell r="CR374">
            <v>1629944</v>
          </cell>
          <cell r="CS374">
            <v>1589090</v>
          </cell>
          <cell r="CT374">
            <v>1549854</v>
          </cell>
          <cell r="CU374">
            <v>1547684</v>
          </cell>
          <cell r="CV374">
            <v>8995</v>
          </cell>
          <cell r="CW374">
            <v>0</v>
          </cell>
          <cell r="CX374">
            <v>0</v>
          </cell>
          <cell r="CY374">
            <v>0</v>
          </cell>
          <cell r="CZ374">
            <v>0</v>
          </cell>
          <cell r="DA374">
            <v>0</v>
          </cell>
          <cell r="DB374"/>
          <cell r="DC374">
            <v>0</v>
          </cell>
          <cell r="DD374">
            <v>0</v>
          </cell>
          <cell r="DE374">
            <v>0</v>
          </cell>
          <cell r="DF374">
            <v>0</v>
          </cell>
          <cell r="DG374">
            <v>0</v>
          </cell>
          <cell r="DH374">
            <v>0</v>
          </cell>
          <cell r="DI374">
            <v>0</v>
          </cell>
          <cell r="DJ374">
            <v>0</v>
          </cell>
          <cell r="DK374">
            <v>0</v>
          </cell>
          <cell r="DL374">
            <v>0</v>
          </cell>
          <cell r="DM374"/>
          <cell r="DN374"/>
          <cell r="DO374"/>
          <cell r="DP374"/>
        </row>
        <row r="375">
          <cell r="A375">
            <v>983</v>
          </cell>
          <cell r="B375" t="str">
            <v>Venlo</v>
          </cell>
          <cell r="C375">
            <v>11</v>
          </cell>
          <cell r="D375">
            <v>303657</v>
          </cell>
          <cell r="E375">
            <v>151828</v>
          </cell>
          <cell r="F375">
            <v>0</v>
          </cell>
          <cell r="G375">
            <v>932897</v>
          </cell>
          <cell r="H375">
            <v>-81847</v>
          </cell>
          <cell r="I375">
            <v>0</v>
          </cell>
          <cell r="J375"/>
          <cell r="K375">
            <v>7500</v>
          </cell>
          <cell r="L375">
            <v>612761</v>
          </cell>
          <cell r="M375">
            <v>602587</v>
          </cell>
          <cell r="N375">
            <v>0</v>
          </cell>
          <cell r="O375">
            <v>0</v>
          </cell>
          <cell r="P375">
            <v>150000</v>
          </cell>
          <cell r="Q375">
            <v>0</v>
          </cell>
          <cell r="R375">
            <v>0</v>
          </cell>
          <cell r="S375">
            <v>841557</v>
          </cell>
          <cell r="T375">
            <v>841557</v>
          </cell>
          <cell r="U375">
            <v>841557</v>
          </cell>
          <cell r="V375">
            <v>9000</v>
          </cell>
          <cell r="W375">
            <v>372040</v>
          </cell>
          <cell r="X375">
            <v>0</v>
          </cell>
          <cell r="Y375"/>
          <cell r="Z375">
            <v>0</v>
          </cell>
          <cell r="AA375">
            <v>0</v>
          </cell>
          <cell r="AB375">
            <v>0</v>
          </cell>
          <cell r="AC375"/>
          <cell r="AD375">
            <v>186759</v>
          </cell>
          <cell r="AE375">
            <v>0</v>
          </cell>
          <cell r="AF375">
            <v>0</v>
          </cell>
          <cell r="AG375">
            <v>0</v>
          </cell>
          <cell r="AH375">
            <v>0</v>
          </cell>
          <cell r="AI375">
            <v>0</v>
          </cell>
          <cell r="AJ375">
            <v>0</v>
          </cell>
          <cell r="AK375">
            <v>424462</v>
          </cell>
          <cell r="AL375"/>
          <cell r="AM375">
            <v>0</v>
          </cell>
          <cell r="AN375">
            <v>0</v>
          </cell>
          <cell r="AO375">
            <v>0</v>
          </cell>
          <cell r="AP375">
            <v>0</v>
          </cell>
          <cell r="AQ375">
            <v>0</v>
          </cell>
          <cell r="AR375">
            <v>0</v>
          </cell>
          <cell r="AS375">
            <v>0</v>
          </cell>
          <cell r="AT375">
            <v>20000</v>
          </cell>
          <cell r="AU375">
            <v>4740</v>
          </cell>
          <cell r="AV375">
            <v>8198850.0365822604</v>
          </cell>
          <cell r="AW375">
            <v>174630</v>
          </cell>
          <cell r="AX375">
            <v>0</v>
          </cell>
          <cell r="AY375"/>
          <cell r="AZ375"/>
          <cell r="BA375">
            <v>0</v>
          </cell>
          <cell r="BB375"/>
          <cell r="BC375">
            <v>0</v>
          </cell>
          <cell r="BD375">
            <v>35475</v>
          </cell>
          <cell r="BE375"/>
          <cell r="BF375">
            <v>0</v>
          </cell>
          <cell r="BG375">
            <v>0</v>
          </cell>
          <cell r="BH375">
            <v>0</v>
          </cell>
          <cell r="BI375">
            <v>203509</v>
          </cell>
          <cell r="BJ375">
            <v>167518</v>
          </cell>
          <cell r="BK375">
            <v>167518</v>
          </cell>
          <cell r="BL375">
            <v>0</v>
          </cell>
          <cell r="BM375">
            <v>0</v>
          </cell>
          <cell r="BN375">
            <v>214060</v>
          </cell>
          <cell r="BO375">
            <v>347796</v>
          </cell>
          <cell r="BP375">
            <v>25302.400000000001</v>
          </cell>
          <cell r="BQ375">
            <v>45581.395348837199</v>
          </cell>
          <cell r="BR375">
            <v>0</v>
          </cell>
          <cell r="BS375">
            <v>0</v>
          </cell>
          <cell r="BT375">
            <v>176663</v>
          </cell>
          <cell r="BU375"/>
          <cell r="BV375"/>
          <cell r="BW375"/>
          <cell r="BX375"/>
          <cell r="BY375">
            <v>2910725.8812301802</v>
          </cell>
          <cell r="BZ375">
            <v>3374211.1383047402</v>
          </cell>
          <cell r="CA375">
            <v>3413805.3562457799</v>
          </cell>
          <cell r="CB375">
            <v>3525600.7951381402</v>
          </cell>
          <cell r="CC375">
            <v>9863520</v>
          </cell>
          <cell r="CD375">
            <v>101565056</v>
          </cell>
          <cell r="CE375">
            <v>4098233</v>
          </cell>
          <cell r="CF375">
            <v>0</v>
          </cell>
          <cell r="CG375">
            <v>4098233</v>
          </cell>
          <cell r="CH375">
            <v>4098233</v>
          </cell>
          <cell r="CI375">
            <v>4098233</v>
          </cell>
          <cell r="CJ375">
            <v>4098233</v>
          </cell>
          <cell r="CK375">
            <v>46542823</v>
          </cell>
          <cell r="CL375">
            <v>46519553</v>
          </cell>
          <cell r="CM375">
            <v>46519177</v>
          </cell>
          <cell r="CN375">
            <v>46518349</v>
          </cell>
          <cell r="CO375">
            <v>46519496</v>
          </cell>
          <cell r="CP375">
            <v>0</v>
          </cell>
          <cell r="CQ375">
            <v>14114715</v>
          </cell>
          <cell r="CR375">
            <v>13368629</v>
          </cell>
          <cell r="CS375">
            <v>12995678</v>
          </cell>
          <cell r="CT375">
            <v>12619299</v>
          </cell>
          <cell r="CU375">
            <v>12230470</v>
          </cell>
          <cell r="CV375">
            <v>-124867</v>
          </cell>
          <cell r="CW375">
            <v>0</v>
          </cell>
          <cell r="CX375">
            <v>0</v>
          </cell>
          <cell r="CY375">
            <v>0</v>
          </cell>
          <cell r="CZ375">
            <v>0</v>
          </cell>
          <cell r="DA375">
            <v>0</v>
          </cell>
          <cell r="DB375"/>
          <cell r="DC375">
            <v>0</v>
          </cell>
          <cell r="DD375">
            <v>1100000</v>
          </cell>
          <cell r="DE375">
            <v>833000</v>
          </cell>
          <cell r="DF375">
            <v>0</v>
          </cell>
          <cell r="DG375">
            <v>0</v>
          </cell>
          <cell r="DH375">
            <v>0</v>
          </cell>
          <cell r="DI375">
            <v>0</v>
          </cell>
          <cell r="DJ375">
            <v>0</v>
          </cell>
          <cell r="DK375">
            <v>0</v>
          </cell>
          <cell r="DL375">
            <v>0</v>
          </cell>
          <cell r="DM375"/>
          <cell r="DN375"/>
          <cell r="DO375"/>
          <cell r="DP375"/>
        </row>
        <row r="376">
          <cell r="A376">
            <v>984</v>
          </cell>
          <cell r="B376" t="str">
            <v>Venray</v>
          </cell>
          <cell r="C376">
            <v>11</v>
          </cell>
          <cell r="D376">
            <v>45742</v>
          </cell>
          <cell r="E376">
            <v>22871</v>
          </cell>
          <cell r="F376">
            <v>0</v>
          </cell>
          <cell r="G376">
            <v>438486</v>
          </cell>
          <cell r="H376">
            <v>-46185</v>
          </cell>
          <cell r="I376">
            <v>-23106</v>
          </cell>
          <cell r="J376"/>
          <cell r="K376">
            <v>0</v>
          </cell>
          <cell r="L376">
            <v>228308</v>
          </cell>
          <cell r="M376">
            <v>222598</v>
          </cell>
          <cell r="N376">
            <v>0</v>
          </cell>
          <cell r="O376">
            <v>0</v>
          </cell>
          <cell r="P376">
            <v>0</v>
          </cell>
          <cell r="Q376">
            <v>0</v>
          </cell>
          <cell r="R376">
            <v>0</v>
          </cell>
          <cell r="S376">
            <v>0</v>
          </cell>
          <cell r="T376">
            <v>0</v>
          </cell>
          <cell r="U376">
            <v>0</v>
          </cell>
          <cell r="V376">
            <v>30000</v>
          </cell>
          <cell r="W376">
            <v>177078</v>
          </cell>
          <cell r="X376">
            <v>0</v>
          </cell>
          <cell r="Y376"/>
          <cell r="Z376">
            <v>0</v>
          </cell>
          <cell r="AA376">
            <v>0</v>
          </cell>
          <cell r="AB376">
            <v>0</v>
          </cell>
          <cell r="AC376"/>
          <cell r="AD376">
            <v>36178</v>
          </cell>
          <cell r="AE376">
            <v>0</v>
          </cell>
          <cell r="AF376">
            <v>0</v>
          </cell>
          <cell r="AG376">
            <v>0</v>
          </cell>
          <cell r="AH376">
            <v>0</v>
          </cell>
          <cell r="AI376">
            <v>0</v>
          </cell>
          <cell r="AJ376">
            <v>0</v>
          </cell>
          <cell r="AK376">
            <v>0</v>
          </cell>
          <cell r="AL376"/>
          <cell r="AM376">
            <v>0</v>
          </cell>
          <cell r="AN376">
            <v>0</v>
          </cell>
          <cell r="AO376">
            <v>0</v>
          </cell>
          <cell r="AP376">
            <v>0</v>
          </cell>
          <cell r="AQ376">
            <v>0</v>
          </cell>
          <cell r="AR376">
            <v>0</v>
          </cell>
          <cell r="AS376">
            <v>0</v>
          </cell>
          <cell r="AT376">
            <v>0</v>
          </cell>
          <cell r="AU376">
            <v>7110</v>
          </cell>
          <cell r="AV376">
            <v>0</v>
          </cell>
          <cell r="AW376">
            <v>0</v>
          </cell>
          <cell r="AX376">
            <v>0</v>
          </cell>
          <cell r="AY376"/>
          <cell r="AZ376"/>
          <cell r="BA376">
            <v>0</v>
          </cell>
          <cell r="BB376"/>
          <cell r="BC376">
            <v>0</v>
          </cell>
          <cell r="BD376">
            <v>15293</v>
          </cell>
          <cell r="BE376"/>
          <cell r="BF376">
            <v>0</v>
          </cell>
          <cell r="BG376">
            <v>0</v>
          </cell>
          <cell r="BH376">
            <v>0</v>
          </cell>
          <cell r="BI376">
            <v>65396</v>
          </cell>
          <cell r="BJ376">
            <v>53830</v>
          </cell>
          <cell r="BK376">
            <v>53830</v>
          </cell>
          <cell r="BL376">
            <v>0</v>
          </cell>
          <cell r="BM376">
            <v>0</v>
          </cell>
          <cell r="BN376">
            <v>0</v>
          </cell>
          <cell r="BO376">
            <v>379900</v>
          </cell>
          <cell r="BP376">
            <v>33209.4</v>
          </cell>
          <cell r="BQ376">
            <v>59825.581395348803</v>
          </cell>
          <cell r="BR376">
            <v>0</v>
          </cell>
          <cell r="BS376">
            <v>0</v>
          </cell>
          <cell r="BT376">
            <v>77240</v>
          </cell>
          <cell r="BU376"/>
          <cell r="BV376"/>
          <cell r="BW376"/>
          <cell r="BX376"/>
          <cell r="BY376">
            <v>0</v>
          </cell>
          <cell r="BZ376">
            <v>0</v>
          </cell>
          <cell r="CA376">
            <v>0</v>
          </cell>
          <cell r="CB376">
            <v>0</v>
          </cell>
          <cell r="CC376">
            <v>3600973</v>
          </cell>
          <cell r="CD376">
            <v>27505621</v>
          </cell>
          <cell r="CE376">
            <v>1177796</v>
          </cell>
          <cell r="CF376">
            <v>-2492</v>
          </cell>
          <cell r="CG376">
            <v>1177796</v>
          </cell>
          <cell r="CH376">
            <v>1177796</v>
          </cell>
          <cell r="CI376">
            <v>1177796</v>
          </cell>
          <cell r="CJ376">
            <v>1177796</v>
          </cell>
          <cell r="CK376">
            <v>0</v>
          </cell>
          <cell r="CL376">
            <v>0</v>
          </cell>
          <cell r="CM376">
            <v>0</v>
          </cell>
          <cell r="CN376">
            <v>0</v>
          </cell>
          <cell r="CO376">
            <v>0</v>
          </cell>
          <cell r="CP376">
            <v>-7957</v>
          </cell>
          <cell r="CQ376">
            <v>10376639</v>
          </cell>
          <cell r="CR376">
            <v>9721091</v>
          </cell>
          <cell r="CS376">
            <v>9374608</v>
          </cell>
          <cell r="CT376">
            <v>9046999</v>
          </cell>
          <cell r="CU376">
            <v>8692075</v>
          </cell>
          <cell r="CV376">
            <v>-2069</v>
          </cell>
          <cell r="CW376">
            <v>0</v>
          </cell>
          <cell r="CX376">
            <v>0</v>
          </cell>
          <cell r="CY376">
            <v>0</v>
          </cell>
          <cell r="CZ376">
            <v>0</v>
          </cell>
          <cell r="DA376">
            <v>0</v>
          </cell>
          <cell r="DB376"/>
          <cell r="DC376">
            <v>0</v>
          </cell>
          <cell r="DD376">
            <v>0</v>
          </cell>
          <cell r="DE376">
            <v>0</v>
          </cell>
          <cell r="DF376">
            <v>0</v>
          </cell>
          <cell r="DG376">
            <v>0</v>
          </cell>
          <cell r="DH376">
            <v>0</v>
          </cell>
          <cell r="DI376">
            <v>0</v>
          </cell>
          <cell r="DJ376">
            <v>0</v>
          </cell>
          <cell r="DK376">
            <v>0</v>
          </cell>
          <cell r="DL376">
            <v>0</v>
          </cell>
          <cell r="DM376"/>
          <cell r="DN376"/>
          <cell r="DO376"/>
          <cell r="DP376"/>
        </row>
        <row r="377">
          <cell r="A377">
            <v>986</v>
          </cell>
          <cell r="B377" t="str">
            <v>Voerendaal</v>
          </cell>
          <cell r="C377">
            <v>11</v>
          </cell>
          <cell r="D377">
            <v>-5197</v>
          </cell>
          <cell r="E377">
            <v>-2598</v>
          </cell>
          <cell r="F377">
            <v>0</v>
          </cell>
          <cell r="G377">
            <v>0</v>
          </cell>
          <cell r="H377">
            <v>18425</v>
          </cell>
          <cell r="I377">
            <v>0</v>
          </cell>
          <cell r="J377"/>
          <cell r="K377">
            <v>0</v>
          </cell>
          <cell r="L377">
            <v>48885</v>
          </cell>
          <cell r="M377">
            <v>38996</v>
          </cell>
          <cell r="N377">
            <v>0</v>
          </cell>
          <cell r="O377">
            <v>0</v>
          </cell>
          <cell r="P377">
            <v>0</v>
          </cell>
          <cell r="Q377">
            <v>0</v>
          </cell>
          <cell r="R377">
            <v>0</v>
          </cell>
          <cell r="S377">
            <v>0</v>
          </cell>
          <cell r="T377">
            <v>0</v>
          </cell>
          <cell r="U377">
            <v>0</v>
          </cell>
          <cell r="V377">
            <v>0</v>
          </cell>
          <cell r="W377">
            <v>45484</v>
          </cell>
          <cell r="X377">
            <v>0</v>
          </cell>
          <cell r="Y377"/>
          <cell r="Z377">
            <v>0</v>
          </cell>
          <cell r="AA377">
            <v>0</v>
          </cell>
          <cell r="AB377">
            <v>0</v>
          </cell>
          <cell r="AC377"/>
          <cell r="AD377">
            <v>0</v>
          </cell>
          <cell r="AE377">
            <v>0</v>
          </cell>
          <cell r="AF377">
            <v>0</v>
          </cell>
          <cell r="AG377">
            <v>0</v>
          </cell>
          <cell r="AH377">
            <v>0</v>
          </cell>
          <cell r="AI377">
            <v>0</v>
          </cell>
          <cell r="AJ377">
            <v>0</v>
          </cell>
          <cell r="AK377">
            <v>0</v>
          </cell>
          <cell r="AL377"/>
          <cell r="AM377">
            <v>0</v>
          </cell>
          <cell r="AN377">
            <v>0</v>
          </cell>
          <cell r="AO377">
            <v>0</v>
          </cell>
          <cell r="AP377">
            <v>0</v>
          </cell>
          <cell r="AQ377">
            <v>0</v>
          </cell>
          <cell r="AR377">
            <v>0</v>
          </cell>
          <cell r="AS377">
            <v>0</v>
          </cell>
          <cell r="AT377">
            <v>0</v>
          </cell>
          <cell r="AU377">
            <v>0</v>
          </cell>
          <cell r="AV377">
            <v>0</v>
          </cell>
          <cell r="AW377">
            <v>0</v>
          </cell>
          <cell r="AX377">
            <v>0</v>
          </cell>
          <cell r="AY377"/>
          <cell r="AZ377"/>
          <cell r="BA377">
            <v>0</v>
          </cell>
          <cell r="BB377"/>
          <cell r="BC377">
            <v>0</v>
          </cell>
          <cell r="BD377">
            <v>4375</v>
          </cell>
          <cell r="BE377"/>
          <cell r="BF377">
            <v>0</v>
          </cell>
          <cell r="BG377">
            <v>0</v>
          </cell>
          <cell r="BH377">
            <v>0</v>
          </cell>
          <cell r="BI377">
            <v>14233</v>
          </cell>
          <cell r="BJ377">
            <v>11716</v>
          </cell>
          <cell r="BK377">
            <v>11716</v>
          </cell>
          <cell r="BL377">
            <v>0</v>
          </cell>
          <cell r="BM377">
            <v>0</v>
          </cell>
          <cell r="BN377">
            <v>0</v>
          </cell>
          <cell r="BO377">
            <v>16052</v>
          </cell>
          <cell r="BP377">
            <v>0</v>
          </cell>
          <cell r="BQ377">
            <v>0</v>
          </cell>
          <cell r="BR377">
            <v>0</v>
          </cell>
          <cell r="BS377">
            <v>0</v>
          </cell>
          <cell r="BT377">
            <v>20059</v>
          </cell>
          <cell r="BU377"/>
          <cell r="BV377"/>
          <cell r="BW377"/>
          <cell r="BX377"/>
          <cell r="BY377">
            <v>0</v>
          </cell>
          <cell r="BZ377">
            <v>0</v>
          </cell>
          <cell r="CA377">
            <v>0</v>
          </cell>
          <cell r="CB377">
            <v>0</v>
          </cell>
          <cell r="CC377">
            <v>1076622</v>
          </cell>
          <cell r="CD377">
            <v>5529260</v>
          </cell>
          <cell r="CE377">
            <v>269792</v>
          </cell>
          <cell r="CF377">
            <v>0</v>
          </cell>
          <cell r="CG377">
            <v>269792</v>
          </cell>
          <cell r="CH377">
            <v>269792</v>
          </cell>
          <cell r="CI377">
            <v>269792</v>
          </cell>
          <cell r="CJ377">
            <v>269792</v>
          </cell>
          <cell r="CK377">
            <v>0</v>
          </cell>
          <cell r="CL377">
            <v>0</v>
          </cell>
          <cell r="CM377">
            <v>0</v>
          </cell>
          <cell r="CN377">
            <v>0</v>
          </cell>
          <cell r="CO377">
            <v>0</v>
          </cell>
          <cell r="CP377">
            <v>0</v>
          </cell>
          <cell r="CQ377">
            <v>1446598</v>
          </cell>
          <cell r="CR377">
            <v>1313129</v>
          </cell>
          <cell r="CS377">
            <v>1241475</v>
          </cell>
          <cell r="CT377">
            <v>1123417</v>
          </cell>
          <cell r="CU377">
            <v>1077767</v>
          </cell>
          <cell r="CV377">
            <v>1872</v>
          </cell>
          <cell r="CW377">
            <v>0</v>
          </cell>
          <cell r="CX377">
            <v>0</v>
          </cell>
          <cell r="CY377">
            <v>0</v>
          </cell>
          <cell r="CZ377">
            <v>0</v>
          </cell>
          <cell r="DA377">
            <v>0</v>
          </cell>
          <cell r="DB377"/>
          <cell r="DC377">
            <v>0</v>
          </cell>
          <cell r="DD377">
            <v>0</v>
          </cell>
          <cell r="DE377">
            <v>0</v>
          </cell>
          <cell r="DF377">
            <v>0</v>
          </cell>
          <cell r="DG377">
            <v>0</v>
          </cell>
          <cell r="DH377">
            <v>0</v>
          </cell>
          <cell r="DI377">
            <v>0</v>
          </cell>
          <cell r="DJ377">
            <v>0</v>
          </cell>
          <cell r="DK377">
            <v>0</v>
          </cell>
          <cell r="DL377">
            <v>0</v>
          </cell>
          <cell r="DM377"/>
          <cell r="DN377"/>
          <cell r="DO377"/>
          <cell r="DP377"/>
        </row>
        <row r="378">
          <cell r="A378">
            <v>988</v>
          </cell>
          <cell r="B378" t="str">
            <v>Weert</v>
          </cell>
          <cell r="C378">
            <v>11</v>
          </cell>
          <cell r="D378">
            <v>-19158</v>
          </cell>
          <cell r="E378">
            <v>-9579</v>
          </cell>
          <cell r="F378">
            <v>0</v>
          </cell>
          <cell r="G378">
            <v>0</v>
          </cell>
          <cell r="H378">
            <v>-33746</v>
          </cell>
          <cell r="I378">
            <v>-9997</v>
          </cell>
          <cell r="J378"/>
          <cell r="K378">
            <v>0</v>
          </cell>
          <cell r="L378">
            <v>211178</v>
          </cell>
          <cell r="M378">
            <v>207124</v>
          </cell>
          <cell r="N378">
            <v>0</v>
          </cell>
          <cell r="O378">
            <v>0</v>
          </cell>
          <cell r="P378">
            <v>0</v>
          </cell>
          <cell r="Q378">
            <v>0</v>
          </cell>
          <cell r="R378">
            <v>0</v>
          </cell>
          <cell r="S378">
            <v>0</v>
          </cell>
          <cell r="T378">
            <v>0</v>
          </cell>
          <cell r="U378">
            <v>0</v>
          </cell>
          <cell r="V378">
            <v>3000</v>
          </cell>
          <cell r="W378">
            <v>181549</v>
          </cell>
          <cell r="X378">
            <v>0</v>
          </cell>
          <cell r="Y378"/>
          <cell r="Z378">
            <v>0</v>
          </cell>
          <cell r="AA378">
            <v>0</v>
          </cell>
          <cell r="AB378">
            <v>0</v>
          </cell>
          <cell r="AC378"/>
          <cell r="AD378">
            <v>33248</v>
          </cell>
          <cell r="AE378">
            <v>0</v>
          </cell>
          <cell r="AF378">
            <v>0</v>
          </cell>
          <cell r="AG378">
            <v>0</v>
          </cell>
          <cell r="AH378">
            <v>0</v>
          </cell>
          <cell r="AI378">
            <v>0</v>
          </cell>
          <cell r="AJ378">
            <v>0</v>
          </cell>
          <cell r="AK378">
            <v>0</v>
          </cell>
          <cell r="AL378"/>
          <cell r="AM378">
            <v>0</v>
          </cell>
          <cell r="AN378">
            <v>0</v>
          </cell>
          <cell r="AO378">
            <v>0</v>
          </cell>
          <cell r="AP378">
            <v>0</v>
          </cell>
          <cell r="AQ378">
            <v>0</v>
          </cell>
          <cell r="AR378">
            <v>0</v>
          </cell>
          <cell r="AS378">
            <v>0</v>
          </cell>
          <cell r="AT378">
            <v>0</v>
          </cell>
          <cell r="AU378">
            <v>4740</v>
          </cell>
          <cell r="AV378">
            <v>0</v>
          </cell>
          <cell r="AW378">
            <v>0</v>
          </cell>
          <cell r="AX378">
            <v>0</v>
          </cell>
          <cell r="AY378"/>
          <cell r="AZ378"/>
          <cell r="BA378">
            <v>0</v>
          </cell>
          <cell r="BB378"/>
          <cell r="BC378">
            <v>0</v>
          </cell>
          <cell r="BD378">
            <v>17402</v>
          </cell>
          <cell r="BE378"/>
          <cell r="BF378">
            <v>0</v>
          </cell>
          <cell r="BG378">
            <v>0</v>
          </cell>
          <cell r="BH378">
            <v>0</v>
          </cell>
          <cell r="BI378">
            <v>82019</v>
          </cell>
          <cell r="BJ378">
            <v>67514</v>
          </cell>
          <cell r="BK378">
            <v>67514</v>
          </cell>
          <cell r="BL378">
            <v>0</v>
          </cell>
          <cell r="BM378">
            <v>0</v>
          </cell>
          <cell r="BN378">
            <v>0</v>
          </cell>
          <cell r="BO378">
            <v>229108</v>
          </cell>
          <cell r="BP378">
            <v>23721</v>
          </cell>
          <cell r="BQ378">
            <v>42732.5581395349</v>
          </cell>
          <cell r="BR378">
            <v>0</v>
          </cell>
          <cell r="BS378">
            <v>0</v>
          </cell>
          <cell r="BT378">
            <v>76289</v>
          </cell>
          <cell r="BU378"/>
          <cell r="BV378"/>
          <cell r="BW378"/>
          <cell r="BX378"/>
          <cell r="BY378">
            <v>0</v>
          </cell>
          <cell r="BZ378">
            <v>0</v>
          </cell>
          <cell r="CA378">
            <v>0</v>
          </cell>
          <cell r="CB378">
            <v>0</v>
          </cell>
          <cell r="CC378">
            <v>4516511</v>
          </cell>
          <cell r="CD378">
            <v>27270203</v>
          </cell>
          <cell r="CE378">
            <v>1758548</v>
          </cell>
          <cell r="CF378">
            <v>0</v>
          </cell>
          <cell r="CG378">
            <v>1758548</v>
          </cell>
          <cell r="CH378">
            <v>1758548</v>
          </cell>
          <cell r="CI378">
            <v>1758548</v>
          </cell>
          <cell r="CJ378">
            <v>1758548</v>
          </cell>
          <cell r="CK378">
            <v>0</v>
          </cell>
          <cell r="CL378">
            <v>0</v>
          </cell>
          <cell r="CM378">
            <v>0</v>
          </cell>
          <cell r="CN378">
            <v>0</v>
          </cell>
          <cell r="CO378">
            <v>0</v>
          </cell>
          <cell r="CP378">
            <v>-3597</v>
          </cell>
          <cell r="CQ378">
            <v>8767951</v>
          </cell>
          <cell r="CR378">
            <v>8336688</v>
          </cell>
          <cell r="CS378">
            <v>8061679</v>
          </cell>
          <cell r="CT378">
            <v>7765639</v>
          </cell>
          <cell r="CU378">
            <v>7446568</v>
          </cell>
          <cell r="CV378">
            <v>94720</v>
          </cell>
          <cell r="CW378">
            <v>0</v>
          </cell>
          <cell r="CX378">
            <v>0</v>
          </cell>
          <cell r="CY378">
            <v>0</v>
          </cell>
          <cell r="CZ378">
            <v>0</v>
          </cell>
          <cell r="DA378">
            <v>0</v>
          </cell>
          <cell r="DB378"/>
          <cell r="DC378">
            <v>0</v>
          </cell>
          <cell r="DD378">
            <v>0</v>
          </cell>
          <cell r="DE378">
            <v>0</v>
          </cell>
          <cell r="DF378">
            <v>0</v>
          </cell>
          <cell r="DG378">
            <v>0</v>
          </cell>
          <cell r="DH378">
            <v>0</v>
          </cell>
          <cell r="DI378">
            <v>0</v>
          </cell>
          <cell r="DJ378">
            <v>0</v>
          </cell>
          <cell r="DK378">
            <v>0</v>
          </cell>
          <cell r="DL378">
            <v>0</v>
          </cell>
          <cell r="DM378"/>
          <cell r="DN378"/>
          <cell r="DO378"/>
          <cell r="DP378"/>
        </row>
        <row r="379">
          <cell r="A379">
            <v>34</v>
          </cell>
          <cell r="B379" t="str">
            <v>Almere</v>
          </cell>
          <cell r="C379">
            <v>12</v>
          </cell>
          <cell r="D379">
            <v>260859</v>
          </cell>
          <cell r="E379">
            <v>130429</v>
          </cell>
          <cell r="F379">
            <v>0</v>
          </cell>
          <cell r="G379">
            <v>0</v>
          </cell>
          <cell r="H379">
            <v>-48673</v>
          </cell>
          <cell r="I379">
            <v>-72445</v>
          </cell>
          <cell r="J379"/>
          <cell r="K379">
            <v>7500</v>
          </cell>
          <cell r="L379">
            <v>1464157</v>
          </cell>
          <cell r="M379">
            <v>1418535</v>
          </cell>
          <cell r="N379">
            <v>0</v>
          </cell>
          <cell r="O379">
            <v>0</v>
          </cell>
          <cell r="P379">
            <v>150000</v>
          </cell>
          <cell r="Q379">
            <v>0</v>
          </cell>
          <cell r="R379">
            <v>0</v>
          </cell>
          <cell r="S379">
            <v>0</v>
          </cell>
          <cell r="T379">
            <v>0</v>
          </cell>
          <cell r="U379">
            <v>0</v>
          </cell>
          <cell r="V379">
            <v>102250</v>
          </cell>
          <cell r="W379">
            <v>889668</v>
          </cell>
          <cell r="X379">
            <v>0</v>
          </cell>
          <cell r="Y379"/>
          <cell r="Z379">
            <v>0</v>
          </cell>
          <cell r="AA379">
            <v>40000</v>
          </cell>
          <cell r="AB379">
            <v>0</v>
          </cell>
          <cell r="AC379"/>
          <cell r="AD379">
            <v>71379</v>
          </cell>
          <cell r="AE379">
            <v>7444000</v>
          </cell>
          <cell r="AF379">
            <v>7371000</v>
          </cell>
          <cell r="AG379">
            <v>0</v>
          </cell>
          <cell r="AH379">
            <v>0</v>
          </cell>
          <cell r="AI379">
            <v>0</v>
          </cell>
          <cell r="AJ379">
            <v>0</v>
          </cell>
          <cell r="AK379">
            <v>457617</v>
          </cell>
          <cell r="AL379"/>
          <cell r="AM379">
            <v>0</v>
          </cell>
          <cell r="AN379">
            <v>0</v>
          </cell>
          <cell r="AO379">
            <v>0</v>
          </cell>
          <cell r="AP379">
            <v>0</v>
          </cell>
          <cell r="AQ379">
            <v>0</v>
          </cell>
          <cell r="AR379">
            <v>0</v>
          </cell>
          <cell r="AS379">
            <v>0</v>
          </cell>
          <cell r="AT379">
            <v>0</v>
          </cell>
          <cell r="AU379">
            <v>11850</v>
          </cell>
          <cell r="AV379">
            <v>8359293.4031885797</v>
          </cell>
          <cell r="AW379">
            <v>80000</v>
          </cell>
          <cell r="AX379">
            <v>0</v>
          </cell>
          <cell r="AY379"/>
          <cell r="AZ379"/>
          <cell r="BA379">
            <v>0</v>
          </cell>
          <cell r="BB379"/>
          <cell r="BC379">
            <v>0</v>
          </cell>
          <cell r="BD379">
            <v>70528</v>
          </cell>
          <cell r="BE379"/>
          <cell r="BF379">
            <v>0</v>
          </cell>
          <cell r="BG379">
            <v>0</v>
          </cell>
          <cell r="BH379">
            <v>0</v>
          </cell>
          <cell r="BI379">
            <v>254477</v>
          </cell>
          <cell r="BJ379">
            <v>209472</v>
          </cell>
          <cell r="BK379">
            <v>209472</v>
          </cell>
          <cell r="BL379">
            <v>0</v>
          </cell>
          <cell r="BM379">
            <v>0</v>
          </cell>
          <cell r="BN379">
            <v>205590</v>
          </cell>
          <cell r="BO379">
            <v>206245</v>
          </cell>
          <cell r="BP379">
            <v>86977</v>
          </cell>
          <cell r="BQ379">
            <v>156686.046511628</v>
          </cell>
          <cell r="BR379">
            <v>0</v>
          </cell>
          <cell r="BS379">
            <v>0</v>
          </cell>
          <cell r="BT379">
            <v>382982</v>
          </cell>
          <cell r="BU379"/>
          <cell r="BV379"/>
          <cell r="BW379"/>
          <cell r="BX379"/>
          <cell r="BY379">
            <v>3185249.83123283</v>
          </cell>
          <cell r="BZ379">
            <v>3689930.4279300701</v>
          </cell>
          <cell r="CA379">
            <v>3733043.8457383802</v>
          </cell>
          <cell r="CB379">
            <v>3854775.8489618301</v>
          </cell>
          <cell r="CC379">
            <v>9831386</v>
          </cell>
          <cell r="CD379">
            <v>143095341</v>
          </cell>
          <cell r="CE379">
            <v>11202246</v>
          </cell>
          <cell r="CF379">
            <v>0</v>
          </cell>
          <cell r="CG379">
            <v>11202246</v>
          </cell>
          <cell r="CH379">
            <v>11202246</v>
          </cell>
          <cell r="CI379">
            <v>11202246</v>
          </cell>
          <cell r="CJ379">
            <v>11202246</v>
          </cell>
          <cell r="CK379">
            <v>46849361</v>
          </cell>
          <cell r="CL379">
            <v>46826390</v>
          </cell>
          <cell r="CM379">
            <v>46826018</v>
          </cell>
          <cell r="CN379">
            <v>46825201</v>
          </cell>
          <cell r="CO379">
            <v>46826334</v>
          </cell>
          <cell r="CP379">
            <v>-26048</v>
          </cell>
          <cell r="CQ379">
            <v>10583093</v>
          </cell>
          <cell r="CR379">
            <v>10204595</v>
          </cell>
          <cell r="CS379">
            <v>10024382</v>
          </cell>
          <cell r="CT379">
            <v>9915747</v>
          </cell>
          <cell r="CU379">
            <v>9835568</v>
          </cell>
          <cell r="CV379">
            <v>-212665</v>
          </cell>
          <cell r="CW379">
            <v>100000</v>
          </cell>
          <cell r="CX379">
            <v>0</v>
          </cell>
          <cell r="CY379">
            <v>0</v>
          </cell>
          <cell r="CZ379">
            <v>0</v>
          </cell>
          <cell r="DA379">
            <v>0</v>
          </cell>
          <cell r="DB379"/>
          <cell r="DC379">
            <v>380000</v>
          </cell>
          <cell r="DD379">
            <v>0</v>
          </cell>
          <cell r="DE379">
            <v>0</v>
          </cell>
          <cell r="DF379">
            <v>0</v>
          </cell>
          <cell r="DG379">
            <v>0</v>
          </cell>
          <cell r="DH379">
            <v>0</v>
          </cell>
          <cell r="DI379">
            <v>0</v>
          </cell>
          <cell r="DJ379">
            <v>0</v>
          </cell>
          <cell r="DK379">
            <v>0</v>
          </cell>
          <cell r="DL379">
            <v>0</v>
          </cell>
          <cell r="DM379"/>
          <cell r="DN379"/>
          <cell r="DO379"/>
          <cell r="DP379"/>
        </row>
        <row r="380">
          <cell r="A380">
            <v>303</v>
          </cell>
          <cell r="B380" t="str">
            <v>Dronten</v>
          </cell>
          <cell r="C380">
            <v>12</v>
          </cell>
          <cell r="D380">
            <v>32485</v>
          </cell>
          <cell r="E380">
            <v>16242</v>
          </cell>
          <cell r="F380">
            <v>0</v>
          </cell>
          <cell r="G380">
            <v>0</v>
          </cell>
          <cell r="H380">
            <v>0</v>
          </cell>
          <cell r="I380">
            <v>-4124</v>
          </cell>
          <cell r="J380"/>
          <cell r="K380">
            <v>0</v>
          </cell>
          <cell r="L380">
            <v>200792</v>
          </cell>
          <cell r="M380">
            <v>200910</v>
          </cell>
          <cell r="N380">
            <v>0</v>
          </cell>
          <cell r="O380">
            <v>0</v>
          </cell>
          <cell r="P380">
            <v>0</v>
          </cell>
          <cell r="Q380">
            <v>0</v>
          </cell>
          <cell r="R380">
            <v>0</v>
          </cell>
          <cell r="S380">
            <v>0</v>
          </cell>
          <cell r="T380">
            <v>0</v>
          </cell>
          <cell r="U380">
            <v>0</v>
          </cell>
          <cell r="V380">
            <v>12000</v>
          </cell>
          <cell r="W380">
            <v>176107</v>
          </cell>
          <cell r="X380">
            <v>0</v>
          </cell>
          <cell r="Y380"/>
          <cell r="Z380">
            <v>0</v>
          </cell>
          <cell r="AA380">
            <v>0</v>
          </cell>
          <cell r="AB380">
            <v>0</v>
          </cell>
          <cell r="AC380"/>
          <cell r="AD380">
            <v>94846</v>
          </cell>
          <cell r="AE380">
            <v>0</v>
          </cell>
          <cell r="AF380">
            <v>0</v>
          </cell>
          <cell r="AG380">
            <v>0</v>
          </cell>
          <cell r="AH380">
            <v>0</v>
          </cell>
          <cell r="AI380">
            <v>0</v>
          </cell>
          <cell r="AJ380">
            <v>0</v>
          </cell>
          <cell r="AK380">
            <v>0</v>
          </cell>
          <cell r="AL380"/>
          <cell r="AM380">
            <v>0</v>
          </cell>
          <cell r="AN380">
            <v>0</v>
          </cell>
          <cell r="AO380">
            <v>0</v>
          </cell>
          <cell r="AP380">
            <v>0</v>
          </cell>
          <cell r="AQ380">
            <v>0</v>
          </cell>
          <cell r="AR380">
            <v>0</v>
          </cell>
          <cell r="AS380">
            <v>0</v>
          </cell>
          <cell r="AT380">
            <v>0</v>
          </cell>
          <cell r="AU380">
            <v>2370</v>
          </cell>
          <cell r="AV380">
            <v>0</v>
          </cell>
          <cell r="AW380">
            <v>0</v>
          </cell>
          <cell r="AX380">
            <v>0</v>
          </cell>
          <cell r="AY380"/>
          <cell r="AZ380"/>
          <cell r="BA380">
            <v>0</v>
          </cell>
          <cell r="BB380"/>
          <cell r="BC380">
            <v>0</v>
          </cell>
          <cell r="BD380">
            <v>14303</v>
          </cell>
          <cell r="BE380"/>
          <cell r="BF380">
            <v>0</v>
          </cell>
          <cell r="BG380">
            <v>0</v>
          </cell>
          <cell r="BH380">
            <v>0</v>
          </cell>
          <cell r="BI380">
            <v>44227</v>
          </cell>
          <cell r="BJ380">
            <v>36405</v>
          </cell>
          <cell r="BK380">
            <v>36405</v>
          </cell>
          <cell r="BL380">
            <v>0</v>
          </cell>
          <cell r="BM380">
            <v>0</v>
          </cell>
          <cell r="BN380">
            <v>0</v>
          </cell>
          <cell r="BO380">
            <v>124039</v>
          </cell>
          <cell r="BP380">
            <v>11069.8</v>
          </cell>
          <cell r="BQ380">
            <v>19941.8604651163</v>
          </cell>
          <cell r="BR380">
            <v>0</v>
          </cell>
          <cell r="BS380">
            <v>0</v>
          </cell>
          <cell r="BT380">
            <v>74138</v>
          </cell>
          <cell r="BU380"/>
          <cell r="BV380"/>
          <cell r="BW380"/>
          <cell r="BX380"/>
          <cell r="BY380">
            <v>0</v>
          </cell>
          <cell r="BZ380">
            <v>0</v>
          </cell>
          <cell r="CA380">
            <v>0</v>
          </cell>
          <cell r="CB380">
            <v>0</v>
          </cell>
          <cell r="CC380">
            <v>2620234</v>
          </cell>
          <cell r="CD380">
            <v>17681028</v>
          </cell>
          <cell r="CE380">
            <v>2320132</v>
          </cell>
          <cell r="CF380">
            <v>0</v>
          </cell>
          <cell r="CG380">
            <v>2320132</v>
          </cell>
          <cell r="CH380">
            <v>2320132</v>
          </cell>
          <cell r="CI380">
            <v>2320132</v>
          </cell>
          <cell r="CJ380">
            <v>2320132</v>
          </cell>
          <cell r="CK380">
            <v>0</v>
          </cell>
          <cell r="CL380">
            <v>0</v>
          </cell>
          <cell r="CM380">
            <v>0</v>
          </cell>
          <cell r="CN380">
            <v>0</v>
          </cell>
          <cell r="CO380">
            <v>0</v>
          </cell>
          <cell r="CP380">
            <v>-1492</v>
          </cell>
          <cell r="CQ380">
            <v>1504635</v>
          </cell>
          <cell r="CR380">
            <v>1477379</v>
          </cell>
          <cell r="CS380">
            <v>1474242</v>
          </cell>
          <cell r="CT380">
            <v>1474168</v>
          </cell>
          <cell r="CU380">
            <v>1484758</v>
          </cell>
          <cell r="CV380">
            <v>43043</v>
          </cell>
          <cell r="CW380">
            <v>0</v>
          </cell>
          <cell r="CX380">
            <v>0</v>
          </cell>
          <cell r="CY380">
            <v>0</v>
          </cell>
          <cell r="CZ380">
            <v>0</v>
          </cell>
          <cell r="DA380">
            <v>0</v>
          </cell>
          <cell r="DB380"/>
          <cell r="DC380">
            <v>0</v>
          </cell>
          <cell r="DD380">
            <v>0</v>
          </cell>
          <cell r="DE380">
            <v>0</v>
          </cell>
          <cell r="DF380">
            <v>0</v>
          </cell>
          <cell r="DG380">
            <v>0</v>
          </cell>
          <cell r="DH380">
            <v>0</v>
          </cell>
          <cell r="DI380">
            <v>0</v>
          </cell>
          <cell r="DJ380">
            <v>0</v>
          </cell>
          <cell r="DK380">
            <v>0</v>
          </cell>
          <cell r="DL380">
            <v>0</v>
          </cell>
          <cell r="DM380"/>
          <cell r="DN380"/>
          <cell r="DO380"/>
          <cell r="DP380"/>
        </row>
        <row r="381">
          <cell r="A381">
            <v>995</v>
          </cell>
          <cell r="B381" t="str">
            <v>Lelystad</v>
          </cell>
          <cell r="C381">
            <v>12</v>
          </cell>
          <cell r="D381">
            <v>306776</v>
          </cell>
          <cell r="E381">
            <v>153388</v>
          </cell>
          <cell r="F381">
            <v>0</v>
          </cell>
          <cell r="G381">
            <v>0</v>
          </cell>
          <cell r="H381">
            <v>91132</v>
          </cell>
          <cell r="I381">
            <v>81157</v>
          </cell>
          <cell r="J381"/>
          <cell r="K381">
            <v>0</v>
          </cell>
          <cell r="L381">
            <v>597123</v>
          </cell>
          <cell r="M381">
            <v>573947</v>
          </cell>
          <cell r="N381">
            <v>0</v>
          </cell>
          <cell r="O381">
            <v>0</v>
          </cell>
          <cell r="P381">
            <v>150000</v>
          </cell>
          <cell r="Q381">
            <v>650000</v>
          </cell>
          <cell r="R381">
            <v>0</v>
          </cell>
          <cell r="S381">
            <v>0</v>
          </cell>
          <cell r="T381">
            <v>0</v>
          </cell>
          <cell r="U381">
            <v>0</v>
          </cell>
          <cell r="V381">
            <v>6000</v>
          </cell>
          <cell r="W381">
            <v>309644</v>
          </cell>
          <cell r="X381">
            <v>0</v>
          </cell>
          <cell r="Y381"/>
          <cell r="Z381">
            <v>0</v>
          </cell>
          <cell r="AA381">
            <v>0</v>
          </cell>
          <cell r="AB381">
            <v>0</v>
          </cell>
          <cell r="AC381"/>
          <cell r="AD381">
            <v>88002</v>
          </cell>
          <cell r="AE381">
            <v>0</v>
          </cell>
          <cell r="AF381">
            <v>0</v>
          </cell>
          <cell r="AG381">
            <v>0</v>
          </cell>
          <cell r="AH381">
            <v>0</v>
          </cell>
          <cell r="AI381">
            <v>0</v>
          </cell>
          <cell r="AJ381">
            <v>0</v>
          </cell>
          <cell r="AK381">
            <v>463015</v>
          </cell>
          <cell r="AL381"/>
          <cell r="AM381">
            <v>0</v>
          </cell>
          <cell r="AN381">
            <v>0</v>
          </cell>
          <cell r="AO381">
            <v>0</v>
          </cell>
          <cell r="AP381">
            <v>0</v>
          </cell>
          <cell r="AQ381">
            <v>0</v>
          </cell>
          <cell r="AR381">
            <v>0</v>
          </cell>
          <cell r="AS381">
            <v>0</v>
          </cell>
          <cell r="AT381">
            <v>19000</v>
          </cell>
          <cell r="AU381">
            <v>0</v>
          </cell>
          <cell r="AV381">
            <v>0</v>
          </cell>
          <cell r="AW381">
            <v>0</v>
          </cell>
          <cell r="AX381">
            <v>0</v>
          </cell>
          <cell r="AY381"/>
          <cell r="AZ381"/>
          <cell r="BA381">
            <v>0</v>
          </cell>
          <cell r="BB381"/>
          <cell r="BC381">
            <v>0</v>
          </cell>
          <cell r="BD381">
            <v>27008</v>
          </cell>
          <cell r="BE381"/>
          <cell r="BF381">
            <v>0</v>
          </cell>
          <cell r="BG381">
            <v>0</v>
          </cell>
          <cell r="BH381">
            <v>0</v>
          </cell>
          <cell r="BI381">
            <v>128406</v>
          </cell>
          <cell r="BJ381">
            <v>105697</v>
          </cell>
          <cell r="BK381">
            <v>105697</v>
          </cell>
          <cell r="BL381">
            <v>0</v>
          </cell>
          <cell r="BM381">
            <v>0</v>
          </cell>
          <cell r="BN381">
            <v>0</v>
          </cell>
          <cell r="BO381">
            <v>322502</v>
          </cell>
          <cell r="BP381">
            <v>31628</v>
          </cell>
          <cell r="BQ381">
            <v>56976.744186046497</v>
          </cell>
          <cell r="BR381">
            <v>0</v>
          </cell>
          <cell r="BS381">
            <v>0</v>
          </cell>
          <cell r="BT381">
            <v>144824</v>
          </cell>
          <cell r="BU381"/>
          <cell r="BV381"/>
          <cell r="BW381"/>
          <cell r="BX381"/>
          <cell r="BY381">
            <v>0</v>
          </cell>
          <cell r="BZ381">
            <v>0</v>
          </cell>
          <cell r="CA381">
            <v>0</v>
          </cell>
          <cell r="CB381">
            <v>0</v>
          </cell>
          <cell r="CC381">
            <v>5135977</v>
          </cell>
          <cell r="CD381">
            <v>47119364</v>
          </cell>
          <cell r="CE381">
            <v>3938135</v>
          </cell>
          <cell r="CF381">
            <v>1894264</v>
          </cell>
          <cell r="CG381">
            <v>3938135</v>
          </cell>
          <cell r="CH381">
            <v>3938135</v>
          </cell>
          <cell r="CI381">
            <v>3938135</v>
          </cell>
          <cell r="CJ381">
            <v>3938135</v>
          </cell>
          <cell r="CK381">
            <v>0</v>
          </cell>
          <cell r="CL381">
            <v>0</v>
          </cell>
          <cell r="CM381">
            <v>0</v>
          </cell>
          <cell r="CN381">
            <v>0</v>
          </cell>
          <cell r="CO381">
            <v>0</v>
          </cell>
          <cell r="CP381">
            <v>-3935</v>
          </cell>
          <cell r="CQ381">
            <v>6985182</v>
          </cell>
          <cell r="CR381">
            <v>6666613</v>
          </cell>
          <cell r="CS381">
            <v>6582639</v>
          </cell>
          <cell r="CT381">
            <v>6477902</v>
          </cell>
          <cell r="CU381">
            <v>6331431</v>
          </cell>
          <cell r="CV381">
            <v>-261436</v>
          </cell>
          <cell r="CW381">
            <v>0</v>
          </cell>
          <cell r="CX381">
            <v>0</v>
          </cell>
          <cell r="CY381">
            <v>0</v>
          </cell>
          <cell r="CZ381">
            <v>0</v>
          </cell>
          <cell r="DA381">
            <v>0</v>
          </cell>
          <cell r="DB381"/>
          <cell r="DC381">
            <v>0</v>
          </cell>
          <cell r="DD381">
            <v>0</v>
          </cell>
          <cell r="DE381">
            <v>0</v>
          </cell>
          <cell r="DF381">
            <v>0</v>
          </cell>
          <cell r="DG381">
            <v>0</v>
          </cell>
          <cell r="DH381">
            <v>0</v>
          </cell>
          <cell r="DI381">
            <v>0</v>
          </cell>
          <cell r="DJ381">
            <v>0</v>
          </cell>
          <cell r="DK381">
            <v>0</v>
          </cell>
          <cell r="DL381">
            <v>0</v>
          </cell>
          <cell r="DM381"/>
          <cell r="DN381"/>
          <cell r="DO381"/>
          <cell r="DP381"/>
        </row>
        <row r="382">
          <cell r="A382">
            <v>171</v>
          </cell>
          <cell r="B382" t="str">
            <v>Noordoostpolder</v>
          </cell>
          <cell r="C382">
            <v>12</v>
          </cell>
          <cell r="D382">
            <v>22710</v>
          </cell>
          <cell r="E382">
            <v>11355</v>
          </cell>
          <cell r="F382">
            <v>0</v>
          </cell>
          <cell r="G382">
            <v>0</v>
          </cell>
          <cell r="H382">
            <v>-24715</v>
          </cell>
          <cell r="I382">
            <v>0</v>
          </cell>
          <cell r="J382"/>
          <cell r="K382">
            <v>0</v>
          </cell>
          <cell r="L382">
            <v>242534</v>
          </cell>
          <cell r="M382">
            <v>244549</v>
          </cell>
          <cell r="N382">
            <v>0</v>
          </cell>
          <cell r="O382">
            <v>0</v>
          </cell>
          <cell r="P382">
            <v>0</v>
          </cell>
          <cell r="Q382">
            <v>0</v>
          </cell>
          <cell r="R382">
            <v>0</v>
          </cell>
          <cell r="S382">
            <v>0</v>
          </cell>
          <cell r="T382">
            <v>0</v>
          </cell>
          <cell r="U382">
            <v>0</v>
          </cell>
          <cell r="V382">
            <v>9000</v>
          </cell>
          <cell r="W382">
            <v>191126</v>
          </cell>
          <cell r="X382">
            <v>0</v>
          </cell>
          <cell r="Y382"/>
          <cell r="Z382">
            <v>0</v>
          </cell>
          <cell r="AA382">
            <v>0</v>
          </cell>
          <cell r="AB382">
            <v>0</v>
          </cell>
          <cell r="AC382"/>
          <cell r="AD382">
            <v>91913</v>
          </cell>
          <cell r="AE382">
            <v>0</v>
          </cell>
          <cell r="AF382">
            <v>0</v>
          </cell>
          <cell r="AG382">
            <v>0</v>
          </cell>
          <cell r="AH382">
            <v>0</v>
          </cell>
          <cell r="AI382">
            <v>0</v>
          </cell>
          <cell r="AJ382">
            <v>0</v>
          </cell>
          <cell r="AK382">
            <v>0</v>
          </cell>
          <cell r="AL382"/>
          <cell r="AM382">
            <v>0</v>
          </cell>
          <cell r="AN382">
            <v>0</v>
          </cell>
          <cell r="AO382">
            <v>0</v>
          </cell>
          <cell r="AP382">
            <v>0</v>
          </cell>
          <cell r="AQ382">
            <v>0</v>
          </cell>
          <cell r="AR382">
            <v>0</v>
          </cell>
          <cell r="AS382">
            <v>0</v>
          </cell>
          <cell r="AT382">
            <v>0</v>
          </cell>
          <cell r="AU382">
            <v>2370</v>
          </cell>
          <cell r="AV382">
            <v>0</v>
          </cell>
          <cell r="AW382">
            <v>0</v>
          </cell>
          <cell r="AX382">
            <v>0</v>
          </cell>
          <cell r="AY382"/>
          <cell r="AZ382"/>
          <cell r="BA382">
            <v>0</v>
          </cell>
          <cell r="BB382"/>
          <cell r="BC382">
            <v>0</v>
          </cell>
          <cell r="BD382">
            <v>16339</v>
          </cell>
          <cell r="BE382"/>
          <cell r="BF382">
            <v>0</v>
          </cell>
          <cell r="BG382">
            <v>0</v>
          </cell>
          <cell r="BH382">
            <v>0</v>
          </cell>
          <cell r="BI382">
            <v>63880</v>
          </cell>
          <cell r="BJ382">
            <v>52583</v>
          </cell>
          <cell r="BK382">
            <v>52583</v>
          </cell>
          <cell r="BL382">
            <v>0</v>
          </cell>
          <cell r="BM382">
            <v>0</v>
          </cell>
          <cell r="BN382">
            <v>0</v>
          </cell>
          <cell r="BO382">
            <v>385737</v>
          </cell>
          <cell r="BP382">
            <v>14232.6</v>
          </cell>
          <cell r="BQ382">
            <v>25639.534883720899</v>
          </cell>
          <cell r="BR382">
            <v>0</v>
          </cell>
          <cell r="BS382">
            <v>0</v>
          </cell>
          <cell r="BT382">
            <v>89875</v>
          </cell>
          <cell r="BU382"/>
          <cell r="BV382"/>
          <cell r="BW382"/>
          <cell r="BX382"/>
          <cell r="BY382">
            <v>0</v>
          </cell>
          <cell r="BZ382">
            <v>0</v>
          </cell>
          <cell r="CA382">
            <v>0</v>
          </cell>
          <cell r="CB382">
            <v>0</v>
          </cell>
          <cell r="CC382">
            <v>3030002</v>
          </cell>
          <cell r="CD382">
            <v>22759080</v>
          </cell>
          <cell r="CE382">
            <v>2267129</v>
          </cell>
          <cell r="CF382">
            <v>0</v>
          </cell>
          <cell r="CG382">
            <v>2267129</v>
          </cell>
          <cell r="CH382">
            <v>2267129</v>
          </cell>
          <cell r="CI382">
            <v>2267129</v>
          </cell>
          <cell r="CJ382">
            <v>2267129</v>
          </cell>
          <cell r="CK382">
            <v>0</v>
          </cell>
          <cell r="CL382">
            <v>0</v>
          </cell>
          <cell r="CM382">
            <v>0</v>
          </cell>
          <cell r="CN382">
            <v>0</v>
          </cell>
          <cell r="CO382">
            <v>0</v>
          </cell>
          <cell r="CP382">
            <v>0</v>
          </cell>
          <cell r="CQ382">
            <v>5337053</v>
          </cell>
          <cell r="CR382">
            <v>5076154</v>
          </cell>
          <cell r="CS382">
            <v>4918418</v>
          </cell>
          <cell r="CT382">
            <v>4819430</v>
          </cell>
          <cell r="CU382">
            <v>4725392</v>
          </cell>
          <cell r="CV382">
            <v>-49858</v>
          </cell>
          <cell r="CW382">
            <v>0</v>
          </cell>
          <cell r="CX382">
            <v>0</v>
          </cell>
          <cell r="CY382">
            <v>0</v>
          </cell>
          <cell r="CZ382">
            <v>0</v>
          </cell>
          <cell r="DA382">
            <v>0</v>
          </cell>
          <cell r="DB382"/>
          <cell r="DC382">
            <v>0</v>
          </cell>
          <cell r="DD382">
            <v>0</v>
          </cell>
          <cell r="DE382">
            <v>0</v>
          </cell>
          <cell r="DF382">
            <v>0</v>
          </cell>
          <cell r="DG382">
            <v>0</v>
          </cell>
          <cell r="DH382">
            <v>0</v>
          </cell>
          <cell r="DI382">
            <v>0</v>
          </cell>
          <cell r="DJ382">
            <v>0</v>
          </cell>
          <cell r="DK382">
            <v>0</v>
          </cell>
          <cell r="DL382">
            <v>0</v>
          </cell>
          <cell r="DM382"/>
          <cell r="DN382"/>
          <cell r="DO382"/>
          <cell r="DP382"/>
        </row>
        <row r="383">
          <cell r="A383">
            <v>184</v>
          </cell>
          <cell r="B383" t="str">
            <v>Urk</v>
          </cell>
          <cell r="C383">
            <v>12</v>
          </cell>
          <cell r="D383">
            <v>18474</v>
          </cell>
          <cell r="E383">
            <v>9237</v>
          </cell>
          <cell r="F383">
            <v>0</v>
          </cell>
          <cell r="G383">
            <v>0</v>
          </cell>
          <cell r="H383">
            <v>0</v>
          </cell>
          <cell r="I383">
            <v>0</v>
          </cell>
          <cell r="J383"/>
          <cell r="K383">
            <v>0</v>
          </cell>
          <cell r="L383">
            <v>68284</v>
          </cell>
          <cell r="M383">
            <v>61280</v>
          </cell>
          <cell r="N383">
            <v>0</v>
          </cell>
          <cell r="O383">
            <v>0</v>
          </cell>
          <cell r="P383">
            <v>0</v>
          </cell>
          <cell r="Q383">
            <v>0</v>
          </cell>
          <cell r="R383">
            <v>0</v>
          </cell>
          <cell r="S383">
            <v>0</v>
          </cell>
          <cell r="T383">
            <v>0</v>
          </cell>
          <cell r="U383">
            <v>0</v>
          </cell>
          <cell r="V383">
            <v>3000</v>
          </cell>
          <cell r="W383">
            <v>119154</v>
          </cell>
          <cell r="X383">
            <v>0</v>
          </cell>
          <cell r="Y383"/>
          <cell r="Z383">
            <v>0</v>
          </cell>
          <cell r="AA383">
            <v>0</v>
          </cell>
          <cell r="AB383">
            <v>0</v>
          </cell>
          <cell r="AC383"/>
          <cell r="AD383">
            <v>0</v>
          </cell>
          <cell r="AE383">
            <v>0</v>
          </cell>
          <cell r="AF383">
            <v>0</v>
          </cell>
          <cell r="AG383">
            <v>0</v>
          </cell>
          <cell r="AH383">
            <v>0</v>
          </cell>
          <cell r="AI383">
            <v>0</v>
          </cell>
          <cell r="AJ383">
            <v>0</v>
          </cell>
          <cell r="AK383">
            <v>0</v>
          </cell>
          <cell r="AL383"/>
          <cell r="AM383">
            <v>0</v>
          </cell>
          <cell r="AN383">
            <v>0</v>
          </cell>
          <cell r="AO383">
            <v>0</v>
          </cell>
          <cell r="AP383">
            <v>0</v>
          </cell>
          <cell r="AQ383">
            <v>0</v>
          </cell>
          <cell r="AR383">
            <v>0</v>
          </cell>
          <cell r="AS383">
            <v>0</v>
          </cell>
          <cell r="AT383">
            <v>0</v>
          </cell>
          <cell r="AU383">
            <v>2370</v>
          </cell>
          <cell r="AV383">
            <v>0</v>
          </cell>
          <cell r="AW383">
            <v>0</v>
          </cell>
          <cell r="AX383">
            <v>0</v>
          </cell>
          <cell r="AY383"/>
          <cell r="AZ383"/>
          <cell r="BA383">
            <v>0</v>
          </cell>
          <cell r="BB383"/>
          <cell r="BC383">
            <v>0</v>
          </cell>
          <cell r="BD383">
            <v>7098</v>
          </cell>
          <cell r="BE383"/>
          <cell r="BF383">
            <v>0</v>
          </cell>
          <cell r="BG383">
            <v>0</v>
          </cell>
          <cell r="BH383">
            <v>0</v>
          </cell>
          <cell r="BI383">
            <v>12061</v>
          </cell>
          <cell r="BJ383">
            <v>9928</v>
          </cell>
          <cell r="BK383">
            <v>9928</v>
          </cell>
          <cell r="BL383">
            <v>0</v>
          </cell>
          <cell r="BM383">
            <v>0</v>
          </cell>
          <cell r="BN383">
            <v>0</v>
          </cell>
          <cell r="BO383">
            <v>46211</v>
          </cell>
          <cell r="BP383">
            <v>18976.8</v>
          </cell>
          <cell r="BQ383">
            <v>34186.046511627901</v>
          </cell>
          <cell r="BR383">
            <v>0</v>
          </cell>
          <cell r="BS383">
            <v>0</v>
          </cell>
          <cell r="BT383">
            <v>42000</v>
          </cell>
          <cell r="BU383"/>
          <cell r="BV383"/>
          <cell r="BW383"/>
          <cell r="BX383"/>
          <cell r="BY383">
            <v>0</v>
          </cell>
          <cell r="BZ383">
            <v>0</v>
          </cell>
          <cell r="CA383">
            <v>0</v>
          </cell>
          <cell r="CB383">
            <v>0</v>
          </cell>
          <cell r="CC383">
            <v>662141</v>
          </cell>
          <cell r="CD383">
            <v>9409880</v>
          </cell>
          <cell r="CE383">
            <v>2181116</v>
          </cell>
          <cell r="CF383">
            <v>-64146</v>
          </cell>
          <cell r="CG383">
            <v>2181116</v>
          </cell>
          <cell r="CH383">
            <v>2181116</v>
          </cell>
          <cell r="CI383">
            <v>2181116</v>
          </cell>
          <cell r="CJ383">
            <v>2181116</v>
          </cell>
          <cell r="CK383">
            <v>0</v>
          </cell>
          <cell r="CL383">
            <v>0</v>
          </cell>
          <cell r="CM383">
            <v>0</v>
          </cell>
          <cell r="CN383">
            <v>0</v>
          </cell>
          <cell r="CO383">
            <v>0</v>
          </cell>
          <cell r="CP383">
            <v>445910</v>
          </cell>
          <cell r="CQ383">
            <v>1536891</v>
          </cell>
          <cell r="CR383">
            <v>1483324</v>
          </cell>
          <cell r="CS383">
            <v>1460413</v>
          </cell>
          <cell r="CT383">
            <v>1445112</v>
          </cell>
          <cell r="CU383">
            <v>1411056</v>
          </cell>
          <cell r="CV383">
            <v>-68869</v>
          </cell>
          <cell r="CW383">
            <v>0</v>
          </cell>
          <cell r="CX383">
            <v>0</v>
          </cell>
          <cell r="CY383">
            <v>0</v>
          </cell>
          <cell r="CZ383">
            <v>0</v>
          </cell>
          <cell r="DA383">
            <v>0</v>
          </cell>
          <cell r="DB383"/>
          <cell r="DC383">
            <v>0</v>
          </cell>
          <cell r="DD383">
            <v>0</v>
          </cell>
          <cell r="DE383">
            <v>0</v>
          </cell>
          <cell r="DF383">
            <v>0</v>
          </cell>
          <cell r="DG383">
            <v>0</v>
          </cell>
          <cell r="DH383">
            <v>0</v>
          </cell>
          <cell r="DI383">
            <v>0</v>
          </cell>
          <cell r="DJ383">
            <v>0</v>
          </cell>
          <cell r="DK383">
            <v>0</v>
          </cell>
          <cell r="DL383">
            <v>0</v>
          </cell>
          <cell r="DM383"/>
          <cell r="DN383"/>
          <cell r="DO383"/>
          <cell r="DP383"/>
        </row>
        <row r="384">
          <cell r="A384">
            <v>50</v>
          </cell>
          <cell r="B384" t="str">
            <v>Zeewolde</v>
          </cell>
          <cell r="C384">
            <v>12</v>
          </cell>
          <cell r="D384">
            <v>38393</v>
          </cell>
          <cell r="E384">
            <v>19196</v>
          </cell>
          <cell r="F384">
            <v>0</v>
          </cell>
          <cell r="G384">
            <v>0</v>
          </cell>
          <cell r="H384">
            <v>-3247</v>
          </cell>
          <cell r="I384">
            <v>-4027</v>
          </cell>
          <cell r="J384"/>
          <cell r="K384">
            <v>0</v>
          </cell>
          <cell r="L384">
            <v>98844</v>
          </cell>
          <cell r="M384">
            <v>91277</v>
          </cell>
          <cell r="N384">
            <v>0</v>
          </cell>
          <cell r="O384">
            <v>0</v>
          </cell>
          <cell r="P384">
            <v>0</v>
          </cell>
          <cell r="Q384">
            <v>0</v>
          </cell>
          <cell r="R384">
            <v>0</v>
          </cell>
          <cell r="S384">
            <v>0</v>
          </cell>
          <cell r="T384">
            <v>0</v>
          </cell>
          <cell r="U384">
            <v>0</v>
          </cell>
          <cell r="V384">
            <v>3000</v>
          </cell>
          <cell r="W384">
            <v>109435</v>
          </cell>
          <cell r="X384">
            <v>0</v>
          </cell>
          <cell r="Y384"/>
          <cell r="Z384">
            <v>0</v>
          </cell>
          <cell r="AA384">
            <v>0</v>
          </cell>
          <cell r="AB384">
            <v>0</v>
          </cell>
          <cell r="AC384"/>
          <cell r="AD384">
            <v>20000</v>
          </cell>
          <cell r="AE384">
            <v>0</v>
          </cell>
          <cell r="AF384">
            <v>0</v>
          </cell>
          <cell r="AG384">
            <v>0</v>
          </cell>
          <cell r="AH384">
            <v>0</v>
          </cell>
          <cell r="AI384">
            <v>0</v>
          </cell>
          <cell r="AJ384">
            <v>0</v>
          </cell>
          <cell r="AK384">
            <v>0</v>
          </cell>
          <cell r="AL384"/>
          <cell r="AM384">
            <v>0</v>
          </cell>
          <cell r="AN384">
            <v>0</v>
          </cell>
          <cell r="AO384">
            <v>0</v>
          </cell>
          <cell r="AP384">
            <v>0</v>
          </cell>
          <cell r="AQ384">
            <v>0</v>
          </cell>
          <cell r="AR384">
            <v>0</v>
          </cell>
          <cell r="AS384">
            <v>0</v>
          </cell>
          <cell r="AT384">
            <v>0</v>
          </cell>
          <cell r="AU384">
            <v>7110</v>
          </cell>
          <cell r="AV384">
            <v>0</v>
          </cell>
          <cell r="AW384">
            <v>0</v>
          </cell>
          <cell r="AX384">
            <v>0</v>
          </cell>
          <cell r="AY384"/>
          <cell r="AZ384"/>
          <cell r="BA384">
            <v>0</v>
          </cell>
          <cell r="BB384"/>
          <cell r="BC384">
            <v>0</v>
          </cell>
          <cell r="BD384">
            <v>7883</v>
          </cell>
          <cell r="BE384"/>
          <cell r="BF384">
            <v>0</v>
          </cell>
          <cell r="BG384">
            <v>0</v>
          </cell>
          <cell r="BH384">
            <v>0</v>
          </cell>
          <cell r="BI384">
            <v>20034</v>
          </cell>
          <cell r="BJ384">
            <v>16491</v>
          </cell>
          <cell r="BK384">
            <v>16491</v>
          </cell>
          <cell r="BL384">
            <v>0</v>
          </cell>
          <cell r="BM384">
            <v>0</v>
          </cell>
          <cell r="BN384">
            <v>0</v>
          </cell>
          <cell r="BO384">
            <v>93881</v>
          </cell>
          <cell r="BP384">
            <v>11069.8</v>
          </cell>
          <cell r="BQ384">
            <v>19941.8604651163</v>
          </cell>
          <cell r="BR384">
            <v>0</v>
          </cell>
          <cell r="BS384">
            <v>0</v>
          </cell>
          <cell r="BT384">
            <v>42132</v>
          </cell>
          <cell r="BU384"/>
          <cell r="BV384"/>
          <cell r="BW384"/>
          <cell r="BX384"/>
          <cell r="BY384">
            <v>0</v>
          </cell>
          <cell r="BZ384">
            <v>0</v>
          </cell>
          <cell r="CA384">
            <v>0</v>
          </cell>
          <cell r="CB384">
            <v>0</v>
          </cell>
          <cell r="CC384">
            <v>1005732</v>
          </cell>
          <cell r="CD384">
            <v>7571648</v>
          </cell>
          <cell r="CE384">
            <v>1147636</v>
          </cell>
          <cell r="CF384">
            <v>0</v>
          </cell>
          <cell r="CG384">
            <v>1147636</v>
          </cell>
          <cell r="CH384">
            <v>1147636</v>
          </cell>
          <cell r="CI384">
            <v>1147636</v>
          </cell>
          <cell r="CJ384">
            <v>1147636</v>
          </cell>
          <cell r="CK384">
            <v>0</v>
          </cell>
          <cell r="CL384">
            <v>0</v>
          </cell>
          <cell r="CM384">
            <v>0</v>
          </cell>
          <cell r="CN384">
            <v>0</v>
          </cell>
          <cell r="CO384">
            <v>0</v>
          </cell>
          <cell r="CP384">
            <v>-1429</v>
          </cell>
          <cell r="CQ384">
            <v>443399</v>
          </cell>
          <cell r="CR384">
            <v>441346</v>
          </cell>
          <cell r="CS384">
            <v>443361</v>
          </cell>
          <cell r="CT384">
            <v>450703</v>
          </cell>
          <cell r="CU384">
            <v>458616</v>
          </cell>
          <cell r="CV384">
            <v>134023</v>
          </cell>
          <cell r="CW384">
            <v>0</v>
          </cell>
          <cell r="CX384">
            <v>0</v>
          </cell>
          <cell r="CY384">
            <v>0</v>
          </cell>
          <cell r="CZ384">
            <v>0</v>
          </cell>
          <cell r="DA384">
            <v>0</v>
          </cell>
          <cell r="DB384"/>
          <cell r="DC384">
            <v>0</v>
          </cell>
          <cell r="DD384">
            <v>0</v>
          </cell>
          <cell r="DE384">
            <v>0</v>
          </cell>
          <cell r="DF384">
            <v>0</v>
          </cell>
          <cell r="DG384">
            <v>0</v>
          </cell>
          <cell r="DH384">
            <v>0</v>
          </cell>
          <cell r="DI384">
            <v>0</v>
          </cell>
          <cell r="DJ384">
            <v>0</v>
          </cell>
          <cell r="DK384">
            <v>0</v>
          </cell>
          <cell r="DL384">
            <v>0</v>
          </cell>
          <cell r="DM384"/>
          <cell r="DN384"/>
          <cell r="DO384"/>
          <cell r="DP384"/>
        </row>
      </sheetData>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oelichting"/>
      <sheetName val="uitk_jr_23"/>
      <sheetName val="uitk_jr_24"/>
      <sheetName val="uitk_jr_25"/>
      <sheetName val="uitk_jr_26"/>
      <sheetName val="uitk_jr_27"/>
      <sheetName val="Gewichten 2023"/>
      <sheetName val="Gewichten 2024"/>
      <sheetName val="Gewichten 2025"/>
      <sheetName val="Gewichten 2026"/>
      <sheetName val="Gewichten 2027"/>
      <sheetName val="Groeifactoren"/>
      <sheetName val="Volumina 2022 (oud)"/>
      <sheetName val="Volumina 2022 nieuw"/>
      <sheetName val="Volumina 2022"/>
      <sheetName val="Volumina 2023"/>
      <sheetName val="Volumina 2024"/>
      <sheetName val="Volumina 2025"/>
      <sheetName val="Volumina 2026"/>
      <sheetName val="Volumina 2027"/>
      <sheetName val="Basisgegevens aanvullend"/>
      <sheetName val="AU per maatstaf 2023"/>
      <sheetName val="AU per maatstaf 2024"/>
      <sheetName val="AU per maatstaf 2025"/>
      <sheetName val="AU per maatstaf 2026"/>
      <sheetName val="AU per maatstaf 2027"/>
      <sheetName val="AU per cluster 2023"/>
      <sheetName val="AU per cluster 2024"/>
      <sheetName val="AU per cluster 2025"/>
      <sheetName val="AU per cluster 2026"/>
      <sheetName val="AU per cluster 2027"/>
      <sheetName val="AU overig 2023"/>
      <sheetName val="AU overig 2024"/>
      <sheetName val="AU overig 2025"/>
      <sheetName val="AU overig 2026"/>
      <sheetName val="AU overig 2027"/>
      <sheetName val="Aanv uitkering 2022"/>
      <sheetName val="IU 2023"/>
      <sheetName val="IU 2024"/>
      <sheetName val="IU 2025"/>
      <sheetName val="IU 2026"/>
      <sheetName val="IU 2027"/>
      <sheetName val="DU 2023"/>
      <sheetName val="DU 2024"/>
      <sheetName val="DU 2025"/>
      <sheetName val="DU 2026"/>
      <sheetName val="DU 202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6">
          <cell r="A6" t="str">
            <v>vest</v>
          </cell>
          <cell r="B6" t="str">
            <v>bedrijven</v>
          </cell>
          <cell r="C6">
            <v>1.0540825895881001</v>
          </cell>
          <cell r="D6">
            <v>1.11258581786602</v>
          </cell>
          <cell r="E6">
            <v>1.17536893485146</v>
          </cell>
          <cell r="F6">
            <v>1.2479902624916399</v>
          </cell>
          <cell r="G6">
            <v>1.3190633218130201</v>
          </cell>
        </row>
        <row r="7">
          <cell r="A7" t="str">
            <v>bo31</v>
          </cell>
          <cell r="B7" t="str">
            <v>bewoonde oorden 1930</v>
          </cell>
          <cell r="C7">
            <v>1</v>
          </cell>
          <cell r="D7">
            <v>1</v>
          </cell>
          <cell r="E7">
            <v>1</v>
          </cell>
          <cell r="F7">
            <v>1</v>
          </cell>
          <cell r="G7">
            <v>1</v>
          </cell>
        </row>
        <row r="8">
          <cell r="A8" t="str">
            <v>bo31hk</v>
          </cell>
          <cell r="B8" t="str">
            <v>historische woningen in bewoonde oorden 1930</v>
          </cell>
          <cell r="C8">
            <v>1</v>
          </cell>
          <cell r="D8">
            <v>1</v>
          </cell>
          <cell r="E8">
            <v>1</v>
          </cell>
          <cell r="F8">
            <v>1</v>
          </cell>
          <cell r="G8">
            <v>1</v>
          </cell>
        </row>
        <row r="9">
          <cell r="A9" t="str">
            <v>bo3_nw</v>
          </cell>
          <cell r="B9" t="str">
            <v>bijstandsontvangers</v>
          </cell>
          <cell r="C9">
            <v>0.98591081123636104</v>
          </cell>
          <cell r="D9">
            <v>1.0171770304235499</v>
          </cell>
          <cell r="E9">
            <v>1.03526670904309</v>
          </cell>
          <cell r="F9">
            <v>1.05999276879385</v>
          </cell>
          <cell r="G9">
            <v>1.08487919803591</v>
          </cell>
        </row>
        <row r="10">
          <cell r="A10" t="str">
            <v>doelgroep</v>
          </cell>
          <cell r="B10" t="str">
            <v>doelgroepenregister gemeentelijke doelgroep</v>
          </cell>
          <cell r="C10">
            <v>1.08418749762203</v>
          </cell>
          <cell r="D10">
            <v>1.1683749952440701</v>
          </cell>
          <cell r="E10">
            <v>1.2525624928661101</v>
          </cell>
          <cell r="F10">
            <v>1.3367499904881499</v>
          </cell>
          <cell r="G10">
            <v>1.4209374881101899</v>
          </cell>
        </row>
        <row r="11">
          <cell r="A11" t="str">
            <v>ephh</v>
          </cell>
          <cell r="B11" t="str">
            <v>éénpersoonshuishoudens</v>
          </cell>
          <cell r="C11">
            <v>1.0106866244463499</v>
          </cell>
          <cell r="D11">
            <v>1.0257637040576599</v>
          </cell>
          <cell r="E11">
            <v>1.03744762911008</v>
          </cell>
          <cell r="F11">
            <v>1.0489503127438899</v>
          </cell>
          <cell r="G11">
            <v>1.0602121816927901</v>
          </cell>
        </row>
        <row r="12">
          <cell r="A12" t="str">
            <v>groei_jong</v>
          </cell>
          <cell r="B12" t="str">
            <v>extra groei jongeren</v>
          </cell>
          <cell r="C12">
            <v>0.98838721248262496</v>
          </cell>
          <cell r="D12">
            <v>0.98679761903319296</v>
          </cell>
          <cell r="E12">
            <v>0.98753682391533804</v>
          </cell>
          <cell r="F12">
            <v>0.99034519656184905</v>
          </cell>
          <cell r="G12">
            <v>0.99254281632212804</v>
          </cell>
        </row>
        <row r="13">
          <cell r="A13" t="str">
            <v>groei_llvo</v>
          </cell>
          <cell r="B13" t="str">
            <v>extra groei leerlingen voortgezet onderwijs</v>
          </cell>
          <cell r="C13">
            <v>1</v>
          </cell>
          <cell r="D13">
            <v>1</v>
          </cell>
          <cell r="E13">
            <v>1</v>
          </cell>
          <cell r="F13">
            <v>1</v>
          </cell>
          <cell r="G13">
            <v>1</v>
          </cell>
        </row>
        <row r="14">
          <cell r="A14" t="str">
            <v>kernen500</v>
          </cell>
          <cell r="B14" t="str">
            <v>grote woonkernen</v>
          </cell>
          <cell r="C14">
            <v>1</v>
          </cell>
          <cell r="D14">
            <v>1</v>
          </cell>
          <cell r="E14">
            <v>1</v>
          </cell>
          <cell r="F14">
            <v>1</v>
          </cell>
          <cell r="G14">
            <v>1</v>
          </cell>
        </row>
        <row r="15">
          <cell r="A15" t="str">
            <v>lidr_w_nw</v>
          </cell>
          <cell r="B15" t="str">
            <v>huishoudens met een laag inkomen met drempel</v>
          </cell>
          <cell r="C15">
            <v>1.01132088389931</v>
          </cell>
          <cell r="D15">
            <v>1.0215221659493301</v>
          </cell>
          <cell r="E15">
            <v>1.02993432621445</v>
          </cell>
          <cell r="F15">
            <v>1.03797176711887</v>
          </cell>
          <cell r="G15">
            <v>1.04560394958886</v>
          </cell>
        </row>
        <row r="16">
          <cell r="A16" t="str">
            <v>inwo</v>
          </cell>
          <cell r="B16" t="str">
            <v>inwoners</v>
          </cell>
          <cell r="C16">
            <v>1.0033788930860601</v>
          </cell>
          <cell r="D16">
            <v>1.0096042948217101</v>
          </cell>
          <cell r="E16">
            <v>1.0156534099436301</v>
          </cell>
          <cell r="F16">
            <v>1.02156267821946</v>
          </cell>
          <cell r="G16">
            <v>1.0272130592850599</v>
          </cell>
        </row>
        <row r="17">
          <cell r="A17" t="str">
            <v>inw75+dr</v>
          </cell>
          <cell r="B17" t="str">
            <v>inwoners 75+ met drempel</v>
          </cell>
          <cell r="C17">
            <v>1.05296148250055</v>
          </cell>
          <cell r="D17">
            <v>1.09822390297559</v>
          </cell>
          <cell r="E17">
            <v>1.1379954163193</v>
          </cell>
          <cell r="F17">
            <v>1.17428193757192</v>
          </cell>
          <cell r="G17">
            <v>1.2079634319913</v>
          </cell>
        </row>
        <row r="18">
          <cell r="A18" t="str">
            <v>wad1</v>
          </cell>
          <cell r="B18" t="str">
            <v>inwoners waddengemeenten (&lt;2500 inwoners)</v>
          </cell>
          <cell r="C18">
            <v>1.0033788930860601</v>
          </cell>
          <cell r="D18">
            <v>1.0096042948217101</v>
          </cell>
          <cell r="E18">
            <v>1.0156534099436301</v>
          </cell>
          <cell r="F18">
            <v>1.02156267821946</v>
          </cell>
          <cell r="G18">
            <v>1.0272130592850599</v>
          </cell>
        </row>
        <row r="19">
          <cell r="A19" t="str">
            <v>wad3</v>
          </cell>
          <cell r="B19" t="str">
            <v>inwoners waddengemeenten (&gt;7500 inwoners)</v>
          </cell>
          <cell r="C19">
            <v>1.0033788930860601</v>
          </cell>
          <cell r="D19">
            <v>1.0096042948217101</v>
          </cell>
          <cell r="E19">
            <v>1.0156534099436301</v>
          </cell>
          <cell r="F19">
            <v>1.02156267821946</v>
          </cell>
          <cell r="G19">
            <v>1.0272130592850599</v>
          </cell>
        </row>
        <row r="20">
          <cell r="A20" t="str">
            <v>wad2</v>
          </cell>
          <cell r="B20" t="str">
            <v>inwoners waddengemeenten (2500 tot 7500 inwoners)</v>
          </cell>
          <cell r="C20">
            <v>1.0033788930860601</v>
          </cell>
          <cell r="D20">
            <v>1.0096042948217101</v>
          </cell>
          <cell r="E20">
            <v>1.0156534099436301</v>
          </cell>
          <cell r="F20">
            <v>1.02156267821946</v>
          </cell>
          <cell r="G20">
            <v>1.0272130592850599</v>
          </cell>
        </row>
        <row r="21">
          <cell r="A21" t="str">
            <v>jong</v>
          </cell>
          <cell r="B21" t="str">
            <v>jongeren</v>
          </cell>
          <cell r="C21">
            <v>0.98838721248262595</v>
          </cell>
          <cell r="D21">
            <v>0.98679761903319296</v>
          </cell>
          <cell r="E21">
            <v>0.98753682391533804</v>
          </cell>
          <cell r="F21">
            <v>0.99034519656184905</v>
          </cell>
          <cell r="G21">
            <v>0.99254281632212804</v>
          </cell>
        </row>
        <row r="22">
          <cell r="A22" t="str">
            <v>kernen</v>
          </cell>
          <cell r="B22" t="str">
            <v>kernen</v>
          </cell>
          <cell r="C22">
            <v>1</v>
          </cell>
          <cell r="D22">
            <v>1</v>
          </cell>
          <cell r="E22">
            <v>1</v>
          </cell>
          <cell r="F22">
            <v>1</v>
          </cell>
          <cell r="G22">
            <v>1</v>
          </cell>
        </row>
        <row r="23">
          <cell r="A23" t="str">
            <v>LOdr</v>
          </cell>
          <cell r="B23" t="str">
            <v>laag opleidingsniveau met drempel</v>
          </cell>
          <cell r="C23">
            <v>0.987200356192381</v>
          </cell>
          <cell r="D23">
            <v>0.974400712384762</v>
          </cell>
          <cell r="E23">
            <v>0.961601068577142</v>
          </cell>
          <cell r="F23">
            <v>0.94880142476952301</v>
          </cell>
          <cell r="G23">
            <v>0.93600178096190401</v>
          </cell>
        </row>
        <row r="24">
          <cell r="A24" t="str">
            <v>ll_so</v>
          </cell>
          <cell r="B24" t="str">
            <v>leerlingen (voortgezet) speciaal onderwijs</v>
          </cell>
          <cell r="C24">
            <v>1.01132393260069</v>
          </cell>
          <cell r="D24">
            <v>1.0211038735642199</v>
          </cell>
          <cell r="E24">
            <v>1.03186084799004</v>
          </cell>
          <cell r="F24">
            <v>1.0427053679731799</v>
          </cell>
          <cell r="G24">
            <v>1.05338084932453</v>
          </cell>
        </row>
        <row r="25">
          <cell r="A25" t="str">
            <v>ll_vo</v>
          </cell>
          <cell r="B25" t="str">
            <v>leerlingen voortgezet onderwijs</v>
          </cell>
          <cell r="C25">
            <v>0.98387261212368504</v>
          </cell>
          <cell r="D25">
            <v>0.96921452965696997</v>
          </cell>
          <cell r="E25">
            <v>0.95749702891256105</v>
          </cell>
          <cell r="F25">
            <v>0.94373606374943897</v>
          </cell>
          <cell r="G25">
            <v>0.93072513601452</v>
          </cell>
        </row>
        <row r="26">
          <cell r="A26" t="str">
            <v>loonksub</v>
          </cell>
          <cell r="B26" t="str">
            <v>loonkostensubsidie</v>
          </cell>
          <cell r="C26">
            <v>1.18097003943728</v>
          </cell>
          <cell r="D26">
            <v>1.36196950968274</v>
          </cell>
          <cell r="E26">
            <v>1.54293954912002</v>
          </cell>
          <cell r="F26">
            <v>1.64023780093001</v>
          </cell>
          <cell r="G26">
            <v>1.73750662193184</v>
          </cell>
        </row>
        <row r="27">
          <cell r="A27" t="str">
            <v>nwmigr</v>
          </cell>
          <cell r="B27" t="str">
            <v>migratieachtergrond</v>
          </cell>
          <cell r="C27">
            <v>1.0533892508023499</v>
          </cell>
          <cell r="D27">
            <v>1.08455821358316</v>
          </cell>
          <cell r="E27">
            <v>1.1137922946348799</v>
          </cell>
          <cell r="F27">
            <v>1.1423835944912899</v>
          </cell>
          <cell r="G27">
            <v>1.1702013502900099</v>
          </cell>
        </row>
        <row r="28">
          <cell r="A28" t="str">
            <v>cf.landelijk</v>
          </cell>
          <cell r="B28" t="str">
            <v>landelijke centrumfunctie</v>
          </cell>
          <cell r="C28">
            <v>1.0060205827690201</v>
          </cell>
          <cell r="D28">
            <v>1.01226237470348</v>
          </cell>
          <cell r="E28">
            <v>1.0183274158979101</v>
          </cell>
          <cell r="F28">
            <v>1.02425224205834</v>
          </cell>
          <cell r="G28">
            <v>1.02991749941192</v>
          </cell>
        </row>
        <row r="29">
          <cell r="A29" t="str">
            <v>cf.lokaal</v>
          </cell>
          <cell r="B29" t="str">
            <v>lokale centrumfunctie</v>
          </cell>
          <cell r="C29">
            <v>1.0060205827690201</v>
          </cell>
          <cell r="D29">
            <v>1.01226237470348</v>
          </cell>
          <cell r="E29">
            <v>1.0183274158979101</v>
          </cell>
          <cell r="F29">
            <v>1.02425224205834</v>
          </cell>
          <cell r="G29">
            <v>1.02991749941192</v>
          </cell>
        </row>
        <row r="30">
          <cell r="A30" t="str">
            <v>cf.regionaal</v>
          </cell>
          <cell r="B30" t="str">
            <v>regionale centrumfunctie</v>
          </cell>
          <cell r="C30">
            <v>1.0060205827690201</v>
          </cell>
          <cell r="D30">
            <v>1.01226237470348</v>
          </cell>
          <cell r="E30">
            <v>1.0183274158979101</v>
          </cell>
          <cell r="F30">
            <v>1.02425224205834</v>
          </cell>
          <cell r="G30">
            <v>1.02991749941192</v>
          </cell>
        </row>
        <row r="31">
          <cell r="A31" t="str">
            <v>oeverdhbftot</v>
          </cell>
          <cell r="B31" t="str">
            <v>oeverlengte * bodemfactor gemeente * dichtheidsfactor</v>
          </cell>
          <cell r="C31">
            <v>1</v>
          </cell>
          <cell r="D31">
            <v>1</v>
          </cell>
          <cell r="E31">
            <v>1</v>
          </cell>
          <cell r="F31">
            <v>1</v>
          </cell>
          <cell r="G31">
            <v>1</v>
          </cell>
        </row>
        <row r="32">
          <cell r="A32" t="str">
            <v>oeverbftot</v>
          </cell>
          <cell r="B32" t="str">
            <v>oeverlengte*bodemfactor gemeente</v>
          </cell>
          <cell r="C32">
            <v>1</v>
          </cell>
          <cell r="D32">
            <v>1</v>
          </cell>
          <cell r="E32">
            <v>1</v>
          </cell>
          <cell r="F32">
            <v>1</v>
          </cell>
          <cell r="G32">
            <v>1</v>
          </cell>
        </row>
        <row r="33">
          <cell r="A33" t="str">
            <v>oadw</v>
          </cell>
          <cell r="B33" t="str">
            <v>omgevingsadressendichtheid</v>
          </cell>
          <cell r="C33">
            <v>1.0089711229348799</v>
          </cell>
          <cell r="D33">
            <v>1.01802532454134</v>
          </cell>
          <cell r="E33">
            <v>1.0264856215837199</v>
          </cell>
          <cell r="F33">
            <v>1.0357020193044999</v>
          </cell>
          <cell r="G33">
            <v>1.0450037671074299</v>
          </cell>
        </row>
        <row r="34">
          <cell r="A34" t="str">
            <v>goab</v>
          </cell>
          <cell r="B34" t="str">
            <v>onderwijsachterstand</v>
          </cell>
          <cell r="C34">
            <v>0.99793346638629099</v>
          </cell>
          <cell r="D34">
            <v>0.99586693277258298</v>
          </cell>
          <cell r="E34">
            <v>0.99380039915887497</v>
          </cell>
          <cell r="F34">
            <v>0.99173386554516596</v>
          </cell>
          <cell r="G34">
            <v>0.98966733193145695</v>
          </cell>
        </row>
        <row r="35">
          <cell r="A35" t="str">
            <v>opbebnk</v>
          </cell>
          <cell r="B35" t="str">
            <v>oppervlak bebouwing buitengebied</v>
          </cell>
          <cell r="C35">
            <v>1.0061579667854801</v>
          </cell>
          <cell r="D35">
            <v>1.01260455429077</v>
          </cell>
          <cell r="E35">
            <v>1.0191885429011101</v>
          </cell>
          <cell r="F35">
            <v>1.0263794877268599</v>
          </cell>
          <cell r="G35">
            <v>1.0330824364553599</v>
          </cell>
        </row>
        <row r="36">
          <cell r="A36" t="str">
            <v>opbebnkbfnk</v>
          </cell>
          <cell r="B36" t="str">
            <v>oppervlak bebouwing buitengebied ∗ bodemfactor buitengebied</v>
          </cell>
          <cell r="C36">
            <v>1.0061579667854801</v>
          </cell>
          <cell r="D36">
            <v>1.01260455429077</v>
          </cell>
          <cell r="E36">
            <v>1.0191885429011101</v>
          </cell>
          <cell r="F36">
            <v>1.0263794877268599</v>
          </cell>
          <cell r="G36">
            <v>1.0330824364553599</v>
          </cell>
        </row>
        <row r="37">
          <cell r="A37" t="str">
            <v>opbebk</v>
          </cell>
          <cell r="B37" t="str">
            <v>oppervlak bebouwing woonkern</v>
          </cell>
          <cell r="C37">
            <v>1.0088438718335799</v>
          </cell>
          <cell r="D37">
            <v>1.0177286265602099</v>
          </cell>
          <cell r="E37">
            <v>1.0269177732128201</v>
          </cell>
          <cell r="F37">
            <v>1.03579304005441</v>
          </cell>
          <cell r="G37">
            <v>1.0443810013078401</v>
          </cell>
        </row>
        <row r="38">
          <cell r="A38" t="str">
            <v>opbebkbfk</v>
          </cell>
          <cell r="B38" t="str">
            <v>oppervlak bebouwing woonkern ∗ bodemfactor woonkern</v>
          </cell>
          <cell r="C38">
            <v>1.0097146366926</v>
          </cell>
          <cell r="D38">
            <v>1.01997433061221</v>
          </cell>
          <cell r="E38">
            <v>1.03030263072756</v>
          </cell>
          <cell r="F38">
            <v>1.04168412171594</v>
          </cell>
          <cell r="G38">
            <v>1.0523739896811499</v>
          </cell>
        </row>
        <row r="39">
          <cell r="A39" t="str">
            <v>biwa</v>
          </cell>
          <cell r="B39" t="str">
            <v>oppervlak binnenwater</v>
          </cell>
          <cell r="C39">
            <v>1</v>
          </cell>
          <cell r="D39">
            <v>1</v>
          </cell>
          <cell r="E39">
            <v>1</v>
          </cell>
          <cell r="F39">
            <v>1</v>
          </cell>
          <cell r="G39">
            <v>1</v>
          </cell>
        </row>
        <row r="40">
          <cell r="A40" t="str">
            <v>buiwamax</v>
          </cell>
          <cell r="B40" t="str">
            <v>oppervlak buitenwater</v>
          </cell>
          <cell r="C40">
            <v>1</v>
          </cell>
          <cell r="D40">
            <v>1</v>
          </cell>
          <cell r="E40">
            <v>1</v>
          </cell>
          <cell r="F40">
            <v>1</v>
          </cell>
          <cell r="G40">
            <v>1</v>
          </cell>
        </row>
        <row r="41">
          <cell r="A41" t="str">
            <v>histk40</v>
          </cell>
          <cell r="B41" t="str">
            <v>oppervlak historische kern &lt; 40 ha</v>
          </cell>
          <cell r="C41">
            <v>1</v>
          </cell>
          <cell r="D41">
            <v>1</v>
          </cell>
          <cell r="E41">
            <v>1</v>
          </cell>
          <cell r="F41">
            <v>1</v>
          </cell>
          <cell r="G41">
            <v>1</v>
          </cell>
        </row>
        <row r="42">
          <cell r="A42" t="str">
            <v>histk65</v>
          </cell>
          <cell r="B42" t="str">
            <v>oppervlak historische kern &gt; 65 ha</v>
          </cell>
          <cell r="C42">
            <v>1</v>
          </cell>
          <cell r="D42">
            <v>1</v>
          </cell>
          <cell r="E42">
            <v>1</v>
          </cell>
          <cell r="F42">
            <v>1</v>
          </cell>
          <cell r="G42">
            <v>1</v>
          </cell>
        </row>
        <row r="43">
          <cell r="A43" t="str">
            <v>histk4164</v>
          </cell>
          <cell r="B43" t="str">
            <v>oppervlak historische kern 40 tot 65 ha</v>
          </cell>
          <cell r="C43">
            <v>1</v>
          </cell>
          <cell r="D43">
            <v>1</v>
          </cell>
          <cell r="E43">
            <v>1</v>
          </cell>
          <cell r="F43">
            <v>1</v>
          </cell>
          <cell r="G43">
            <v>1</v>
          </cell>
        </row>
        <row r="44">
          <cell r="A44" t="str">
            <v>landbftot</v>
          </cell>
          <cell r="B44" t="str">
            <v>oppervlak land * bodemfactor gemeente</v>
          </cell>
          <cell r="C44">
            <v>1</v>
          </cell>
          <cell r="D44">
            <v>1</v>
          </cell>
          <cell r="E44">
            <v>1</v>
          </cell>
          <cell r="F44">
            <v>1</v>
          </cell>
          <cell r="G44">
            <v>1</v>
          </cell>
        </row>
        <row r="45">
          <cell r="A45" t="str">
            <v>land</v>
          </cell>
          <cell r="B45" t="str">
            <v>oppervlak land</v>
          </cell>
          <cell r="C45">
            <v>1</v>
          </cell>
          <cell r="D45">
            <v>1</v>
          </cell>
          <cell r="E45">
            <v>1</v>
          </cell>
          <cell r="F45">
            <v>1</v>
          </cell>
          <cell r="G45">
            <v>1</v>
          </cell>
        </row>
        <row r="46">
          <cell r="A46" t="str">
            <v>WOZnwe70</v>
          </cell>
          <cell r="B46" t="str">
            <v>ozb niet-woningen eigenaren</v>
          </cell>
          <cell r="C46">
            <v>1.03591181128657</v>
          </cell>
          <cell r="D46">
            <v>1.0526445378342999</v>
          </cell>
          <cell r="E46">
            <v>1.0683909377123399</v>
          </cell>
          <cell r="F46">
            <v>1.0856577050914</v>
          </cell>
          <cell r="G46">
            <v>1.10320843413577</v>
          </cell>
        </row>
        <row r="47">
          <cell r="A47" t="str">
            <v>WOZnwg70</v>
          </cell>
          <cell r="B47" t="str">
            <v>ozb niet-woningen gebruikers</v>
          </cell>
          <cell r="C47">
            <v>1.03591181128657</v>
          </cell>
          <cell r="D47">
            <v>1.0526445378342999</v>
          </cell>
          <cell r="E47">
            <v>1.0683909377123399</v>
          </cell>
          <cell r="F47">
            <v>1.0856577050914</v>
          </cell>
          <cell r="G47">
            <v>1.10320843413577</v>
          </cell>
        </row>
        <row r="48">
          <cell r="A48" t="str">
            <v>WOZwe80</v>
          </cell>
          <cell r="B48" t="str">
            <v>ozb woningen eigenaren</v>
          </cell>
          <cell r="C48">
            <v>1.2977373748139001</v>
          </cell>
          <cell r="D48">
            <v>1.3152056286965701</v>
          </cell>
          <cell r="E48">
            <v>1.3316006485781999</v>
          </cell>
          <cell r="F48">
            <v>1.3495345011200699</v>
          </cell>
          <cell r="G48">
            <v>1.36771496617681</v>
          </cell>
        </row>
        <row r="49">
          <cell r="A49" t="str">
            <v>vast nieuw</v>
          </cell>
          <cell r="B49" t="str">
            <v>vast bedrag</v>
          </cell>
          <cell r="C49">
            <v>1</v>
          </cell>
          <cell r="D49">
            <v>1</v>
          </cell>
          <cell r="E49">
            <v>1</v>
          </cell>
          <cell r="F49">
            <v>1</v>
          </cell>
          <cell r="G49">
            <v>1</v>
          </cell>
        </row>
        <row r="50">
          <cell r="A50" t="str">
            <v>Amsterdam</v>
          </cell>
          <cell r="B50" t="str">
            <v>vast bedrag Amsterdam</v>
          </cell>
          <cell r="C50">
            <v>1</v>
          </cell>
          <cell r="D50">
            <v>1</v>
          </cell>
          <cell r="E50">
            <v>1</v>
          </cell>
          <cell r="F50">
            <v>1</v>
          </cell>
          <cell r="G50">
            <v>1</v>
          </cell>
        </row>
        <row r="51">
          <cell r="A51" t="str">
            <v>Den Haag</v>
          </cell>
          <cell r="B51" t="str">
            <v>verkiezingen Den Haag</v>
          </cell>
          <cell r="C51">
            <v>1</v>
          </cell>
          <cell r="D51">
            <v>1</v>
          </cell>
          <cell r="E51">
            <v>1</v>
          </cell>
          <cell r="F51">
            <v>1</v>
          </cell>
          <cell r="G51">
            <v>1</v>
          </cell>
        </row>
        <row r="52">
          <cell r="A52" t="str">
            <v>Rotterdam</v>
          </cell>
          <cell r="B52" t="str">
            <v>vast bedrag Rotterdam</v>
          </cell>
          <cell r="C52">
            <v>1</v>
          </cell>
          <cell r="D52">
            <v>1</v>
          </cell>
          <cell r="E52">
            <v>1</v>
          </cell>
          <cell r="F52">
            <v>1</v>
          </cell>
          <cell r="G52">
            <v>1</v>
          </cell>
        </row>
        <row r="53">
          <cell r="A53" t="str">
            <v>woonr</v>
          </cell>
          <cell r="B53" t="str">
            <v>woonruimten</v>
          </cell>
          <cell r="C53">
            <v>1.0089711229348799</v>
          </cell>
          <cell r="D53">
            <v>1.01802532454134</v>
          </cell>
          <cell r="E53">
            <v>1.0264856215837199</v>
          </cell>
          <cell r="F53">
            <v>1.0357020193044999</v>
          </cell>
          <cell r="G53">
            <v>1.0450037671074299</v>
          </cell>
        </row>
        <row r="54">
          <cell r="A54" t="str">
            <v>woonrbfk</v>
          </cell>
          <cell r="B54" t="str">
            <v>woonruimten ∗ bodemfactor woonkern</v>
          </cell>
          <cell r="C54">
            <v>1.0038519859207999</v>
          </cell>
          <cell r="D54">
            <v>1.01286024994043</v>
          </cell>
          <cell r="E54">
            <v>1.0212776226425899</v>
          </cell>
          <cell r="F54">
            <v>1.0304472598549399</v>
          </cell>
          <cell r="G54">
            <v>1.0397018141154699</v>
          </cell>
        </row>
      </sheetData>
      <sheetData sheetId="12" refreshError="1"/>
      <sheetData sheetId="13" refreshError="1"/>
      <sheetData sheetId="14">
        <row r="5">
          <cell r="AB5" t="str">
            <v>cf.regionaal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133BE-143B-45CD-B079-1B7BE7D62936}">
  <sheetPr codeName="Blad1"/>
  <dimension ref="A1:W344"/>
  <sheetViews>
    <sheetView tabSelected="1" zoomScale="75" zoomScaleNormal="75" workbookViewId="0">
      <selection activeCell="B2" sqref="B2:C3"/>
    </sheetView>
  </sheetViews>
  <sheetFormatPr defaultColWidth="8.90625" defaultRowHeight="12.5" x14ac:dyDescent="0.25"/>
  <cols>
    <col min="1" max="1" width="5.26953125" style="62" customWidth="1"/>
    <col min="2" max="2" width="38.453125" style="5" customWidth="1"/>
    <col min="3" max="3" width="9.81640625" style="5" customWidth="1"/>
    <col min="4" max="4" width="3.81640625" style="5" customWidth="1"/>
    <col min="5" max="5" width="3.54296875" style="5" customWidth="1"/>
    <col min="6" max="6" width="9.81640625" style="5" customWidth="1"/>
    <col min="7" max="7" width="3.54296875" style="5" customWidth="1"/>
    <col min="8" max="8" width="3.6328125" style="5" customWidth="1"/>
    <col min="9" max="9" width="9.54296875" style="5" customWidth="1"/>
    <col min="10" max="11" width="3.36328125" style="62" bestFit="1" customWidth="1"/>
    <col min="12" max="12" width="7" style="189" customWidth="1"/>
    <col min="13" max="13" width="10" style="189" bestFit="1" customWidth="1"/>
    <col min="14" max="14" width="8.90625" style="189" customWidth="1"/>
    <col min="15" max="15" width="7.81640625" style="189" customWidth="1"/>
    <col min="16" max="16" width="8.90625" style="189"/>
    <col min="17" max="17" width="28.08984375" style="189" bestFit="1" customWidth="1"/>
    <col min="18" max="18" width="8.90625" style="189"/>
    <col min="19" max="23" width="8.90625" style="62"/>
    <col min="24" max="16384" width="8.90625" style="5"/>
  </cols>
  <sheetData>
    <row r="1" spans="1:17" ht="30.65" customHeight="1" x14ac:dyDescent="0.25">
      <c r="A1" s="293" t="s">
        <v>84</v>
      </c>
      <c r="B1" s="293"/>
      <c r="C1" s="197">
        <v>2025</v>
      </c>
    </row>
    <row r="2" spans="1:17" ht="13" x14ac:dyDescent="0.3">
      <c r="A2" s="189" t="s">
        <v>104</v>
      </c>
      <c r="B2" s="294" t="s">
        <v>327</v>
      </c>
      <c r="C2" s="294"/>
      <c r="F2" s="1" t="s">
        <v>740</v>
      </c>
      <c r="M2" s="218"/>
    </row>
    <row r="3" spans="1:17" ht="13" x14ac:dyDescent="0.3">
      <c r="A3" s="189" t="s">
        <v>236</v>
      </c>
      <c r="B3" s="294"/>
      <c r="C3" s="294"/>
      <c r="F3" s="5" t="str">
        <f>VLOOKUP(B2,'Data macro'!B2:F344,3,0)</f>
        <v>Midden</v>
      </c>
      <c r="M3" s="289" t="s">
        <v>752</v>
      </c>
      <c r="N3" s="290">
        <v>2023</v>
      </c>
      <c r="O3" s="290">
        <v>2024</v>
      </c>
      <c r="P3" s="290">
        <v>2025</v>
      </c>
    </row>
    <row r="4" spans="1:17" x14ac:dyDescent="0.25">
      <c r="A4" s="189" t="s">
        <v>163</v>
      </c>
      <c r="M4" s="189" t="s">
        <v>755</v>
      </c>
      <c r="N4" s="291">
        <f>IF(F3="Hoog",N12,N6)</f>
        <v>1909</v>
      </c>
      <c r="O4" s="291">
        <f>IF(F3="Hoog",O12,O6)</f>
        <v>2045</v>
      </c>
      <c r="P4" s="291">
        <f>IF(F3="Hoog",P12,P6)</f>
        <v>2144</v>
      </c>
      <c r="Q4" s="62"/>
    </row>
    <row r="5" spans="1:17" ht="14.5" x14ac:dyDescent="0.35">
      <c r="A5" s="189" t="s">
        <v>125</v>
      </c>
      <c r="B5" s="194" t="s">
        <v>906</v>
      </c>
      <c r="C5" s="194">
        <f>SUM(C1,-2)</f>
        <v>2023</v>
      </c>
      <c r="F5" s="194">
        <f>SUM(C1,-1)</f>
        <v>2024</v>
      </c>
      <c r="G5" s="194"/>
      <c r="H5" s="194"/>
      <c r="I5" s="194">
        <f>C1</f>
        <v>2025</v>
      </c>
      <c r="M5" s="189" t="s">
        <v>756</v>
      </c>
      <c r="N5" s="291">
        <f>IF(F3="Hoog",N13,N7)</f>
        <v>2443</v>
      </c>
      <c r="O5" s="291">
        <f>IF(F3="Hoog",O13,O7)</f>
        <v>2443</v>
      </c>
      <c r="P5" s="291">
        <f>IF(F3="Hoog",P13,P7)</f>
        <v>2694</v>
      </c>
      <c r="Q5" s="62"/>
    </row>
    <row r="6" spans="1:17" ht="14.5" x14ac:dyDescent="0.35">
      <c r="A6" s="189" t="s">
        <v>281</v>
      </c>
      <c r="B6" s="5" t="s">
        <v>50</v>
      </c>
      <c r="C6" s="195">
        <f>VLOOKUP(B2,'Kengetallen 2023'!AE2:AV344,3,0)</f>
        <v>0.97367541848596217</v>
      </c>
      <c r="D6" s="191">
        <f>IF(C6&gt;1,0.5,0)</f>
        <v>0</v>
      </c>
      <c r="E6" s="191">
        <f>IF(C6&gt;1.3,0.5,0)</f>
        <v>0</v>
      </c>
      <c r="F6" s="195">
        <f>Balansprognose!F42</f>
        <v>0.97367541848596217</v>
      </c>
      <c r="G6" s="191">
        <f>IF(F6&gt;1,0.5,0)</f>
        <v>0</v>
      </c>
      <c r="H6" s="191">
        <f>IF(F6&gt;1.3,0.5,0)</f>
        <v>0</v>
      </c>
      <c r="I6" s="195">
        <f>Balansprognose!G42</f>
        <v>0.938320575124441</v>
      </c>
      <c r="J6" s="191">
        <f>IF(I6&gt;1,0.5,0)</f>
        <v>0</v>
      </c>
      <c r="K6" s="191">
        <f>IF(I6&gt;1.3,0.5,0)</f>
        <v>0</v>
      </c>
      <c r="N6" s="291">
        <f>IF(F3="Laag",N8,N10)</f>
        <v>1909</v>
      </c>
      <c r="O6" s="291">
        <f>IF(F3="Laag",O8,O10)</f>
        <v>2045</v>
      </c>
      <c r="P6" s="291">
        <f>IF(F3="Laag",P8,P10)</f>
        <v>2144</v>
      </c>
      <c r="Q6" s="62"/>
    </row>
    <row r="7" spans="1:17" ht="14.5" x14ac:dyDescent="0.35">
      <c r="A7" s="189" t="s">
        <v>282</v>
      </c>
      <c r="B7" s="5" t="s">
        <v>563</v>
      </c>
      <c r="C7" s="195">
        <f>VLOOKUP(B2,'Kengetallen 2023'!AE2:AV344,6,0)</f>
        <v>0.90004781050909555</v>
      </c>
      <c r="D7" s="191">
        <f>IF(C7&gt;0.9,0.5,0)</f>
        <v>0.5</v>
      </c>
      <c r="E7" s="191">
        <f>IF(C7&gt;1.2,0.5,0)</f>
        <v>0</v>
      </c>
      <c r="F7" s="195">
        <f>Balansprognose!F45</f>
        <v>0.90004781050909555</v>
      </c>
      <c r="G7" s="191">
        <f>IF(F7&gt;0.9,0.5,0)</f>
        <v>0.5</v>
      </c>
      <c r="H7" s="191">
        <f>IF(F7&gt;1.2,0.5,0)</f>
        <v>0</v>
      </c>
      <c r="I7" s="195">
        <f>Balansprognose!G45</f>
        <v>0.87179010734632201</v>
      </c>
      <c r="J7" s="191">
        <f>IF(I7&gt;0.9,0.5,0)</f>
        <v>0</v>
      </c>
      <c r="K7" s="191">
        <f>IF(I7&gt;1.2,0.5,0)</f>
        <v>0</v>
      </c>
      <c r="L7" s="193">
        <f>SUM(120%,-F7)</f>
        <v>0.29995218949090441</v>
      </c>
      <c r="N7" s="291">
        <f>IF(F3="Laag",N9,N11)</f>
        <v>2443</v>
      </c>
      <c r="O7" s="291">
        <f>IF(F3="Laag",O9,O11)</f>
        <v>2443</v>
      </c>
      <c r="P7" s="291">
        <f>IF(F3="Laag",P9,P11)</f>
        <v>2694</v>
      </c>
      <c r="Q7" s="62"/>
    </row>
    <row r="8" spans="1:17" ht="14.5" x14ac:dyDescent="0.35">
      <c r="A8" s="189" t="s">
        <v>237</v>
      </c>
      <c r="B8" s="5" t="s">
        <v>908</v>
      </c>
      <c r="C8" s="195">
        <f>VLOOKUP(B2,'Kengetallen 2023'!AE2:AF344,2,0)</f>
        <v>-0.12591444799023052</v>
      </c>
      <c r="D8" s="191">
        <f>IF(C8&lt;-0.04,0.5,0)</f>
        <v>0.5</v>
      </c>
      <c r="E8" s="191">
        <f>IF(C8&lt;-0.0475,0.5,0)</f>
        <v>0.5</v>
      </c>
      <c r="F8" s="195">
        <f>Balansprognose!F48</f>
        <v>0</v>
      </c>
      <c r="G8" s="191">
        <f>IF(F8&lt;-0.04,0.5,0)</f>
        <v>0</v>
      </c>
      <c r="H8" s="191">
        <f>IF(F8&lt;-0.0475,0.5,0)</f>
        <v>0</v>
      </c>
      <c r="I8" s="195">
        <f>Balansprognose!G48</f>
        <v>-5.8500045354140037E-2</v>
      </c>
      <c r="J8" s="191">
        <f>IF(I8&lt;-0.04,0.5,0)</f>
        <v>0.5</v>
      </c>
      <c r="K8" s="191">
        <f>IF(I8&lt;-0.0475,0.5,0)</f>
        <v>0.5</v>
      </c>
      <c r="L8" s="193"/>
      <c r="M8" s="189" t="s">
        <v>748</v>
      </c>
      <c r="N8" s="291">
        <v>1768</v>
      </c>
      <c r="O8" s="291">
        <v>1841</v>
      </c>
      <c r="P8" s="291">
        <v>1907</v>
      </c>
      <c r="Q8" s="62"/>
    </row>
    <row r="9" spans="1:17" ht="14.5" x14ac:dyDescent="0.35">
      <c r="A9" s="189" t="s">
        <v>139</v>
      </c>
      <c r="B9" s="194" t="s">
        <v>648</v>
      </c>
      <c r="D9" s="191"/>
      <c r="E9" s="191"/>
      <c r="G9" s="191"/>
      <c r="H9" s="191"/>
      <c r="J9" s="191"/>
      <c r="K9" s="191"/>
      <c r="M9" s="189" t="s">
        <v>749</v>
      </c>
      <c r="N9" s="291">
        <v>2257</v>
      </c>
      <c r="O9" s="291">
        <v>2332</v>
      </c>
      <c r="P9" s="291">
        <v>2408</v>
      </c>
      <c r="Q9" s="62"/>
    </row>
    <row r="10" spans="1:17" ht="14.5" x14ac:dyDescent="0.35">
      <c r="A10" s="189" t="s">
        <v>427</v>
      </c>
      <c r="B10" s="5" t="s">
        <v>568</v>
      </c>
      <c r="C10" s="195">
        <f>VLOOKUP(B2,'Kengetallen 2023'!AE2:AV344,8,0)</f>
        <v>-8.4060091473600537E-2</v>
      </c>
      <c r="D10" s="191">
        <f>IF(C10&lt;0,0.5,0)</f>
        <v>0.5</v>
      </c>
      <c r="E10" s="191">
        <f>IF(C10&lt;0,0.5,0)</f>
        <v>0.5</v>
      </c>
      <c r="F10" s="195">
        <f>Balansprognose!F46</f>
        <v>-8.4060091473600537E-2</v>
      </c>
      <c r="G10" s="191">
        <f>IF(F10&lt;0,0.5,0)</f>
        <v>0.5</v>
      </c>
      <c r="H10" s="191">
        <f>IF(F10&lt;0,0.5,0)</f>
        <v>0.5</v>
      </c>
      <c r="I10" s="195">
        <f>Balansprognose!G46</f>
        <v>-1.7400492398019999E-2</v>
      </c>
      <c r="J10" s="191">
        <f>IF(I10&lt;0,0.5,0)</f>
        <v>0.5</v>
      </c>
      <c r="K10" s="191">
        <f>IF(I10&lt;0,0.5,0)</f>
        <v>0.5</v>
      </c>
      <c r="M10" s="189" t="s">
        <v>753</v>
      </c>
      <c r="N10" s="291">
        <v>1909</v>
      </c>
      <c r="O10" s="291">
        <v>2045</v>
      </c>
      <c r="P10" s="291">
        <v>2144</v>
      </c>
      <c r="Q10" s="62"/>
    </row>
    <row r="11" spans="1:17" ht="14.5" x14ac:dyDescent="0.35">
      <c r="A11" s="189" t="s">
        <v>283</v>
      </c>
      <c r="B11" s="5" t="s">
        <v>715</v>
      </c>
      <c r="C11" s="196">
        <f>VLOOKUP(B2,'Kengetallen 2023'!AE2:AV344,11,0)</f>
        <v>2</v>
      </c>
      <c r="D11" s="191">
        <f>IF(C11&gt;1.5,0.5,0)</f>
        <v>0.5</v>
      </c>
      <c r="E11" s="191">
        <f>IF(C11&gt;2.5,0.5,0)</f>
        <v>0</v>
      </c>
      <c r="F11" s="196">
        <f>SUM(P29:P31)</f>
        <v>2</v>
      </c>
      <c r="G11" s="191">
        <f>IF(F11&gt;1.5,0.5,0)</f>
        <v>0.5</v>
      </c>
      <c r="H11" s="191">
        <f>IF(F11&gt;2.5,0.5,0)</f>
        <v>0</v>
      </c>
      <c r="I11" s="196">
        <f>SUM(P30:P32)</f>
        <v>3</v>
      </c>
      <c r="J11" s="191">
        <f>IF(I11&gt;1.5,0.5,0)</f>
        <v>0.5</v>
      </c>
      <c r="K11" s="191">
        <f>IF(I11&gt;2.5,0.5,0)</f>
        <v>0.5</v>
      </c>
      <c r="M11" s="189" t="s">
        <v>754</v>
      </c>
      <c r="N11" s="291">
        <v>2443</v>
      </c>
      <c r="O11" s="291">
        <v>2443</v>
      </c>
      <c r="P11" s="291">
        <v>2694</v>
      </c>
      <c r="Q11" s="62"/>
    </row>
    <row r="12" spans="1:17" ht="14.5" x14ac:dyDescent="0.35">
      <c r="A12" s="189" t="s">
        <v>341</v>
      </c>
      <c r="B12" s="5" t="s">
        <v>536</v>
      </c>
      <c r="C12" s="195">
        <f>VLOOKUP(B2,'Kengetallen 2023'!AE2:AV344,14,0)</f>
        <v>0.76038323932869745</v>
      </c>
      <c r="D12" s="191">
        <f>IF(C12&gt;0.75,0.5,0)</f>
        <v>0.5</v>
      </c>
      <c r="E12" s="191">
        <f>IF(C12&gt;0.8,0.5,0)</f>
        <v>0</v>
      </c>
      <c r="F12" s="195">
        <f>VLOOKUP(B2,'Kengetallen 2024'!B2:D344,3,0)</f>
        <v>0.7349696651330867</v>
      </c>
      <c r="G12" s="191">
        <f>IF(F12&gt;0.75,0.5,0)</f>
        <v>0</v>
      </c>
      <c r="H12" s="191">
        <f>IF(F12&gt;0.8,0.5,0)</f>
        <v>0</v>
      </c>
      <c r="I12" s="195">
        <f>'Inkomsten &amp; uitgaven'!Q2</f>
        <v>0.68885754290264989</v>
      </c>
      <c r="J12" s="191">
        <f>IF(I12&gt;0.75,0.5,0)</f>
        <v>0</v>
      </c>
      <c r="K12" s="191">
        <f>IF(I12&gt;0.8,0.5,0)</f>
        <v>0</v>
      </c>
      <c r="M12" s="189" t="s">
        <v>750</v>
      </c>
      <c r="N12" s="291">
        <v>2332</v>
      </c>
      <c r="O12" s="291">
        <v>2530</v>
      </c>
      <c r="P12" s="291">
        <v>2672</v>
      </c>
      <c r="Q12" s="62"/>
    </row>
    <row r="13" spans="1:17" ht="14.5" x14ac:dyDescent="0.35">
      <c r="A13" s="189" t="s">
        <v>591</v>
      </c>
      <c r="B13" s="194" t="s">
        <v>649</v>
      </c>
      <c r="D13" s="191">
        <f>IF(C14&lt;0.02,0.5,0)</f>
        <v>0</v>
      </c>
      <c r="E13" s="191">
        <f>IF(C14&lt;0,0.5,0)</f>
        <v>0</v>
      </c>
      <c r="G13" s="191">
        <f>IF(F14&lt;0.02,0.5,0)</f>
        <v>0</v>
      </c>
      <c r="H13" s="191">
        <f>IF(F14&lt;0,0.5,0)</f>
        <v>0</v>
      </c>
      <c r="J13" s="191">
        <f>IF(I14&lt;0.02,0.5,0)</f>
        <v>0</v>
      </c>
      <c r="K13" s="191">
        <f>IF(I14&lt;0,0.5,0)</f>
        <v>0</v>
      </c>
      <c r="M13" s="189" t="s">
        <v>751</v>
      </c>
      <c r="N13" s="291">
        <v>2951</v>
      </c>
      <c r="O13" s="291">
        <v>3120</v>
      </c>
      <c r="P13" s="291">
        <v>3399</v>
      </c>
      <c r="Q13" s="62"/>
    </row>
    <row r="14" spans="1:17" ht="14.5" x14ac:dyDescent="0.35">
      <c r="A14" s="189" t="s">
        <v>126</v>
      </c>
      <c r="B14" s="5" t="s">
        <v>564</v>
      </c>
      <c r="C14" s="195">
        <f>VLOOKUP(B2,'Kengetallen 2023'!AE2:AV344,12,0)</f>
        <v>8.5226552689485147E-2</v>
      </c>
      <c r="D14" s="191">
        <f>IF(C14&gt;0.05,0.5,0)</f>
        <v>0.5</v>
      </c>
      <c r="E14" s="191">
        <f>IF(C14&gt;0.07,0.5,0)</f>
        <v>0.5</v>
      </c>
      <c r="F14" s="195">
        <f>Balansprognose!F47</f>
        <v>7.3655545443024856E-2</v>
      </c>
      <c r="G14" s="191">
        <f>IF(F14&gt;0.05,0.5,0)</f>
        <v>0.5</v>
      </c>
      <c r="H14" s="191">
        <f>IF(F14&gt;0.07,0.5,0)</f>
        <v>0.5</v>
      </c>
      <c r="I14" s="195">
        <f>Balansprognose!G47</f>
        <v>6.3708166554758014E-2</v>
      </c>
      <c r="J14" s="191">
        <f>IF(I14&gt;0.05,0.5,0)</f>
        <v>0.5</v>
      </c>
      <c r="K14" s="191">
        <f>IF(I14&gt;0.07,0.5,0)</f>
        <v>0</v>
      </c>
      <c r="M14" s="292"/>
      <c r="N14" s="62"/>
      <c r="O14" s="62"/>
      <c r="P14" s="62"/>
      <c r="Q14" s="62"/>
    </row>
    <row r="15" spans="1:17" ht="14.5" x14ac:dyDescent="0.35">
      <c r="A15" s="189" t="s">
        <v>212</v>
      </c>
      <c r="B15" s="5" t="s">
        <v>572</v>
      </c>
      <c r="C15" s="204">
        <f>VLOOKUP(B2,'Kengetallen 2023'!AE2:AV344,15,0)</f>
        <v>2507.65998128092</v>
      </c>
      <c r="D15" s="191">
        <f>IF(C15&lt;N4,0.5,0)</f>
        <v>0</v>
      </c>
      <c r="E15" s="191">
        <f>IF(C15&lt;N4,0.5,0)</f>
        <v>0</v>
      </c>
      <c r="F15" s="204">
        <f>VLOOKUP(B2,'Kengetallen 2024'!B2:G344,6,0)</f>
        <v>2459.2286743800996</v>
      </c>
      <c r="G15" s="191">
        <f>IF(F15&lt;O4,0.5,0)</f>
        <v>0</v>
      </c>
      <c r="H15" s="191">
        <f>IF(F15&lt;O4,0.5,0)</f>
        <v>0</v>
      </c>
      <c r="I15" s="204">
        <f>'Inkomsten &amp; uitgaven'!Q35</f>
        <v>2627.7235844546067</v>
      </c>
      <c r="J15" s="191">
        <f>IF(I15&lt;P4,0.5,0)</f>
        <v>0</v>
      </c>
      <c r="K15" s="191">
        <f>IF(I15&lt;P4,0.5,0)</f>
        <v>0</v>
      </c>
      <c r="M15" s="292"/>
      <c r="N15" s="62"/>
      <c r="O15" s="62"/>
      <c r="P15" s="62"/>
      <c r="Q15" s="62"/>
    </row>
    <row r="16" spans="1:17" ht="14.5" x14ac:dyDescent="0.35">
      <c r="A16" s="189" t="s">
        <v>238</v>
      </c>
      <c r="B16" s="194" t="s">
        <v>907</v>
      </c>
      <c r="D16" s="191">
        <f>IF(C15&gt;N5,0.5,0)</f>
        <v>0.5</v>
      </c>
      <c r="E16" s="191">
        <f>IF(C15&gt;N5,0.5,0)</f>
        <v>0.5</v>
      </c>
      <c r="G16" s="191">
        <f>IF(F15&gt;O5,0.5,0)</f>
        <v>0.5</v>
      </c>
      <c r="H16" s="191">
        <f>IF(F15&gt;O5,0.5,0)</f>
        <v>0.5</v>
      </c>
      <c r="J16" s="191">
        <f>IF(I15&gt;P5,0.5,0)</f>
        <v>0</v>
      </c>
      <c r="K16" s="191">
        <f>IF(I15&gt;P5,0.5,0)</f>
        <v>0</v>
      </c>
      <c r="M16" s="292"/>
      <c r="N16" s="62"/>
      <c r="O16" s="62"/>
      <c r="P16" s="62"/>
      <c r="Q16" s="62"/>
    </row>
    <row r="17" spans="1:17" ht="14.5" x14ac:dyDescent="0.35">
      <c r="A17" s="189" t="s">
        <v>239</v>
      </c>
      <c r="B17" s="5" t="s">
        <v>72</v>
      </c>
      <c r="C17" s="195">
        <f>VLOOKUP(B2,'Kengetallen 2023'!AE2:AV344,7,0)</f>
        <v>0.22285697013662192</v>
      </c>
      <c r="D17" s="191">
        <f>IF(C17&lt;0.2,0.5,0)</f>
        <v>0</v>
      </c>
      <c r="E17" s="191">
        <f>IF(C17&lt;0,0.5,0)</f>
        <v>0</v>
      </c>
      <c r="F17" s="195">
        <f>Balansprognose!F38</f>
        <v>0.22285697013662192</v>
      </c>
      <c r="G17" s="191">
        <f>IF(F17&lt;0.2,0.5,0)</f>
        <v>0</v>
      </c>
      <c r="H17" s="191">
        <f>IF(F17&lt;0,0.5,0)</f>
        <v>0</v>
      </c>
      <c r="I17" s="195">
        <f>Balansprognose!G38</f>
        <v>0.20616262872193769</v>
      </c>
      <c r="J17" s="191">
        <f>IF(I17&lt;0.2001,0.5,0)</f>
        <v>0</v>
      </c>
      <c r="K17" s="191">
        <f>IF(I17&lt;0,0.5,0)</f>
        <v>0</v>
      </c>
      <c r="L17" s="189">
        <f>SUM(100%,-F17)</f>
        <v>0.77714302986337813</v>
      </c>
      <c r="M17" s="292"/>
      <c r="N17" s="62"/>
      <c r="O17" s="62"/>
      <c r="P17" s="62"/>
      <c r="Q17" s="62"/>
    </row>
    <row r="18" spans="1:17" ht="14.5" x14ac:dyDescent="0.35">
      <c r="A18" s="189" t="s">
        <v>164</v>
      </c>
      <c r="B18" s="5" t="s">
        <v>444</v>
      </c>
      <c r="C18" s="195">
        <f>VLOOKUP(B2,'Kengetallen 2023'!AE2:AV344,13,0)</f>
        <v>1.4093531665261744E-2</v>
      </c>
      <c r="D18" s="191">
        <f>IF(C18&lt;0,0.5,0)</f>
        <v>0</v>
      </c>
      <c r="E18" s="191">
        <f>IF(C18&lt;0,0.5,0)</f>
        <v>0</v>
      </c>
      <c r="F18" s="195">
        <f>VLOOKUP(B2,'Data belastingen 2024'!B2:W344,19,0)/Balansprognose!F35</f>
        <v>1.4729064181288234E-2</v>
      </c>
      <c r="G18" s="191">
        <f>IF(F18&lt;0,0.5,0)</f>
        <v>0</v>
      </c>
      <c r="H18" s="191">
        <f>IF(F18&lt;0,0.5,0)</f>
        <v>0</v>
      </c>
      <c r="I18" s="195">
        <f>'Inkomsten &amp; uitgaven'!Q31</f>
        <v>8.502630228924132E-3</v>
      </c>
      <c r="J18" s="191">
        <f>IF(I18&lt;0,0.5,0)</f>
        <v>0</v>
      </c>
      <c r="K18" s="191">
        <f>IF(I18&lt;0,0.5,0)</f>
        <v>0</v>
      </c>
      <c r="M18" s="292"/>
      <c r="N18" s="62"/>
      <c r="O18" s="62"/>
      <c r="P18" s="62"/>
      <c r="Q18" s="62"/>
    </row>
    <row r="19" spans="1:17" ht="13" x14ac:dyDescent="0.25">
      <c r="A19" s="189" t="s">
        <v>165</v>
      </c>
      <c r="D19" s="62"/>
      <c r="E19" s="62"/>
      <c r="G19" s="62"/>
      <c r="H19" s="62"/>
      <c r="L19" s="62"/>
      <c r="M19" s="218"/>
    </row>
    <row r="20" spans="1:17" ht="24.5" customHeight="1" x14ac:dyDescent="0.25">
      <c r="A20" s="189" t="s">
        <v>105</v>
      </c>
      <c r="B20" s="274" t="s">
        <v>672</v>
      </c>
      <c r="C20" s="273">
        <f>SUM(10,-SUM(D6:E18))</f>
        <v>4.5</v>
      </c>
      <c r="D20" s="62"/>
      <c r="E20" s="62"/>
      <c r="F20" s="273">
        <f>SUM(10,-SUM(G6:H18))</f>
        <v>6</v>
      </c>
      <c r="G20" s="62"/>
      <c r="H20" s="62"/>
      <c r="I20" s="273">
        <f>SUM(10,-SUM(J6:K18))</f>
        <v>6.5</v>
      </c>
      <c r="L20" s="62"/>
      <c r="M20" s="218"/>
    </row>
    <row r="21" spans="1:17" ht="13.25" customHeight="1" x14ac:dyDescent="0.25">
      <c r="A21" s="189" t="s">
        <v>342</v>
      </c>
      <c r="B21" s="274"/>
      <c r="C21" s="275"/>
      <c r="D21" s="62"/>
      <c r="E21" s="62"/>
      <c r="F21" s="275"/>
      <c r="G21" s="62"/>
      <c r="H21" s="62"/>
      <c r="I21" s="275"/>
      <c r="M21" s="218"/>
    </row>
    <row r="22" spans="1:17" ht="13.25" customHeight="1" x14ac:dyDescent="0.25">
      <c r="A22" s="189" t="s">
        <v>343</v>
      </c>
      <c r="B22" s="274"/>
      <c r="C22" s="275"/>
      <c r="D22" s="62"/>
      <c r="E22" s="62"/>
      <c r="F22" s="275"/>
      <c r="G22" s="62"/>
      <c r="H22" s="62"/>
      <c r="I22" s="275"/>
      <c r="M22" s="218"/>
    </row>
    <row r="23" spans="1:17" ht="24.5" customHeight="1" x14ac:dyDescent="0.25">
      <c r="A23" s="189" t="s">
        <v>213</v>
      </c>
      <c r="B23" s="274" t="s">
        <v>650</v>
      </c>
      <c r="C23" s="283">
        <f>VLOOKUP(B2,'Kengetallen 2023'!AE2:AV344,17,0)</f>
        <v>0.28250000000000003</v>
      </c>
      <c r="D23" s="62"/>
      <c r="E23" s="62"/>
      <c r="F23" s="283">
        <f>VLOOKUP(B2,'Kengetallen 2024'!B2:E344,4,0)*5</f>
        <v>0.19650000000000001</v>
      </c>
      <c r="G23" s="62"/>
      <c r="H23" s="62"/>
      <c r="I23" s="283">
        <f>5*Macrogegevens!C35</f>
        <v>0.251</v>
      </c>
      <c r="L23" s="193">
        <f>SUM(25%,-I23)</f>
        <v>-1.0000000000000009E-3</v>
      </c>
    </row>
    <row r="24" spans="1:17" ht="25" customHeight="1" x14ac:dyDescent="0.25">
      <c r="A24" s="189" t="s">
        <v>284</v>
      </c>
    </row>
    <row r="25" spans="1:17" ht="13" x14ac:dyDescent="0.3">
      <c r="A25" s="189" t="s">
        <v>166</v>
      </c>
      <c r="B25" s="5" t="s">
        <v>893</v>
      </c>
    </row>
    <row r="26" spans="1:17" x14ac:dyDescent="0.25">
      <c r="A26" s="189" t="s">
        <v>826</v>
      </c>
    </row>
    <row r="27" spans="1:17" x14ac:dyDescent="0.25">
      <c r="A27" s="189" t="s">
        <v>592</v>
      </c>
      <c r="B27" s="5" t="s">
        <v>825</v>
      </c>
    </row>
    <row r="28" spans="1:17" x14ac:dyDescent="0.25">
      <c r="A28" s="189" t="s">
        <v>399</v>
      </c>
      <c r="B28" s="5" t="s">
        <v>917</v>
      </c>
      <c r="O28" s="277" t="s">
        <v>741</v>
      </c>
      <c r="P28" s="278"/>
    </row>
    <row r="29" spans="1:17" x14ac:dyDescent="0.25">
      <c r="A29" s="189" t="s">
        <v>523</v>
      </c>
      <c r="B29" s="5" t="s">
        <v>918</v>
      </c>
      <c r="O29" s="279">
        <v>2022</v>
      </c>
      <c r="P29" s="280">
        <f>IF(P33&lt;0,1,0)</f>
        <v>0</v>
      </c>
    </row>
    <row r="30" spans="1:17" x14ac:dyDescent="0.25">
      <c r="A30" s="189" t="s">
        <v>344</v>
      </c>
      <c r="O30" s="279">
        <v>2023</v>
      </c>
      <c r="P30" s="280">
        <f>IF(C10&lt;0,1,0)</f>
        <v>1</v>
      </c>
    </row>
    <row r="31" spans="1:17" x14ac:dyDescent="0.25">
      <c r="A31" s="189" t="s">
        <v>434</v>
      </c>
      <c r="B31" s="5" t="s">
        <v>894</v>
      </c>
      <c r="O31" s="279">
        <v>2024</v>
      </c>
      <c r="P31" s="280">
        <f>IF(F10&lt;0,1,0)</f>
        <v>1</v>
      </c>
    </row>
    <row r="32" spans="1:17" x14ac:dyDescent="0.25">
      <c r="A32" s="189" t="s">
        <v>435</v>
      </c>
      <c r="B32" s="5" t="s">
        <v>892</v>
      </c>
      <c r="O32" s="279">
        <v>2025</v>
      </c>
      <c r="P32" s="280">
        <f>IF(I10&lt;0,1,0)</f>
        <v>1</v>
      </c>
    </row>
    <row r="33" spans="1:16" x14ac:dyDescent="0.25">
      <c r="A33" s="189" t="s">
        <v>345</v>
      </c>
      <c r="B33" s="62"/>
      <c r="C33" s="62"/>
      <c r="D33" s="62"/>
      <c r="E33" s="62"/>
      <c r="F33" s="62"/>
      <c r="G33" s="62"/>
      <c r="H33" s="62"/>
      <c r="I33" s="62"/>
      <c r="L33" s="62"/>
      <c r="O33" s="281">
        <v>2022</v>
      </c>
      <c r="P33" s="282">
        <f>VLOOKUP(B2,'Kengetallen 2024'!B2:C344,2,0)</f>
        <v>1.0630712002186753E-2</v>
      </c>
    </row>
    <row r="34" spans="1:16" x14ac:dyDescent="0.25">
      <c r="A34" s="189" t="s">
        <v>167</v>
      </c>
      <c r="B34" s="62"/>
      <c r="C34" s="62"/>
      <c r="D34" s="62"/>
      <c r="E34" s="62"/>
      <c r="F34" s="62"/>
      <c r="G34" s="62"/>
      <c r="H34" s="62"/>
      <c r="I34" s="62"/>
      <c r="L34" s="62"/>
    </row>
    <row r="35" spans="1:16" x14ac:dyDescent="0.25">
      <c r="A35" s="189" t="s">
        <v>346</v>
      </c>
      <c r="B35" s="189" t="s">
        <v>568</v>
      </c>
      <c r="C35" s="193">
        <f>I10</f>
        <v>-1.7400492398019999E-2</v>
      </c>
      <c r="D35" s="62"/>
      <c r="E35" s="62"/>
      <c r="F35" s="62"/>
      <c r="G35" s="62"/>
      <c r="H35" s="62"/>
      <c r="I35" s="62"/>
      <c r="L35" s="62"/>
    </row>
    <row r="36" spans="1:16" x14ac:dyDescent="0.25">
      <c r="A36" s="189" t="s">
        <v>347</v>
      </c>
      <c r="B36" s="189" t="s">
        <v>909</v>
      </c>
      <c r="C36" s="193">
        <f>-SUM(Balansprognose!C9,-Balansprognose!B9)/Balansprognose!G35</f>
        <v>-4.0748833634358848E-2</v>
      </c>
      <c r="D36" s="62"/>
      <c r="E36" s="62"/>
      <c r="F36" s="62"/>
      <c r="G36" s="62"/>
      <c r="H36" s="62"/>
      <c r="I36" s="62"/>
      <c r="L36" s="62"/>
    </row>
    <row r="37" spans="1:16" x14ac:dyDescent="0.25">
      <c r="A37" s="189" t="s">
        <v>168</v>
      </c>
      <c r="B37" s="189" t="s">
        <v>910</v>
      </c>
      <c r="C37" s="193">
        <f>-SUM(Balansprognose!C22,-Balansprognose!B22)/Balansprognose!G35</f>
        <v>0</v>
      </c>
      <c r="D37" s="62"/>
      <c r="E37" s="62"/>
      <c r="F37" s="62"/>
      <c r="G37" s="62"/>
      <c r="H37" s="62"/>
      <c r="I37" s="62"/>
      <c r="L37" s="62"/>
    </row>
    <row r="38" spans="1:16" x14ac:dyDescent="0.25">
      <c r="A38" s="189" t="s">
        <v>241</v>
      </c>
      <c r="B38" s="189" t="s">
        <v>23</v>
      </c>
      <c r="C38" s="193">
        <f>-SUM(Balansprognose!C11,-Balansprognose!B11)/Balansprognose!G35</f>
        <v>-3.5096700111141569E-4</v>
      </c>
      <c r="D38" s="62"/>
      <c r="E38" s="62"/>
      <c r="F38" s="62"/>
      <c r="G38" s="62"/>
      <c r="H38" s="62"/>
      <c r="I38" s="62"/>
      <c r="L38" s="62"/>
    </row>
    <row r="39" spans="1:16" x14ac:dyDescent="0.25">
      <c r="A39" s="189" t="s">
        <v>348</v>
      </c>
      <c r="B39" s="189" t="s">
        <v>445</v>
      </c>
      <c r="C39" s="193">
        <f>SUM(Balansprognose!G8,-Balansprognose!F8)/Balansprognose!G35</f>
        <v>0</v>
      </c>
      <c r="D39" s="62"/>
      <c r="E39" s="62"/>
      <c r="F39" s="62"/>
      <c r="G39" s="62"/>
      <c r="H39" s="62"/>
      <c r="I39" s="62"/>
      <c r="L39" s="62"/>
    </row>
    <row r="40" spans="1:16" x14ac:dyDescent="0.25">
      <c r="A40" s="189" t="s">
        <v>242</v>
      </c>
      <c r="B40" s="62"/>
      <c r="C40" s="62"/>
      <c r="D40" s="62"/>
      <c r="E40" s="62"/>
      <c r="F40" s="62"/>
      <c r="G40" s="62"/>
      <c r="H40" s="62"/>
      <c r="I40" s="62"/>
      <c r="L40" s="62"/>
    </row>
    <row r="41" spans="1:16" x14ac:dyDescent="0.25">
      <c r="A41" s="189" t="s">
        <v>243</v>
      </c>
      <c r="B41" s="62"/>
      <c r="C41" s="62"/>
      <c r="D41" s="62"/>
      <c r="E41" s="62"/>
      <c r="F41" s="62"/>
      <c r="G41" s="62"/>
      <c r="H41" s="62"/>
      <c r="I41" s="62"/>
      <c r="L41" s="62"/>
    </row>
    <row r="42" spans="1:16" x14ac:dyDescent="0.25">
      <c r="A42" s="189" t="s">
        <v>285</v>
      </c>
      <c r="B42" s="62"/>
      <c r="C42" s="62"/>
      <c r="D42" s="62"/>
      <c r="E42" s="62"/>
      <c r="F42" s="62"/>
      <c r="G42" s="62"/>
      <c r="H42" s="62"/>
      <c r="I42" s="62"/>
      <c r="L42" s="62"/>
    </row>
    <row r="43" spans="1:16" x14ac:dyDescent="0.25">
      <c r="A43" s="189" t="s">
        <v>349</v>
      </c>
      <c r="B43" s="62"/>
      <c r="C43" s="62"/>
      <c r="D43" s="62"/>
      <c r="E43" s="62"/>
      <c r="F43" s="62"/>
      <c r="G43" s="62"/>
      <c r="H43" s="62"/>
      <c r="I43" s="62"/>
      <c r="L43" s="62"/>
    </row>
    <row r="44" spans="1:16" x14ac:dyDescent="0.25">
      <c r="A44" s="189" t="s">
        <v>106</v>
      </c>
    </row>
    <row r="45" spans="1:16" x14ac:dyDescent="0.25">
      <c r="A45" s="189" t="s">
        <v>140</v>
      </c>
    </row>
    <row r="46" spans="1:16" x14ac:dyDescent="0.25">
      <c r="A46" s="189" t="s">
        <v>328</v>
      </c>
    </row>
    <row r="47" spans="1:16" x14ac:dyDescent="0.25">
      <c r="A47" s="189" t="s">
        <v>351</v>
      </c>
    </row>
    <row r="48" spans="1:16" x14ac:dyDescent="0.25">
      <c r="A48" s="189" t="s">
        <v>352</v>
      </c>
    </row>
    <row r="49" spans="1:1" x14ac:dyDescent="0.25">
      <c r="A49" s="189" t="s">
        <v>169</v>
      </c>
    </row>
    <row r="50" spans="1:1" x14ac:dyDescent="0.25">
      <c r="A50" s="189" t="s">
        <v>170</v>
      </c>
    </row>
    <row r="51" spans="1:1" x14ac:dyDescent="0.25">
      <c r="A51" s="189" t="s">
        <v>400</v>
      </c>
    </row>
    <row r="52" spans="1:1" x14ac:dyDescent="0.25">
      <c r="A52" s="189" t="s">
        <v>214</v>
      </c>
    </row>
    <row r="53" spans="1:1" x14ac:dyDescent="0.25">
      <c r="A53" s="189" t="s">
        <v>215</v>
      </c>
    </row>
    <row r="54" spans="1:1" x14ac:dyDescent="0.25">
      <c r="A54" s="189" t="s">
        <v>171</v>
      </c>
    </row>
    <row r="55" spans="1:1" x14ac:dyDescent="0.25">
      <c r="A55" s="189" t="s">
        <v>287</v>
      </c>
    </row>
    <row r="56" spans="1:1" x14ac:dyDescent="0.25">
      <c r="A56" s="189" t="s">
        <v>244</v>
      </c>
    </row>
    <row r="57" spans="1:1" x14ac:dyDescent="0.25">
      <c r="A57" s="189" t="s">
        <v>107</v>
      </c>
    </row>
    <row r="58" spans="1:1" x14ac:dyDescent="0.25">
      <c r="A58" s="189" t="s">
        <v>353</v>
      </c>
    </row>
    <row r="59" spans="1:1" x14ac:dyDescent="0.25">
      <c r="A59" s="189" t="s">
        <v>172</v>
      </c>
    </row>
    <row r="60" spans="1:1" x14ac:dyDescent="0.25">
      <c r="A60" s="189" t="s">
        <v>141</v>
      </c>
    </row>
    <row r="61" spans="1:1" x14ac:dyDescent="0.25">
      <c r="A61" s="189" t="s">
        <v>127</v>
      </c>
    </row>
    <row r="62" spans="1:1" x14ac:dyDescent="0.25">
      <c r="A62" s="189" t="s">
        <v>216</v>
      </c>
    </row>
    <row r="63" spans="1:1" x14ac:dyDescent="0.25">
      <c r="A63" s="189" t="s">
        <v>525</v>
      </c>
    </row>
    <row r="64" spans="1:1" x14ac:dyDescent="0.25">
      <c r="A64" s="189" t="s">
        <v>217</v>
      </c>
    </row>
    <row r="65" spans="1:1" x14ac:dyDescent="0.25">
      <c r="A65" s="189" t="s">
        <v>115</v>
      </c>
    </row>
    <row r="66" spans="1:1" x14ac:dyDescent="0.25">
      <c r="A66" s="189" t="s">
        <v>288</v>
      </c>
    </row>
    <row r="67" spans="1:1" x14ac:dyDescent="0.25">
      <c r="A67" s="189" t="s">
        <v>245</v>
      </c>
    </row>
    <row r="68" spans="1:1" x14ac:dyDescent="0.25">
      <c r="A68" s="189" t="s">
        <v>355</v>
      </c>
    </row>
    <row r="69" spans="1:1" x14ac:dyDescent="0.25">
      <c r="A69" s="189" t="s">
        <v>142</v>
      </c>
    </row>
    <row r="70" spans="1:1" x14ac:dyDescent="0.25">
      <c r="A70" s="189" t="s">
        <v>246</v>
      </c>
    </row>
    <row r="71" spans="1:1" x14ac:dyDescent="0.25">
      <c r="A71" s="189" t="s">
        <v>772</v>
      </c>
    </row>
    <row r="72" spans="1:1" x14ac:dyDescent="0.25">
      <c r="A72" s="189" t="s">
        <v>143</v>
      </c>
    </row>
    <row r="73" spans="1:1" x14ac:dyDescent="0.25">
      <c r="A73" s="189" t="s">
        <v>173</v>
      </c>
    </row>
    <row r="74" spans="1:1" x14ac:dyDescent="0.25">
      <c r="A74" s="189" t="s">
        <v>174</v>
      </c>
    </row>
    <row r="75" spans="1:1" x14ac:dyDescent="0.25">
      <c r="A75" s="189" t="s">
        <v>356</v>
      </c>
    </row>
    <row r="76" spans="1:1" x14ac:dyDescent="0.25">
      <c r="A76" s="189" t="s">
        <v>289</v>
      </c>
    </row>
    <row r="77" spans="1:1" x14ac:dyDescent="0.25">
      <c r="A77" s="189" t="s">
        <v>247</v>
      </c>
    </row>
    <row r="78" spans="1:1" x14ac:dyDescent="0.25">
      <c r="A78" s="189" t="s">
        <v>357</v>
      </c>
    </row>
    <row r="79" spans="1:1" x14ac:dyDescent="0.25">
      <c r="A79" s="189" t="s">
        <v>428</v>
      </c>
    </row>
    <row r="80" spans="1:1" x14ac:dyDescent="0.25">
      <c r="A80" s="189" t="s">
        <v>175</v>
      </c>
    </row>
    <row r="81" spans="1:1" x14ac:dyDescent="0.25">
      <c r="A81" s="189" t="s">
        <v>176</v>
      </c>
    </row>
    <row r="82" spans="1:1" x14ac:dyDescent="0.25">
      <c r="A82" s="189" t="s">
        <v>401</v>
      </c>
    </row>
    <row r="83" spans="1:1" x14ac:dyDescent="0.25">
      <c r="A83" s="189" t="s">
        <v>248</v>
      </c>
    </row>
    <row r="84" spans="1:1" x14ac:dyDescent="0.25">
      <c r="A84" s="189" t="s">
        <v>177</v>
      </c>
    </row>
    <row r="85" spans="1:1" x14ac:dyDescent="0.25">
      <c r="A85" s="189" t="s">
        <v>218</v>
      </c>
    </row>
    <row r="86" spans="1:1" x14ac:dyDescent="0.25">
      <c r="A86" s="189" t="s">
        <v>719</v>
      </c>
    </row>
    <row r="87" spans="1:1" x14ac:dyDescent="0.25">
      <c r="A87" s="189" t="s">
        <v>358</v>
      </c>
    </row>
    <row r="88" spans="1:1" x14ac:dyDescent="0.25">
      <c r="A88" s="189" t="s">
        <v>402</v>
      </c>
    </row>
    <row r="89" spans="1:1" x14ac:dyDescent="0.25">
      <c r="A89" s="189" t="s">
        <v>359</v>
      </c>
    </row>
    <row r="90" spans="1:1" x14ac:dyDescent="0.25">
      <c r="A90" s="189" t="s">
        <v>178</v>
      </c>
    </row>
    <row r="91" spans="1:1" x14ac:dyDescent="0.25">
      <c r="A91" s="189" t="s">
        <v>108</v>
      </c>
    </row>
    <row r="92" spans="1:1" x14ac:dyDescent="0.25">
      <c r="A92" s="189" t="s">
        <v>249</v>
      </c>
    </row>
    <row r="93" spans="1:1" x14ac:dyDescent="0.25">
      <c r="A93" s="189" t="s">
        <v>144</v>
      </c>
    </row>
    <row r="94" spans="1:1" x14ac:dyDescent="0.25">
      <c r="A94" s="189" t="s">
        <v>179</v>
      </c>
    </row>
    <row r="95" spans="1:1" x14ac:dyDescent="0.25">
      <c r="A95" s="189" t="s">
        <v>180</v>
      </c>
    </row>
    <row r="96" spans="1:1" x14ac:dyDescent="0.25">
      <c r="A96" s="189" t="s">
        <v>360</v>
      </c>
    </row>
    <row r="97" spans="1:1" x14ac:dyDescent="0.25">
      <c r="A97" s="189" t="s">
        <v>361</v>
      </c>
    </row>
    <row r="98" spans="1:1" x14ac:dyDescent="0.25">
      <c r="A98" s="189" t="s">
        <v>362</v>
      </c>
    </row>
    <row r="99" spans="1:1" x14ac:dyDescent="0.25">
      <c r="A99" s="189" t="s">
        <v>363</v>
      </c>
    </row>
    <row r="100" spans="1:1" x14ac:dyDescent="0.25">
      <c r="A100" s="189" t="s">
        <v>403</v>
      </c>
    </row>
    <row r="101" spans="1:1" x14ac:dyDescent="0.25">
      <c r="A101" s="189" t="s">
        <v>364</v>
      </c>
    </row>
    <row r="102" spans="1:1" x14ac:dyDescent="0.25">
      <c r="A102" s="189" t="s">
        <v>290</v>
      </c>
    </row>
    <row r="103" spans="1:1" x14ac:dyDescent="0.25">
      <c r="A103" s="189" t="s">
        <v>329</v>
      </c>
    </row>
    <row r="104" spans="1:1" x14ac:dyDescent="0.25">
      <c r="A104" s="189" t="s">
        <v>365</v>
      </c>
    </row>
    <row r="105" spans="1:1" x14ac:dyDescent="0.25">
      <c r="A105" s="189" t="s">
        <v>486</v>
      </c>
    </row>
    <row r="106" spans="1:1" x14ac:dyDescent="0.25">
      <c r="A106" s="189" t="s">
        <v>291</v>
      </c>
    </row>
    <row r="107" spans="1:1" x14ac:dyDescent="0.25">
      <c r="A107" s="189" t="s">
        <v>292</v>
      </c>
    </row>
    <row r="108" spans="1:1" x14ac:dyDescent="0.25">
      <c r="A108" s="189" t="s">
        <v>721</v>
      </c>
    </row>
    <row r="109" spans="1:1" x14ac:dyDescent="0.25">
      <c r="A109" s="189" t="s">
        <v>404</v>
      </c>
    </row>
    <row r="110" spans="1:1" x14ac:dyDescent="0.25">
      <c r="A110" s="189" t="s">
        <v>145</v>
      </c>
    </row>
    <row r="111" spans="1:1" x14ac:dyDescent="0.25">
      <c r="A111" s="189" t="s">
        <v>250</v>
      </c>
    </row>
    <row r="112" spans="1:1" x14ac:dyDescent="0.25">
      <c r="A112" s="189" t="s">
        <v>251</v>
      </c>
    </row>
    <row r="113" spans="1:1" x14ac:dyDescent="0.25">
      <c r="A113" s="189" t="s">
        <v>368</v>
      </c>
    </row>
    <row r="114" spans="1:1" x14ac:dyDescent="0.25">
      <c r="A114" s="189" t="s">
        <v>146</v>
      </c>
    </row>
    <row r="115" spans="1:1" x14ac:dyDescent="0.25">
      <c r="A115" s="189" t="s">
        <v>181</v>
      </c>
    </row>
    <row r="116" spans="1:1" x14ac:dyDescent="0.25">
      <c r="A116" s="189" t="s">
        <v>293</v>
      </c>
    </row>
    <row r="117" spans="1:1" x14ac:dyDescent="0.25">
      <c r="A117" s="189" t="s">
        <v>128</v>
      </c>
    </row>
    <row r="118" spans="1:1" x14ac:dyDescent="0.25">
      <c r="A118" s="189" t="s">
        <v>182</v>
      </c>
    </row>
    <row r="119" spans="1:1" x14ac:dyDescent="0.25">
      <c r="A119" s="189" t="s">
        <v>252</v>
      </c>
    </row>
    <row r="120" spans="1:1" x14ac:dyDescent="0.25">
      <c r="A120" s="189" t="s">
        <v>253</v>
      </c>
    </row>
    <row r="121" spans="1:1" x14ac:dyDescent="0.25">
      <c r="A121" s="189" t="s">
        <v>183</v>
      </c>
    </row>
    <row r="122" spans="1:1" x14ac:dyDescent="0.25">
      <c r="A122" s="189" t="s">
        <v>129</v>
      </c>
    </row>
    <row r="123" spans="1:1" x14ac:dyDescent="0.25">
      <c r="A123" s="189" t="s">
        <v>405</v>
      </c>
    </row>
    <row r="124" spans="1:1" x14ac:dyDescent="0.25">
      <c r="A124" s="189" t="s">
        <v>369</v>
      </c>
    </row>
    <row r="125" spans="1:1" x14ac:dyDescent="0.25">
      <c r="A125" s="189" t="s">
        <v>255</v>
      </c>
    </row>
    <row r="126" spans="1:1" x14ac:dyDescent="0.25">
      <c r="A126" s="189" t="s">
        <v>147</v>
      </c>
    </row>
    <row r="127" spans="1:1" x14ac:dyDescent="0.25">
      <c r="A127" s="189" t="s">
        <v>370</v>
      </c>
    </row>
    <row r="128" spans="1:1" x14ac:dyDescent="0.25">
      <c r="A128" s="189" t="s">
        <v>295</v>
      </c>
    </row>
    <row r="129" spans="1:1" x14ac:dyDescent="0.25">
      <c r="A129" s="189" t="s">
        <v>722</v>
      </c>
    </row>
    <row r="130" spans="1:1" x14ac:dyDescent="0.25">
      <c r="A130" s="189" t="s">
        <v>593</v>
      </c>
    </row>
    <row r="131" spans="1:1" x14ac:dyDescent="0.25">
      <c r="A131" s="189" t="s">
        <v>184</v>
      </c>
    </row>
    <row r="132" spans="1:1" x14ac:dyDescent="0.25">
      <c r="A132" s="189" t="s">
        <v>371</v>
      </c>
    </row>
    <row r="133" spans="1:1" x14ac:dyDescent="0.25">
      <c r="A133" s="189" t="s">
        <v>296</v>
      </c>
    </row>
    <row r="134" spans="1:1" x14ac:dyDescent="0.25">
      <c r="A134" s="189" t="s">
        <v>372</v>
      </c>
    </row>
    <row r="135" spans="1:1" x14ac:dyDescent="0.25">
      <c r="A135" s="189" t="s">
        <v>256</v>
      </c>
    </row>
    <row r="136" spans="1:1" x14ac:dyDescent="0.25">
      <c r="A136" s="189" t="s">
        <v>594</v>
      </c>
    </row>
    <row r="137" spans="1:1" x14ac:dyDescent="0.25">
      <c r="A137" s="189" t="s">
        <v>148</v>
      </c>
    </row>
    <row r="138" spans="1:1" x14ac:dyDescent="0.25">
      <c r="A138" s="189" t="s">
        <v>257</v>
      </c>
    </row>
    <row r="139" spans="1:1" x14ac:dyDescent="0.25">
      <c r="A139" s="189" t="s">
        <v>109</v>
      </c>
    </row>
    <row r="140" spans="1:1" x14ac:dyDescent="0.25">
      <c r="A140" s="189" t="s">
        <v>258</v>
      </c>
    </row>
    <row r="141" spans="1:1" x14ac:dyDescent="0.25">
      <c r="A141" s="189" t="s">
        <v>406</v>
      </c>
    </row>
    <row r="142" spans="1:1" x14ac:dyDescent="0.25">
      <c r="A142" s="189" t="s">
        <v>219</v>
      </c>
    </row>
    <row r="143" spans="1:1" x14ac:dyDescent="0.25">
      <c r="A143" s="189" t="s">
        <v>259</v>
      </c>
    </row>
    <row r="144" spans="1:1" x14ac:dyDescent="0.25">
      <c r="A144" s="189" t="s">
        <v>330</v>
      </c>
    </row>
    <row r="145" spans="1:1" x14ac:dyDescent="0.25">
      <c r="A145" s="189" t="s">
        <v>220</v>
      </c>
    </row>
    <row r="146" spans="1:1" x14ac:dyDescent="0.25">
      <c r="A146" s="189" t="s">
        <v>297</v>
      </c>
    </row>
    <row r="147" spans="1:1" x14ac:dyDescent="0.25">
      <c r="A147" s="189" t="s">
        <v>149</v>
      </c>
    </row>
    <row r="148" spans="1:1" x14ac:dyDescent="0.25">
      <c r="A148" s="189" t="s">
        <v>331</v>
      </c>
    </row>
    <row r="149" spans="1:1" x14ac:dyDescent="0.25">
      <c r="A149" s="189" t="s">
        <v>298</v>
      </c>
    </row>
    <row r="150" spans="1:1" x14ac:dyDescent="0.25">
      <c r="A150" s="189" t="s">
        <v>407</v>
      </c>
    </row>
    <row r="151" spans="1:1" x14ac:dyDescent="0.25">
      <c r="A151" s="189" t="s">
        <v>260</v>
      </c>
    </row>
    <row r="152" spans="1:1" x14ac:dyDescent="0.25">
      <c r="A152" s="189" t="s">
        <v>299</v>
      </c>
    </row>
    <row r="153" spans="1:1" x14ac:dyDescent="0.25">
      <c r="A153" s="189" t="s">
        <v>474</v>
      </c>
    </row>
    <row r="154" spans="1:1" x14ac:dyDescent="0.25">
      <c r="A154" s="189" t="s">
        <v>373</v>
      </c>
    </row>
    <row r="155" spans="1:1" x14ac:dyDescent="0.25">
      <c r="A155" s="189" t="s">
        <v>408</v>
      </c>
    </row>
    <row r="156" spans="1:1" x14ac:dyDescent="0.25">
      <c r="A156" s="189" t="s">
        <v>261</v>
      </c>
    </row>
    <row r="157" spans="1:1" x14ac:dyDescent="0.25">
      <c r="A157" s="189" t="s">
        <v>975</v>
      </c>
    </row>
    <row r="158" spans="1:1" x14ac:dyDescent="0.25">
      <c r="A158" s="189" t="s">
        <v>300</v>
      </c>
    </row>
    <row r="159" spans="1:1" x14ac:dyDescent="0.25">
      <c r="A159" s="189" t="s">
        <v>724</v>
      </c>
    </row>
    <row r="160" spans="1:1" x14ac:dyDescent="0.25">
      <c r="A160" s="189" t="s">
        <v>130</v>
      </c>
    </row>
    <row r="161" spans="1:1" x14ac:dyDescent="0.25">
      <c r="A161" s="189" t="s">
        <v>301</v>
      </c>
    </row>
    <row r="162" spans="1:1" x14ac:dyDescent="0.25">
      <c r="A162" s="189" t="s">
        <v>302</v>
      </c>
    </row>
    <row r="163" spans="1:1" x14ac:dyDescent="0.25">
      <c r="A163" s="189" t="s">
        <v>303</v>
      </c>
    </row>
    <row r="164" spans="1:1" x14ac:dyDescent="0.25">
      <c r="A164" s="189" t="s">
        <v>429</v>
      </c>
    </row>
    <row r="165" spans="1:1" x14ac:dyDescent="0.25">
      <c r="A165" s="189" t="s">
        <v>409</v>
      </c>
    </row>
    <row r="166" spans="1:1" x14ac:dyDescent="0.25">
      <c r="A166" s="189" t="s">
        <v>221</v>
      </c>
    </row>
    <row r="167" spans="1:1" x14ac:dyDescent="0.25">
      <c r="A167" s="189" t="s">
        <v>185</v>
      </c>
    </row>
    <row r="168" spans="1:1" x14ac:dyDescent="0.25">
      <c r="A168" s="189" t="s">
        <v>304</v>
      </c>
    </row>
    <row r="169" spans="1:1" x14ac:dyDescent="0.25">
      <c r="A169" s="189" t="s">
        <v>186</v>
      </c>
    </row>
    <row r="170" spans="1:1" x14ac:dyDescent="0.25">
      <c r="A170" s="189" t="s">
        <v>375</v>
      </c>
    </row>
    <row r="171" spans="1:1" x14ac:dyDescent="0.25">
      <c r="A171" s="189" t="s">
        <v>222</v>
      </c>
    </row>
    <row r="172" spans="1:1" x14ac:dyDescent="0.25">
      <c r="A172" s="189" t="s">
        <v>150</v>
      </c>
    </row>
    <row r="173" spans="1:1" x14ac:dyDescent="0.25">
      <c r="A173" s="189" t="s">
        <v>187</v>
      </c>
    </row>
    <row r="174" spans="1:1" x14ac:dyDescent="0.25">
      <c r="A174" s="189" t="s">
        <v>410</v>
      </c>
    </row>
    <row r="175" spans="1:1" x14ac:dyDescent="0.25">
      <c r="A175" s="189" t="s">
        <v>774</v>
      </c>
    </row>
    <row r="176" spans="1:1" x14ac:dyDescent="0.25">
      <c r="A176" s="189" t="s">
        <v>305</v>
      </c>
    </row>
    <row r="177" spans="1:1" x14ac:dyDescent="0.25">
      <c r="A177" s="189" t="s">
        <v>411</v>
      </c>
    </row>
    <row r="178" spans="1:1" x14ac:dyDescent="0.25">
      <c r="A178" s="189" t="s">
        <v>264</v>
      </c>
    </row>
    <row r="179" spans="1:1" x14ac:dyDescent="0.25">
      <c r="A179" s="189" t="s">
        <v>412</v>
      </c>
    </row>
    <row r="180" spans="1:1" x14ac:dyDescent="0.25">
      <c r="A180" s="189" t="s">
        <v>581</v>
      </c>
    </row>
    <row r="181" spans="1:1" x14ac:dyDescent="0.25">
      <c r="A181" s="189" t="s">
        <v>110</v>
      </c>
    </row>
    <row r="182" spans="1:1" x14ac:dyDescent="0.25">
      <c r="A182" s="189" t="s">
        <v>725</v>
      </c>
    </row>
    <row r="183" spans="1:1" x14ac:dyDescent="0.25">
      <c r="A183" s="189" t="s">
        <v>306</v>
      </c>
    </row>
    <row r="184" spans="1:1" x14ac:dyDescent="0.25">
      <c r="A184" s="189" t="s">
        <v>111</v>
      </c>
    </row>
    <row r="185" spans="1:1" x14ac:dyDescent="0.25">
      <c r="A185" s="189" t="s">
        <v>595</v>
      </c>
    </row>
    <row r="186" spans="1:1" x14ac:dyDescent="0.25">
      <c r="A186" s="189" t="s">
        <v>377</v>
      </c>
    </row>
    <row r="187" spans="1:1" x14ac:dyDescent="0.25">
      <c r="A187" s="189" t="s">
        <v>596</v>
      </c>
    </row>
    <row r="188" spans="1:1" x14ac:dyDescent="0.25">
      <c r="A188" s="189" t="s">
        <v>188</v>
      </c>
    </row>
    <row r="189" spans="1:1" x14ac:dyDescent="0.25">
      <c r="A189" s="189" t="s">
        <v>436</v>
      </c>
    </row>
    <row r="190" spans="1:1" x14ac:dyDescent="0.25">
      <c r="A190" s="189" t="s">
        <v>413</v>
      </c>
    </row>
    <row r="191" spans="1:1" x14ac:dyDescent="0.25">
      <c r="A191" s="189" t="s">
        <v>189</v>
      </c>
    </row>
    <row r="192" spans="1:1" x14ac:dyDescent="0.25">
      <c r="A192" s="189" t="s">
        <v>414</v>
      </c>
    </row>
    <row r="193" spans="1:1" x14ac:dyDescent="0.25">
      <c r="A193" s="189" t="s">
        <v>223</v>
      </c>
    </row>
    <row r="194" spans="1:1" x14ac:dyDescent="0.25">
      <c r="A194" s="189" t="s">
        <v>307</v>
      </c>
    </row>
    <row r="195" spans="1:1" x14ac:dyDescent="0.25">
      <c r="A195" s="189" t="s">
        <v>190</v>
      </c>
    </row>
    <row r="196" spans="1:1" x14ac:dyDescent="0.25">
      <c r="A196" s="189" t="s">
        <v>191</v>
      </c>
    </row>
    <row r="197" spans="1:1" x14ac:dyDescent="0.25">
      <c r="A197" s="189" t="s">
        <v>475</v>
      </c>
    </row>
    <row r="198" spans="1:1" x14ac:dyDescent="0.25">
      <c r="A198" s="189" t="s">
        <v>597</v>
      </c>
    </row>
    <row r="199" spans="1:1" x14ac:dyDescent="0.25">
      <c r="A199" s="189" t="s">
        <v>333</v>
      </c>
    </row>
    <row r="200" spans="1:1" x14ac:dyDescent="0.25">
      <c r="A200" s="189" t="s">
        <v>112</v>
      </c>
    </row>
    <row r="201" spans="1:1" x14ac:dyDescent="0.25">
      <c r="A201" s="189" t="s">
        <v>430</v>
      </c>
    </row>
    <row r="202" spans="1:1" x14ac:dyDescent="0.25">
      <c r="A202" s="189" t="s">
        <v>308</v>
      </c>
    </row>
    <row r="203" spans="1:1" x14ac:dyDescent="0.25">
      <c r="A203" s="189" t="s">
        <v>433</v>
      </c>
    </row>
    <row r="204" spans="1:1" x14ac:dyDescent="0.25">
      <c r="A204" s="189" t="s">
        <v>192</v>
      </c>
    </row>
    <row r="205" spans="1:1" x14ac:dyDescent="0.25">
      <c r="A205" s="189" t="s">
        <v>309</v>
      </c>
    </row>
    <row r="206" spans="1:1" x14ac:dyDescent="0.25">
      <c r="A206" s="189" t="s">
        <v>378</v>
      </c>
    </row>
    <row r="207" spans="1:1" x14ac:dyDescent="0.25">
      <c r="A207" s="189" t="s">
        <v>379</v>
      </c>
    </row>
    <row r="208" spans="1:1" x14ac:dyDescent="0.25">
      <c r="A208" s="189" t="s">
        <v>121</v>
      </c>
    </row>
    <row r="209" spans="1:1" x14ac:dyDescent="0.25">
      <c r="A209" s="189" t="s">
        <v>193</v>
      </c>
    </row>
    <row r="210" spans="1:1" x14ac:dyDescent="0.25">
      <c r="A210" s="189" t="s">
        <v>151</v>
      </c>
    </row>
    <row r="211" spans="1:1" x14ac:dyDescent="0.25">
      <c r="A211" s="189" t="s">
        <v>152</v>
      </c>
    </row>
    <row r="212" spans="1:1" x14ac:dyDescent="0.25">
      <c r="A212" s="189" t="s">
        <v>153</v>
      </c>
    </row>
    <row r="213" spans="1:1" x14ac:dyDescent="0.25">
      <c r="A213" s="189" t="s">
        <v>194</v>
      </c>
    </row>
    <row r="214" spans="1:1" x14ac:dyDescent="0.25">
      <c r="A214" s="189" t="s">
        <v>380</v>
      </c>
    </row>
    <row r="215" spans="1:1" x14ac:dyDescent="0.25">
      <c r="A215" s="189" t="s">
        <v>131</v>
      </c>
    </row>
    <row r="216" spans="1:1" x14ac:dyDescent="0.25">
      <c r="A216" s="189" t="s">
        <v>265</v>
      </c>
    </row>
    <row r="217" spans="1:1" x14ac:dyDescent="0.25">
      <c r="A217" s="189" t="s">
        <v>266</v>
      </c>
    </row>
    <row r="218" spans="1:1" x14ac:dyDescent="0.25">
      <c r="A218" s="189" t="s">
        <v>132</v>
      </c>
    </row>
    <row r="219" spans="1:1" x14ac:dyDescent="0.25">
      <c r="A219" s="189" t="s">
        <v>381</v>
      </c>
    </row>
    <row r="220" spans="1:1" x14ac:dyDescent="0.25">
      <c r="A220" s="189" t="s">
        <v>195</v>
      </c>
    </row>
    <row r="221" spans="1:1" x14ac:dyDescent="0.25">
      <c r="A221" s="189" t="s">
        <v>267</v>
      </c>
    </row>
    <row r="222" spans="1:1" x14ac:dyDescent="0.25">
      <c r="A222" s="189" t="s">
        <v>224</v>
      </c>
    </row>
    <row r="223" spans="1:1" x14ac:dyDescent="0.25">
      <c r="A223" s="189" t="s">
        <v>196</v>
      </c>
    </row>
    <row r="224" spans="1:1" x14ac:dyDescent="0.25">
      <c r="A224" s="189" t="s">
        <v>310</v>
      </c>
    </row>
    <row r="225" spans="1:1" x14ac:dyDescent="0.25">
      <c r="A225" s="189" t="s">
        <v>415</v>
      </c>
    </row>
    <row r="226" spans="1:1" x14ac:dyDescent="0.25">
      <c r="A226" s="189" t="s">
        <v>122</v>
      </c>
    </row>
    <row r="227" spans="1:1" x14ac:dyDescent="0.25">
      <c r="A227" s="189" t="s">
        <v>311</v>
      </c>
    </row>
    <row r="228" spans="1:1" x14ac:dyDescent="0.25">
      <c r="A228" s="189" t="s">
        <v>268</v>
      </c>
    </row>
    <row r="229" spans="1:1" x14ac:dyDescent="0.25">
      <c r="A229" s="189" t="s">
        <v>197</v>
      </c>
    </row>
    <row r="230" spans="1:1" x14ac:dyDescent="0.25">
      <c r="A230" s="189" t="s">
        <v>154</v>
      </c>
    </row>
    <row r="231" spans="1:1" x14ac:dyDescent="0.25">
      <c r="A231" s="189" t="s">
        <v>334</v>
      </c>
    </row>
    <row r="232" spans="1:1" x14ac:dyDescent="0.25">
      <c r="A232" s="189" t="s">
        <v>198</v>
      </c>
    </row>
    <row r="233" spans="1:1" x14ac:dyDescent="0.25">
      <c r="A233" s="189" t="s">
        <v>225</v>
      </c>
    </row>
    <row r="234" spans="1:1" x14ac:dyDescent="0.25">
      <c r="A234" s="189" t="s">
        <v>382</v>
      </c>
    </row>
    <row r="235" spans="1:1" x14ac:dyDescent="0.25">
      <c r="A235" s="189" t="s">
        <v>199</v>
      </c>
    </row>
    <row r="236" spans="1:1" x14ac:dyDescent="0.25">
      <c r="A236" s="189" t="s">
        <v>226</v>
      </c>
    </row>
    <row r="237" spans="1:1" x14ac:dyDescent="0.25">
      <c r="A237" s="189" t="s">
        <v>312</v>
      </c>
    </row>
    <row r="238" spans="1:1" x14ac:dyDescent="0.25">
      <c r="A238" s="189" t="s">
        <v>155</v>
      </c>
    </row>
    <row r="239" spans="1:1" x14ac:dyDescent="0.25">
      <c r="A239" s="189" t="s">
        <v>726</v>
      </c>
    </row>
    <row r="240" spans="1:1" x14ac:dyDescent="0.25">
      <c r="A240" s="189" t="s">
        <v>416</v>
      </c>
    </row>
    <row r="241" spans="1:1" x14ac:dyDescent="0.25">
      <c r="A241" s="189" t="s">
        <v>417</v>
      </c>
    </row>
    <row r="242" spans="1:1" x14ac:dyDescent="0.25">
      <c r="A242" s="189" t="s">
        <v>383</v>
      </c>
    </row>
    <row r="243" spans="1:1" x14ac:dyDescent="0.25">
      <c r="A243" s="189" t="s">
        <v>314</v>
      </c>
    </row>
    <row r="244" spans="1:1" x14ac:dyDescent="0.25">
      <c r="A244" s="189" t="s">
        <v>200</v>
      </c>
    </row>
    <row r="245" spans="1:1" x14ac:dyDescent="0.25">
      <c r="A245" s="189" t="s">
        <v>384</v>
      </c>
    </row>
    <row r="246" spans="1:1" x14ac:dyDescent="0.25">
      <c r="A246" s="189" t="s">
        <v>269</v>
      </c>
    </row>
    <row r="247" spans="1:1" x14ac:dyDescent="0.25">
      <c r="A247" s="189" t="s">
        <v>201</v>
      </c>
    </row>
    <row r="248" spans="1:1" x14ac:dyDescent="0.25">
      <c r="A248" s="189" t="s">
        <v>315</v>
      </c>
    </row>
    <row r="249" spans="1:1" x14ac:dyDescent="0.25">
      <c r="A249" s="189" t="s">
        <v>133</v>
      </c>
    </row>
    <row r="250" spans="1:1" x14ac:dyDescent="0.25">
      <c r="A250" s="189" t="s">
        <v>335</v>
      </c>
    </row>
    <row r="251" spans="1:1" x14ac:dyDescent="0.25">
      <c r="A251" s="189" t="s">
        <v>441</v>
      </c>
    </row>
    <row r="252" spans="1:1" x14ac:dyDescent="0.25">
      <c r="A252" s="189" t="s">
        <v>476</v>
      </c>
    </row>
    <row r="253" spans="1:1" x14ac:dyDescent="0.25">
      <c r="A253" s="189" t="s">
        <v>418</v>
      </c>
    </row>
    <row r="254" spans="1:1" x14ac:dyDescent="0.25">
      <c r="A254" s="189" t="s">
        <v>385</v>
      </c>
    </row>
    <row r="255" spans="1:1" x14ac:dyDescent="0.25">
      <c r="A255" s="189" t="s">
        <v>419</v>
      </c>
    </row>
    <row r="256" spans="1:1" x14ac:dyDescent="0.25">
      <c r="A256" s="189" t="s">
        <v>316</v>
      </c>
    </row>
    <row r="257" spans="1:1" x14ac:dyDescent="0.25">
      <c r="A257" s="189" t="s">
        <v>336</v>
      </c>
    </row>
    <row r="258" spans="1:1" x14ac:dyDescent="0.25">
      <c r="A258" s="189" t="s">
        <v>134</v>
      </c>
    </row>
    <row r="259" spans="1:1" x14ac:dyDescent="0.25">
      <c r="A259" s="189" t="s">
        <v>227</v>
      </c>
    </row>
    <row r="260" spans="1:1" x14ac:dyDescent="0.25">
      <c r="A260" s="189" t="s">
        <v>386</v>
      </c>
    </row>
    <row r="261" spans="1:1" x14ac:dyDescent="0.25">
      <c r="A261" s="189" t="s">
        <v>387</v>
      </c>
    </row>
    <row r="262" spans="1:1" x14ac:dyDescent="0.25">
      <c r="A262" s="189" t="s">
        <v>123</v>
      </c>
    </row>
    <row r="263" spans="1:1" x14ac:dyDescent="0.25">
      <c r="A263" s="189" t="s">
        <v>156</v>
      </c>
    </row>
    <row r="264" spans="1:1" x14ac:dyDescent="0.25">
      <c r="A264" s="189" t="s">
        <v>270</v>
      </c>
    </row>
    <row r="265" spans="1:1" x14ac:dyDescent="0.25">
      <c r="A265" s="189" t="s">
        <v>388</v>
      </c>
    </row>
    <row r="266" spans="1:1" x14ac:dyDescent="0.25">
      <c r="A266" s="189" t="s">
        <v>157</v>
      </c>
    </row>
    <row r="267" spans="1:1" x14ac:dyDescent="0.25">
      <c r="A267" s="189" t="s">
        <v>727</v>
      </c>
    </row>
    <row r="268" spans="1:1" x14ac:dyDescent="0.25">
      <c r="A268" s="189" t="s">
        <v>228</v>
      </c>
    </row>
    <row r="269" spans="1:1" x14ac:dyDescent="0.25">
      <c r="A269" s="189" t="s">
        <v>438</v>
      </c>
    </row>
    <row r="270" spans="1:1" x14ac:dyDescent="0.25">
      <c r="A270" s="189" t="s">
        <v>337</v>
      </c>
    </row>
    <row r="271" spans="1:1" x14ac:dyDescent="0.25">
      <c r="A271" s="189" t="s">
        <v>135</v>
      </c>
    </row>
    <row r="272" spans="1:1" x14ac:dyDescent="0.25">
      <c r="A272" s="189" t="s">
        <v>271</v>
      </c>
    </row>
    <row r="273" spans="1:1" x14ac:dyDescent="0.25">
      <c r="A273" s="189" t="s">
        <v>317</v>
      </c>
    </row>
    <row r="274" spans="1:1" x14ac:dyDescent="0.25">
      <c r="A274" s="189" t="s">
        <v>338</v>
      </c>
    </row>
    <row r="275" spans="1:1" x14ac:dyDescent="0.25">
      <c r="A275" s="189" t="s">
        <v>202</v>
      </c>
    </row>
    <row r="276" spans="1:1" x14ac:dyDescent="0.25">
      <c r="A276" s="189" t="s">
        <v>389</v>
      </c>
    </row>
    <row r="277" spans="1:1" x14ac:dyDescent="0.25">
      <c r="A277" s="189" t="s">
        <v>158</v>
      </c>
    </row>
    <row r="278" spans="1:1" x14ac:dyDescent="0.25">
      <c r="A278" s="189" t="s">
        <v>159</v>
      </c>
    </row>
    <row r="279" spans="1:1" x14ac:dyDescent="0.25">
      <c r="A279" s="189" t="s">
        <v>113</v>
      </c>
    </row>
    <row r="280" spans="1:1" x14ac:dyDescent="0.25">
      <c r="A280" s="189" t="s">
        <v>136</v>
      </c>
    </row>
    <row r="281" spans="1:1" x14ac:dyDescent="0.25">
      <c r="A281" s="189" t="s">
        <v>272</v>
      </c>
    </row>
    <row r="282" spans="1:1" x14ac:dyDescent="0.25">
      <c r="A282" s="189" t="s">
        <v>273</v>
      </c>
    </row>
    <row r="283" spans="1:1" x14ac:dyDescent="0.25">
      <c r="A283" s="189" t="s">
        <v>431</v>
      </c>
    </row>
    <row r="284" spans="1:1" x14ac:dyDescent="0.25">
      <c r="A284" s="189" t="s">
        <v>728</v>
      </c>
    </row>
    <row r="285" spans="1:1" x14ac:dyDescent="0.25">
      <c r="A285" s="189" t="s">
        <v>230</v>
      </c>
    </row>
    <row r="286" spans="1:1" x14ac:dyDescent="0.25">
      <c r="A286" s="189" t="s">
        <v>421</v>
      </c>
    </row>
    <row r="287" spans="1:1" x14ac:dyDescent="0.25">
      <c r="A287" s="189" t="s">
        <v>422</v>
      </c>
    </row>
    <row r="288" spans="1:1" x14ac:dyDescent="0.25">
      <c r="A288" s="189" t="s">
        <v>391</v>
      </c>
    </row>
    <row r="289" spans="1:1" x14ac:dyDescent="0.25">
      <c r="A289" s="189" t="s">
        <v>124</v>
      </c>
    </row>
    <row r="290" spans="1:1" x14ac:dyDescent="0.25">
      <c r="A290" s="189" t="s">
        <v>231</v>
      </c>
    </row>
    <row r="291" spans="1:1" x14ac:dyDescent="0.25">
      <c r="A291" s="189" t="s">
        <v>339</v>
      </c>
    </row>
    <row r="292" spans="1:1" x14ac:dyDescent="0.25">
      <c r="A292" s="189" t="s">
        <v>392</v>
      </c>
    </row>
    <row r="293" spans="1:1" x14ac:dyDescent="0.25">
      <c r="A293" s="189" t="s">
        <v>274</v>
      </c>
    </row>
    <row r="294" spans="1:1" x14ac:dyDescent="0.25">
      <c r="A294" s="189" t="s">
        <v>423</v>
      </c>
    </row>
    <row r="295" spans="1:1" x14ac:dyDescent="0.25">
      <c r="A295" s="189" t="s">
        <v>424</v>
      </c>
    </row>
    <row r="296" spans="1:1" x14ac:dyDescent="0.25">
      <c r="A296" s="189" t="s">
        <v>598</v>
      </c>
    </row>
    <row r="297" spans="1:1" x14ac:dyDescent="0.25">
      <c r="A297" s="189" t="s">
        <v>318</v>
      </c>
    </row>
    <row r="298" spans="1:1" x14ac:dyDescent="0.25">
      <c r="A298" s="189" t="s">
        <v>137</v>
      </c>
    </row>
    <row r="299" spans="1:1" x14ac:dyDescent="0.25">
      <c r="A299" s="189" t="s">
        <v>340</v>
      </c>
    </row>
    <row r="300" spans="1:1" x14ac:dyDescent="0.25">
      <c r="A300" s="189" t="s">
        <v>425</v>
      </c>
    </row>
    <row r="301" spans="1:1" x14ac:dyDescent="0.25">
      <c r="A301" s="189" t="s">
        <v>827</v>
      </c>
    </row>
    <row r="302" spans="1:1" x14ac:dyDescent="0.25">
      <c r="A302" s="189" t="s">
        <v>319</v>
      </c>
    </row>
    <row r="303" spans="1:1" x14ac:dyDescent="0.25">
      <c r="A303" s="189" t="s">
        <v>203</v>
      </c>
    </row>
    <row r="304" spans="1:1" x14ac:dyDescent="0.25">
      <c r="A304" s="189" t="s">
        <v>393</v>
      </c>
    </row>
    <row r="305" spans="1:1" x14ac:dyDescent="0.25">
      <c r="A305" s="189" t="s">
        <v>599</v>
      </c>
    </row>
    <row r="306" spans="1:1" x14ac:dyDescent="0.25">
      <c r="A306" s="189" t="s">
        <v>394</v>
      </c>
    </row>
    <row r="307" spans="1:1" x14ac:dyDescent="0.25">
      <c r="A307" s="189" t="s">
        <v>395</v>
      </c>
    </row>
    <row r="308" spans="1:1" x14ac:dyDescent="0.25">
      <c r="A308" s="189" t="s">
        <v>320</v>
      </c>
    </row>
    <row r="309" spans="1:1" x14ac:dyDescent="0.25">
      <c r="A309" s="189" t="s">
        <v>204</v>
      </c>
    </row>
    <row r="310" spans="1:1" x14ac:dyDescent="0.25">
      <c r="A310" s="189" t="s">
        <v>321</v>
      </c>
    </row>
    <row r="311" spans="1:1" x14ac:dyDescent="0.25">
      <c r="A311" s="189" t="s">
        <v>275</v>
      </c>
    </row>
    <row r="312" spans="1:1" x14ac:dyDescent="0.25">
      <c r="A312" s="189" t="s">
        <v>426</v>
      </c>
    </row>
    <row r="313" spans="1:1" x14ac:dyDescent="0.25">
      <c r="A313" s="189" t="s">
        <v>828</v>
      </c>
    </row>
    <row r="314" spans="1:1" x14ac:dyDescent="0.25">
      <c r="A314" s="189" t="s">
        <v>205</v>
      </c>
    </row>
    <row r="315" spans="1:1" x14ac:dyDescent="0.25">
      <c r="A315" s="189" t="s">
        <v>601</v>
      </c>
    </row>
    <row r="316" spans="1:1" x14ac:dyDescent="0.25">
      <c r="A316" s="189" t="s">
        <v>114</v>
      </c>
    </row>
    <row r="317" spans="1:1" x14ac:dyDescent="0.25">
      <c r="A317" s="189" t="s">
        <v>206</v>
      </c>
    </row>
    <row r="318" spans="1:1" x14ac:dyDescent="0.25">
      <c r="A318" s="189" t="s">
        <v>602</v>
      </c>
    </row>
    <row r="319" spans="1:1" x14ac:dyDescent="0.25">
      <c r="A319" s="189" t="s">
        <v>322</v>
      </c>
    </row>
    <row r="320" spans="1:1" x14ac:dyDescent="0.25">
      <c r="A320" s="189" t="s">
        <v>138</v>
      </c>
    </row>
    <row r="321" spans="1:1" x14ac:dyDescent="0.25">
      <c r="A321" s="189" t="s">
        <v>160</v>
      </c>
    </row>
    <row r="322" spans="1:1" x14ac:dyDescent="0.25">
      <c r="A322" s="189" t="s">
        <v>207</v>
      </c>
    </row>
    <row r="323" spans="1:1" x14ac:dyDescent="0.25">
      <c r="A323" s="189" t="s">
        <v>277</v>
      </c>
    </row>
    <row r="324" spans="1:1" x14ac:dyDescent="0.25">
      <c r="A324" s="189" t="s">
        <v>232</v>
      </c>
    </row>
    <row r="325" spans="1:1" x14ac:dyDescent="0.25">
      <c r="A325" s="189" t="s">
        <v>208</v>
      </c>
    </row>
    <row r="326" spans="1:1" x14ac:dyDescent="0.25">
      <c r="A326" s="189" t="s">
        <v>396</v>
      </c>
    </row>
    <row r="327" spans="1:1" x14ac:dyDescent="0.25">
      <c r="A327" s="189" t="s">
        <v>233</v>
      </c>
    </row>
    <row r="328" spans="1:1" x14ac:dyDescent="0.25">
      <c r="A328" s="189" t="s">
        <v>278</v>
      </c>
    </row>
    <row r="329" spans="1:1" x14ac:dyDescent="0.25">
      <c r="A329" s="189" t="s">
        <v>234</v>
      </c>
    </row>
    <row r="330" spans="1:1" x14ac:dyDescent="0.25">
      <c r="A330" s="189" t="s">
        <v>279</v>
      </c>
    </row>
    <row r="331" spans="1:1" x14ac:dyDescent="0.25">
      <c r="A331" s="189" t="s">
        <v>209</v>
      </c>
    </row>
    <row r="332" spans="1:1" x14ac:dyDescent="0.25">
      <c r="A332" s="189" t="s">
        <v>280</v>
      </c>
    </row>
    <row r="333" spans="1:1" x14ac:dyDescent="0.25">
      <c r="A333" s="189" t="s">
        <v>432</v>
      </c>
    </row>
    <row r="334" spans="1:1" x14ac:dyDescent="0.25">
      <c r="A334" s="189" t="s">
        <v>235</v>
      </c>
    </row>
    <row r="335" spans="1:1" x14ac:dyDescent="0.25">
      <c r="A335" s="189" t="s">
        <v>210</v>
      </c>
    </row>
    <row r="336" spans="1:1" x14ac:dyDescent="0.25">
      <c r="A336" s="189" t="s">
        <v>324</v>
      </c>
    </row>
    <row r="337" spans="1:1" x14ac:dyDescent="0.25">
      <c r="A337" s="189" t="s">
        <v>325</v>
      </c>
    </row>
    <row r="338" spans="1:1" x14ac:dyDescent="0.25">
      <c r="A338" s="189" t="s">
        <v>326</v>
      </c>
    </row>
    <row r="339" spans="1:1" x14ac:dyDescent="0.25">
      <c r="A339" s="189" t="s">
        <v>397</v>
      </c>
    </row>
    <row r="340" spans="1:1" x14ac:dyDescent="0.25">
      <c r="A340" s="189" t="s">
        <v>211</v>
      </c>
    </row>
    <row r="341" spans="1:1" x14ac:dyDescent="0.25">
      <c r="A341" s="189" t="s">
        <v>161</v>
      </c>
    </row>
    <row r="342" spans="1:1" x14ac:dyDescent="0.25">
      <c r="A342" s="189" t="s">
        <v>327</v>
      </c>
    </row>
    <row r="343" spans="1:1" x14ac:dyDescent="0.25">
      <c r="A343" s="189" t="s">
        <v>162</v>
      </c>
    </row>
    <row r="344" spans="1:1" x14ac:dyDescent="0.25">
      <c r="A344" s="189" t="s">
        <v>440</v>
      </c>
    </row>
  </sheetData>
  <sheetProtection algorithmName="SHA-512" hashValue="T0q9DqhjFmzUP2Dw6MLLdLKneuQAJTzGD/upyMAyaZAD7fcNSFrvLIWHhSwsaoaUH4ZYLQ7xR6loAQMM/N0aNg==" saltValue="dCt+dfW6ctAZ5l0MN2U0SA==" spinCount="100000" sheet="1" selectLockedCells="1"/>
  <sortState xmlns:xlrd2="http://schemas.microsoft.com/office/spreadsheetml/2017/richdata2" ref="I17:I18">
    <sortCondition ref="I18"/>
  </sortState>
  <mergeCells count="2">
    <mergeCell ref="A1:B1"/>
    <mergeCell ref="B2:C3"/>
  </mergeCells>
  <conditionalFormatting sqref="C6">
    <cfRule type="cellIs" dxfId="278" priority="193" operator="between">
      <formula>1</formula>
      <formula>1.3</formula>
    </cfRule>
    <cfRule type="cellIs" dxfId="277" priority="192" operator="lessThan">
      <formula>1</formula>
    </cfRule>
    <cfRule type="cellIs" dxfId="276" priority="194" operator="greaterThan">
      <formula>1.3</formula>
    </cfRule>
  </conditionalFormatting>
  <conditionalFormatting sqref="C7">
    <cfRule type="cellIs" dxfId="275" priority="189" operator="lessThan">
      <formula>0.9</formula>
    </cfRule>
    <cfRule type="cellIs" dxfId="274" priority="191" operator="greaterThan">
      <formula>1.2</formula>
    </cfRule>
    <cfRule type="cellIs" dxfId="273" priority="190" operator="between">
      <formula>0.9</formula>
      <formula>1.2</formula>
    </cfRule>
  </conditionalFormatting>
  <conditionalFormatting sqref="C8">
    <cfRule type="cellIs" dxfId="272" priority="188" operator="greaterThan">
      <formula>-0.04</formula>
    </cfRule>
    <cfRule type="cellIs" dxfId="271" priority="186" operator="lessThan">
      <formula>-0.0475</formula>
    </cfRule>
    <cfRule type="cellIs" dxfId="270" priority="187" operator="between">
      <formula>-0.0475</formula>
      <formula>-0.04</formula>
    </cfRule>
  </conditionalFormatting>
  <conditionalFormatting sqref="C10">
    <cfRule type="cellIs" dxfId="269" priority="183" operator="lessThan">
      <formula>0</formula>
    </cfRule>
    <cfRule type="cellIs" dxfId="268" priority="185" operator="greaterThanOrEqual">
      <formula>0</formula>
    </cfRule>
  </conditionalFormatting>
  <conditionalFormatting sqref="C11">
    <cfRule type="cellIs" dxfId="267" priority="181" operator="between">
      <formula>1.5</formula>
      <formula>2.5</formula>
    </cfRule>
    <cfRule type="cellIs" dxfId="266" priority="182" operator="greaterThan">
      <formula>2.5</formula>
    </cfRule>
    <cfRule type="cellIs" dxfId="265" priority="180" operator="lessThan">
      <formula>2</formula>
    </cfRule>
  </conditionalFormatting>
  <conditionalFormatting sqref="C12">
    <cfRule type="cellIs" dxfId="264" priority="21" operator="greaterThan">
      <formula>0.8</formula>
    </cfRule>
    <cfRule type="cellIs" dxfId="263" priority="173" operator="between">
      <formula>0.75</formula>
      <formula>0.8</formula>
    </cfRule>
    <cfRule type="cellIs" dxfId="262" priority="171" operator="lessThan">
      <formula>0.75</formula>
    </cfRule>
  </conditionalFormatting>
  <conditionalFormatting sqref="C14">
    <cfRule type="cellIs" dxfId="261" priority="40" operator="greaterThan">
      <formula>0.07</formula>
    </cfRule>
    <cfRule type="cellIs" dxfId="260" priority="41" operator="lessThan">
      <formula>0</formula>
    </cfRule>
    <cfRule type="cellIs" dxfId="259" priority="179" operator="between">
      <formula>0.05</formula>
      <formula>0.07</formula>
    </cfRule>
    <cfRule type="cellIs" dxfId="258" priority="178" operator="between">
      <formula>0</formula>
      <formula>0.02</formula>
    </cfRule>
    <cfRule type="cellIs" dxfId="257" priority="177" operator="between">
      <formula>0.02</formula>
      <formula>0.05</formula>
    </cfRule>
  </conditionalFormatting>
  <conditionalFormatting sqref="C15">
    <cfRule type="cellIs" dxfId="256" priority="169" operator="between">
      <formula>$N$4</formula>
      <formula>$N$5</formula>
    </cfRule>
    <cfRule type="cellIs" dxfId="255" priority="170" operator="greaterThan">
      <formula>$N$5</formula>
    </cfRule>
    <cfRule type="cellIs" dxfId="254" priority="168" operator="lessThan">
      <formula>$N$4</formula>
    </cfRule>
  </conditionalFormatting>
  <conditionalFormatting sqref="C17">
    <cfRule type="cellIs" dxfId="253" priority="165" operator="greaterThan">
      <formula>0.2</formula>
    </cfRule>
    <cfRule type="cellIs" dxfId="252" priority="166" operator="between">
      <formula>0</formula>
      <formula>0.2</formula>
    </cfRule>
    <cfRule type="cellIs" dxfId="251" priority="167" operator="lessThanOrEqual">
      <formula>0</formula>
    </cfRule>
  </conditionalFormatting>
  <conditionalFormatting sqref="C18">
    <cfRule type="cellIs" dxfId="250" priority="24" operator="greaterThanOrEqual">
      <formula>0</formula>
    </cfRule>
    <cfRule type="cellIs" dxfId="249" priority="25" operator="lessThan">
      <formula>0</formula>
    </cfRule>
  </conditionalFormatting>
  <conditionalFormatting sqref="C20">
    <cfRule type="cellIs" dxfId="248" priority="16" operator="lessThan">
      <formula>5.4</formula>
    </cfRule>
    <cfRule type="cellIs" dxfId="247" priority="18" operator="greaterThan">
      <formula>5.5</formula>
    </cfRule>
    <cfRule type="cellIs" dxfId="246" priority="17" operator="between">
      <formula>5.4</formula>
      <formula>5.6</formula>
    </cfRule>
  </conditionalFormatting>
  <conditionalFormatting sqref="C23">
    <cfRule type="cellIs" dxfId="245" priority="7" operator="lessThan">
      <formula>0.25</formula>
    </cfRule>
    <cfRule type="cellIs" dxfId="244" priority="8" operator="between">
      <formula>0.25</formula>
      <formula>0.3</formula>
    </cfRule>
    <cfRule type="cellIs" dxfId="243" priority="9" operator="greaterThan">
      <formula>0.3</formula>
    </cfRule>
  </conditionalFormatting>
  <conditionalFormatting sqref="F6">
    <cfRule type="cellIs" dxfId="242" priority="114" operator="between">
      <formula>1</formula>
      <formula>1.3</formula>
    </cfRule>
    <cfRule type="cellIs" dxfId="241" priority="115" operator="greaterThan">
      <formula>1.3</formula>
    </cfRule>
    <cfRule type="cellIs" dxfId="240" priority="113" operator="lessThan">
      <formula>1</formula>
    </cfRule>
  </conditionalFormatting>
  <conditionalFormatting sqref="F7">
    <cfRule type="cellIs" dxfId="239" priority="110" operator="lessThan">
      <formula>0.9</formula>
    </cfRule>
    <cfRule type="cellIs" dxfId="238" priority="112" operator="greaterThan">
      <formula>1.2</formula>
    </cfRule>
    <cfRule type="cellIs" dxfId="237" priority="111" operator="between">
      <formula>0.9</formula>
      <formula>1.2</formula>
    </cfRule>
  </conditionalFormatting>
  <conditionalFormatting sqref="F8">
    <cfRule type="cellIs" dxfId="236" priority="109" operator="lessThan">
      <formula>-0.0475</formula>
    </cfRule>
    <cfRule type="cellIs" dxfId="235" priority="108" operator="between">
      <formula>-0.0475</formula>
      <formula>-0.04</formula>
    </cfRule>
    <cfRule type="cellIs" dxfId="234" priority="107" operator="greaterThan">
      <formula>-0.04</formula>
    </cfRule>
  </conditionalFormatting>
  <conditionalFormatting sqref="F10">
    <cfRule type="cellIs" dxfId="233" priority="104" operator="greaterThanOrEqual">
      <formula>0</formula>
    </cfRule>
    <cfRule type="cellIs" dxfId="232" priority="106" operator="lessThan">
      <formula>0</formula>
    </cfRule>
  </conditionalFormatting>
  <conditionalFormatting sqref="F11">
    <cfRule type="cellIs" dxfId="231" priority="103" operator="greaterThan">
      <formula>2.5</formula>
    </cfRule>
    <cfRule type="cellIs" dxfId="230" priority="102" operator="between">
      <formula>1.5</formula>
      <formula>2.5</formula>
    </cfRule>
    <cfRule type="cellIs" dxfId="229" priority="101" operator="lessThan">
      <formula>2</formula>
    </cfRule>
  </conditionalFormatting>
  <conditionalFormatting sqref="F12">
    <cfRule type="cellIs" dxfId="228" priority="96" operator="between">
      <formula>0.75</formula>
      <formula>0.8</formula>
    </cfRule>
    <cfRule type="cellIs" dxfId="227" priority="95" operator="lessThan">
      <formula>0.75</formula>
    </cfRule>
    <cfRule type="cellIs" dxfId="226" priority="20" operator="greaterThan">
      <formula>0.8</formula>
    </cfRule>
  </conditionalFormatting>
  <conditionalFormatting sqref="F14">
    <cfRule type="cellIs" dxfId="225" priority="39" operator="lessThan">
      <formula>0</formula>
    </cfRule>
    <cfRule type="cellIs" dxfId="224" priority="86" operator="between">
      <formula>0.02</formula>
      <formula>0.05</formula>
    </cfRule>
    <cfRule type="cellIs" dxfId="223" priority="87" operator="between">
      <formula>0</formula>
      <formula>0.02</formula>
    </cfRule>
    <cfRule type="cellIs" dxfId="222" priority="88" operator="between">
      <formula>0.05</formula>
      <formula>0.07</formula>
    </cfRule>
    <cfRule type="cellIs" dxfId="221" priority="38" operator="greaterThan">
      <formula>0.07</formula>
    </cfRule>
  </conditionalFormatting>
  <conditionalFormatting sqref="F15">
    <cfRule type="cellIs" dxfId="220" priority="83" operator="lessThan">
      <formula>$O$4</formula>
    </cfRule>
    <cfRule type="cellIs" dxfId="219" priority="84" operator="between">
      <formula>$O$4</formula>
      <formula>$O$5</formula>
    </cfRule>
    <cfRule type="cellIs" dxfId="218" priority="85" operator="greaterThan">
      <formula>$O$5</formula>
    </cfRule>
  </conditionalFormatting>
  <conditionalFormatting sqref="F17">
    <cfRule type="cellIs" dxfId="217" priority="93" operator="between">
      <formula>0</formula>
      <formula>0.2</formula>
    </cfRule>
    <cfRule type="cellIs" dxfId="216" priority="92" operator="greaterThan">
      <formula>0.2</formula>
    </cfRule>
  </conditionalFormatting>
  <conditionalFormatting sqref="F17:F18">
    <cfRule type="cellIs" dxfId="215" priority="90" operator="lessThan">
      <formula>0</formula>
    </cfRule>
  </conditionalFormatting>
  <conditionalFormatting sqref="F18">
    <cfRule type="cellIs" dxfId="214" priority="89" operator="greaterThanOrEqual">
      <formula>0</formula>
    </cfRule>
  </conditionalFormatting>
  <conditionalFormatting sqref="F20">
    <cfRule type="cellIs" dxfId="213" priority="14" operator="between">
      <formula>5.4</formula>
      <formula>5.6</formula>
    </cfRule>
    <cfRule type="cellIs" dxfId="212" priority="15" operator="greaterThan">
      <formula>5.5</formula>
    </cfRule>
    <cfRule type="cellIs" dxfId="211" priority="13" operator="lessThan">
      <formula>5.5</formula>
    </cfRule>
  </conditionalFormatting>
  <conditionalFormatting sqref="F23">
    <cfRule type="cellIs" dxfId="210" priority="6" operator="greaterThan">
      <formula>0.3</formula>
    </cfRule>
    <cfRule type="cellIs" dxfId="209" priority="5" operator="between">
      <formula>0.25</formula>
      <formula>0.3</formula>
    </cfRule>
    <cfRule type="cellIs" dxfId="208" priority="4" operator="lessThan">
      <formula>0.25</formula>
    </cfRule>
  </conditionalFormatting>
  <conditionalFormatting sqref="I6">
    <cfRule type="cellIs" dxfId="207" priority="81" operator="between">
      <formula>1</formula>
      <formula>1.3</formula>
    </cfRule>
    <cfRule type="cellIs" dxfId="206" priority="82" operator="greaterThan">
      <formula>1.3</formula>
    </cfRule>
    <cfRule type="cellIs" dxfId="205" priority="80" operator="lessThan">
      <formula>1</formula>
    </cfRule>
  </conditionalFormatting>
  <conditionalFormatting sqref="I7">
    <cfRule type="cellIs" dxfId="204" priority="79" operator="greaterThan">
      <formula>1.2</formula>
    </cfRule>
    <cfRule type="cellIs" dxfId="203" priority="78" operator="between">
      <formula>0.9</formula>
      <formula>1.2</formula>
    </cfRule>
    <cfRule type="cellIs" dxfId="202" priority="77" operator="lessThan">
      <formula>0.9</formula>
    </cfRule>
  </conditionalFormatting>
  <conditionalFormatting sqref="I8">
    <cfRule type="cellIs" dxfId="201" priority="76" operator="lessThan">
      <formula>-0.0475</formula>
    </cfRule>
    <cfRule type="cellIs" dxfId="200" priority="75" operator="between">
      <formula>-0.0475</formula>
      <formula>-0.04</formula>
    </cfRule>
    <cfRule type="cellIs" dxfId="199" priority="74" operator="greaterThan">
      <formula>-0.04</formula>
    </cfRule>
  </conditionalFormatting>
  <conditionalFormatting sqref="I10">
    <cfRule type="cellIs" dxfId="198" priority="73" operator="lessThan">
      <formula>0</formula>
    </cfRule>
    <cfRule type="cellIs" dxfId="197" priority="71" operator="greaterThanOrEqual">
      <formula>0</formula>
    </cfRule>
  </conditionalFormatting>
  <conditionalFormatting sqref="I11">
    <cfRule type="cellIs" dxfId="196" priority="70" operator="greaterThan">
      <formula>2.5</formula>
    </cfRule>
    <cfRule type="cellIs" dxfId="195" priority="69" operator="between">
      <formula>1.5</formula>
      <formula>2.5</formula>
    </cfRule>
    <cfRule type="cellIs" dxfId="194" priority="68" operator="lessThan">
      <formula>2</formula>
    </cfRule>
  </conditionalFormatting>
  <conditionalFormatting sqref="I12">
    <cfRule type="cellIs" dxfId="193" priority="19" operator="greaterThan">
      <formula>0.8</formula>
    </cfRule>
    <cfRule type="cellIs" dxfId="192" priority="63" operator="between">
      <formula>0.75</formula>
      <formula>0.8</formula>
    </cfRule>
    <cfRule type="cellIs" dxfId="191" priority="62" operator="lessThan">
      <formula>0.75</formula>
    </cfRule>
  </conditionalFormatting>
  <conditionalFormatting sqref="I14">
    <cfRule type="cellIs" dxfId="190" priority="58" operator="between">
      <formula>0.05</formula>
      <formula>0.07</formula>
    </cfRule>
    <cfRule type="cellIs" dxfId="189" priority="57" operator="between">
      <formula>0</formula>
      <formula>0.02</formula>
    </cfRule>
    <cfRule type="cellIs" dxfId="188" priority="56" operator="between">
      <formula>0.02</formula>
      <formula>0.05</formula>
    </cfRule>
    <cfRule type="cellIs" dxfId="187" priority="37" operator="greaterThan">
      <formula>0.07</formula>
    </cfRule>
    <cfRule type="cellIs" dxfId="186" priority="36" operator="lessThan">
      <formula>0</formula>
    </cfRule>
  </conditionalFormatting>
  <conditionalFormatting sqref="I15">
    <cfRule type="cellIs" dxfId="185" priority="30" operator="between">
      <formula>$P$4</formula>
      <formula>$P$5</formula>
    </cfRule>
    <cfRule type="cellIs" dxfId="184" priority="29" operator="lessThan">
      <formula>$P$4</formula>
    </cfRule>
    <cfRule type="cellIs" dxfId="183" priority="31" operator="greaterThan">
      <formula>$P$5</formula>
    </cfRule>
  </conditionalFormatting>
  <conditionalFormatting sqref="I17">
    <cfRule type="cellIs" dxfId="182" priority="26" operator="greaterThan">
      <formula>0.2</formula>
    </cfRule>
    <cfRule type="cellIs" dxfId="181" priority="27" operator="between">
      <formula>0</formula>
      <formula>0.2</formula>
    </cfRule>
  </conditionalFormatting>
  <conditionalFormatting sqref="I17:I18">
    <cfRule type="cellIs" dxfId="180" priority="23" operator="lessThan">
      <formula>0</formula>
    </cfRule>
  </conditionalFormatting>
  <conditionalFormatting sqref="I18">
    <cfRule type="cellIs" dxfId="179" priority="22" operator="greaterThanOrEqual">
      <formula>0</formula>
    </cfRule>
  </conditionalFormatting>
  <conditionalFormatting sqref="I20">
    <cfRule type="cellIs" dxfId="178" priority="12" operator="greaterThan">
      <formula>5.5</formula>
    </cfRule>
    <cfRule type="cellIs" dxfId="177" priority="11" operator="between">
      <formula>5.4</formula>
      <formula>5.6</formula>
    </cfRule>
    <cfRule type="cellIs" dxfId="176" priority="10" operator="lessThan">
      <formula>5.5</formula>
    </cfRule>
  </conditionalFormatting>
  <conditionalFormatting sqref="I23">
    <cfRule type="cellIs" dxfId="175" priority="1" operator="lessThan">
      <formula>0.25</formula>
    </cfRule>
    <cfRule type="cellIs" dxfId="174" priority="3" operator="greaterThan">
      <formula>0.3</formula>
    </cfRule>
    <cfRule type="cellIs" dxfId="173" priority="2" operator="between">
      <formula>0.25</formula>
      <formula>0.3</formula>
    </cfRule>
  </conditionalFormatting>
  <dataValidations xWindow="591" yWindow="401" count="2">
    <dataValidation type="list" allowBlank="1" showInputMessage="1" showErrorMessage="1" promptTitle="selecteer gemeentenaam" prompt="selecteer gemeentenaam" sqref="D2:D3" xr:uid="{B20D0F7A-F9C3-4243-A837-096E47D43721}">
      <formula1>$A$2:$A$344</formula1>
    </dataValidation>
    <dataValidation type="list" allowBlank="1" showInputMessage="1" showErrorMessage="1" promptTitle="selecteer gemeentenaam" prompt="selecteer gemeentenaam" sqref="B2:C3" xr:uid="{0836F449-2E78-44C0-A45C-34CACCA942D4}">
      <formula1>$A$2:$A$343</formula1>
    </dataValidation>
  </dataValidations>
  <pageMargins left="0.7" right="0.7" top="0.75" bottom="0.75" header="0.3" footer="0.3"/>
  <pageSetup paperSize="9" orientation="portrait" r:id="rId1"/>
  <ignoredErrors>
    <ignoredError sqref="D11:E11 G11:H11 J11:K11" formula="1"/>
  </ignoredError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B91A2-2295-49AF-BF9B-4EEA28D9F5FA}">
  <sheetPr codeName="Blad8"/>
  <dimension ref="A1:AU375"/>
  <sheetViews>
    <sheetView workbookViewId="0">
      <pane xSplit="2" ySplit="1" topLeftCell="C2" activePane="bottomRight" state="frozen"/>
      <selection pane="topRight" activeCell="C1" sqref="C1"/>
      <selection pane="bottomLeft" activeCell="A2" sqref="A2"/>
      <selection pane="bottomRight" activeCell="Q62" sqref="Q62"/>
    </sheetView>
  </sheetViews>
  <sheetFormatPr defaultRowHeight="12.5" x14ac:dyDescent="0.25"/>
  <cols>
    <col min="1" max="1" width="5" bestFit="1" customWidth="1"/>
    <col min="2" max="2" width="27.7265625" bestFit="1" customWidth="1"/>
    <col min="3" max="3" width="15.90625" style="101" bestFit="1" customWidth="1"/>
    <col min="4" max="4" width="18.81640625" style="101" bestFit="1" customWidth="1"/>
    <col min="5" max="5" width="12.81640625" style="101" bestFit="1" customWidth="1"/>
    <col min="6" max="6" width="18.36328125" style="101" bestFit="1" customWidth="1"/>
    <col min="7" max="7" width="12.453125" style="101" bestFit="1" customWidth="1"/>
    <col min="8" max="8" width="24.08984375" style="101" bestFit="1" customWidth="1"/>
    <col min="9" max="9" width="33.08984375" bestFit="1" customWidth="1"/>
    <col min="11" max="11" width="23.81640625" style="101" bestFit="1" customWidth="1"/>
    <col min="12" max="12" width="24.54296875" bestFit="1" customWidth="1"/>
    <col min="13" max="13" width="18.36328125" style="101" bestFit="1" customWidth="1"/>
    <col min="14" max="14" width="10.36328125" style="101" bestFit="1" customWidth="1"/>
    <col min="15" max="15" width="8.90625" style="101" bestFit="1" customWidth="1"/>
    <col min="16" max="16" width="21.08984375" style="101" bestFit="1" customWidth="1"/>
    <col min="17" max="17" width="21.08984375" style="101" customWidth="1"/>
    <col min="18" max="18" width="28.6328125" style="101" bestFit="1" customWidth="1"/>
    <col min="19" max="19" width="29.453125" style="101" bestFit="1" customWidth="1"/>
    <col min="20" max="20" width="28.90625" style="101" bestFit="1" customWidth="1"/>
    <col min="21" max="21" width="29.6328125" style="101" bestFit="1" customWidth="1"/>
    <col min="22" max="22" width="28.6328125" style="101" bestFit="1" customWidth="1"/>
    <col min="23" max="23" width="29.453125" style="101" bestFit="1" customWidth="1"/>
    <col min="24" max="24" width="20.36328125" style="149" bestFit="1" customWidth="1"/>
    <col min="25" max="25" width="25.1796875" style="184" bestFit="1" customWidth="1"/>
    <col min="26" max="26" width="8.26953125" style="253" bestFit="1" customWidth="1"/>
    <col min="27" max="27" width="16.6328125" style="149" bestFit="1" customWidth="1"/>
    <col min="28" max="28" width="18.26953125" customWidth="1"/>
    <col min="29" max="29" width="10.90625" style="101" bestFit="1" customWidth="1"/>
    <col min="30" max="30" width="32.90625" style="101" bestFit="1" customWidth="1"/>
    <col min="31" max="31" width="30.54296875" style="101" bestFit="1" customWidth="1"/>
    <col min="32" max="32" width="8.36328125" style="101" bestFit="1" customWidth="1"/>
    <col min="33" max="33" width="25.54296875" style="101" bestFit="1" customWidth="1"/>
    <col min="34" max="34" width="26.26953125" style="101" bestFit="1" customWidth="1"/>
    <col min="35" max="35" width="8.36328125" style="101" bestFit="1" customWidth="1"/>
    <col min="36" max="36" width="11.81640625" bestFit="1" customWidth="1"/>
    <col min="37" max="37" width="10.6328125" customWidth="1"/>
    <col min="38" max="38" width="28.1796875" bestFit="1" customWidth="1"/>
    <col min="39" max="39" width="23.6328125" bestFit="1" customWidth="1"/>
    <col min="40" max="40" width="26.453125" bestFit="1" customWidth="1"/>
    <col min="41" max="41" width="15.08984375" bestFit="1" customWidth="1"/>
    <col min="42" max="42" width="9.7265625" bestFit="1" customWidth="1"/>
    <col min="43" max="43" width="28.08984375" bestFit="1" customWidth="1"/>
    <col min="44" max="44" width="25.453125" bestFit="1" customWidth="1"/>
    <col min="45" max="45" width="6.90625" bestFit="1" customWidth="1"/>
  </cols>
  <sheetData>
    <row r="1" spans="1:47" x14ac:dyDescent="0.25">
      <c r="A1" t="s">
        <v>732</v>
      </c>
      <c r="B1" t="s">
        <v>526</v>
      </c>
      <c r="C1" s="101" t="s">
        <v>733</v>
      </c>
      <c r="D1" s="101" t="s">
        <v>734</v>
      </c>
      <c r="E1" s="101" t="s">
        <v>736</v>
      </c>
      <c r="F1" s="101" t="s">
        <v>735</v>
      </c>
      <c r="G1" s="101" t="s">
        <v>775</v>
      </c>
      <c r="H1" s="101" t="s">
        <v>832</v>
      </c>
      <c r="I1" s="101" t="s">
        <v>738</v>
      </c>
      <c r="J1" s="101" t="s">
        <v>636</v>
      </c>
      <c r="K1" s="101" t="s">
        <v>637</v>
      </c>
      <c r="L1" s="101" t="s">
        <v>739</v>
      </c>
      <c r="M1" s="101" t="s">
        <v>776</v>
      </c>
      <c r="N1" s="101" t="s">
        <v>777</v>
      </c>
      <c r="O1" s="101" t="s">
        <v>778</v>
      </c>
      <c r="P1" s="101" t="s">
        <v>779</v>
      </c>
      <c r="Q1" s="101" t="s">
        <v>782</v>
      </c>
      <c r="R1" s="101" t="s">
        <v>943</v>
      </c>
      <c r="S1" s="101" t="s">
        <v>944</v>
      </c>
      <c r="T1" s="101" t="s">
        <v>830</v>
      </c>
      <c r="U1" s="101" t="s">
        <v>831</v>
      </c>
      <c r="V1" s="101" t="s">
        <v>885</v>
      </c>
      <c r="W1" s="101" t="s">
        <v>886</v>
      </c>
      <c r="X1" s="149" t="s">
        <v>948</v>
      </c>
      <c r="Y1" s="184" t="s">
        <v>856</v>
      </c>
      <c r="Z1" s="266" t="s">
        <v>887</v>
      </c>
      <c r="AA1" s="149" t="s">
        <v>947</v>
      </c>
      <c r="AD1" s="101" t="s">
        <v>941</v>
      </c>
      <c r="AE1" s="101" t="s">
        <v>942</v>
      </c>
      <c r="AF1" s="101" t="s">
        <v>952</v>
      </c>
      <c r="AG1" s="101" t="s">
        <v>945</v>
      </c>
      <c r="AH1" s="101" t="s">
        <v>946</v>
      </c>
      <c r="AI1" s="101" t="s">
        <v>952</v>
      </c>
    </row>
    <row r="2" spans="1:47" x14ac:dyDescent="0.25">
      <c r="B2" t="s">
        <v>104</v>
      </c>
      <c r="C2" s="101">
        <v>51441000</v>
      </c>
      <c r="D2" s="101">
        <f>SUM(C2,-F2,-G2,-H2)</f>
        <v>50939880</v>
      </c>
      <c r="E2" s="101">
        <v>0</v>
      </c>
      <c r="F2" s="101">
        <v>0</v>
      </c>
      <c r="G2" s="101">
        <v>118412</v>
      </c>
      <c r="H2" s="101">
        <v>382708</v>
      </c>
      <c r="I2" s="101">
        <v>5333000</v>
      </c>
      <c r="K2" s="101">
        <v>148000</v>
      </c>
      <c r="L2" s="101">
        <f>SUM(M2,-C2,-I2,-J2,-K2)</f>
        <v>1725000</v>
      </c>
      <c r="M2" s="101">
        <v>58647000</v>
      </c>
      <c r="N2" s="101">
        <v>36</v>
      </c>
      <c r="O2" s="101">
        <v>745</v>
      </c>
      <c r="P2" s="101">
        <v>285</v>
      </c>
      <c r="Q2" s="101">
        <v>2622</v>
      </c>
      <c r="R2" s="101">
        <v>78152</v>
      </c>
      <c r="S2" s="101">
        <v>80380</v>
      </c>
      <c r="T2" s="101">
        <v>63549</v>
      </c>
      <c r="U2" s="101">
        <v>63715</v>
      </c>
      <c r="V2" s="101">
        <v>71085</v>
      </c>
      <c r="W2" s="101">
        <v>73213</v>
      </c>
      <c r="X2" s="149">
        <f>M2/(R2*1000)</f>
        <v>0.75042225406899377</v>
      </c>
      <c r="Y2" s="184">
        <v>5.2499999999999998E-2</v>
      </c>
      <c r="Z2" s="253">
        <v>7</v>
      </c>
      <c r="AA2" s="149">
        <f>SUM(R2,-S2)/R2</f>
        <v>-2.8508547446002661E-2</v>
      </c>
      <c r="AB2" s="149"/>
      <c r="AD2" s="101">
        <v>77412</v>
      </c>
      <c r="AE2" s="101">
        <v>80353</v>
      </c>
      <c r="AF2" s="101">
        <f>SUM(AD2,-AE2)</f>
        <v>-2941</v>
      </c>
      <c r="AG2" s="101">
        <v>78152</v>
      </c>
      <c r="AH2" s="101">
        <v>80380</v>
      </c>
      <c r="AI2" s="101">
        <f>SUM(AG2,-AH2)</f>
        <v>-2228</v>
      </c>
      <c r="AU2" s="102"/>
    </row>
    <row r="3" spans="1:47" x14ac:dyDescent="0.25">
      <c r="B3" t="s">
        <v>236</v>
      </c>
      <c r="C3" s="101">
        <v>55293000</v>
      </c>
      <c r="D3" s="101">
        <f t="shared" ref="D3:D66" si="0">SUM(C3,-F3,-G3,-H3)</f>
        <v>53987394</v>
      </c>
      <c r="E3" s="101">
        <v>0</v>
      </c>
      <c r="F3" s="101">
        <v>0</v>
      </c>
      <c r="G3" s="101">
        <v>832411</v>
      </c>
      <c r="H3" s="101">
        <v>473195</v>
      </c>
      <c r="I3" s="101">
        <v>5542000</v>
      </c>
      <c r="K3" s="101">
        <v>393000</v>
      </c>
      <c r="L3" s="101">
        <f t="shared" ref="L3:L66" si="1">SUM(M3,-C3,-I3,-J3,-K3)</f>
        <v>1409000</v>
      </c>
      <c r="M3" s="101">
        <v>62637000</v>
      </c>
      <c r="N3" s="101">
        <v>1016</v>
      </c>
      <c r="O3" s="101">
        <v>1581</v>
      </c>
      <c r="P3" s="101">
        <v>339</v>
      </c>
      <c r="Q3" s="101">
        <v>6366</v>
      </c>
      <c r="R3" s="101">
        <v>111180</v>
      </c>
      <c r="S3" s="101">
        <v>107254</v>
      </c>
      <c r="T3" s="101">
        <v>89998</v>
      </c>
      <c r="U3" s="101">
        <v>91347</v>
      </c>
      <c r="V3" s="101">
        <v>92969</v>
      </c>
      <c r="W3" s="101">
        <v>89671</v>
      </c>
      <c r="X3" s="149">
        <f t="shared" ref="X3:X66" si="2">M3/(R3*1000)</f>
        <v>0.56338370210469513</v>
      </c>
      <c r="Y3" s="184">
        <v>4.4999999999999998E-2</v>
      </c>
      <c r="Z3" s="253">
        <v>6</v>
      </c>
      <c r="AA3" s="149">
        <f t="shared" ref="AA3:AA66" si="3">SUM(R3,-S3)/R3</f>
        <v>3.531210649397374E-2</v>
      </c>
      <c r="AB3" s="149"/>
      <c r="AD3" s="101">
        <v>100912</v>
      </c>
      <c r="AE3" s="101">
        <v>99923</v>
      </c>
      <c r="AF3" s="101">
        <f t="shared" ref="AF3:AF66" si="4">SUM(AD3,-AE3)</f>
        <v>989</v>
      </c>
      <c r="AG3" s="101">
        <v>111180</v>
      </c>
      <c r="AH3" s="101">
        <v>107254</v>
      </c>
      <c r="AI3" s="101">
        <f t="shared" ref="AI3:AI66" si="5">SUM(AG3,-AH3)</f>
        <v>3926</v>
      </c>
      <c r="AU3" s="102"/>
    </row>
    <row r="4" spans="1:47" x14ac:dyDescent="0.25">
      <c r="B4" t="s">
        <v>163</v>
      </c>
      <c r="C4" s="101">
        <v>64214000</v>
      </c>
      <c r="D4" s="101">
        <f t="shared" si="0"/>
        <v>57235641</v>
      </c>
      <c r="E4" s="101">
        <v>0</v>
      </c>
      <c r="F4" s="101">
        <v>0</v>
      </c>
      <c r="G4" s="101">
        <v>6627721</v>
      </c>
      <c r="H4" s="101">
        <v>350638</v>
      </c>
      <c r="I4" s="101">
        <v>6633000</v>
      </c>
      <c r="K4" s="101">
        <v>312000</v>
      </c>
      <c r="L4" s="101">
        <f t="shared" si="1"/>
        <v>1632000</v>
      </c>
      <c r="M4" s="101">
        <v>72791000</v>
      </c>
      <c r="N4" s="101">
        <v>129</v>
      </c>
      <c r="O4" s="101">
        <v>385</v>
      </c>
      <c r="P4" s="101">
        <v>412</v>
      </c>
      <c r="Q4" s="101">
        <v>870</v>
      </c>
      <c r="R4" s="101">
        <v>88229</v>
      </c>
      <c r="S4" s="101">
        <v>87822</v>
      </c>
      <c r="T4" s="101">
        <v>64640</v>
      </c>
      <c r="U4" s="101">
        <v>64693</v>
      </c>
      <c r="V4" s="101">
        <v>71398</v>
      </c>
      <c r="W4" s="101">
        <v>71599</v>
      </c>
      <c r="X4" s="149">
        <f t="shared" si="2"/>
        <v>0.82502351834430854</v>
      </c>
      <c r="Y4" s="184">
        <v>5.6399999999999999E-2</v>
      </c>
      <c r="Z4" s="253">
        <v>5</v>
      </c>
      <c r="AA4" s="149">
        <f t="shared" si="3"/>
        <v>4.6129957270285285E-3</v>
      </c>
      <c r="AB4" s="149"/>
      <c r="AD4" s="101">
        <v>80061</v>
      </c>
      <c r="AE4" s="101">
        <v>79948</v>
      </c>
      <c r="AF4" s="101">
        <f t="shared" si="4"/>
        <v>113</v>
      </c>
      <c r="AG4" s="101">
        <v>88229</v>
      </c>
      <c r="AH4" s="101">
        <v>87822</v>
      </c>
      <c r="AI4" s="101">
        <f t="shared" si="5"/>
        <v>407</v>
      </c>
    </row>
    <row r="5" spans="1:47" x14ac:dyDescent="0.25">
      <c r="B5" t="s">
        <v>125</v>
      </c>
      <c r="C5" s="101">
        <v>69219000</v>
      </c>
      <c r="D5" s="101">
        <f t="shared" si="0"/>
        <v>63588769</v>
      </c>
      <c r="E5" s="101">
        <v>0</v>
      </c>
      <c r="F5" s="101">
        <v>0</v>
      </c>
      <c r="G5" s="101">
        <v>5116364</v>
      </c>
      <c r="H5" s="101">
        <v>513867</v>
      </c>
      <c r="I5" s="101">
        <v>10762000</v>
      </c>
      <c r="K5" s="101">
        <v>824000</v>
      </c>
      <c r="L5" s="101">
        <f t="shared" si="1"/>
        <v>1682000</v>
      </c>
      <c r="M5" s="101">
        <v>82487000</v>
      </c>
      <c r="N5" s="101">
        <v>116</v>
      </c>
      <c r="O5" s="101">
        <v>711</v>
      </c>
      <c r="P5" s="101">
        <v>220</v>
      </c>
      <c r="Q5" s="101">
        <v>274</v>
      </c>
      <c r="R5" s="101">
        <v>102094</v>
      </c>
      <c r="S5" s="101">
        <v>103467</v>
      </c>
      <c r="T5" s="101">
        <v>87399</v>
      </c>
      <c r="U5" s="101">
        <v>89035</v>
      </c>
      <c r="V5" s="101">
        <v>90681</v>
      </c>
      <c r="W5" s="101">
        <v>92416</v>
      </c>
      <c r="X5" s="149">
        <f t="shared" si="2"/>
        <v>0.80795149568045133</v>
      </c>
      <c r="Y5" s="184">
        <v>5.8900000000000001E-2</v>
      </c>
      <c r="Z5" s="253">
        <v>7.5</v>
      </c>
      <c r="AA5" s="149">
        <f t="shared" si="3"/>
        <v>-1.3448390698767802E-2</v>
      </c>
      <c r="AB5" s="149"/>
      <c r="AD5" s="101">
        <v>95336</v>
      </c>
      <c r="AE5" s="101">
        <v>97358</v>
      </c>
      <c r="AF5" s="101">
        <f t="shared" si="4"/>
        <v>-2022</v>
      </c>
      <c r="AG5" s="101">
        <v>102094</v>
      </c>
      <c r="AH5" s="101">
        <v>103467</v>
      </c>
      <c r="AI5" s="101">
        <f t="shared" si="5"/>
        <v>-1373</v>
      </c>
    </row>
    <row r="6" spans="1:47" x14ac:dyDescent="0.25">
      <c r="B6" t="s">
        <v>281</v>
      </c>
      <c r="C6" s="101">
        <v>42726000</v>
      </c>
      <c r="D6" s="101">
        <f t="shared" si="0"/>
        <v>40847475</v>
      </c>
      <c r="E6" s="101">
        <v>0</v>
      </c>
      <c r="F6" s="101">
        <v>0</v>
      </c>
      <c r="G6" s="101">
        <v>1500002</v>
      </c>
      <c r="H6" s="101">
        <v>378523</v>
      </c>
      <c r="I6" s="101">
        <v>6456000</v>
      </c>
      <c r="K6" s="101">
        <v>0</v>
      </c>
      <c r="L6" s="101">
        <f t="shared" si="1"/>
        <v>757000</v>
      </c>
      <c r="M6" s="101">
        <v>49939000</v>
      </c>
      <c r="N6" s="101">
        <v>4</v>
      </c>
      <c r="O6" s="101">
        <v>1100</v>
      </c>
      <c r="P6" s="101">
        <v>137</v>
      </c>
      <c r="Q6" s="101">
        <v>486</v>
      </c>
      <c r="R6" s="101">
        <v>68829</v>
      </c>
      <c r="S6" s="101">
        <v>68853</v>
      </c>
      <c r="T6" s="101">
        <v>55491</v>
      </c>
      <c r="U6" s="101">
        <v>55766</v>
      </c>
      <c r="V6" s="101">
        <v>60829</v>
      </c>
      <c r="W6" s="101">
        <v>60954</v>
      </c>
      <c r="X6" s="149">
        <f t="shared" si="2"/>
        <v>0.72555172964883985</v>
      </c>
      <c r="Y6" s="184">
        <v>0.05</v>
      </c>
      <c r="Z6" s="253">
        <v>7</v>
      </c>
      <c r="AA6" s="149">
        <f t="shared" si="3"/>
        <v>-3.4869023231486729E-4</v>
      </c>
      <c r="AB6" s="149"/>
      <c r="AD6" s="101">
        <v>65092</v>
      </c>
      <c r="AE6" s="101">
        <v>65510</v>
      </c>
      <c r="AF6" s="101">
        <f t="shared" si="4"/>
        <v>-418</v>
      </c>
      <c r="AG6" s="101">
        <v>68829</v>
      </c>
      <c r="AH6" s="101">
        <v>68853</v>
      </c>
      <c r="AI6" s="101">
        <f t="shared" si="5"/>
        <v>-24</v>
      </c>
    </row>
    <row r="7" spans="1:47" x14ac:dyDescent="0.25">
      <c r="B7" t="s">
        <v>282</v>
      </c>
      <c r="C7" s="101">
        <v>42335000</v>
      </c>
      <c r="D7" s="101">
        <f t="shared" si="0"/>
        <v>41760520</v>
      </c>
      <c r="E7" s="101">
        <v>0</v>
      </c>
      <c r="F7" s="101">
        <v>0</v>
      </c>
      <c r="G7" s="101">
        <v>236824</v>
      </c>
      <c r="H7" s="101">
        <v>337656</v>
      </c>
      <c r="I7" s="101">
        <v>5617000</v>
      </c>
      <c r="K7" s="101">
        <v>309000</v>
      </c>
      <c r="L7" s="101">
        <f t="shared" si="1"/>
        <v>1080000</v>
      </c>
      <c r="M7" s="101">
        <v>49341000</v>
      </c>
      <c r="N7" s="101">
        <v>155</v>
      </c>
      <c r="O7" s="101">
        <v>1325</v>
      </c>
      <c r="P7" s="101">
        <v>212</v>
      </c>
      <c r="Q7" s="101">
        <v>3476</v>
      </c>
      <c r="R7" s="101">
        <v>75171</v>
      </c>
      <c r="S7" s="101">
        <v>76235</v>
      </c>
      <c r="T7" s="101">
        <v>57589</v>
      </c>
      <c r="U7" s="101">
        <v>58404</v>
      </c>
      <c r="V7" s="101">
        <v>67155</v>
      </c>
      <c r="W7" s="101">
        <v>66533</v>
      </c>
      <c r="X7" s="149">
        <f t="shared" si="2"/>
        <v>0.65638344574370433</v>
      </c>
      <c r="Y7" s="184">
        <v>3.8199999999999998E-2</v>
      </c>
      <c r="Z7" s="253">
        <v>6.5</v>
      </c>
      <c r="AA7" s="149">
        <f t="shared" si="3"/>
        <v>-1.4154394646871798E-2</v>
      </c>
      <c r="AB7" s="149"/>
      <c r="AD7" s="101">
        <v>71919</v>
      </c>
      <c r="AE7" s="101">
        <v>72608</v>
      </c>
      <c r="AF7" s="101">
        <f t="shared" si="4"/>
        <v>-689</v>
      </c>
      <c r="AG7" s="101">
        <v>75171</v>
      </c>
      <c r="AH7" s="101">
        <v>76235</v>
      </c>
      <c r="AI7" s="101">
        <f t="shared" si="5"/>
        <v>-1064</v>
      </c>
    </row>
    <row r="8" spans="1:47" x14ac:dyDescent="0.25">
      <c r="B8" t="s">
        <v>237</v>
      </c>
      <c r="C8" s="101">
        <v>302468000</v>
      </c>
      <c r="D8" s="101">
        <f t="shared" si="0"/>
        <v>255438868</v>
      </c>
      <c r="E8" s="101">
        <v>0</v>
      </c>
      <c r="F8" s="101">
        <v>21529914</v>
      </c>
      <c r="G8" s="101">
        <v>12357520</v>
      </c>
      <c r="H8" s="101">
        <v>13141698</v>
      </c>
      <c r="I8" s="101">
        <v>38680000</v>
      </c>
      <c r="K8" s="101">
        <v>6500000</v>
      </c>
      <c r="L8" s="101">
        <f t="shared" si="1"/>
        <v>6980000</v>
      </c>
      <c r="M8" s="101">
        <v>354628000</v>
      </c>
      <c r="N8" s="101">
        <v>1600</v>
      </c>
      <c r="O8" s="101">
        <v>15564</v>
      </c>
      <c r="P8" s="101">
        <v>1067</v>
      </c>
      <c r="Q8" s="101">
        <v>3468</v>
      </c>
      <c r="R8" s="101">
        <v>481697</v>
      </c>
      <c r="S8" s="101">
        <v>495798</v>
      </c>
      <c r="T8" s="101">
        <v>393919</v>
      </c>
      <c r="U8" s="101">
        <v>397074</v>
      </c>
      <c r="V8" s="101">
        <v>439250</v>
      </c>
      <c r="W8" s="101">
        <v>448433</v>
      </c>
      <c r="X8" s="149">
        <f t="shared" si="2"/>
        <v>0.73620553999713512</v>
      </c>
      <c r="Y8" s="184">
        <v>5.4300000000000001E-2</v>
      </c>
      <c r="Z8" s="253">
        <v>6.5</v>
      </c>
      <c r="AA8" s="149">
        <f t="shared" si="3"/>
        <v>-2.9273588998893495E-2</v>
      </c>
      <c r="AB8" s="149"/>
      <c r="AD8" s="101">
        <v>451418</v>
      </c>
      <c r="AE8" s="101">
        <v>462170</v>
      </c>
      <c r="AF8" s="101">
        <f t="shared" si="4"/>
        <v>-10752</v>
      </c>
      <c r="AG8" s="101">
        <v>481697</v>
      </c>
      <c r="AH8" s="101">
        <v>495798</v>
      </c>
      <c r="AI8" s="101">
        <f t="shared" si="5"/>
        <v>-14101</v>
      </c>
    </row>
    <row r="9" spans="1:47" x14ac:dyDescent="0.25">
      <c r="B9" t="s">
        <v>139</v>
      </c>
      <c r="C9" s="101">
        <v>227425000</v>
      </c>
      <c r="D9" s="101">
        <f t="shared" si="0"/>
        <v>195268940</v>
      </c>
      <c r="E9" s="101">
        <v>0</v>
      </c>
      <c r="F9" s="101">
        <v>15019213</v>
      </c>
      <c r="G9" s="101">
        <v>12034748</v>
      </c>
      <c r="H9" s="101">
        <v>5102099</v>
      </c>
      <c r="I9" s="101">
        <v>43171000</v>
      </c>
      <c r="K9" s="101">
        <v>4941000</v>
      </c>
      <c r="L9" s="101">
        <f t="shared" si="1"/>
        <v>2990000</v>
      </c>
      <c r="M9" s="101">
        <v>278527000</v>
      </c>
      <c r="N9" s="101">
        <v>240</v>
      </c>
      <c r="O9" s="101">
        <v>7394</v>
      </c>
      <c r="P9" s="101">
        <v>2682</v>
      </c>
      <c r="Q9" s="101">
        <v>4600</v>
      </c>
      <c r="R9" s="101">
        <v>372942</v>
      </c>
      <c r="S9" s="101">
        <v>379372</v>
      </c>
      <c r="T9" s="101">
        <v>314474</v>
      </c>
      <c r="U9" s="101">
        <v>300696</v>
      </c>
      <c r="V9" s="101">
        <v>335270</v>
      </c>
      <c r="W9" s="101">
        <v>332206</v>
      </c>
      <c r="X9" s="149">
        <f t="shared" si="2"/>
        <v>0.74683730982297514</v>
      </c>
      <c r="Y9" s="184">
        <v>4.7100000000000003E-2</v>
      </c>
      <c r="Z9" s="253">
        <v>8.5</v>
      </c>
      <c r="AA9" s="149">
        <f t="shared" si="3"/>
        <v>-1.7241286848893395E-2</v>
      </c>
      <c r="AB9" s="149"/>
      <c r="AD9" s="101">
        <v>356545</v>
      </c>
      <c r="AE9" s="101">
        <v>352135</v>
      </c>
      <c r="AF9" s="101">
        <f t="shared" si="4"/>
        <v>4410</v>
      </c>
      <c r="AG9" s="101">
        <v>372942</v>
      </c>
      <c r="AH9" s="101">
        <v>379372</v>
      </c>
      <c r="AI9" s="101">
        <f t="shared" si="5"/>
        <v>-6430</v>
      </c>
    </row>
    <row r="10" spans="1:47" x14ac:dyDescent="0.25">
      <c r="B10" t="s">
        <v>427</v>
      </c>
      <c r="C10" s="101">
        <v>576004000</v>
      </c>
      <c r="D10" s="101">
        <f t="shared" si="0"/>
        <v>494929444</v>
      </c>
      <c r="E10" s="101">
        <v>0</v>
      </c>
      <c r="F10" s="101">
        <v>50326673</v>
      </c>
      <c r="G10" s="101">
        <v>10241235</v>
      </c>
      <c r="H10" s="101">
        <v>20506648</v>
      </c>
      <c r="I10" s="101">
        <v>93068000</v>
      </c>
      <c r="K10" s="101">
        <v>15241000</v>
      </c>
      <c r="L10" s="101">
        <f t="shared" si="1"/>
        <v>49852000</v>
      </c>
      <c r="M10" s="101">
        <v>734165000</v>
      </c>
      <c r="N10" s="101">
        <v>2978</v>
      </c>
      <c r="O10" s="101">
        <v>20076</v>
      </c>
      <c r="P10" s="101">
        <v>534</v>
      </c>
      <c r="Q10" s="101">
        <v>122809</v>
      </c>
      <c r="R10" s="101">
        <v>1124610</v>
      </c>
      <c r="S10" s="101">
        <v>1202050</v>
      </c>
      <c r="T10" s="101">
        <v>948569</v>
      </c>
      <c r="U10" s="101">
        <v>971924</v>
      </c>
      <c r="V10" s="101">
        <v>1022084</v>
      </c>
      <c r="W10" s="101">
        <v>1087430</v>
      </c>
      <c r="X10" s="149">
        <f t="shared" si="2"/>
        <v>0.65281742115044328</v>
      </c>
      <c r="Y10" s="184">
        <v>9.1700000000000004E-2</v>
      </c>
      <c r="Z10" s="253">
        <v>7.5</v>
      </c>
      <c r="AA10" s="149">
        <f t="shared" si="3"/>
        <v>-6.8859426823521044E-2</v>
      </c>
      <c r="AB10" s="149"/>
      <c r="AD10" s="101">
        <v>1068560</v>
      </c>
      <c r="AE10" s="101">
        <v>1130933</v>
      </c>
      <c r="AF10" s="101">
        <f t="shared" si="4"/>
        <v>-62373</v>
      </c>
      <c r="AG10" s="101">
        <v>1124610</v>
      </c>
      <c r="AH10" s="101">
        <v>1202050</v>
      </c>
      <c r="AI10" s="101">
        <f t="shared" si="5"/>
        <v>-77440</v>
      </c>
    </row>
    <row r="11" spans="1:47" x14ac:dyDescent="0.25">
      <c r="B11" t="s">
        <v>283</v>
      </c>
      <c r="C11" s="101">
        <v>242658000</v>
      </c>
      <c r="D11" s="101">
        <f t="shared" si="0"/>
        <v>226293401</v>
      </c>
      <c r="E11" s="101">
        <v>0</v>
      </c>
      <c r="F11" s="101">
        <v>0</v>
      </c>
      <c r="G11" s="101">
        <v>14302681</v>
      </c>
      <c r="H11" s="101">
        <v>2061918</v>
      </c>
      <c r="I11" s="101">
        <v>24125000</v>
      </c>
      <c r="K11" s="101">
        <v>3229000</v>
      </c>
      <c r="L11" s="101">
        <f t="shared" si="1"/>
        <v>11523000</v>
      </c>
      <c r="M11" s="101">
        <v>281535000</v>
      </c>
      <c r="N11" s="101">
        <v>912</v>
      </c>
      <c r="O11" s="101">
        <v>6689</v>
      </c>
      <c r="P11" s="101">
        <v>1680</v>
      </c>
      <c r="Q11" s="101">
        <v>18202</v>
      </c>
      <c r="R11" s="101">
        <v>416678</v>
      </c>
      <c r="S11" s="101">
        <v>418222</v>
      </c>
      <c r="T11" s="101">
        <v>335894</v>
      </c>
      <c r="U11" s="101">
        <v>341789</v>
      </c>
      <c r="V11" s="101">
        <v>384805</v>
      </c>
      <c r="W11" s="101">
        <v>378076</v>
      </c>
      <c r="X11" s="149">
        <f t="shared" si="2"/>
        <v>0.6756656218950845</v>
      </c>
      <c r="Y11" s="184">
        <v>5.3999999999999999E-2</v>
      </c>
      <c r="Z11" s="253">
        <v>6.5</v>
      </c>
      <c r="AA11" s="149">
        <f t="shared" si="3"/>
        <v>-3.7054992104214764E-3</v>
      </c>
      <c r="AB11" s="149"/>
      <c r="AD11" s="101">
        <v>391867</v>
      </c>
      <c r="AE11" s="101">
        <v>411434</v>
      </c>
      <c r="AF11" s="101">
        <f t="shared" si="4"/>
        <v>-19567</v>
      </c>
      <c r="AG11" s="101">
        <v>416678</v>
      </c>
      <c r="AH11" s="101">
        <v>418222</v>
      </c>
      <c r="AI11" s="101">
        <f t="shared" si="5"/>
        <v>-1544</v>
      </c>
    </row>
    <row r="12" spans="1:47" x14ac:dyDescent="0.25">
      <c r="B12" t="s">
        <v>341</v>
      </c>
      <c r="C12" s="101">
        <v>18955000</v>
      </c>
      <c r="D12" s="101">
        <f t="shared" si="0"/>
        <v>18249606</v>
      </c>
      <c r="E12" s="101">
        <v>0</v>
      </c>
      <c r="F12" s="101">
        <v>0</v>
      </c>
      <c r="G12" s="101">
        <v>491370</v>
      </c>
      <c r="H12" s="101">
        <v>214024</v>
      </c>
      <c r="I12" s="101">
        <v>1299000</v>
      </c>
      <c r="K12" s="101">
        <v>88000</v>
      </c>
      <c r="L12" s="101">
        <f t="shared" si="1"/>
        <v>630000</v>
      </c>
      <c r="M12" s="101">
        <v>20972000</v>
      </c>
      <c r="N12" s="101">
        <v>25</v>
      </c>
      <c r="O12" s="101">
        <v>374</v>
      </c>
      <c r="P12" s="101">
        <v>0</v>
      </c>
      <c r="Q12" s="101">
        <v>832</v>
      </c>
      <c r="R12" s="101">
        <v>30190</v>
      </c>
      <c r="S12" s="101">
        <v>30487</v>
      </c>
      <c r="T12" s="101">
        <v>25299</v>
      </c>
      <c r="U12" s="101">
        <v>24491</v>
      </c>
      <c r="V12" s="101">
        <v>26044</v>
      </c>
      <c r="W12" s="101">
        <v>26002</v>
      </c>
      <c r="X12" s="149">
        <f t="shared" si="2"/>
        <v>0.69466710831401124</v>
      </c>
      <c r="Y12" s="184">
        <v>5.5500000000000001E-2</v>
      </c>
      <c r="Z12" s="253">
        <v>7.5</v>
      </c>
      <c r="AA12" s="149">
        <f t="shared" si="3"/>
        <v>-9.8376946008612125E-3</v>
      </c>
      <c r="AB12" s="149"/>
      <c r="AD12" s="101">
        <v>27670</v>
      </c>
      <c r="AE12" s="101">
        <v>28050</v>
      </c>
      <c r="AF12" s="101">
        <f t="shared" si="4"/>
        <v>-380</v>
      </c>
      <c r="AG12" s="101">
        <v>30190</v>
      </c>
      <c r="AH12" s="101">
        <v>30487</v>
      </c>
      <c r="AI12" s="101">
        <f t="shared" si="5"/>
        <v>-297</v>
      </c>
    </row>
    <row r="13" spans="1:47" x14ac:dyDescent="0.25">
      <c r="B13" t="s">
        <v>591</v>
      </c>
      <c r="C13" s="101">
        <v>108348000</v>
      </c>
      <c r="D13" s="101">
        <f t="shared" si="0"/>
        <v>103905647</v>
      </c>
      <c r="E13" s="101">
        <v>0</v>
      </c>
      <c r="F13" s="101">
        <v>0</v>
      </c>
      <c r="G13" s="101">
        <v>3472043</v>
      </c>
      <c r="H13" s="101">
        <v>970310</v>
      </c>
      <c r="I13" s="101">
        <v>10831000</v>
      </c>
      <c r="K13" s="101">
        <v>1015000</v>
      </c>
      <c r="L13" s="101">
        <f t="shared" si="1"/>
        <v>6794000</v>
      </c>
      <c r="M13" s="101">
        <v>126988000</v>
      </c>
      <c r="N13" s="101">
        <v>854</v>
      </c>
      <c r="O13" s="101">
        <v>1714</v>
      </c>
      <c r="P13" s="101">
        <v>67</v>
      </c>
      <c r="Q13" s="101">
        <v>15758</v>
      </c>
      <c r="R13" s="101">
        <v>187283</v>
      </c>
      <c r="S13" s="101">
        <v>189493</v>
      </c>
      <c r="T13" s="101">
        <v>135145</v>
      </c>
      <c r="U13" s="101">
        <v>134143</v>
      </c>
      <c r="V13" s="101">
        <v>147308</v>
      </c>
      <c r="W13" s="101">
        <v>149298</v>
      </c>
      <c r="X13" s="149">
        <f t="shared" si="2"/>
        <v>0.67805406790792544</v>
      </c>
      <c r="Y13" s="184">
        <v>5.3600000000000002E-2</v>
      </c>
      <c r="Z13" s="253">
        <v>8.5</v>
      </c>
      <c r="AA13" s="149">
        <f t="shared" si="3"/>
        <v>-1.1800323574483535E-2</v>
      </c>
      <c r="AB13" s="149"/>
      <c r="AD13" s="101">
        <v>163529</v>
      </c>
      <c r="AE13" s="101">
        <v>164339</v>
      </c>
      <c r="AF13" s="101">
        <f t="shared" si="4"/>
        <v>-810</v>
      </c>
      <c r="AG13" s="101">
        <v>187283</v>
      </c>
      <c r="AH13" s="101">
        <v>189493</v>
      </c>
      <c r="AI13" s="101">
        <f t="shared" si="5"/>
        <v>-2210</v>
      </c>
    </row>
    <row r="14" spans="1:47" x14ac:dyDescent="0.25">
      <c r="B14" t="s">
        <v>126</v>
      </c>
      <c r="C14" s="101">
        <v>11644000</v>
      </c>
      <c r="D14" s="101">
        <f t="shared" si="0"/>
        <v>11148791</v>
      </c>
      <c r="E14" s="101">
        <v>0</v>
      </c>
      <c r="F14" s="101">
        <v>0</v>
      </c>
      <c r="G14" s="101">
        <v>293767</v>
      </c>
      <c r="H14" s="101">
        <v>201442</v>
      </c>
      <c r="I14" s="101">
        <v>260000</v>
      </c>
      <c r="K14" s="101">
        <v>2808000</v>
      </c>
      <c r="L14" s="101">
        <f t="shared" si="1"/>
        <v>48000</v>
      </c>
      <c r="M14" s="101">
        <v>14760000</v>
      </c>
      <c r="N14" s="101">
        <v>109</v>
      </c>
      <c r="O14" s="101">
        <v>3057</v>
      </c>
      <c r="P14" s="101">
        <v>13</v>
      </c>
      <c r="Q14" s="101">
        <v>0</v>
      </c>
      <c r="R14" s="101">
        <v>29351</v>
      </c>
      <c r="S14" s="101">
        <v>29250</v>
      </c>
      <c r="T14" s="101">
        <v>23068</v>
      </c>
      <c r="U14" s="101">
        <v>29161</v>
      </c>
      <c r="V14" s="101">
        <v>25025</v>
      </c>
      <c r="W14" s="101">
        <v>27662</v>
      </c>
      <c r="X14" s="149">
        <f t="shared" si="2"/>
        <v>0.50287894790637455</v>
      </c>
      <c r="Y14" s="184">
        <v>4.6600000000000003E-2</v>
      </c>
      <c r="Z14" s="253">
        <v>4</v>
      </c>
      <c r="AA14" s="149">
        <f t="shared" si="3"/>
        <v>3.4411093318796634E-3</v>
      </c>
      <c r="AB14" s="149"/>
      <c r="AD14" s="101">
        <v>29598</v>
      </c>
      <c r="AE14" s="101">
        <v>38550</v>
      </c>
      <c r="AF14" s="101">
        <f t="shared" si="4"/>
        <v>-8952</v>
      </c>
      <c r="AG14" s="101">
        <v>29351</v>
      </c>
      <c r="AH14" s="101">
        <v>29250</v>
      </c>
      <c r="AI14" s="101">
        <f t="shared" si="5"/>
        <v>101</v>
      </c>
    </row>
    <row r="15" spans="1:47" x14ac:dyDescent="0.25">
      <c r="B15" t="s">
        <v>212</v>
      </c>
      <c r="C15" s="101">
        <v>414617000</v>
      </c>
      <c r="D15" s="101">
        <f t="shared" si="0"/>
        <v>356380371</v>
      </c>
      <c r="E15" s="101">
        <v>0</v>
      </c>
      <c r="F15" s="101">
        <v>27519648</v>
      </c>
      <c r="G15" s="101">
        <v>17631458</v>
      </c>
      <c r="H15" s="101">
        <v>13085523</v>
      </c>
      <c r="I15" s="101">
        <v>54001000</v>
      </c>
      <c r="K15" s="101">
        <v>8236000</v>
      </c>
      <c r="L15" s="101">
        <f t="shared" si="1"/>
        <v>16976000</v>
      </c>
      <c r="M15" s="101">
        <v>493830000</v>
      </c>
      <c r="N15" s="101">
        <v>2287</v>
      </c>
      <c r="O15" s="101">
        <v>13636</v>
      </c>
      <c r="P15" s="101">
        <v>1806</v>
      </c>
      <c r="Q15" s="101">
        <v>20936</v>
      </c>
      <c r="R15" s="101">
        <v>712096</v>
      </c>
      <c r="S15" s="101">
        <v>732258</v>
      </c>
      <c r="T15" s="101">
        <v>576833</v>
      </c>
      <c r="U15" s="101">
        <v>582286</v>
      </c>
      <c r="V15" s="101">
        <v>593030</v>
      </c>
      <c r="W15" s="101">
        <v>612405</v>
      </c>
      <c r="X15" s="149">
        <f t="shared" si="2"/>
        <v>0.69348795667999819</v>
      </c>
      <c r="Y15" s="184">
        <v>6.0900000000000003E-2</v>
      </c>
      <c r="Z15" s="253">
        <v>7</v>
      </c>
      <c r="AA15" s="149">
        <f t="shared" si="3"/>
        <v>-2.8313598166539344E-2</v>
      </c>
      <c r="AB15" s="149"/>
      <c r="AD15" s="101">
        <v>667159</v>
      </c>
      <c r="AE15" s="101">
        <v>683259</v>
      </c>
      <c r="AF15" s="101">
        <f t="shared" si="4"/>
        <v>-16100</v>
      </c>
      <c r="AG15" s="101">
        <v>712096</v>
      </c>
      <c r="AH15" s="101">
        <v>732258</v>
      </c>
      <c r="AI15" s="101">
        <f t="shared" si="5"/>
        <v>-20162</v>
      </c>
    </row>
    <row r="16" spans="1:47" x14ac:dyDescent="0.25">
      <c r="B16" t="s">
        <v>238</v>
      </c>
      <c r="C16" s="101">
        <v>172388000</v>
      </c>
      <c r="D16" s="101">
        <f t="shared" si="0"/>
        <v>168731020</v>
      </c>
      <c r="E16" s="101">
        <v>0</v>
      </c>
      <c r="F16" s="101">
        <v>0</v>
      </c>
      <c r="G16" s="101">
        <v>2519235</v>
      </c>
      <c r="H16" s="101">
        <v>1137745</v>
      </c>
      <c r="I16" s="101">
        <v>24526000</v>
      </c>
      <c r="K16" s="101">
        <v>983000</v>
      </c>
      <c r="L16" s="101">
        <f t="shared" si="1"/>
        <v>7258000</v>
      </c>
      <c r="M16" s="101">
        <v>205155000</v>
      </c>
      <c r="N16" s="101">
        <v>1453</v>
      </c>
      <c r="O16" s="101">
        <v>7955</v>
      </c>
      <c r="P16" s="101">
        <v>651</v>
      </c>
      <c r="Q16" s="101">
        <v>33071</v>
      </c>
      <c r="R16" s="101">
        <v>379297</v>
      </c>
      <c r="S16" s="101">
        <v>375880</v>
      </c>
      <c r="T16" s="101">
        <v>265156</v>
      </c>
      <c r="U16" s="101">
        <v>276016</v>
      </c>
      <c r="V16" s="101">
        <v>300889</v>
      </c>
      <c r="W16" s="101">
        <v>303910</v>
      </c>
      <c r="X16" s="149">
        <f t="shared" si="2"/>
        <v>0.54088221103778833</v>
      </c>
      <c r="Y16" s="184">
        <v>4.3700000000000003E-2</v>
      </c>
      <c r="Z16" s="253">
        <v>6</v>
      </c>
      <c r="AA16" s="149">
        <f t="shared" si="3"/>
        <v>9.0087714904151621E-3</v>
      </c>
      <c r="AB16" s="149"/>
      <c r="AD16" s="101">
        <v>357853</v>
      </c>
      <c r="AE16" s="101">
        <v>350360</v>
      </c>
      <c r="AF16" s="101">
        <f t="shared" si="4"/>
        <v>7493</v>
      </c>
      <c r="AG16" s="101">
        <v>379297</v>
      </c>
      <c r="AH16" s="101">
        <v>375880</v>
      </c>
      <c r="AI16" s="101">
        <f t="shared" si="5"/>
        <v>3417</v>
      </c>
    </row>
    <row r="17" spans="2:35" x14ac:dyDescent="0.25">
      <c r="B17" t="s">
        <v>239</v>
      </c>
      <c r="C17" s="101">
        <v>3080923000</v>
      </c>
      <c r="D17" s="101">
        <f t="shared" si="0"/>
        <v>2764100917</v>
      </c>
      <c r="E17" s="101">
        <v>0</v>
      </c>
      <c r="F17" s="101">
        <v>123837033</v>
      </c>
      <c r="G17" s="101">
        <v>75419289</v>
      </c>
      <c r="H17" s="101">
        <v>117565761</v>
      </c>
      <c r="I17" s="101">
        <v>696794000</v>
      </c>
      <c r="K17" s="101">
        <v>63950000</v>
      </c>
      <c r="L17" s="101">
        <f t="shared" si="1"/>
        <v>99368000</v>
      </c>
      <c r="M17" s="101">
        <v>3941035000</v>
      </c>
      <c r="N17" s="101">
        <v>19677</v>
      </c>
      <c r="O17" s="101">
        <v>110895</v>
      </c>
      <c r="P17" s="101">
        <v>68267</v>
      </c>
      <c r="Q17" s="101">
        <v>567484</v>
      </c>
      <c r="R17" s="101">
        <v>6818481</v>
      </c>
      <c r="S17" s="101">
        <v>6836006</v>
      </c>
      <c r="T17" s="101">
        <v>5401107</v>
      </c>
      <c r="U17" s="101">
        <v>5646796</v>
      </c>
      <c r="V17" s="101">
        <v>5950745</v>
      </c>
      <c r="W17" s="101">
        <v>6007175</v>
      </c>
      <c r="X17" s="149">
        <f t="shared" si="2"/>
        <v>0.57799310432924866</v>
      </c>
      <c r="Y17" s="184">
        <v>3.8399999999999997E-2</v>
      </c>
      <c r="Z17" s="253">
        <v>5.5</v>
      </c>
      <c r="AA17" s="149">
        <f t="shared" si="3"/>
        <v>-2.5702205520555092E-3</v>
      </c>
      <c r="AB17" s="149"/>
      <c r="AD17" s="101">
        <v>6474848</v>
      </c>
      <c r="AE17" s="101">
        <v>6484064</v>
      </c>
      <c r="AF17" s="101">
        <f t="shared" si="4"/>
        <v>-9216</v>
      </c>
      <c r="AG17" s="101">
        <v>6818481</v>
      </c>
      <c r="AH17" s="101">
        <v>6836006</v>
      </c>
      <c r="AI17" s="101">
        <f t="shared" si="5"/>
        <v>-17525</v>
      </c>
    </row>
    <row r="18" spans="2:35" x14ac:dyDescent="0.25">
      <c r="B18" t="s">
        <v>164</v>
      </c>
      <c r="C18" s="101">
        <v>469629000</v>
      </c>
      <c r="D18" s="101">
        <f t="shared" si="0"/>
        <v>386953086</v>
      </c>
      <c r="E18" s="101">
        <v>0</v>
      </c>
      <c r="F18" s="101">
        <v>47086427</v>
      </c>
      <c r="G18" s="101">
        <v>21429441</v>
      </c>
      <c r="H18" s="101">
        <v>14160046</v>
      </c>
      <c r="I18" s="101">
        <v>56244000</v>
      </c>
      <c r="K18" s="101">
        <v>8813000</v>
      </c>
      <c r="L18" s="101">
        <f t="shared" si="1"/>
        <v>4652000</v>
      </c>
      <c r="M18" s="101">
        <v>539338000</v>
      </c>
      <c r="N18" s="101">
        <v>1078</v>
      </c>
      <c r="O18" s="101">
        <v>16058</v>
      </c>
      <c r="P18" s="101">
        <v>630</v>
      </c>
      <c r="Q18" s="101">
        <v>10682</v>
      </c>
      <c r="R18" s="101">
        <v>724161</v>
      </c>
      <c r="S18" s="101">
        <v>747480</v>
      </c>
      <c r="T18" s="101">
        <v>593885</v>
      </c>
      <c r="U18" s="101">
        <v>593678</v>
      </c>
      <c r="V18" s="101">
        <v>634562</v>
      </c>
      <c r="W18" s="101">
        <v>670286</v>
      </c>
      <c r="X18" s="149">
        <f t="shared" si="2"/>
        <v>0.74477636879091802</v>
      </c>
      <c r="Y18" s="184">
        <v>6.7699999999999996E-2</v>
      </c>
      <c r="Z18" s="253">
        <v>8.5</v>
      </c>
      <c r="AA18" s="149">
        <f t="shared" si="3"/>
        <v>-3.2201402726741706E-2</v>
      </c>
      <c r="AB18" s="149"/>
      <c r="AD18" s="101">
        <v>681463</v>
      </c>
      <c r="AE18" s="101">
        <v>696171</v>
      </c>
      <c r="AF18" s="101">
        <f t="shared" si="4"/>
        <v>-14708</v>
      </c>
      <c r="AG18" s="101">
        <v>724161</v>
      </c>
      <c r="AH18" s="101">
        <v>747480</v>
      </c>
      <c r="AI18" s="101">
        <f t="shared" si="5"/>
        <v>-23319</v>
      </c>
    </row>
    <row r="19" spans="2:35" x14ac:dyDescent="0.25">
      <c r="B19" t="s">
        <v>165</v>
      </c>
      <c r="C19" s="101">
        <v>574572000</v>
      </c>
      <c r="D19" s="101">
        <f t="shared" si="0"/>
        <v>448518262</v>
      </c>
      <c r="E19" s="101">
        <v>0</v>
      </c>
      <c r="F19" s="101">
        <v>73032553</v>
      </c>
      <c r="G19" s="101">
        <v>29991535</v>
      </c>
      <c r="H19" s="101">
        <v>23029650</v>
      </c>
      <c r="I19" s="101">
        <v>119536000</v>
      </c>
      <c r="K19" s="101">
        <v>11202000</v>
      </c>
      <c r="L19" s="101">
        <f t="shared" si="1"/>
        <v>22220000</v>
      </c>
      <c r="M19" s="101">
        <v>727530000</v>
      </c>
      <c r="N19" s="101">
        <v>11</v>
      </c>
      <c r="O19" s="101">
        <v>20974</v>
      </c>
      <c r="P19" s="101">
        <v>1300</v>
      </c>
      <c r="Q19" s="101">
        <v>94591</v>
      </c>
      <c r="R19" s="101">
        <v>1016174</v>
      </c>
      <c r="S19" s="101">
        <v>1028921</v>
      </c>
      <c r="T19" s="101">
        <v>763281</v>
      </c>
      <c r="U19" s="101">
        <v>760697</v>
      </c>
      <c r="V19" s="101">
        <v>819627</v>
      </c>
      <c r="W19" s="101">
        <v>836011</v>
      </c>
      <c r="X19" s="149">
        <f t="shared" si="2"/>
        <v>0.71595022112354778</v>
      </c>
      <c r="Y19" s="184">
        <v>6.13E-2</v>
      </c>
      <c r="Z19" s="253">
        <v>8</v>
      </c>
      <c r="AA19" s="149">
        <f t="shared" si="3"/>
        <v>-1.2544111539952803E-2</v>
      </c>
      <c r="AB19" s="149"/>
      <c r="AD19" s="101">
        <v>891296</v>
      </c>
      <c r="AE19" s="101">
        <v>900297</v>
      </c>
      <c r="AF19" s="101">
        <f t="shared" si="4"/>
        <v>-9001</v>
      </c>
      <c r="AG19" s="101">
        <v>1016174</v>
      </c>
      <c r="AH19" s="101">
        <v>1028921</v>
      </c>
      <c r="AI19" s="101">
        <f t="shared" si="5"/>
        <v>-12747</v>
      </c>
    </row>
    <row r="20" spans="2:35" x14ac:dyDescent="0.25">
      <c r="B20" t="s">
        <v>105</v>
      </c>
      <c r="C20" s="101">
        <v>240108000</v>
      </c>
      <c r="D20" s="101">
        <f t="shared" si="0"/>
        <v>173459807</v>
      </c>
      <c r="E20" s="101">
        <v>0</v>
      </c>
      <c r="F20" s="101">
        <v>40526870</v>
      </c>
      <c r="G20" s="101">
        <v>18889465</v>
      </c>
      <c r="H20" s="101">
        <v>7231858</v>
      </c>
      <c r="I20" s="101">
        <v>36432000</v>
      </c>
      <c r="K20" s="101">
        <v>5537000</v>
      </c>
      <c r="L20" s="101">
        <f t="shared" si="1"/>
        <v>25721000</v>
      </c>
      <c r="M20" s="101">
        <v>307798000</v>
      </c>
      <c r="N20" s="101">
        <v>241</v>
      </c>
      <c r="O20" s="101">
        <v>11376</v>
      </c>
      <c r="P20" s="101">
        <v>-55</v>
      </c>
      <c r="Q20" s="101">
        <v>6669</v>
      </c>
      <c r="R20" s="101">
        <v>381097</v>
      </c>
      <c r="S20" s="101">
        <v>386693</v>
      </c>
      <c r="T20" s="101">
        <v>312718</v>
      </c>
      <c r="U20" s="101">
        <v>311466</v>
      </c>
      <c r="V20" s="101">
        <v>344920</v>
      </c>
      <c r="W20" s="101">
        <v>348052</v>
      </c>
      <c r="X20" s="149">
        <f t="shared" si="2"/>
        <v>0.80766314088014335</v>
      </c>
      <c r="Y20" s="184">
        <v>6.4799999999999996E-2</v>
      </c>
      <c r="Z20" s="253">
        <v>7.5</v>
      </c>
      <c r="AA20" s="149">
        <f t="shared" si="3"/>
        <v>-1.4683925614738505E-2</v>
      </c>
      <c r="AB20" s="149"/>
      <c r="AD20" s="101">
        <v>341482</v>
      </c>
      <c r="AE20" s="101">
        <v>347278</v>
      </c>
      <c r="AF20" s="101">
        <f t="shared" si="4"/>
        <v>-5796</v>
      </c>
      <c r="AG20" s="101">
        <v>381097</v>
      </c>
      <c r="AH20" s="101">
        <v>386693</v>
      </c>
      <c r="AI20" s="101">
        <f t="shared" si="5"/>
        <v>-5596</v>
      </c>
    </row>
    <row r="21" spans="2:35" x14ac:dyDescent="0.25">
      <c r="B21" t="s">
        <v>342</v>
      </c>
      <c r="C21" s="101">
        <v>33154000</v>
      </c>
      <c r="D21" s="101">
        <f t="shared" si="0"/>
        <v>31263565</v>
      </c>
      <c r="E21" s="101">
        <v>0</v>
      </c>
      <c r="F21" s="101">
        <v>0</v>
      </c>
      <c r="G21" s="101">
        <v>1619542</v>
      </c>
      <c r="H21" s="101">
        <v>270893</v>
      </c>
      <c r="I21" s="101">
        <v>3280000</v>
      </c>
      <c r="K21" s="101">
        <v>219000</v>
      </c>
      <c r="L21" s="101">
        <f t="shared" si="1"/>
        <v>1853000</v>
      </c>
      <c r="M21" s="101">
        <v>38506000</v>
      </c>
      <c r="N21" s="101">
        <v>118</v>
      </c>
      <c r="O21" s="101">
        <v>879</v>
      </c>
      <c r="P21" s="101">
        <v>30</v>
      </c>
      <c r="Q21" s="101">
        <v>549</v>
      </c>
      <c r="R21" s="101">
        <v>55114</v>
      </c>
      <c r="S21" s="101">
        <v>56385</v>
      </c>
      <c r="T21" s="101">
        <v>43424</v>
      </c>
      <c r="U21" s="101">
        <v>43670</v>
      </c>
      <c r="V21" s="101">
        <v>47139</v>
      </c>
      <c r="W21" s="101">
        <v>48968</v>
      </c>
      <c r="X21" s="149">
        <f t="shared" si="2"/>
        <v>0.69866095728852928</v>
      </c>
      <c r="Y21" s="184">
        <v>6.8000000000000005E-2</v>
      </c>
      <c r="Z21" s="253">
        <v>7</v>
      </c>
      <c r="AA21" s="149">
        <f t="shared" si="3"/>
        <v>-2.3061291141996589E-2</v>
      </c>
      <c r="AB21" s="149"/>
      <c r="AD21" s="101">
        <v>51203</v>
      </c>
      <c r="AE21" s="101">
        <v>53574</v>
      </c>
      <c r="AF21" s="101">
        <f t="shared" si="4"/>
        <v>-2371</v>
      </c>
      <c r="AG21" s="101">
        <v>55114</v>
      </c>
      <c r="AH21" s="101">
        <v>56385</v>
      </c>
      <c r="AI21" s="101">
        <f t="shared" si="5"/>
        <v>-1271</v>
      </c>
    </row>
    <row r="22" spans="2:35" x14ac:dyDescent="0.25">
      <c r="B22" t="s">
        <v>343</v>
      </c>
      <c r="C22" s="101">
        <v>15899000</v>
      </c>
      <c r="D22" s="101">
        <f t="shared" si="0"/>
        <v>15640286</v>
      </c>
      <c r="E22" s="101">
        <v>0</v>
      </c>
      <c r="F22" s="101">
        <v>0</v>
      </c>
      <c r="G22" s="101">
        <v>26912</v>
      </c>
      <c r="H22" s="101">
        <v>231802</v>
      </c>
      <c r="I22" s="101">
        <v>1152000</v>
      </c>
      <c r="K22" s="101">
        <v>80000</v>
      </c>
      <c r="L22" s="101">
        <f t="shared" si="1"/>
        <v>425000</v>
      </c>
      <c r="M22" s="101">
        <v>17556000</v>
      </c>
      <c r="N22" s="101">
        <v>11</v>
      </c>
      <c r="O22" s="101">
        <v>534</v>
      </c>
      <c r="P22" s="101">
        <v>30</v>
      </c>
      <c r="Q22" s="101">
        <v>398</v>
      </c>
      <c r="R22" s="101">
        <v>24472</v>
      </c>
      <c r="S22" s="101">
        <v>25091</v>
      </c>
      <c r="T22" s="101">
        <v>18968</v>
      </c>
      <c r="U22" s="101">
        <v>19091</v>
      </c>
      <c r="V22" s="101">
        <v>20321</v>
      </c>
      <c r="W22" s="101">
        <v>20620</v>
      </c>
      <c r="X22" s="149">
        <f t="shared" si="2"/>
        <v>0.71739130434782605</v>
      </c>
      <c r="Y22" s="184">
        <v>5.4399999999999997E-2</v>
      </c>
      <c r="Z22" s="253">
        <v>6.5</v>
      </c>
      <c r="AA22" s="149">
        <f t="shared" si="3"/>
        <v>-2.5294213795357959E-2</v>
      </c>
      <c r="AB22" s="149"/>
      <c r="AD22" s="101">
        <v>22600</v>
      </c>
      <c r="AE22" s="101">
        <v>22784</v>
      </c>
      <c r="AF22" s="101">
        <f t="shared" si="4"/>
        <v>-184</v>
      </c>
      <c r="AG22" s="101">
        <v>24472</v>
      </c>
      <c r="AH22" s="101">
        <v>25091</v>
      </c>
      <c r="AI22" s="101">
        <f t="shared" si="5"/>
        <v>-619</v>
      </c>
    </row>
    <row r="23" spans="2:35" x14ac:dyDescent="0.25">
      <c r="B23" t="s">
        <v>213</v>
      </c>
      <c r="C23" s="101">
        <v>48158000</v>
      </c>
      <c r="D23" s="101">
        <f t="shared" si="0"/>
        <v>46941991</v>
      </c>
      <c r="E23" s="101">
        <v>0</v>
      </c>
      <c r="F23" s="101">
        <v>0</v>
      </c>
      <c r="G23" s="101">
        <v>829440</v>
      </c>
      <c r="H23" s="101">
        <v>386569</v>
      </c>
      <c r="I23" s="101">
        <v>5534000</v>
      </c>
      <c r="K23" s="101">
        <v>357000</v>
      </c>
      <c r="L23" s="101">
        <f t="shared" si="1"/>
        <v>297000</v>
      </c>
      <c r="M23" s="101">
        <v>54346000</v>
      </c>
      <c r="N23" s="101">
        <v>62</v>
      </c>
      <c r="O23" s="101">
        <v>800</v>
      </c>
      <c r="P23" s="101">
        <v>132</v>
      </c>
      <c r="Q23" s="101">
        <v>0</v>
      </c>
      <c r="R23" s="101">
        <v>75445</v>
      </c>
      <c r="S23" s="101">
        <v>78446</v>
      </c>
      <c r="T23" s="101">
        <v>61091</v>
      </c>
      <c r="U23" s="101">
        <v>61530</v>
      </c>
      <c r="V23" s="101">
        <v>66895</v>
      </c>
      <c r="W23" s="101">
        <v>66553</v>
      </c>
      <c r="X23" s="149">
        <f t="shared" si="2"/>
        <v>0.72033932003446222</v>
      </c>
      <c r="Y23" s="184">
        <v>4.5199999999999997E-2</v>
      </c>
      <c r="Z23" s="253">
        <v>6</v>
      </c>
      <c r="AA23" s="149">
        <f t="shared" si="3"/>
        <v>-3.9777321227384185E-2</v>
      </c>
      <c r="AB23" s="149"/>
      <c r="AD23" s="101">
        <v>72332</v>
      </c>
      <c r="AE23" s="101">
        <v>74335</v>
      </c>
      <c r="AF23" s="101">
        <f t="shared" si="4"/>
        <v>-2003</v>
      </c>
      <c r="AG23" s="101">
        <v>75445</v>
      </c>
      <c r="AH23" s="101">
        <v>78446</v>
      </c>
      <c r="AI23" s="101">
        <f t="shared" si="5"/>
        <v>-3001</v>
      </c>
    </row>
    <row r="24" spans="2:35" x14ac:dyDescent="0.25">
      <c r="B24" t="s">
        <v>284</v>
      </c>
      <c r="C24" s="101">
        <v>88184000</v>
      </c>
      <c r="D24" s="101">
        <f t="shared" si="0"/>
        <v>86546464</v>
      </c>
      <c r="E24" s="101">
        <v>0</v>
      </c>
      <c r="F24" s="101">
        <v>0</v>
      </c>
      <c r="G24" s="101">
        <v>161471</v>
      </c>
      <c r="H24" s="101">
        <v>1476065</v>
      </c>
      <c r="I24" s="101">
        <v>7600000</v>
      </c>
      <c r="K24" s="101">
        <v>0</v>
      </c>
      <c r="L24" s="101">
        <f t="shared" si="1"/>
        <v>1012000</v>
      </c>
      <c r="M24" s="101">
        <v>96796000</v>
      </c>
      <c r="N24" s="101">
        <v>1275</v>
      </c>
      <c r="O24" s="101">
        <v>4299</v>
      </c>
      <c r="P24" s="101">
        <v>542</v>
      </c>
      <c r="Q24" s="101">
        <v>5416</v>
      </c>
      <c r="R24" s="101">
        <v>146896</v>
      </c>
      <c r="S24" s="101">
        <v>147709</v>
      </c>
      <c r="T24" s="101">
        <v>117439</v>
      </c>
      <c r="U24" s="101">
        <v>117176</v>
      </c>
      <c r="V24" s="101">
        <v>130259</v>
      </c>
      <c r="W24" s="101">
        <v>133827</v>
      </c>
      <c r="X24" s="149">
        <f t="shared" si="2"/>
        <v>0.65894238100424796</v>
      </c>
      <c r="Y24" s="184">
        <v>3.6700000000000003E-2</v>
      </c>
      <c r="Z24" s="253">
        <v>9</v>
      </c>
      <c r="AA24" s="149">
        <f t="shared" si="3"/>
        <v>-5.5345278292125042E-3</v>
      </c>
      <c r="AB24" s="149"/>
      <c r="AD24" s="101">
        <v>138751</v>
      </c>
      <c r="AE24" s="101">
        <v>141857</v>
      </c>
      <c r="AF24" s="101">
        <f t="shared" si="4"/>
        <v>-3106</v>
      </c>
      <c r="AG24" s="101">
        <v>146896</v>
      </c>
      <c r="AH24" s="101">
        <v>147709</v>
      </c>
      <c r="AI24" s="101">
        <f t="shared" si="5"/>
        <v>-813</v>
      </c>
    </row>
    <row r="25" spans="2:35" x14ac:dyDescent="0.25">
      <c r="B25" t="s">
        <v>166</v>
      </c>
      <c r="C25" s="101">
        <v>113455000</v>
      </c>
      <c r="D25" s="101">
        <f t="shared" si="0"/>
        <v>109964549</v>
      </c>
      <c r="E25" s="101">
        <v>0</v>
      </c>
      <c r="F25" s="101">
        <v>0</v>
      </c>
      <c r="G25" s="101">
        <v>2784546</v>
      </c>
      <c r="H25" s="101">
        <v>705905</v>
      </c>
      <c r="I25" s="101">
        <v>10930000</v>
      </c>
      <c r="K25" s="101">
        <v>2559000</v>
      </c>
      <c r="L25" s="101">
        <f t="shared" si="1"/>
        <v>9744000</v>
      </c>
      <c r="M25" s="101">
        <v>136688000</v>
      </c>
      <c r="N25" s="101">
        <v>376</v>
      </c>
      <c r="O25" s="101">
        <v>5011</v>
      </c>
      <c r="P25" s="101">
        <v>500</v>
      </c>
      <c r="Q25" s="101">
        <v>0</v>
      </c>
      <c r="R25" s="101">
        <v>188912</v>
      </c>
      <c r="S25" s="101">
        <v>190872</v>
      </c>
      <c r="T25" s="101">
        <v>141706</v>
      </c>
      <c r="U25" s="101">
        <v>146842</v>
      </c>
      <c r="V25" s="101">
        <v>152886</v>
      </c>
      <c r="W25" s="101">
        <v>159094</v>
      </c>
      <c r="X25" s="149">
        <f t="shared" si="2"/>
        <v>0.72355382400271029</v>
      </c>
      <c r="Y25" s="184">
        <v>4.0599999999999997E-2</v>
      </c>
      <c r="Z25" s="253">
        <v>4.5</v>
      </c>
      <c r="AA25" s="149">
        <f t="shared" si="3"/>
        <v>-1.0375201151859066E-2</v>
      </c>
      <c r="AB25" s="149"/>
      <c r="AD25" s="101">
        <v>167886</v>
      </c>
      <c r="AE25" s="101">
        <v>175679</v>
      </c>
      <c r="AF25" s="101">
        <f t="shared" si="4"/>
        <v>-7793</v>
      </c>
      <c r="AG25" s="101">
        <v>188912</v>
      </c>
      <c r="AH25" s="101">
        <v>190872</v>
      </c>
      <c r="AI25" s="101">
        <f t="shared" si="5"/>
        <v>-1960</v>
      </c>
    </row>
    <row r="26" spans="2:35" x14ac:dyDescent="0.25">
      <c r="B26" t="s">
        <v>826</v>
      </c>
      <c r="C26" s="101">
        <v>31858000</v>
      </c>
      <c r="D26" s="101">
        <f t="shared" si="0"/>
        <v>30294559</v>
      </c>
      <c r="E26" s="101">
        <v>0</v>
      </c>
      <c r="F26" s="101">
        <v>0</v>
      </c>
      <c r="G26" s="101">
        <v>1253699</v>
      </c>
      <c r="H26" s="101">
        <v>309742</v>
      </c>
      <c r="I26" s="101">
        <v>4370000</v>
      </c>
      <c r="K26" s="101">
        <v>0</v>
      </c>
      <c r="L26" s="101">
        <f t="shared" si="1"/>
        <v>1085000</v>
      </c>
      <c r="M26" s="101">
        <v>37313000</v>
      </c>
      <c r="N26" s="101">
        <v>3</v>
      </c>
      <c r="O26" s="101">
        <v>600</v>
      </c>
      <c r="P26" s="101">
        <v>175</v>
      </c>
      <c r="Q26" s="101">
        <v>1023</v>
      </c>
      <c r="R26" s="101">
        <v>54339</v>
      </c>
      <c r="S26" s="101">
        <v>56134</v>
      </c>
      <c r="T26" s="101">
        <v>42747</v>
      </c>
      <c r="U26" s="101">
        <v>43613</v>
      </c>
      <c r="V26" s="101">
        <v>45195</v>
      </c>
      <c r="W26" s="101">
        <v>47291</v>
      </c>
      <c r="X26" s="149">
        <f t="shared" si="2"/>
        <v>0.68667071532416868</v>
      </c>
      <c r="Y26" s="184">
        <v>5.8400000000000001E-2</v>
      </c>
      <c r="Z26" s="253">
        <v>6</v>
      </c>
      <c r="AA26" s="149">
        <f t="shared" si="3"/>
        <v>-3.3033364618414031E-2</v>
      </c>
      <c r="AB26" s="149"/>
      <c r="AD26" s="101">
        <v>49699</v>
      </c>
      <c r="AE26" s="101">
        <v>51234</v>
      </c>
      <c r="AF26" s="101">
        <f t="shared" si="4"/>
        <v>-1535</v>
      </c>
      <c r="AG26" s="101">
        <v>54339</v>
      </c>
      <c r="AH26" s="101">
        <v>56134</v>
      </c>
      <c r="AI26" s="101">
        <f t="shared" si="5"/>
        <v>-1795</v>
      </c>
    </row>
    <row r="27" spans="2:35" x14ac:dyDescent="0.25">
      <c r="B27" t="s">
        <v>592</v>
      </c>
      <c r="C27" s="101">
        <v>72257000</v>
      </c>
      <c r="D27" s="101">
        <f t="shared" si="0"/>
        <v>66844370</v>
      </c>
      <c r="E27" s="101">
        <v>0</v>
      </c>
      <c r="F27" s="101">
        <v>0</v>
      </c>
      <c r="G27" s="101">
        <v>4964997</v>
      </c>
      <c r="H27" s="101">
        <v>447633</v>
      </c>
      <c r="I27" s="101">
        <v>8161000</v>
      </c>
      <c r="K27" s="101">
        <v>609000</v>
      </c>
      <c r="L27" s="101">
        <f t="shared" si="1"/>
        <v>1436000</v>
      </c>
      <c r="M27" s="101">
        <v>82463000</v>
      </c>
      <c r="N27" s="101">
        <v>46</v>
      </c>
      <c r="O27" s="101">
        <v>822</v>
      </c>
      <c r="P27" s="101">
        <v>778</v>
      </c>
      <c r="Q27" s="101">
        <v>0</v>
      </c>
      <c r="R27" s="101">
        <v>110203</v>
      </c>
      <c r="S27" s="101">
        <v>112645</v>
      </c>
      <c r="T27" s="101">
        <v>90914</v>
      </c>
      <c r="U27" s="101">
        <v>96055</v>
      </c>
      <c r="V27" s="101">
        <v>95074</v>
      </c>
      <c r="W27" s="101">
        <v>98741</v>
      </c>
      <c r="X27" s="149">
        <f t="shared" si="2"/>
        <v>0.74828271462664353</v>
      </c>
      <c r="Y27" s="184">
        <v>5.8700000000000002E-2</v>
      </c>
      <c r="Z27" s="253">
        <v>6.5</v>
      </c>
      <c r="AA27" s="149">
        <f t="shared" si="3"/>
        <v>-2.2159106376414436E-2</v>
      </c>
      <c r="AB27" s="149"/>
      <c r="AD27" s="101">
        <v>104278</v>
      </c>
      <c r="AE27" s="101">
        <v>107304</v>
      </c>
      <c r="AF27" s="101">
        <f t="shared" si="4"/>
        <v>-3026</v>
      </c>
      <c r="AG27" s="101">
        <v>110203</v>
      </c>
      <c r="AH27" s="101">
        <v>112645</v>
      </c>
      <c r="AI27" s="101">
        <f t="shared" si="5"/>
        <v>-2442</v>
      </c>
    </row>
    <row r="28" spans="2:35" x14ac:dyDescent="0.25">
      <c r="B28" t="s">
        <v>399</v>
      </c>
      <c r="C28" s="101">
        <v>31191000</v>
      </c>
      <c r="D28" s="101">
        <f t="shared" si="0"/>
        <v>29284146</v>
      </c>
      <c r="E28" s="101">
        <v>0</v>
      </c>
      <c r="F28" s="101">
        <v>0</v>
      </c>
      <c r="G28" s="101">
        <v>1633759</v>
      </c>
      <c r="H28" s="101">
        <v>273095</v>
      </c>
      <c r="I28" s="101">
        <v>3254000</v>
      </c>
      <c r="K28" s="101">
        <v>262000</v>
      </c>
      <c r="L28" s="101">
        <f t="shared" si="1"/>
        <v>1106000</v>
      </c>
      <c r="M28" s="101">
        <v>35813000</v>
      </c>
      <c r="N28" s="101">
        <v>80</v>
      </c>
      <c r="O28" s="101">
        <v>398</v>
      </c>
      <c r="P28" s="101">
        <v>151</v>
      </c>
      <c r="Q28" s="101">
        <v>0</v>
      </c>
      <c r="R28" s="101">
        <v>47069</v>
      </c>
      <c r="S28" s="101">
        <v>48369</v>
      </c>
      <c r="T28" s="101">
        <v>36257</v>
      </c>
      <c r="U28" s="101">
        <v>37328</v>
      </c>
      <c r="V28" s="101">
        <v>39266</v>
      </c>
      <c r="W28" s="101">
        <v>41171</v>
      </c>
      <c r="X28" s="149">
        <f t="shared" si="2"/>
        <v>0.76086171365442223</v>
      </c>
      <c r="Y28" s="184">
        <v>7.2400000000000006E-2</v>
      </c>
      <c r="Z28" s="253">
        <v>5</v>
      </c>
      <c r="AA28" s="149">
        <f t="shared" si="3"/>
        <v>-2.7619027385327923E-2</v>
      </c>
      <c r="AB28" s="149"/>
      <c r="AD28" s="101">
        <v>42955</v>
      </c>
      <c r="AE28" s="101">
        <v>44250</v>
      </c>
      <c r="AF28" s="101">
        <f t="shared" si="4"/>
        <v>-1295</v>
      </c>
      <c r="AG28" s="101">
        <v>47069</v>
      </c>
      <c r="AH28" s="101">
        <v>48369</v>
      </c>
      <c r="AI28" s="101">
        <f t="shared" si="5"/>
        <v>-1300</v>
      </c>
    </row>
    <row r="29" spans="2:35" x14ac:dyDescent="0.25">
      <c r="B29" t="s">
        <v>523</v>
      </c>
      <c r="C29" s="101">
        <v>75018000</v>
      </c>
      <c r="D29" s="101">
        <f t="shared" si="0"/>
        <v>70707721</v>
      </c>
      <c r="E29" s="101">
        <v>0</v>
      </c>
      <c r="F29" s="101">
        <v>0</v>
      </c>
      <c r="G29" s="101">
        <v>3738903</v>
      </c>
      <c r="H29" s="101">
        <v>571376</v>
      </c>
      <c r="I29" s="101">
        <v>12937000</v>
      </c>
      <c r="K29" s="101">
        <v>560000</v>
      </c>
      <c r="L29" s="101">
        <f t="shared" si="1"/>
        <v>2170000</v>
      </c>
      <c r="M29" s="101">
        <v>90685000</v>
      </c>
      <c r="N29" s="101">
        <v>191</v>
      </c>
      <c r="O29" s="101">
        <v>950</v>
      </c>
      <c r="P29" s="101">
        <v>175</v>
      </c>
      <c r="Q29" s="101">
        <v>0</v>
      </c>
      <c r="R29" s="101">
        <v>117178</v>
      </c>
      <c r="S29" s="101">
        <v>120589</v>
      </c>
      <c r="T29" s="101">
        <v>97653</v>
      </c>
      <c r="U29" s="101">
        <v>99020</v>
      </c>
      <c r="V29" s="101">
        <v>105459</v>
      </c>
      <c r="W29" s="101">
        <v>106119</v>
      </c>
      <c r="X29" s="149">
        <f t="shared" si="2"/>
        <v>0.77390807148099472</v>
      </c>
      <c r="Y29" s="184">
        <v>5.0900000000000001E-2</v>
      </c>
      <c r="Z29" s="253">
        <v>7</v>
      </c>
      <c r="AA29" s="149">
        <f t="shared" si="3"/>
        <v>-2.9109559814982335E-2</v>
      </c>
      <c r="AB29" s="149"/>
      <c r="AD29" s="101">
        <v>144558</v>
      </c>
      <c r="AE29" s="101">
        <v>147007</v>
      </c>
      <c r="AF29" s="101">
        <f t="shared" si="4"/>
        <v>-2449</v>
      </c>
      <c r="AG29" s="101">
        <v>117178</v>
      </c>
      <c r="AH29" s="101">
        <v>120589</v>
      </c>
      <c r="AI29" s="101">
        <f t="shared" si="5"/>
        <v>-3411</v>
      </c>
    </row>
    <row r="30" spans="2:35" x14ac:dyDescent="0.25">
      <c r="B30" t="s">
        <v>344</v>
      </c>
      <c r="C30" s="101">
        <v>36538000</v>
      </c>
      <c r="D30" s="101">
        <f t="shared" si="0"/>
        <v>34076303</v>
      </c>
      <c r="E30" s="101">
        <v>0</v>
      </c>
      <c r="F30" s="101">
        <v>0</v>
      </c>
      <c r="G30" s="101">
        <v>2197610</v>
      </c>
      <c r="H30" s="101">
        <v>264087</v>
      </c>
      <c r="I30" s="101">
        <v>2380000</v>
      </c>
      <c r="K30" s="101">
        <v>145000</v>
      </c>
      <c r="L30" s="101">
        <f t="shared" si="1"/>
        <v>682000</v>
      </c>
      <c r="M30" s="101">
        <v>39745000</v>
      </c>
      <c r="N30" s="101">
        <v>1294</v>
      </c>
      <c r="O30" s="101">
        <v>587</v>
      </c>
      <c r="P30" s="101">
        <v>231</v>
      </c>
      <c r="Q30" s="101">
        <v>3339</v>
      </c>
      <c r="R30" s="101">
        <v>58661</v>
      </c>
      <c r="S30" s="101">
        <v>59523</v>
      </c>
      <c r="T30" s="101">
        <v>50440</v>
      </c>
      <c r="U30" s="101">
        <v>50524</v>
      </c>
      <c r="V30" s="101">
        <v>50555</v>
      </c>
      <c r="W30" s="101">
        <v>51016</v>
      </c>
      <c r="X30" s="149">
        <f t="shared" si="2"/>
        <v>0.6775370348272276</v>
      </c>
      <c r="Y30" s="184">
        <v>4.3299999999999998E-2</v>
      </c>
      <c r="Z30" s="253">
        <v>7.5</v>
      </c>
      <c r="AA30" s="149">
        <f t="shared" si="3"/>
        <v>-1.4694601183068819E-2</v>
      </c>
      <c r="AB30" s="149"/>
      <c r="AD30" s="101">
        <v>59410</v>
      </c>
      <c r="AE30" s="101">
        <v>58891</v>
      </c>
      <c r="AF30" s="101">
        <f t="shared" si="4"/>
        <v>519</v>
      </c>
      <c r="AG30" s="101">
        <v>58661</v>
      </c>
      <c r="AH30" s="101">
        <v>59523</v>
      </c>
      <c r="AI30" s="101">
        <f t="shared" si="5"/>
        <v>-862</v>
      </c>
    </row>
    <row r="31" spans="2:35" x14ac:dyDescent="0.25">
      <c r="B31" t="s">
        <v>434</v>
      </c>
      <c r="C31" s="101">
        <v>29946000</v>
      </c>
      <c r="D31" s="101">
        <f t="shared" si="0"/>
        <v>27204370</v>
      </c>
      <c r="E31" s="101">
        <v>0</v>
      </c>
      <c r="F31" s="101">
        <v>0</v>
      </c>
      <c r="G31" s="101">
        <v>2493428</v>
      </c>
      <c r="H31" s="101">
        <v>248202</v>
      </c>
      <c r="I31" s="101">
        <v>2333000</v>
      </c>
      <c r="K31" s="101">
        <v>30000</v>
      </c>
      <c r="L31" s="101">
        <f t="shared" si="1"/>
        <v>531000</v>
      </c>
      <c r="M31" s="101">
        <v>32840000</v>
      </c>
      <c r="N31" s="101">
        <v>630</v>
      </c>
      <c r="O31" s="101">
        <v>112</v>
      </c>
      <c r="P31" s="101">
        <v>200</v>
      </c>
      <c r="Q31" s="101">
        <v>55</v>
      </c>
      <c r="R31" s="101">
        <v>43697</v>
      </c>
      <c r="S31" s="101">
        <v>43533</v>
      </c>
      <c r="T31" s="101">
        <v>39156</v>
      </c>
      <c r="U31" s="101">
        <v>40156</v>
      </c>
      <c r="V31" s="101">
        <v>40510</v>
      </c>
      <c r="W31" s="101">
        <v>40991</v>
      </c>
      <c r="X31" s="149">
        <f t="shared" si="2"/>
        <v>0.75153900725450262</v>
      </c>
      <c r="Y31" s="184">
        <v>4.0399999999999998E-2</v>
      </c>
      <c r="Z31" s="253">
        <v>5</v>
      </c>
      <c r="AA31" s="149">
        <f t="shared" si="3"/>
        <v>3.7531180630249218E-3</v>
      </c>
      <c r="AB31" s="149"/>
      <c r="AD31" s="101">
        <v>42102</v>
      </c>
      <c r="AE31" s="101">
        <v>41985</v>
      </c>
      <c r="AF31" s="101">
        <f t="shared" si="4"/>
        <v>117</v>
      </c>
      <c r="AG31" s="101">
        <v>43697</v>
      </c>
      <c r="AH31" s="101">
        <v>43533</v>
      </c>
      <c r="AI31" s="101">
        <f t="shared" si="5"/>
        <v>164</v>
      </c>
    </row>
    <row r="32" spans="2:35" x14ac:dyDescent="0.25">
      <c r="B32" t="s">
        <v>435</v>
      </c>
      <c r="C32" s="101">
        <v>50880000</v>
      </c>
      <c r="D32" s="101">
        <f t="shared" si="0"/>
        <v>49135434</v>
      </c>
      <c r="E32" s="101">
        <v>0</v>
      </c>
      <c r="F32" s="101">
        <v>0</v>
      </c>
      <c r="G32" s="101">
        <v>1350688</v>
      </c>
      <c r="H32" s="101">
        <v>393878</v>
      </c>
      <c r="I32" s="101">
        <v>5522000</v>
      </c>
      <c r="K32" s="101">
        <v>64000</v>
      </c>
      <c r="L32" s="101">
        <f t="shared" si="1"/>
        <v>2909000</v>
      </c>
      <c r="M32" s="101">
        <v>59375000</v>
      </c>
      <c r="N32" s="101">
        <v>225</v>
      </c>
      <c r="O32" s="101">
        <v>1630</v>
      </c>
      <c r="P32" s="101">
        <v>542</v>
      </c>
      <c r="Q32" s="101">
        <v>2112</v>
      </c>
      <c r="R32" s="101">
        <v>102427</v>
      </c>
      <c r="S32" s="101">
        <v>102632</v>
      </c>
      <c r="T32" s="101">
        <v>79743</v>
      </c>
      <c r="U32" s="101">
        <v>78761</v>
      </c>
      <c r="V32" s="101">
        <v>90373</v>
      </c>
      <c r="W32" s="101">
        <v>87084</v>
      </c>
      <c r="X32" s="149">
        <f t="shared" si="2"/>
        <v>0.57968113876224048</v>
      </c>
      <c r="Y32" s="184">
        <v>2.07E-2</v>
      </c>
      <c r="Z32" s="253">
        <v>9.5</v>
      </c>
      <c r="AA32" s="149">
        <f t="shared" si="3"/>
        <v>-2.0014254054106827E-3</v>
      </c>
      <c r="AB32" s="149"/>
      <c r="AD32" s="101">
        <v>95536</v>
      </c>
      <c r="AE32" s="101">
        <v>93564</v>
      </c>
      <c r="AF32" s="101">
        <f t="shared" si="4"/>
        <v>1972</v>
      </c>
      <c r="AG32" s="101">
        <v>102427</v>
      </c>
      <c r="AH32" s="101">
        <v>102632</v>
      </c>
      <c r="AI32" s="101">
        <f t="shared" si="5"/>
        <v>-205</v>
      </c>
    </row>
    <row r="33" spans="2:35" x14ac:dyDescent="0.25">
      <c r="B33" t="s">
        <v>345</v>
      </c>
      <c r="C33" s="101">
        <v>192884000</v>
      </c>
      <c r="D33" s="101">
        <f t="shared" si="0"/>
        <v>162048557</v>
      </c>
      <c r="E33" s="101">
        <v>0</v>
      </c>
      <c r="F33" s="101">
        <v>14661056</v>
      </c>
      <c r="G33" s="101">
        <v>11679858</v>
      </c>
      <c r="H33" s="101">
        <v>4494529</v>
      </c>
      <c r="I33" s="101">
        <v>28490000</v>
      </c>
      <c r="K33" s="101">
        <v>4021000</v>
      </c>
      <c r="L33" s="101">
        <f t="shared" si="1"/>
        <v>6364000</v>
      </c>
      <c r="M33" s="101">
        <v>231759000</v>
      </c>
      <c r="N33" s="101">
        <v>313</v>
      </c>
      <c r="O33" s="101">
        <v>5268</v>
      </c>
      <c r="P33" s="101">
        <v>221</v>
      </c>
      <c r="Q33" s="101">
        <v>8127</v>
      </c>
      <c r="R33" s="101">
        <v>376281</v>
      </c>
      <c r="S33" s="101">
        <v>374390</v>
      </c>
      <c r="T33" s="101">
        <v>306294</v>
      </c>
      <c r="U33" s="101">
        <v>306295</v>
      </c>
      <c r="V33" s="101">
        <v>329492</v>
      </c>
      <c r="W33" s="101">
        <v>328718</v>
      </c>
      <c r="X33" s="149">
        <f t="shared" si="2"/>
        <v>0.61592001722117251</v>
      </c>
      <c r="Y33" s="184">
        <v>4.5499999999999999E-2</v>
      </c>
      <c r="Z33" s="253">
        <v>6.5</v>
      </c>
      <c r="AA33" s="149">
        <f t="shared" si="3"/>
        <v>5.0254995601691291E-3</v>
      </c>
      <c r="AB33" s="149"/>
      <c r="AD33" s="101">
        <v>335457</v>
      </c>
      <c r="AE33" s="101">
        <v>335299</v>
      </c>
      <c r="AF33" s="101">
        <f t="shared" si="4"/>
        <v>158</v>
      </c>
      <c r="AG33" s="101">
        <v>376281</v>
      </c>
      <c r="AH33" s="101">
        <v>374390</v>
      </c>
      <c r="AI33" s="101">
        <f t="shared" si="5"/>
        <v>1891</v>
      </c>
    </row>
    <row r="34" spans="2:35" x14ac:dyDescent="0.25">
      <c r="B34" t="s">
        <v>167</v>
      </c>
      <c r="C34" s="101">
        <v>95348000</v>
      </c>
      <c r="D34" s="101">
        <f t="shared" si="0"/>
        <v>88672169</v>
      </c>
      <c r="E34" s="101">
        <v>0</v>
      </c>
      <c r="F34" s="101">
        <v>0</v>
      </c>
      <c r="G34" s="101">
        <v>6057224</v>
      </c>
      <c r="H34" s="101">
        <v>618607</v>
      </c>
      <c r="I34" s="101">
        <v>10705000</v>
      </c>
      <c r="K34" s="101">
        <v>323000</v>
      </c>
      <c r="L34" s="101">
        <f t="shared" si="1"/>
        <v>1793000</v>
      </c>
      <c r="M34" s="101">
        <v>108169000</v>
      </c>
      <c r="N34" s="101">
        <v>35</v>
      </c>
      <c r="O34" s="101">
        <v>268</v>
      </c>
      <c r="P34" s="101">
        <v>1390</v>
      </c>
      <c r="Q34" s="101">
        <v>1448</v>
      </c>
      <c r="R34" s="101">
        <v>142886</v>
      </c>
      <c r="S34" s="101">
        <v>145604</v>
      </c>
      <c r="T34" s="101">
        <v>113974</v>
      </c>
      <c r="U34" s="101">
        <v>126726</v>
      </c>
      <c r="V34" s="101">
        <v>127384</v>
      </c>
      <c r="W34" s="101">
        <v>131819</v>
      </c>
      <c r="X34" s="149">
        <f t="shared" si="2"/>
        <v>0.7570300799238554</v>
      </c>
      <c r="Y34" s="184">
        <v>5.2200000000000003E-2</v>
      </c>
      <c r="Z34" s="253">
        <v>6.5</v>
      </c>
      <c r="AA34" s="149">
        <f t="shared" si="3"/>
        <v>-1.9022157524180117E-2</v>
      </c>
      <c r="AB34" s="149"/>
      <c r="AD34" s="101">
        <v>136258</v>
      </c>
      <c r="AE34" s="101">
        <v>136519</v>
      </c>
      <c r="AF34" s="101">
        <f t="shared" si="4"/>
        <v>-261</v>
      </c>
      <c r="AG34" s="101">
        <v>142886</v>
      </c>
      <c r="AH34" s="101">
        <v>145604</v>
      </c>
      <c r="AI34" s="101">
        <f t="shared" si="5"/>
        <v>-2718</v>
      </c>
    </row>
    <row r="35" spans="2:35" x14ac:dyDescent="0.25">
      <c r="B35" t="s">
        <v>346</v>
      </c>
      <c r="C35" s="101">
        <v>60263000</v>
      </c>
      <c r="D35" s="101">
        <f t="shared" si="0"/>
        <v>55093682</v>
      </c>
      <c r="E35" s="101">
        <v>0</v>
      </c>
      <c r="F35" s="101">
        <v>0</v>
      </c>
      <c r="G35" s="101">
        <v>4794084</v>
      </c>
      <c r="H35" s="101">
        <v>375234</v>
      </c>
      <c r="I35" s="101">
        <v>5292000</v>
      </c>
      <c r="K35" s="101">
        <v>328000</v>
      </c>
      <c r="L35" s="101">
        <f t="shared" si="1"/>
        <v>2855000</v>
      </c>
      <c r="M35" s="101">
        <v>68738000</v>
      </c>
      <c r="N35" s="101">
        <v>243</v>
      </c>
      <c r="O35" s="101">
        <v>1111</v>
      </c>
      <c r="P35" s="101">
        <v>35</v>
      </c>
      <c r="Q35" s="101">
        <v>7277</v>
      </c>
      <c r="R35" s="101">
        <v>97356</v>
      </c>
      <c r="S35" s="101">
        <v>94697</v>
      </c>
      <c r="T35" s="101">
        <v>87602</v>
      </c>
      <c r="U35" s="101">
        <v>85852</v>
      </c>
      <c r="V35" s="101">
        <v>88219</v>
      </c>
      <c r="W35" s="101">
        <v>85481</v>
      </c>
      <c r="X35" s="149">
        <f t="shared" si="2"/>
        <v>0.70604790665187556</v>
      </c>
      <c r="Y35" s="184">
        <v>5.6399999999999999E-2</v>
      </c>
      <c r="Z35" s="253">
        <v>9</v>
      </c>
      <c r="AA35" s="149">
        <f t="shared" si="3"/>
        <v>2.7312132790993877E-2</v>
      </c>
      <c r="AB35" s="149"/>
      <c r="AD35" s="101">
        <v>91927</v>
      </c>
      <c r="AE35" s="101">
        <v>90538</v>
      </c>
      <c r="AF35" s="101">
        <f t="shared" si="4"/>
        <v>1389</v>
      </c>
      <c r="AG35" s="101">
        <v>97356</v>
      </c>
      <c r="AH35" s="101">
        <v>94697</v>
      </c>
      <c r="AI35" s="101">
        <f t="shared" si="5"/>
        <v>2659</v>
      </c>
    </row>
    <row r="36" spans="2:35" x14ac:dyDescent="0.25">
      <c r="B36" t="s">
        <v>347</v>
      </c>
      <c r="C36" s="101">
        <v>58781000</v>
      </c>
      <c r="D36" s="101">
        <f t="shared" si="0"/>
        <v>54882641</v>
      </c>
      <c r="E36" s="101">
        <v>0</v>
      </c>
      <c r="F36" s="101">
        <v>0</v>
      </c>
      <c r="G36" s="101">
        <v>3548928</v>
      </c>
      <c r="H36" s="101">
        <v>349431</v>
      </c>
      <c r="I36" s="101">
        <v>6583000</v>
      </c>
      <c r="K36" s="101">
        <v>400000</v>
      </c>
      <c r="L36" s="101">
        <f t="shared" si="1"/>
        <v>944000</v>
      </c>
      <c r="M36" s="101">
        <v>66708000</v>
      </c>
      <c r="N36" s="101">
        <v>100</v>
      </c>
      <c r="O36" s="101">
        <v>1891</v>
      </c>
      <c r="P36" s="101">
        <v>49</v>
      </c>
      <c r="Q36" s="101">
        <v>13679</v>
      </c>
      <c r="R36" s="101">
        <v>104630</v>
      </c>
      <c r="S36" s="101">
        <v>107812</v>
      </c>
      <c r="T36" s="101">
        <v>85660</v>
      </c>
      <c r="U36" s="101">
        <v>87247</v>
      </c>
      <c r="V36" s="101">
        <v>93029</v>
      </c>
      <c r="W36" s="101">
        <v>94293</v>
      </c>
      <c r="X36" s="149">
        <f t="shared" si="2"/>
        <v>0.63756092898786199</v>
      </c>
      <c r="Y36" s="184">
        <v>5.91E-2</v>
      </c>
      <c r="Z36" s="253">
        <v>6</v>
      </c>
      <c r="AA36" s="149">
        <f t="shared" si="3"/>
        <v>-3.0411927745388513E-2</v>
      </c>
      <c r="AB36" s="149"/>
      <c r="AD36" s="101">
        <v>94062</v>
      </c>
      <c r="AE36" s="101">
        <v>96889</v>
      </c>
      <c r="AF36" s="101">
        <f t="shared" si="4"/>
        <v>-2827</v>
      </c>
      <c r="AG36" s="101">
        <v>104630</v>
      </c>
      <c r="AH36" s="101">
        <v>107812</v>
      </c>
      <c r="AI36" s="101">
        <f t="shared" si="5"/>
        <v>-3182</v>
      </c>
    </row>
    <row r="37" spans="2:35" x14ac:dyDescent="0.25">
      <c r="B37" t="s">
        <v>168</v>
      </c>
      <c r="C37" s="101">
        <v>49821000</v>
      </c>
      <c r="D37" s="101">
        <f t="shared" si="0"/>
        <v>46407984</v>
      </c>
      <c r="E37" s="101">
        <v>0</v>
      </c>
      <c r="F37" s="101">
        <v>0</v>
      </c>
      <c r="G37" s="101">
        <v>2977770</v>
      </c>
      <c r="H37" s="101">
        <v>435246</v>
      </c>
      <c r="I37" s="101">
        <v>6454000</v>
      </c>
      <c r="K37" s="101">
        <v>300000</v>
      </c>
      <c r="L37" s="101">
        <f t="shared" si="1"/>
        <v>3433000</v>
      </c>
      <c r="M37" s="101">
        <v>60008000</v>
      </c>
      <c r="N37" s="101">
        <v>485</v>
      </c>
      <c r="O37" s="101">
        <v>1126</v>
      </c>
      <c r="P37" s="101">
        <v>81</v>
      </c>
      <c r="Q37" s="101">
        <v>164</v>
      </c>
      <c r="R37" s="101">
        <v>86813</v>
      </c>
      <c r="S37" s="101">
        <v>85958</v>
      </c>
      <c r="T37" s="101">
        <v>69629</v>
      </c>
      <c r="U37" s="101">
        <v>68238</v>
      </c>
      <c r="V37" s="101">
        <v>74001</v>
      </c>
      <c r="W37" s="101">
        <v>72694</v>
      </c>
      <c r="X37" s="149">
        <f t="shared" si="2"/>
        <v>0.69123287986822246</v>
      </c>
      <c r="Y37" s="184">
        <v>4.9399999999999999E-2</v>
      </c>
      <c r="Z37" s="253">
        <v>8</v>
      </c>
      <c r="AA37" s="149">
        <f t="shared" si="3"/>
        <v>9.8487553707394052E-3</v>
      </c>
      <c r="AB37" s="149"/>
      <c r="AD37" s="101">
        <v>83772</v>
      </c>
      <c r="AE37" s="101">
        <v>83187</v>
      </c>
      <c r="AF37" s="101">
        <f t="shared" si="4"/>
        <v>585</v>
      </c>
      <c r="AG37" s="101">
        <v>86813</v>
      </c>
      <c r="AH37" s="101">
        <v>85958</v>
      </c>
      <c r="AI37" s="101">
        <f t="shared" si="5"/>
        <v>855</v>
      </c>
    </row>
    <row r="38" spans="2:35" x14ac:dyDescent="0.25">
      <c r="B38" t="s">
        <v>241</v>
      </c>
      <c r="C38" s="101">
        <v>99310000</v>
      </c>
      <c r="D38" s="101">
        <f t="shared" si="0"/>
        <v>93650658</v>
      </c>
      <c r="E38" s="101">
        <v>0</v>
      </c>
      <c r="F38" s="101">
        <v>0</v>
      </c>
      <c r="G38" s="101">
        <v>5049642</v>
      </c>
      <c r="H38" s="101">
        <v>609700</v>
      </c>
      <c r="I38" s="101">
        <v>16648000</v>
      </c>
      <c r="K38" s="101">
        <v>2089000</v>
      </c>
      <c r="L38" s="101">
        <f t="shared" si="1"/>
        <v>2981000</v>
      </c>
      <c r="M38" s="101">
        <v>121028000</v>
      </c>
      <c r="N38" s="101">
        <v>220</v>
      </c>
      <c r="O38" s="101">
        <v>1595</v>
      </c>
      <c r="P38" s="101">
        <v>109</v>
      </c>
      <c r="Q38" s="101">
        <v>0</v>
      </c>
      <c r="R38" s="101">
        <v>158530</v>
      </c>
      <c r="S38" s="101">
        <v>157432</v>
      </c>
      <c r="T38" s="101">
        <v>134895</v>
      </c>
      <c r="U38" s="101">
        <v>128145</v>
      </c>
      <c r="V38" s="101">
        <v>137214</v>
      </c>
      <c r="W38" s="101">
        <v>131378</v>
      </c>
      <c r="X38" s="149">
        <f t="shared" si="2"/>
        <v>0.7634390967009399</v>
      </c>
      <c r="Y38" s="184">
        <v>4.3799999999999999E-2</v>
      </c>
      <c r="Z38" s="253">
        <v>9.5</v>
      </c>
      <c r="AA38" s="149">
        <f t="shared" si="3"/>
        <v>6.926133854790891E-3</v>
      </c>
      <c r="AB38" s="149"/>
      <c r="AD38" s="101">
        <v>150249</v>
      </c>
      <c r="AE38" s="101">
        <v>147568</v>
      </c>
      <c r="AF38" s="101">
        <f t="shared" si="4"/>
        <v>2681</v>
      </c>
      <c r="AG38" s="101">
        <v>158530</v>
      </c>
      <c r="AH38" s="101">
        <v>157432</v>
      </c>
      <c r="AI38" s="101">
        <f t="shared" si="5"/>
        <v>1098</v>
      </c>
    </row>
    <row r="39" spans="2:35" x14ac:dyDescent="0.25">
      <c r="B39" t="s">
        <v>348</v>
      </c>
      <c r="C39" s="101">
        <v>43727000</v>
      </c>
      <c r="D39" s="101">
        <f t="shared" si="0"/>
        <v>37944240</v>
      </c>
      <c r="E39" s="101">
        <v>0</v>
      </c>
      <c r="F39" s="101">
        <v>0</v>
      </c>
      <c r="G39" s="101">
        <v>5441328</v>
      </c>
      <c r="H39" s="101">
        <v>341432</v>
      </c>
      <c r="I39" s="101">
        <v>3112000</v>
      </c>
      <c r="K39" s="101">
        <v>0</v>
      </c>
      <c r="L39" s="101">
        <f t="shared" si="1"/>
        <v>2682000</v>
      </c>
      <c r="M39" s="101">
        <v>49521000</v>
      </c>
      <c r="N39" s="101">
        <v>109</v>
      </c>
      <c r="O39" s="101">
        <v>905</v>
      </c>
      <c r="P39" s="101">
        <v>169</v>
      </c>
      <c r="Q39" s="101">
        <v>3558</v>
      </c>
      <c r="R39" s="101">
        <v>69366</v>
      </c>
      <c r="S39" s="101">
        <v>69684</v>
      </c>
      <c r="T39" s="101">
        <v>54633</v>
      </c>
      <c r="U39" s="101">
        <v>53898</v>
      </c>
      <c r="V39" s="101">
        <v>57956</v>
      </c>
      <c r="W39" s="101">
        <v>55964</v>
      </c>
      <c r="X39" s="149">
        <f t="shared" si="2"/>
        <v>0.7139088314159675</v>
      </c>
      <c r="Y39" s="184">
        <v>3.5700000000000003E-2</v>
      </c>
      <c r="Z39" s="253">
        <v>9</v>
      </c>
      <c r="AA39" s="149">
        <f t="shared" si="3"/>
        <v>-4.5843785139693801E-3</v>
      </c>
      <c r="AB39" s="149"/>
      <c r="AD39" s="101">
        <v>62279</v>
      </c>
      <c r="AE39" s="101">
        <v>62009</v>
      </c>
      <c r="AF39" s="101">
        <f t="shared" si="4"/>
        <v>270</v>
      </c>
      <c r="AG39" s="101">
        <v>69366</v>
      </c>
      <c r="AH39" s="101">
        <v>69684</v>
      </c>
      <c r="AI39" s="101">
        <f t="shared" si="5"/>
        <v>-318</v>
      </c>
    </row>
    <row r="40" spans="2:35" x14ac:dyDescent="0.25">
      <c r="B40" t="s">
        <v>242</v>
      </c>
      <c r="C40" s="101">
        <v>19874000</v>
      </c>
      <c r="D40" s="101">
        <f t="shared" si="0"/>
        <v>19458143</v>
      </c>
      <c r="E40" s="101">
        <v>0</v>
      </c>
      <c r="F40" s="101">
        <v>0</v>
      </c>
      <c r="G40" s="101">
        <v>184087</v>
      </c>
      <c r="H40" s="101">
        <v>231770</v>
      </c>
      <c r="I40" s="101">
        <v>2074000</v>
      </c>
      <c r="K40" s="101">
        <v>435000</v>
      </c>
      <c r="L40" s="101">
        <f t="shared" si="1"/>
        <v>9268000</v>
      </c>
      <c r="M40" s="101">
        <v>31651000</v>
      </c>
      <c r="N40" s="101">
        <v>105</v>
      </c>
      <c r="O40" s="101">
        <v>214</v>
      </c>
      <c r="P40" s="101">
        <v>10</v>
      </c>
      <c r="Q40" s="101">
        <v>0</v>
      </c>
      <c r="R40" s="101">
        <v>41388</v>
      </c>
      <c r="S40" s="101">
        <v>41439</v>
      </c>
      <c r="T40" s="101">
        <v>33379</v>
      </c>
      <c r="U40" s="101">
        <v>34467</v>
      </c>
      <c r="V40" s="101">
        <v>29321</v>
      </c>
      <c r="W40" s="101">
        <v>29762</v>
      </c>
      <c r="X40" s="149">
        <f t="shared" si="2"/>
        <v>0.76473857156663771</v>
      </c>
      <c r="Y40" s="184">
        <v>6.3899999999999998E-2</v>
      </c>
      <c r="Z40" s="253">
        <v>6.5</v>
      </c>
      <c r="AA40" s="149">
        <f t="shared" si="3"/>
        <v>-1.2322412293418383E-3</v>
      </c>
      <c r="AB40" s="149"/>
      <c r="AD40" s="101">
        <v>41570</v>
      </c>
      <c r="AE40" s="101">
        <v>40414</v>
      </c>
      <c r="AF40" s="101">
        <f t="shared" si="4"/>
        <v>1156</v>
      </c>
      <c r="AG40" s="101">
        <v>41388</v>
      </c>
      <c r="AH40" s="101">
        <v>41439</v>
      </c>
      <c r="AI40" s="101">
        <f t="shared" si="5"/>
        <v>-51</v>
      </c>
    </row>
    <row r="41" spans="2:35" x14ac:dyDescent="0.25">
      <c r="B41" t="s">
        <v>243</v>
      </c>
      <c r="C41" s="101">
        <v>33356000</v>
      </c>
      <c r="D41" s="101">
        <f t="shared" si="0"/>
        <v>32182317</v>
      </c>
      <c r="E41" s="101">
        <v>0</v>
      </c>
      <c r="F41" s="101">
        <v>0</v>
      </c>
      <c r="G41" s="101">
        <v>886840</v>
      </c>
      <c r="H41" s="101">
        <v>286843</v>
      </c>
      <c r="I41" s="101">
        <v>3653000</v>
      </c>
      <c r="K41" s="101">
        <v>64000</v>
      </c>
      <c r="L41" s="101">
        <f t="shared" si="1"/>
        <v>1933000</v>
      </c>
      <c r="M41" s="101">
        <v>39006000</v>
      </c>
      <c r="N41" s="101">
        <v>300</v>
      </c>
      <c r="O41" s="101">
        <v>3005</v>
      </c>
      <c r="P41" s="101">
        <v>143</v>
      </c>
      <c r="Q41" s="101">
        <v>0</v>
      </c>
      <c r="R41" s="101">
        <v>77060</v>
      </c>
      <c r="S41" s="101">
        <v>79004</v>
      </c>
      <c r="T41" s="101">
        <v>56857</v>
      </c>
      <c r="U41" s="101">
        <v>56953</v>
      </c>
      <c r="V41" s="101">
        <v>64348</v>
      </c>
      <c r="W41" s="101">
        <v>64658</v>
      </c>
      <c r="X41" s="149">
        <f t="shared" si="2"/>
        <v>0.50617700493122242</v>
      </c>
      <c r="Y41" s="184">
        <v>3.7600000000000001E-2</v>
      </c>
      <c r="Z41" s="253">
        <v>8</v>
      </c>
      <c r="AA41" s="149">
        <f t="shared" si="3"/>
        <v>-2.5227095769530236E-2</v>
      </c>
      <c r="AB41" s="149"/>
      <c r="AD41" s="101">
        <v>70796</v>
      </c>
      <c r="AE41" s="101">
        <v>70804</v>
      </c>
      <c r="AF41" s="101">
        <f t="shared" si="4"/>
        <v>-8</v>
      </c>
      <c r="AG41" s="101">
        <v>77060</v>
      </c>
      <c r="AH41" s="101">
        <v>79004</v>
      </c>
      <c r="AI41" s="101">
        <f t="shared" si="5"/>
        <v>-1944</v>
      </c>
    </row>
    <row r="42" spans="2:35" x14ac:dyDescent="0.25">
      <c r="B42" t="s">
        <v>285</v>
      </c>
      <c r="C42" s="101">
        <v>63762000</v>
      </c>
      <c r="D42" s="101">
        <f t="shared" si="0"/>
        <v>62070697</v>
      </c>
      <c r="E42" s="101">
        <v>0</v>
      </c>
      <c r="F42" s="101">
        <v>0</v>
      </c>
      <c r="G42" s="101">
        <v>1226471</v>
      </c>
      <c r="H42" s="101">
        <v>464832</v>
      </c>
      <c r="I42" s="101">
        <v>6520000</v>
      </c>
      <c r="K42" s="101">
        <v>606000</v>
      </c>
      <c r="L42" s="101">
        <f t="shared" si="1"/>
        <v>11297000</v>
      </c>
      <c r="M42" s="101">
        <v>82185000</v>
      </c>
      <c r="N42" s="101">
        <v>138</v>
      </c>
      <c r="O42" s="101">
        <v>1820</v>
      </c>
      <c r="P42" s="101">
        <v>185</v>
      </c>
      <c r="Q42" s="101">
        <v>1649</v>
      </c>
      <c r="R42" s="101">
        <v>119637</v>
      </c>
      <c r="S42" s="101">
        <v>116278</v>
      </c>
      <c r="T42" s="101">
        <v>90215</v>
      </c>
      <c r="U42" s="101">
        <v>90542</v>
      </c>
      <c r="V42" s="101">
        <v>101866</v>
      </c>
      <c r="W42" s="101">
        <v>99234</v>
      </c>
      <c r="X42" s="149">
        <f t="shared" si="2"/>
        <v>0.68695303292459686</v>
      </c>
      <c r="Y42" s="184">
        <v>2.1000000000000001E-2</v>
      </c>
      <c r="Z42" s="253">
        <v>4</v>
      </c>
      <c r="AA42" s="149">
        <f t="shared" si="3"/>
        <v>2.8076598376756353E-2</v>
      </c>
      <c r="AB42" s="149"/>
      <c r="AD42" s="101">
        <v>107616</v>
      </c>
      <c r="AE42" s="101">
        <v>103840</v>
      </c>
      <c r="AF42" s="101">
        <f t="shared" si="4"/>
        <v>3776</v>
      </c>
      <c r="AG42" s="101">
        <v>119637</v>
      </c>
      <c r="AH42" s="101">
        <v>116278</v>
      </c>
      <c r="AI42" s="101">
        <f t="shared" si="5"/>
        <v>3359</v>
      </c>
    </row>
    <row r="43" spans="2:35" x14ac:dyDescent="0.25">
      <c r="B43" t="s">
        <v>349</v>
      </c>
      <c r="C43" s="101">
        <v>21123000</v>
      </c>
      <c r="D43" s="101">
        <f t="shared" si="0"/>
        <v>19581624</v>
      </c>
      <c r="E43" s="101">
        <v>0</v>
      </c>
      <c r="F43" s="101">
        <v>0</v>
      </c>
      <c r="G43" s="101">
        <v>1327979</v>
      </c>
      <c r="H43" s="101">
        <v>213397</v>
      </c>
      <c r="I43" s="101">
        <v>1513000</v>
      </c>
      <c r="K43" s="101">
        <v>75000</v>
      </c>
      <c r="L43" s="101">
        <f t="shared" si="1"/>
        <v>714000</v>
      </c>
      <c r="M43" s="101">
        <v>23425000</v>
      </c>
      <c r="N43" s="101">
        <v>16</v>
      </c>
      <c r="O43" s="101">
        <v>257</v>
      </c>
      <c r="P43" s="101">
        <v>0</v>
      </c>
      <c r="Q43" s="101">
        <v>15922</v>
      </c>
      <c r="R43" s="101">
        <v>50657</v>
      </c>
      <c r="S43" s="101">
        <v>49562</v>
      </c>
      <c r="T43" s="101">
        <v>38915</v>
      </c>
      <c r="U43" s="101">
        <v>38652</v>
      </c>
      <c r="V43" s="101">
        <v>42033</v>
      </c>
      <c r="W43" s="101">
        <v>41369</v>
      </c>
      <c r="X43" s="149">
        <f t="shared" si="2"/>
        <v>0.46242375190003354</v>
      </c>
      <c r="Y43" s="184">
        <v>4.8300000000000003E-2</v>
      </c>
      <c r="Z43" s="253">
        <v>9</v>
      </c>
      <c r="AA43" s="149">
        <f t="shared" si="3"/>
        <v>2.1615966204078411E-2</v>
      </c>
      <c r="AB43" s="149"/>
      <c r="AD43" s="101">
        <v>53817</v>
      </c>
      <c r="AE43" s="101">
        <v>53367</v>
      </c>
      <c r="AF43" s="101">
        <f t="shared" si="4"/>
        <v>450</v>
      </c>
      <c r="AG43" s="101">
        <v>50657</v>
      </c>
      <c r="AH43" s="101">
        <v>49562</v>
      </c>
      <c r="AI43" s="101">
        <f t="shared" si="5"/>
        <v>1095</v>
      </c>
    </row>
    <row r="44" spans="2:35" x14ac:dyDescent="0.25">
      <c r="B44" t="s">
        <v>106</v>
      </c>
      <c r="C44" s="101">
        <v>61998000</v>
      </c>
      <c r="D44" s="101">
        <f t="shared" si="0"/>
        <v>56478017</v>
      </c>
      <c r="E44" s="101">
        <v>0</v>
      </c>
      <c r="F44" s="101">
        <v>0</v>
      </c>
      <c r="G44" s="101">
        <v>5112558</v>
      </c>
      <c r="H44" s="101">
        <v>407425</v>
      </c>
      <c r="I44" s="101">
        <v>7081000</v>
      </c>
      <c r="K44" s="101">
        <v>370000</v>
      </c>
      <c r="L44" s="101">
        <f t="shared" si="1"/>
        <v>1293000</v>
      </c>
      <c r="M44" s="101">
        <v>70742000</v>
      </c>
      <c r="N44" s="101">
        <v>67</v>
      </c>
      <c r="O44" s="101">
        <v>521</v>
      </c>
      <c r="P44" s="101">
        <v>229</v>
      </c>
      <c r="Q44" s="101">
        <v>1893</v>
      </c>
      <c r="R44" s="101">
        <v>91564</v>
      </c>
      <c r="S44" s="101">
        <v>95793</v>
      </c>
      <c r="T44" s="101">
        <v>74509</v>
      </c>
      <c r="U44" s="101">
        <v>73931</v>
      </c>
      <c r="V44" s="101">
        <v>79007</v>
      </c>
      <c r="W44" s="101">
        <v>78809</v>
      </c>
      <c r="X44" s="149">
        <f t="shared" si="2"/>
        <v>0.77259621685378532</v>
      </c>
      <c r="Y44" s="184">
        <v>4.7E-2</v>
      </c>
      <c r="Z44" s="253">
        <v>9</v>
      </c>
      <c r="AA44" s="149">
        <f t="shared" si="3"/>
        <v>-4.6186274081516751E-2</v>
      </c>
      <c r="AB44" s="149"/>
      <c r="AD44" s="101">
        <v>85916</v>
      </c>
      <c r="AE44" s="101">
        <v>87208</v>
      </c>
      <c r="AF44" s="101">
        <f t="shared" si="4"/>
        <v>-1292</v>
      </c>
      <c r="AG44" s="101">
        <v>91564</v>
      </c>
      <c r="AH44" s="101">
        <v>95793</v>
      </c>
      <c r="AI44" s="101">
        <f t="shared" si="5"/>
        <v>-4229</v>
      </c>
    </row>
    <row r="45" spans="2:35" x14ac:dyDescent="0.25">
      <c r="B45" t="s">
        <v>140</v>
      </c>
      <c r="C45" s="101">
        <v>48113000</v>
      </c>
      <c r="D45" s="101">
        <f t="shared" si="0"/>
        <v>45099124</v>
      </c>
      <c r="E45" s="101">
        <v>0</v>
      </c>
      <c r="F45" s="101">
        <v>0</v>
      </c>
      <c r="G45" s="101">
        <v>2731840</v>
      </c>
      <c r="H45" s="101">
        <v>282036</v>
      </c>
      <c r="I45" s="101">
        <v>5761000</v>
      </c>
      <c r="K45" s="101">
        <v>144000</v>
      </c>
      <c r="L45" s="101">
        <f t="shared" si="1"/>
        <v>936000</v>
      </c>
      <c r="M45" s="101">
        <v>54954000</v>
      </c>
      <c r="N45" s="101">
        <v>10</v>
      </c>
      <c r="O45" s="101">
        <v>1331</v>
      </c>
      <c r="P45" s="101">
        <v>1087</v>
      </c>
      <c r="Q45" s="101">
        <v>2695</v>
      </c>
      <c r="R45" s="101">
        <v>78086</v>
      </c>
      <c r="S45" s="101">
        <v>78597</v>
      </c>
      <c r="T45" s="101">
        <v>70892</v>
      </c>
      <c r="U45" s="101">
        <v>70903</v>
      </c>
      <c r="V45" s="101">
        <v>67566</v>
      </c>
      <c r="W45" s="101">
        <v>68188</v>
      </c>
      <c r="X45" s="149">
        <f t="shared" si="2"/>
        <v>0.70376251824910996</v>
      </c>
      <c r="Y45" s="184">
        <v>4.3999999999999997E-2</v>
      </c>
      <c r="Z45" s="253">
        <v>5.5</v>
      </c>
      <c r="AA45" s="149">
        <f t="shared" si="3"/>
        <v>-6.5440667981456341E-3</v>
      </c>
      <c r="AB45" s="149"/>
      <c r="AD45" s="101">
        <v>74150</v>
      </c>
      <c r="AE45" s="101">
        <v>76672</v>
      </c>
      <c r="AF45" s="101">
        <f t="shared" si="4"/>
        <v>-2522</v>
      </c>
      <c r="AG45" s="101">
        <v>78086</v>
      </c>
      <c r="AH45" s="101">
        <v>78597</v>
      </c>
      <c r="AI45" s="101">
        <f t="shared" si="5"/>
        <v>-511</v>
      </c>
    </row>
    <row r="46" spans="2:35" x14ac:dyDescent="0.25">
      <c r="B46" t="s">
        <v>328</v>
      </c>
      <c r="C46" s="101">
        <v>47518000</v>
      </c>
      <c r="D46" s="101">
        <f t="shared" si="0"/>
        <v>44924694</v>
      </c>
      <c r="E46" s="101">
        <v>0</v>
      </c>
      <c r="F46" s="101">
        <v>0</v>
      </c>
      <c r="G46" s="101">
        <v>1837993</v>
      </c>
      <c r="H46" s="101">
        <v>755313</v>
      </c>
      <c r="I46" s="101">
        <v>3708000</v>
      </c>
      <c r="K46" s="101">
        <v>297000</v>
      </c>
      <c r="L46" s="101">
        <f t="shared" si="1"/>
        <v>1546000</v>
      </c>
      <c r="M46" s="101">
        <v>53069000</v>
      </c>
      <c r="N46" s="101">
        <v>214</v>
      </c>
      <c r="O46" s="101">
        <v>611</v>
      </c>
      <c r="P46" s="101">
        <v>145</v>
      </c>
      <c r="Q46" s="101">
        <v>2082</v>
      </c>
      <c r="R46" s="101">
        <v>76675</v>
      </c>
      <c r="S46" s="101">
        <v>77907</v>
      </c>
      <c r="T46" s="101">
        <v>58391</v>
      </c>
      <c r="U46" s="101">
        <v>58986</v>
      </c>
      <c r="V46" s="101">
        <v>63467</v>
      </c>
      <c r="W46" s="101">
        <v>63911</v>
      </c>
      <c r="X46" s="149">
        <f t="shared" si="2"/>
        <v>0.69212911640039121</v>
      </c>
      <c r="Y46" s="184">
        <v>5.4800000000000001E-2</v>
      </c>
      <c r="Z46" s="253">
        <v>7.5</v>
      </c>
      <c r="AA46" s="149">
        <f t="shared" si="3"/>
        <v>-1.6067818715357025E-2</v>
      </c>
      <c r="AB46" s="149"/>
      <c r="AD46" s="101">
        <v>68157</v>
      </c>
      <c r="AE46" s="101">
        <v>68473</v>
      </c>
      <c r="AF46" s="101">
        <f t="shared" si="4"/>
        <v>-316</v>
      </c>
      <c r="AG46" s="101">
        <v>76675</v>
      </c>
      <c r="AH46" s="101">
        <v>77907</v>
      </c>
      <c r="AI46" s="101">
        <f t="shared" si="5"/>
        <v>-1232</v>
      </c>
    </row>
    <row r="47" spans="2:35" x14ac:dyDescent="0.25">
      <c r="B47" t="s">
        <v>351</v>
      </c>
      <c r="C47" s="101">
        <v>76606000</v>
      </c>
      <c r="D47" s="101">
        <f t="shared" si="0"/>
        <v>66978956</v>
      </c>
      <c r="E47" s="101">
        <v>0</v>
      </c>
      <c r="F47" s="101">
        <v>0</v>
      </c>
      <c r="G47" s="101">
        <v>8839076</v>
      </c>
      <c r="H47" s="101">
        <v>787968</v>
      </c>
      <c r="I47" s="101">
        <v>8462000</v>
      </c>
      <c r="K47" s="101">
        <v>505000</v>
      </c>
      <c r="L47" s="101">
        <f t="shared" si="1"/>
        <v>1294000</v>
      </c>
      <c r="M47" s="101">
        <v>86867000</v>
      </c>
      <c r="N47" s="101">
        <v>41</v>
      </c>
      <c r="O47" s="101">
        <v>1703</v>
      </c>
      <c r="P47" s="101">
        <v>62</v>
      </c>
      <c r="Q47" s="101">
        <v>905</v>
      </c>
      <c r="R47" s="101">
        <v>120282</v>
      </c>
      <c r="S47" s="101">
        <v>120836</v>
      </c>
      <c r="T47" s="101">
        <v>94890</v>
      </c>
      <c r="U47" s="101">
        <v>95748</v>
      </c>
      <c r="V47" s="101">
        <v>106669</v>
      </c>
      <c r="W47" s="101">
        <v>107081</v>
      </c>
      <c r="X47" s="149">
        <f t="shared" si="2"/>
        <v>0.72219450956917908</v>
      </c>
      <c r="Y47" s="184">
        <v>4.19E-2</v>
      </c>
      <c r="Z47" s="253">
        <v>7</v>
      </c>
      <c r="AA47" s="149">
        <f t="shared" si="3"/>
        <v>-4.6058429357676125E-3</v>
      </c>
      <c r="AB47" s="149"/>
      <c r="AD47" s="101">
        <v>114218</v>
      </c>
      <c r="AE47" s="101">
        <v>113100</v>
      </c>
      <c r="AF47" s="101">
        <f t="shared" si="4"/>
        <v>1118</v>
      </c>
      <c r="AG47" s="101">
        <v>120282</v>
      </c>
      <c r="AH47" s="101">
        <v>120836</v>
      </c>
      <c r="AI47" s="101">
        <f t="shared" si="5"/>
        <v>-554</v>
      </c>
    </row>
    <row r="48" spans="2:35" x14ac:dyDescent="0.25">
      <c r="B48" t="s">
        <v>352</v>
      </c>
      <c r="C48" s="101">
        <v>485929000</v>
      </c>
      <c r="D48" s="101">
        <f t="shared" si="0"/>
        <v>405542655</v>
      </c>
      <c r="E48" s="101">
        <v>0</v>
      </c>
      <c r="F48" s="101">
        <v>36793369</v>
      </c>
      <c r="G48" s="101">
        <v>24147213</v>
      </c>
      <c r="H48" s="101">
        <v>19445763</v>
      </c>
      <c r="I48" s="101">
        <v>77512000</v>
      </c>
      <c r="K48" s="101">
        <v>9124000</v>
      </c>
      <c r="L48" s="101">
        <f t="shared" si="1"/>
        <v>37775000</v>
      </c>
      <c r="M48" s="101">
        <v>610340000</v>
      </c>
      <c r="N48" s="101">
        <v>1456</v>
      </c>
      <c r="O48" s="101">
        <v>8358</v>
      </c>
      <c r="P48" s="101">
        <v>513</v>
      </c>
      <c r="Q48" s="101">
        <v>7281</v>
      </c>
      <c r="R48" s="101">
        <v>893295</v>
      </c>
      <c r="S48" s="101">
        <v>883626</v>
      </c>
      <c r="T48" s="101">
        <v>708912</v>
      </c>
      <c r="U48" s="101">
        <v>711070</v>
      </c>
      <c r="V48" s="101">
        <v>740933</v>
      </c>
      <c r="W48" s="101">
        <v>746392</v>
      </c>
      <c r="X48" s="149">
        <f t="shared" si="2"/>
        <v>0.68324573629092289</v>
      </c>
      <c r="Y48" s="184">
        <v>5.3400000000000003E-2</v>
      </c>
      <c r="Z48" s="253">
        <v>8</v>
      </c>
      <c r="AA48" s="149">
        <f t="shared" si="3"/>
        <v>1.0823971924168388E-2</v>
      </c>
      <c r="AB48" s="149"/>
      <c r="AD48" s="101">
        <v>844837</v>
      </c>
      <c r="AE48" s="101">
        <v>853051</v>
      </c>
      <c r="AF48" s="101">
        <f t="shared" si="4"/>
        <v>-8214</v>
      </c>
      <c r="AG48" s="101">
        <v>893295</v>
      </c>
      <c r="AH48" s="101">
        <v>883626</v>
      </c>
      <c r="AI48" s="101">
        <f t="shared" si="5"/>
        <v>9669</v>
      </c>
    </row>
    <row r="49" spans="2:35" x14ac:dyDescent="0.25">
      <c r="B49" t="s">
        <v>169</v>
      </c>
      <c r="C49" s="101">
        <v>72606000</v>
      </c>
      <c r="D49" s="101">
        <f t="shared" si="0"/>
        <v>67764251</v>
      </c>
      <c r="E49" s="101">
        <v>0</v>
      </c>
      <c r="F49" s="101">
        <v>0</v>
      </c>
      <c r="G49" s="101">
        <v>4354369</v>
      </c>
      <c r="H49" s="101">
        <v>487380</v>
      </c>
      <c r="I49" s="101">
        <v>6187000</v>
      </c>
      <c r="K49" s="101">
        <v>119000</v>
      </c>
      <c r="L49" s="101">
        <f t="shared" si="1"/>
        <v>1912000</v>
      </c>
      <c r="M49" s="101">
        <v>80824000</v>
      </c>
      <c r="N49" s="101">
        <v>31</v>
      </c>
      <c r="O49" s="101">
        <v>746</v>
      </c>
      <c r="P49" s="101">
        <v>475</v>
      </c>
      <c r="Q49" s="101">
        <v>8</v>
      </c>
      <c r="R49" s="101">
        <v>107013</v>
      </c>
      <c r="S49" s="101">
        <v>107609</v>
      </c>
      <c r="T49" s="101">
        <v>83275</v>
      </c>
      <c r="U49" s="101">
        <v>84379</v>
      </c>
      <c r="V49" s="101">
        <v>92699</v>
      </c>
      <c r="W49" s="101">
        <v>90565</v>
      </c>
      <c r="X49" s="149">
        <f t="shared" si="2"/>
        <v>0.75527272387466948</v>
      </c>
      <c r="Y49" s="184">
        <v>4.7199999999999999E-2</v>
      </c>
      <c r="Z49" s="253">
        <v>7</v>
      </c>
      <c r="AA49" s="149">
        <f t="shared" si="3"/>
        <v>-5.5694167998280586E-3</v>
      </c>
      <c r="AB49" s="149"/>
      <c r="AD49" s="101">
        <v>96064</v>
      </c>
      <c r="AE49" s="101">
        <v>99841</v>
      </c>
      <c r="AF49" s="101">
        <f t="shared" si="4"/>
        <v>-3777</v>
      </c>
      <c r="AG49" s="101">
        <v>107013</v>
      </c>
      <c r="AH49" s="101">
        <v>107609</v>
      </c>
      <c r="AI49" s="101">
        <f t="shared" si="5"/>
        <v>-596</v>
      </c>
    </row>
    <row r="50" spans="2:35" x14ac:dyDescent="0.25">
      <c r="B50" t="s">
        <v>170</v>
      </c>
      <c r="C50" s="101">
        <v>43743000</v>
      </c>
      <c r="D50" s="101">
        <f t="shared" si="0"/>
        <v>40624968</v>
      </c>
      <c r="E50" s="101">
        <v>0</v>
      </c>
      <c r="F50" s="101">
        <v>0</v>
      </c>
      <c r="G50" s="101">
        <v>2141970</v>
      </c>
      <c r="H50" s="101">
        <v>976062</v>
      </c>
      <c r="I50" s="101">
        <v>4863000</v>
      </c>
      <c r="K50" s="101">
        <v>396000</v>
      </c>
      <c r="L50" s="101">
        <f t="shared" si="1"/>
        <v>751000</v>
      </c>
      <c r="M50" s="101">
        <v>49753000</v>
      </c>
      <c r="N50" s="101">
        <v>11</v>
      </c>
      <c r="O50" s="101">
        <v>754</v>
      </c>
      <c r="P50" s="101">
        <v>1</v>
      </c>
      <c r="Q50" s="101">
        <v>239</v>
      </c>
      <c r="R50" s="101">
        <v>69534</v>
      </c>
      <c r="S50" s="101">
        <v>68433</v>
      </c>
      <c r="T50" s="101">
        <v>54433</v>
      </c>
      <c r="U50" s="101">
        <v>54364</v>
      </c>
      <c r="V50" s="101">
        <v>59383</v>
      </c>
      <c r="W50" s="101">
        <v>59210</v>
      </c>
      <c r="X50" s="149">
        <f t="shared" si="2"/>
        <v>0.71552046480858289</v>
      </c>
      <c r="Y50" s="184">
        <v>4.4499999999999998E-2</v>
      </c>
      <c r="Z50" s="253">
        <v>7</v>
      </c>
      <c r="AA50" s="149">
        <f t="shared" si="3"/>
        <v>1.5833980498748814E-2</v>
      </c>
      <c r="AB50" s="149"/>
      <c r="AD50" s="101">
        <v>65162</v>
      </c>
      <c r="AE50" s="101">
        <v>64634</v>
      </c>
      <c r="AF50" s="101">
        <f t="shared" si="4"/>
        <v>528</v>
      </c>
      <c r="AG50" s="101">
        <v>69534</v>
      </c>
      <c r="AH50" s="101">
        <v>68433</v>
      </c>
      <c r="AI50" s="101">
        <f t="shared" si="5"/>
        <v>1101</v>
      </c>
    </row>
    <row r="51" spans="2:35" x14ac:dyDescent="0.25">
      <c r="B51" t="s">
        <v>400</v>
      </c>
      <c r="C51" s="101">
        <v>81119000</v>
      </c>
      <c r="D51" s="101">
        <f t="shared" si="0"/>
        <v>70761667</v>
      </c>
      <c r="E51" s="101">
        <v>0</v>
      </c>
      <c r="F51" s="101">
        <v>0</v>
      </c>
      <c r="G51" s="101">
        <v>9888231</v>
      </c>
      <c r="H51" s="101">
        <v>469102</v>
      </c>
      <c r="I51" s="101">
        <v>11924000</v>
      </c>
      <c r="K51" s="101">
        <v>962000</v>
      </c>
      <c r="L51" s="101">
        <f t="shared" si="1"/>
        <v>2029000</v>
      </c>
      <c r="M51" s="101">
        <v>96034000</v>
      </c>
      <c r="N51" s="101">
        <v>24</v>
      </c>
      <c r="O51" s="101">
        <v>2000</v>
      </c>
      <c r="P51" s="101">
        <v>393</v>
      </c>
      <c r="Q51" s="101">
        <v>5843</v>
      </c>
      <c r="R51" s="101">
        <v>122723</v>
      </c>
      <c r="S51" s="101">
        <v>123082</v>
      </c>
      <c r="T51" s="101">
        <v>111560</v>
      </c>
      <c r="U51" s="101">
        <v>110593</v>
      </c>
      <c r="V51" s="101">
        <v>111544</v>
      </c>
      <c r="W51" s="101">
        <v>113582</v>
      </c>
      <c r="X51" s="149">
        <f t="shared" si="2"/>
        <v>0.78252650277454106</v>
      </c>
      <c r="Y51" s="184">
        <v>6.1100000000000002E-2</v>
      </c>
      <c r="Z51" s="253">
        <v>8.5</v>
      </c>
      <c r="AA51" s="149">
        <f t="shared" si="3"/>
        <v>-2.9252870285113629E-3</v>
      </c>
      <c r="AB51" s="149"/>
      <c r="AD51" s="101">
        <v>118580</v>
      </c>
      <c r="AE51" s="101">
        <v>119877</v>
      </c>
      <c r="AF51" s="101">
        <f t="shared" si="4"/>
        <v>-1297</v>
      </c>
      <c r="AG51" s="101">
        <v>122723</v>
      </c>
      <c r="AH51" s="101">
        <v>123082</v>
      </c>
      <c r="AI51" s="101">
        <f t="shared" si="5"/>
        <v>-359</v>
      </c>
    </row>
    <row r="52" spans="2:35" x14ac:dyDescent="0.25">
      <c r="B52" t="s">
        <v>214</v>
      </c>
      <c r="C52" s="101">
        <v>24653000</v>
      </c>
      <c r="D52" s="101">
        <f t="shared" si="0"/>
        <v>23838627</v>
      </c>
      <c r="E52" s="101">
        <v>0</v>
      </c>
      <c r="F52" s="101">
        <v>0</v>
      </c>
      <c r="G52" s="101">
        <v>549649</v>
      </c>
      <c r="H52" s="101">
        <v>264724</v>
      </c>
      <c r="I52" s="101">
        <v>2694000</v>
      </c>
      <c r="K52" s="101">
        <v>64000</v>
      </c>
      <c r="L52" s="101">
        <f t="shared" si="1"/>
        <v>1092000</v>
      </c>
      <c r="M52" s="101">
        <v>28503000</v>
      </c>
      <c r="N52" s="101">
        <v>5</v>
      </c>
      <c r="O52" s="101">
        <v>998</v>
      </c>
      <c r="P52" s="101">
        <v>29</v>
      </c>
      <c r="Q52" s="101">
        <v>14949</v>
      </c>
      <c r="R52" s="101">
        <v>60016</v>
      </c>
      <c r="S52" s="101">
        <v>61644</v>
      </c>
      <c r="T52" s="101">
        <v>32949</v>
      </c>
      <c r="U52" s="101">
        <v>33124</v>
      </c>
      <c r="V52" s="101">
        <v>35857</v>
      </c>
      <c r="W52" s="101">
        <v>36883</v>
      </c>
      <c r="X52" s="149">
        <f t="shared" si="2"/>
        <v>0.47492335377232736</v>
      </c>
      <c r="Y52" s="184">
        <v>5.5599999999999997E-2</v>
      </c>
      <c r="Z52" s="253">
        <v>6.5</v>
      </c>
      <c r="AA52" s="149">
        <f t="shared" si="3"/>
        <v>-2.7126099706744868E-2</v>
      </c>
      <c r="AB52" s="149"/>
      <c r="AD52" s="101">
        <v>40319</v>
      </c>
      <c r="AE52" s="101">
        <v>41964</v>
      </c>
      <c r="AF52" s="101">
        <f t="shared" si="4"/>
        <v>-1645</v>
      </c>
      <c r="AG52" s="101">
        <v>60016</v>
      </c>
      <c r="AH52" s="101">
        <v>61644</v>
      </c>
      <c r="AI52" s="101">
        <f t="shared" si="5"/>
        <v>-1628</v>
      </c>
    </row>
    <row r="53" spans="2:35" x14ac:dyDescent="0.25">
      <c r="B53" t="s">
        <v>215</v>
      </c>
      <c r="C53" s="101">
        <v>38138000</v>
      </c>
      <c r="D53" s="101">
        <f t="shared" si="0"/>
        <v>36761302</v>
      </c>
      <c r="E53" s="101">
        <v>0</v>
      </c>
      <c r="F53" s="101">
        <v>0</v>
      </c>
      <c r="G53" s="101">
        <v>1048201</v>
      </c>
      <c r="H53" s="101">
        <v>328497</v>
      </c>
      <c r="I53" s="101">
        <v>3332000</v>
      </c>
      <c r="K53" s="101">
        <v>591000</v>
      </c>
      <c r="L53" s="101">
        <f t="shared" si="1"/>
        <v>1018000</v>
      </c>
      <c r="M53" s="101">
        <v>43079000</v>
      </c>
      <c r="N53" s="101">
        <v>119</v>
      </c>
      <c r="O53" s="101">
        <v>1315</v>
      </c>
      <c r="P53" s="101">
        <v>86</v>
      </c>
      <c r="Q53" s="101">
        <v>8428</v>
      </c>
      <c r="R53" s="101">
        <v>67617</v>
      </c>
      <c r="S53" s="101">
        <v>67878</v>
      </c>
      <c r="T53" s="101">
        <v>51886</v>
      </c>
      <c r="U53" s="101">
        <v>50148</v>
      </c>
      <c r="V53" s="101">
        <v>54735</v>
      </c>
      <c r="W53" s="101">
        <v>50688</v>
      </c>
      <c r="X53" s="149">
        <f t="shared" si="2"/>
        <v>0.63710309537542331</v>
      </c>
      <c r="Y53" s="184">
        <v>3.4000000000000002E-2</v>
      </c>
      <c r="Z53" s="253">
        <v>7.5</v>
      </c>
      <c r="AA53" s="149">
        <f t="shared" si="3"/>
        <v>-3.8599760415280182E-3</v>
      </c>
      <c r="AB53" s="149"/>
      <c r="AD53" s="101">
        <v>70367</v>
      </c>
      <c r="AE53" s="101">
        <v>67414</v>
      </c>
      <c r="AF53" s="101">
        <f t="shared" si="4"/>
        <v>2953</v>
      </c>
      <c r="AG53" s="101">
        <v>67617</v>
      </c>
      <c r="AH53" s="101">
        <v>67878</v>
      </c>
      <c r="AI53" s="101">
        <f t="shared" si="5"/>
        <v>-261</v>
      </c>
    </row>
    <row r="54" spans="2:35" x14ac:dyDescent="0.25">
      <c r="B54" t="s">
        <v>171</v>
      </c>
      <c r="C54" s="101">
        <v>50274000</v>
      </c>
      <c r="D54" s="101">
        <f t="shared" si="0"/>
        <v>47786614</v>
      </c>
      <c r="E54" s="101">
        <v>0</v>
      </c>
      <c r="F54" s="101">
        <v>0</v>
      </c>
      <c r="G54" s="101">
        <v>2019250</v>
      </c>
      <c r="H54" s="101">
        <v>468136</v>
      </c>
      <c r="I54" s="101">
        <v>3850000</v>
      </c>
      <c r="K54" s="101">
        <v>790000</v>
      </c>
      <c r="L54" s="101">
        <f t="shared" si="1"/>
        <v>6293000</v>
      </c>
      <c r="M54" s="101">
        <v>61207000</v>
      </c>
      <c r="N54" s="101">
        <v>134</v>
      </c>
      <c r="O54" s="101">
        <v>277</v>
      </c>
      <c r="P54" s="101">
        <v>60</v>
      </c>
      <c r="Q54" s="101">
        <v>0</v>
      </c>
      <c r="R54" s="101">
        <v>84826</v>
      </c>
      <c r="S54" s="101">
        <v>84950</v>
      </c>
      <c r="T54" s="101">
        <v>62518</v>
      </c>
      <c r="U54" s="101">
        <v>63481</v>
      </c>
      <c r="V54" s="101">
        <v>74945</v>
      </c>
      <c r="W54" s="101">
        <v>76675</v>
      </c>
      <c r="X54" s="149">
        <f t="shared" si="2"/>
        <v>0.72155942753401081</v>
      </c>
      <c r="Y54" s="184">
        <v>7.9399999999999998E-2</v>
      </c>
      <c r="Z54" s="253">
        <v>7</v>
      </c>
      <c r="AA54" s="149">
        <f t="shared" si="3"/>
        <v>-1.4618159526560252E-3</v>
      </c>
      <c r="AB54" s="149"/>
      <c r="AD54" s="101">
        <v>77279</v>
      </c>
      <c r="AE54" s="101">
        <v>77957</v>
      </c>
      <c r="AF54" s="101">
        <f t="shared" si="4"/>
        <v>-678</v>
      </c>
      <c r="AG54" s="101">
        <v>84826</v>
      </c>
      <c r="AH54" s="101">
        <v>84950</v>
      </c>
      <c r="AI54" s="101">
        <f t="shared" si="5"/>
        <v>-124</v>
      </c>
    </row>
    <row r="55" spans="2:35" x14ac:dyDescent="0.25">
      <c r="B55" t="s">
        <v>287</v>
      </c>
      <c r="C55" s="101">
        <v>166799000</v>
      </c>
      <c r="D55" s="101">
        <f t="shared" si="0"/>
        <v>159518997</v>
      </c>
      <c r="E55" s="101">
        <v>0</v>
      </c>
      <c r="F55" s="101">
        <v>0</v>
      </c>
      <c r="G55" s="101">
        <v>6334695</v>
      </c>
      <c r="H55" s="101">
        <v>945308</v>
      </c>
      <c r="I55" s="101">
        <v>33755000</v>
      </c>
      <c r="K55" s="101">
        <v>3063000</v>
      </c>
      <c r="L55" s="101">
        <f t="shared" si="1"/>
        <v>14878000</v>
      </c>
      <c r="M55" s="101">
        <v>218495000</v>
      </c>
      <c r="N55" s="101">
        <v>22</v>
      </c>
      <c r="O55" s="101">
        <v>7500</v>
      </c>
      <c r="P55" s="101">
        <v>1612</v>
      </c>
      <c r="Q55" s="101">
        <v>6035</v>
      </c>
      <c r="R55" s="101">
        <v>277389</v>
      </c>
      <c r="S55" s="101">
        <v>285674</v>
      </c>
      <c r="T55" s="101">
        <v>219564</v>
      </c>
      <c r="U55" s="101">
        <v>220474</v>
      </c>
      <c r="V55" s="101">
        <v>268267</v>
      </c>
      <c r="W55" s="101">
        <v>265443</v>
      </c>
      <c r="X55" s="149">
        <f t="shared" si="2"/>
        <v>0.787684443146628</v>
      </c>
      <c r="Y55" s="184">
        <v>6.0400000000000002E-2</v>
      </c>
      <c r="Z55" s="253">
        <v>7</v>
      </c>
      <c r="AA55" s="149">
        <f t="shared" si="3"/>
        <v>-2.9867802977046675E-2</v>
      </c>
      <c r="AB55" s="149"/>
      <c r="AD55" s="101">
        <v>247994</v>
      </c>
      <c r="AE55" s="101">
        <v>247842</v>
      </c>
      <c r="AF55" s="101">
        <f t="shared" si="4"/>
        <v>152</v>
      </c>
      <c r="AG55" s="101">
        <v>277389</v>
      </c>
      <c r="AH55" s="101">
        <v>285674</v>
      </c>
      <c r="AI55" s="101">
        <f t="shared" si="5"/>
        <v>-8285</v>
      </c>
    </row>
    <row r="56" spans="2:35" x14ac:dyDescent="0.25">
      <c r="B56" t="s">
        <v>244</v>
      </c>
      <c r="C56" s="101">
        <v>58767000</v>
      </c>
      <c r="D56" s="101">
        <f t="shared" si="0"/>
        <v>57423331</v>
      </c>
      <c r="E56" s="101">
        <v>0</v>
      </c>
      <c r="F56" s="101">
        <v>0</v>
      </c>
      <c r="G56" s="101">
        <v>924772</v>
      </c>
      <c r="H56" s="101">
        <v>418897</v>
      </c>
      <c r="I56" s="101">
        <v>6396000</v>
      </c>
      <c r="K56" s="101">
        <v>64000</v>
      </c>
      <c r="L56" s="101">
        <f t="shared" si="1"/>
        <v>1095000</v>
      </c>
      <c r="M56" s="101">
        <v>66322000</v>
      </c>
      <c r="N56" s="101">
        <v>97</v>
      </c>
      <c r="O56" s="101">
        <v>1035</v>
      </c>
      <c r="P56" s="101">
        <v>92</v>
      </c>
      <c r="Q56" s="101">
        <v>650</v>
      </c>
      <c r="R56" s="101">
        <v>91700</v>
      </c>
      <c r="S56" s="101">
        <v>95948</v>
      </c>
      <c r="T56" s="101">
        <v>73875</v>
      </c>
      <c r="U56" s="101">
        <v>74800</v>
      </c>
      <c r="V56" s="101">
        <v>80798</v>
      </c>
      <c r="W56" s="101">
        <v>81390</v>
      </c>
      <c r="X56" s="149">
        <f t="shared" si="2"/>
        <v>0.72324972737186477</v>
      </c>
      <c r="Y56" s="184">
        <v>4.8099999999999997E-2</v>
      </c>
      <c r="Z56" s="253">
        <v>7</v>
      </c>
      <c r="AA56" s="149">
        <f t="shared" si="3"/>
        <v>-4.6324972737186478E-2</v>
      </c>
      <c r="AB56" s="149"/>
      <c r="AD56" s="101">
        <v>87971</v>
      </c>
      <c r="AE56" s="101">
        <v>88505</v>
      </c>
      <c r="AF56" s="101">
        <f t="shared" si="4"/>
        <v>-534</v>
      </c>
      <c r="AG56" s="101">
        <v>91700</v>
      </c>
      <c r="AH56" s="101">
        <v>95948</v>
      </c>
      <c r="AI56" s="101">
        <f t="shared" si="5"/>
        <v>-4248</v>
      </c>
    </row>
    <row r="57" spans="2:35" x14ac:dyDescent="0.25">
      <c r="B57" t="s">
        <v>107</v>
      </c>
      <c r="C57" s="101">
        <v>85807000</v>
      </c>
      <c r="D57" s="101">
        <f t="shared" si="0"/>
        <v>80618283</v>
      </c>
      <c r="E57" s="101">
        <v>0</v>
      </c>
      <c r="F57" s="101">
        <v>0</v>
      </c>
      <c r="G57" s="101">
        <v>4524057</v>
      </c>
      <c r="H57" s="101">
        <v>664660</v>
      </c>
      <c r="I57" s="101">
        <v>11906000</v>
      </c>
      <c r="K57" s="101">
        <v>1246000</v>
      </c>
      <c r="L57" s="101">
        <f t="shared" si="1"/>
        <v>0</v>
      </c>
      <c r="M57" s="101">
        <v>98959000</v>
      </c>
      <c r="N57" s="101">
        <v>117</v>
      </c>
      <c r="O57" s="101">
        <v>1234</v>
      </c>
      <c r="P57" s="101">
        <v>605</v>
      </c>
      <c r="Q57" s="101">
        <v>6986</v>
      </c>
      <c r="R57" s="101">
        <v>138265</v>
      </c>
      <c r="S57" s="101">
        <v>137531</v>
      </c>
      <c r="T57" s="101">
        <v>113860</v>
      </c>
      <c r="U57" s="101">
        <v>109936</v>
      </c>
      <c r="V57" s="101">
        <v>118138</v>
      </c>
      <c r="W57" s="101">
        <v>113196</v>
      </c>
      <c r="X57" s="149">
        <f t="shared" si="2"/>
        <v>0.71571981340180091</v>
      </c>
      <c r="Y57" s="184">
        <v>3.4599999999999999E-2</v>
      </c>
      <c r="Z57" s="253">
        <v>10</v>
      </c>
      <c r="AA57" s="149">
        <f t="shared" si="3"/>
        <v>5.3086464398076159E-3</v>
      </c>
      <c r="AB57" s="149"/>
      <c r="AD57" s="101">
        <v>130215</v>
      </c>
      <c r="AE57" s="101">
        <v>124009</v>
      </c>
      <c r="AF57" s="101">
        <f t="shared" si="4"/>
        <v>6206</v>
      </c>
      <c r="AG57" s="101">
        <v>138265</v>
      </c>
      <c r="AH57" s="101">
        <v>137531</v>
      </c>
      <c r="AI57" s="101">
        <f t="shared" si="5"/>
        <v>734</v>
      </c>
    </row>
    <row r="58" spans="2:35" x14ac:dyDescent="0.25">
      <c r="B58" t="s">
        <v>353</v>
      </c>
      <c r="C58" s="101">
        <v>45387000</v>
      </c>
      <c r="D58" s="101">
        <f t="shared" si="0"/>
        <v>41042894</v>
      </c>
      <c r="E58" s="101">
        <v>0</v>
      </c>
      <c r="F58" s="101">
        <v>0</v>
      </c>
      <c r="G58" s="101">
        <v>2170920</v>
      </c>
      <c r="H58" s="101">
        <v>2173186</v>
      </c>
      <c r="I58" s="101">
        <v>4000000</v>
      </c>
      <c r="K58" s="101">
        <v>4000</v>
      </c>
      <c r="L58" s="101">
        <f t="shared" si="1"/>
        <v>1729000</v>
      </c>
      <c r="M58" s="287">
        <v>51120000</v>
      </c>
      <c r="N58" s="101">
        <v>205</v>
      </c>
      <c r="O58" s="101">
        <v>974</v>
      </c>
      <c r="P58" s="101">
        <v>7</v>
      </c>
      <c r="Q58" s="101">
        <v>3389</v>
      </c>
      <c r="R58" s="101">
        <v>70053</v>
      </c>
      <c r="S58" s="101">
        <v>72025</v>
      </c>
      <c r="T58" s="101">
        <v>55734</v>
      </c>
      <c r="U58" s="101">
        <v>55441</v>
      </c>
      <c r="V58" s="101">
        <v>60712</v>
      </c>
      <c r="W58" s="101">
        <v>60668</v>
      </c>
      <c r="X58" s="149">
        <f t="shared" si="2"/>
        <v>0.72973320200419678</v>
      </c>
      <c r="Y58" s="184">
        <v>4.5100000000000001E-2</v>
      </c>
      <c r="Z58" s="253">
        <v>9</v>
      </c>
      <c r="AA58" s="149">
        <f t="shared" si="3"/>
        <v>-2.8150114912994448E-2</v>
      </c>
      <c r="AB58" s="149"/>
      <c r="AD58" s="101">
        <v>65534</v>
      </c>
      <c r="AE58" s="101">
        <v>65367</v>
      </c>
      <c r="AF58" s="101">
        <f t="shared" si="4"/>
        <v>167</v>
      </c>
      <c r="AG58" s="101">
        <v>70053</v>
      </c>
      <c r="AH58" s="101">
        <v>72025</v>
      </c>
      <c r="AI58" s="101">
        <f t="shared" si="5"/>
        <v>-1972</v>
      </c>
    </row>
    <row r="59" spans="2:35" x14ac:dyDescent="0.25">
      <c r="B59" t="s">
        <v>172</v>
      </c>
      <c r="C59" s="101">
        <v>66206000</v>
      </c>
      <c r="D59" s="101">
        <f t="shared" si="0"/>
        <v>61427199</v>
      </c>
      <c r="E59" s="101">
        <v>0</v>
      </c>
      <c r="F59" s="101">
        <v>0</v>
      </c>
      <c r="G59" s="101">
        <v>3710861</v>
      </c>
      <c r="H59" s="101">
        <v>1067940</v>
      </c>
      <c r="I59" s="101">
        <v>8654000</v>
      </c>
      <c r="K59" s="101">
        <v>0</v>
      </c>
      <c r="L59" s="101">
        <f t="shared" si="1"/>
        <v>4680000</v>
      </c>
      <c r="M59" s="101">
        <v>79540000</v>
      </c>
      <c r="N59" s="101">
        <v>71</v>
      </c>
      <c r="O59" s="101">
        <v>1306</v>
      </c>
      <c r="P59" s="101">
        <v>15</v>
      </c>
      <c r="Q59" s="101">
        <v>3326</v>
      </c>
      <c r="R59" s="101">
        <v>102963</v>
      </c>
      <c r="S59" s="101">
        <v>104379</v>
      </c>
      <c r="T59" s="101">
        <v>80567</v>
      </c>
      <c r="U59" s="101">
        <v>81360</v>
      </c>
      <c r="V59" s="101">
        <v>96091</v>
      </c>
      <c r="W59" s="101">
        <v>97242</v>
      </c>
      <c r="X59" s="149">
        <f t="shared" si="2"/>
        <v>0.77251051348542676</v>
      </c>
      <c r="Y59" s="184">
        <v>4.6399999999999997E-2</v>
      </c>
      <c r="Z59" s="253">
        <v>7.5</v>
      </c>
      <c r="AA59" s="149">
        <f t="shared" si="3"/>
        <v>-1.3752513038664375E-2</v>
      </c>
      <c r="AB59" s="149"/>
      <c r="AD59" s="101">
        <v>96280</v>
      </c>
      <c r="AE59" s="101">
        <v>97314</v>
      </c>
      <c r="AF59" s="101">
        <f t="shared" si="4"/>
        <v>-1034</v>
      </c>
      <c r="AG59" s="101">
        <v>102963</v>
      </c>
      <c r="AH59" s="101">
        <v>104379</v>
      </c>
      <c r="AI59" s="101">
        <f t="shared" si="5"/>
        <v>-1416</v>
      </c>
    </row>
    <row r="60" spans="2:35" x14ac:dyDescent="0.25">
      <c r="B60" t="s">
        <v>141</v>
      </c>
      <c r="C60" s="101">
        <v>57179000</v>
      </c>
      <c r="D60" s="101">
        <f t="shared" si="0"/>
        <v>53694319</v>
      </c>
      <c r="E60" s="101">
        <v>0</v>
      </c>
      <c r="F60" s="101">
        <v>0</v>
      </c>
      <c r="G60" s="101">
        <v>3133542</v>
      </c>
      <c r="H60" s="101">
        <v>351139</v>
      </c>
      <c r="I60" s="101">
        <v>4234000</v>
      </c>
      <c r="K60" s="101">
        <v>70000</v>
      </c>
      <c r="L60" s="101">
        <f t="shared" si="1"/>
        <v>15408000</v>
      </c>
      <c r="M60" s="101">
        <v>76891000</v>
      </c>
      <c r="N60" s="101">
        <v>63</v>
      </c>
      <c r="O60" s="101">
        <v>319</v>
      </c>
      <c r="P60" s="101">
        <v>304</v>
      </c>
      <c r="Q60" s="101">
        <v>1739</v>
      </c>
      <c r="R60" s="101">
        <v>97816</v>
      </c>
      <c r="S60" s="101">
        <v>100731</v>
      </c>
      <c r="T60" s="101">
        <v>68226</v>
      </c>
      <c r="U60" s="101">
        <v>69652</v>
      </c>
      <c r="V60" s="101">
        <v>76080</v>
      </c>
      <c r="W60" s="101">
        <v>77520</v>
      </c>
      <c r="X60" s="149">
        <f t="shared" si="2"/>
        <v>0.78607794225893513</v>
      </c>
      <c r="Y60" s="184">
        <v>5.8400000000000001E-2</v>
      </c>
      <c r="Z60" s="253">
        <v>6</v>
      </c>
      <c r="AA60" s="149">
        <f t="shared" si="3"/>
        <v>-2.9800850576592788E-2</v>
      </c>
      <c r="AB60" s="149"/>
      <c r="AD60" s="101">
        <v>87950</v>
      </c>
      <c r="AE60" s="101">
        <v>89552</v>
      </c>
      <c r="AF60" s="101">
        <f t="shared" si="4"/>
        <v>-1602</v>
      </c>
      <c r="AG60" s="101">
        <v>97816</v>
      </c>
      <c r="AH60" s="101">
        <v>100731</v>
      </c>
      <c r="AI60" s="101">
        <f t="shared" si="5"/>
        <v>-2915</v>
      </c>
    </row>
    <row r="61" spans="2:35" x14ac:dyDescent="0.25">
      <c r="B61" t="s">
        <v>127</v>
      </c>
      <c r="C61" s="101">
        <v>49069000</v>
      </c>
      <c r="D61" s="101">
        <f t="shared" si="0"/>
        <v>43194084</v>
      </c>
      <c r="E61" s="101">
        <v>0</v>
      </c>
      <c r="F61" s="101">
        <v>0</v>
      </c>
      <c r="G61" s="101">
        <v>5531157</v>
      </c>
      <c r="H61" s="101">
        <v>343759</v>
      </c>
      <c r="I61" s="101">
        <v>6980000</v>
      </c>
      <c r="K61" s="101">
        <v>394000</v>
      </c>
      <c r="L61" s="101">
        <f t="shared" si="1"/>
        <v>3802000</v>
      </c>
      <c r="M61" s="101">
        <v>60245000</v>
      </c>
      <c r="N61" s="101">
        <v>66</v>
      </c>
      <c r="O61" s="101">
        <v>486</v>
      </c>
      <c r="P61" s="101">
        <v>105</v>
      </c>
      <c r="Q61" s="101">
        <v>1065</v>
      </c>
      <c r="R61" s="101">
        <v>72622</v>
      </c>
      <c r="S61" s="101">
        <v>72712</v>
      </c>
      <c r="T61" s="101">
        <v>56749</v>
      </c>
      <c r="U61" s="101">
        <v>56558</v>
      </c>
      <c r="V61" s="101">
        <v>62928</v>
      </c>
      <c r="W61" s="101">
        <v>61048</v>
      </c>
      <c r="X61" s="149">
        <f t="shared" si="2"/>
        <v>0.82956955192641346</v>
      </c>
      <c r="Y61" s="184">
        <v>5.8700000000000002E-2</v>
      </c>
      <c r="Z61" s="253">
        <v>7.5</v>
      </c>
      <c r="AA61" s="149">
        <f t="shared" si="3"/>
        <v>-1.2392938778882433E-3</v>
      </c>
      <c r="AB61" s="149"/>
      <c r="AD61" s="101">
        <v>66373</v>
      </c>
      <c r="AE61" s="101">
        <v>66530</v>
      </c>
      <c r="AF61" s="101">
        <f t="shared" si="4"/>
        <v>-157</v>
      </c>
      <c r="AG61" s="101">
        <v>72622</v>
      </c>
      <c r="AH61" s="101">
        <v>72712</v>
      </c>
      <c r="AI61" s="101">
        <f t="shared" si="5"/>
        <v>-90</v>
      </c>
    </row>
    <row r="62" spans="2:35" x14ac:dyDescent="0.25">
      <c r="B62" s="164" t="s">
        <v>216</v>
      </c>
      <c r="C62" s="101">
        <v>75663536.694220096</v>
      </c>
      <c r="D62" s="101">
        <f t="shared" si="0"/>
        <v>74070040.694220096</v>
      </c>
      <c r="E62" s="101">
        <v>0</v>
      </c>
      <c r="F62" s="101">
        <v>0</v>
      </c>
      <c r="G62" s="101">
        <v>1074459</v>
      </c>
      <c r="H62" s="101">
        <v>519037</v>
      </c>
      <c r="I62" s="187">
        <v>6500000</v>
      </c>
      <c r="K62" s="187">
        <v>200000</v>
      </c>
      <c r="L62" s="101">
        <f t="shared" si="1"/>
        <v>5636463.3057799041</v>
      </c>
      <c r="M62" s="187">
        <v>88000000</v>
      </c>
      <c r="N62" s="101">
        <v>1025</v>
      </c>
      <c r="O62" s="101">
        <v>2081</v>
      </c>
      <c r="P62" s="101">
        <v>339</v>
      </c>
      <c r="Q62" s="101">
        <v>5966</v>
      </c>
      <c r="R62" s="187">
        <v>139107</v>
      </c>
      <c r="S62" s="187">
        <f>SUM(R62,-1/78*R62)</f>
        <v>137323.57692307694</v>
      </c>
      <c r="T62" s="101">
        <v>110862</v>
      </c>
      <c r="U62" s="101">
        <v>110094</v>
      </c>
      <c r="V62" s="101">
        <v>114414</v>
      </c>
      <c r="W62" s="101">
        <v>112891</v>
      </c>
      <c r="X62" s="149">
        <f t="shared" si="2"/>
        <v>0.63260655466655169</v>
      </c>
      <c r="Y62" s="184">
        <v>3.8199999999999998E-2</v>
      </c>
      <c r="Z62" s="253">
        <v>9.5</v>
      </c>
      <c r="AA62" s="149">
        <f t="shared" si="3"/>
        <v>1.2820512820512725E-2</v>
      </c>
      <c r="AB62" s="149"/>
      <c r="AD62" s="101">
        <v>130190</v>
      </c>
      <c r="AE62" s="101">
        <v>129078</v>
      </c>
      <c r="AF62" s="101">
        <f t="shared" si="4"/>
        <v>1112</v>
      </c>
      <c r="AG62" s="101">
        <v>0</v>
      </c>
      <c r="AH62" s="101">
        <v>0</v>
      </c>
      <c r="AI62" s="101">
        <f t="shared" si="5"/>
        <v>0</v>
      </c>
    </row>
    <row r="63" spans="2:35" x14ac:dyDescent="0.25">
      <c r="B63" t="s">
        <v>525</v>
      </c>
      <c r="C63" s="101">
        <v>114404000</v>
      </c>
      <c r="D63" s="101">
        <f t="shared" si="0"/>
        <v>110168404</v>
      </c>
      <c r="E63" s="101">
        <v>0</v>
      </c>
      <c r="F63" s="101">
        <v>0</v>
      </c>
      <c r="G63" s="101">
        <v>3345512</v>
      </c>
      <c r="H63" s="101">
        <v>890084</v>
      </c>
      <c r="I63" s="101">
        <v>12924000</v>
      </c>
      <c r="K63" s="101">
        <v>159000</v>
      </c>
      <c r="L63" s="101">
        <f t="shared" si="1"/>
        <v>214000</v>
      </c>
      <c r="M63" s="101">
        <v>127701000</v>
      </c>
      <c r="N63" s="101">
        <v>354</v>
      </c>
      <c r="O63" s="101">
        <v>2070</v>
      </c>
      <c r="P63" s="101">
        <v>277</v>
      </c>
      <c r="Q63" s="101">
        <v>725</v>
      </c>
      <c r="R63" s="101">
        <v>170346</v>
      </c>
      <c r="S63" s="101">
        <v>170683</v>
      </c>
      <c r="T63" s="101">
        <v>138773</v>
      </c>
      <c r="U63" s="101">
        <v>140491</v>
      </c>
      <c r="V63" s="101">
        <v>148213</v>
      </c>
      <c r="W63" s="101">
        <v>152366</v>
      </c>
      <c r="X63" s="149">
        <f t="shared" si="2"/>
        <v>0.74965658131097879</v>
      </c>
      <c r="Y63" s="184">
        <v>5.0500000000000003E-2</v>
      </c>
      <c r="Z63" s="253">
        <v>7.5</v>
      </c>
      <c r="AA63" s="149">
        <f t="shared" si="3"/>
        <v>-1.9783264649595529E-3</v>
      </c>
      <c r="AB63" s="149"/>
      <c r="AD63" s="101">
        <v>159155</v>
      </c>
      <c r="AE63" s="101">
        <v>162927</v>
      </c>
      <c r="AF63" s="101">
        <f t="shared" si="4"/>
        <v>-3772</v>
      </c>
      <c r="AG63" s="101">
        <v>170346</v>
      </c>
      <c r="AH63" s="101">
        <v>170683</v>
      </c>
      <c r="AI63" s="101">
        <f t="shared" si="5"/>
        <v>-337</v>
      </c>
    </row>
    <row r="64" spans="2:35" x14ac:dyDescent="0.25">
      <c r="B64" t="s">
        <v>217</v>
      </c>
      <c r="C64" s="101">
        <v>81020000</v>
      </c>
      <c r="D64" s="101">
        <f t="shared" si="0"/>
        <v>78426925</v>
      </c>
      <c r="E64" s="101">
        <v>0</v>
      </c>
      <c r="F64" s="101">
        <v>0</v>
      </c>
      <c r="G64" s="101">
        <v>1946335</v>
      </c>
      <c r="H64" s="101">
        <v>646740</v>
      </c>
      <c r="I64" s="101">
        <v>7973000</v>
      </c>
      <c r="K64" s="101">
        <v>620000</v>
      </c>
      <c r="L64" s="101">
        <f t="shared" si="1"/>
        <v>6713000</v>
      </c>
      <c r="M64" s="101">
        <v>96326000</v>
      </c>
      <c r="N64" s="101">
        <v>65</v>
      </c>
      <c r="O64" s="101">
        <v>1555</v>
      </c>
      <c r="P64" s="101">
        <v>70</v>
      </c>
      <c r="Q64" s="101">
        <v>0</v>
      </c>
      <c r="R64" s="101">
        <v>132390</v>
      </c>
      <c r="S64" s="101">
        <v>140406</v>
      </c>
      <c r="T64" s="101">
        <v>96839</v>
      </c>
      <c r="U64" s="101">
        <v>97243</v>
      </c>
      <c r="V64" s="101">
        <v>104936</v>
      </c>
      <c r="W64" s="101">
        <v>104136</v>
      </c>
      <c r="X64" s="149">
        <f t="shared" si="2"/>
        <v>0.72759271848326912</v>
      </c>
      <c r="Y64" s="184">
        <v>4.5999999999999999E-2</v>
      </c>
      <c r="Z64" s="253">
        <v>6</v>
      </c>
      <c r="AA64" s="149">
        <f t="shared" si="3"/>
        <v>-6.0548379786992977E-2</v>
      </c>
      <c r="AB64" s="149"/>
      <c r="AD64" s="101">
        <v>120821</v>
      </c>
      <c r="AE64" s="101">
        <v>118903</v>
      </c>
      <c r="AF64" s="101">
        <f t="shared" si="4"/>
        <v>1918</v>
      </c>
      <c r="AG64" s="101">
        <v>132390</v>
      </c>
      <c r="AH64" s="101">
        <v>140406</v>
      </c>
      <c r="AI64" s="101">
        <f t="shared" si="5"/>
        <v>-8016</v>
      </c>
    </row>
    <row r="65" spans="2:47" x14ac:dyDescent="0.25">
      <c r="B65" t="s">
        <v>115</v>
      </c>
      <c r="C65" s="101">
        <v>48212000</v>
      </c>
      <c r="D65" s="101">
        <f t="shared" si="0"/>
        <v>46749917</v>
      </c>
      <c r="E65" s="101">
        <v>0</v>
      </c>
      <c r="F65" s="101">
        <v>0</v>
      </c>
      <c r="G65" s="101">
        <v>1019479</v>
      </c>
      <c r="H65" s="101">
        <v>442604</v>
      </c>
      <c r="I65" s="101">
        <v>3221000</v>
      </c>
      <c r="K65" s="101">
        <v>165000</v>
      </c>
      <c r="L65" s="101">
        <f t="shared" si="1"/>
        <v>3075000</v>
      </c>
      <c r="M65" s="101">
        <v>54673000</v>
      </c>
      <c r="N65" s="101">
        <v>23</v>
      </c>
      <c r="O65" s="101">
        <v>497</v>
      </c>
      <c r="P65" s="101">
        <v>672</v>
      </c>
      <c r="Q65" s="101">
        <v>0</v>
      </c>
      <c r="R65" s="101">
        <v>71400</v>
      </c>
      <c r="S65" s="101">
        <v>73191</v>
      </c>
      <c r="T65" s="101">
        <v>55479</v>
      </c>
      <c r="U65" s="101">
        <v>56034</v>
      </c>
      <c r="V65" s="101">
        <v>59944</v>
      </c>
      <c r="W65" s="101">
        <v>60561</v>
      </c>
      <c r="X65" s="149">
        <f t="shared" si="2"/>
        <v>0.76572829131652664</v>
      </c>
      <c r="Y65" s="184">
        <v>4.6199999999999998E-2</v>
      </c>
      <c r="Z65" s="253">
        <v>6.5</v>
      </c>
      <c r="AA65" s="149">
        <f t="shared" si="3"/>
        <v>-2.5084033613445376E-2</v>
      </c>
      <c r="AB65" s="149"/>
      <c r="AD65" s="101">
        <v>65910</v>
      </c>
      <c r="AE65" s="101">
        <v>66728</v>
      </c>
      <c r="AF65" s="101">
        <f t="shared" si="4"/>
        <v>-818</v>
      </c>
      <c r="AG65" s="101">
        <v>71400</v>
      </c>
      <c r="AH65" s="101">
        <v>73191</v>
      </c>
      <c r="AI65" s="101">
        <f t="shared" si="5"/>
        <v>-1791</v>
      </c>
    </row>
    <row r="66" spans="2:47" x14ac:dyDescent="0.25">
      <c r="B66" t="s">
        <v>288</v>
      </c>
      <c r="C66" s="101">
        <v>290875000</v>
      </c>
      <c r="D66" s="101">
        <f t="shared" si="0"/>
        <v>249140524</v>
      </c>
      <c r="E66" s="101">
        <v>0</v>
      </c>
      <c r="F66" s="101">
        <v>20956469</v>
      </c>
      <c r="G66" s="101">
        <v>12437394</v>
      </c>
      <c r="H66" s="101">
        <v>8340613</v>
      </c>
      <c r="I66" s="101">
        <v>55658000</v>
      </c>
      <c r="K66" s="101">
        <v>2918000</v>
      </c>
      <c r="L66" s="101">
        <f t="shared" si="1"/>
        <v>7311000</v>
      </c>
      <c r="M66" s="101">
        <v>356762000</v>
      </c>
      <c r="N66" s="101">
        <v>914</v>
      </c>
      <c r="O66" s="101">
        <v>6540</v>
      </c>
      <c r="P66" s="101">
        <v>1032</v>
      </c>
      <c r="Q66" s="101">
        <v>7518</v>
      </c>
      <c r="R66" s="101">
        <v>493717</v>
      </c>
      <c r="S66" s="101">
        <v>506203</v>
      </c>
      <c r="T66" s="101">
        <v>409558</v>
      </c>
      <c r="U66" s="101">
        <v>419732</v>
      </c>
      <c r="V66" s="101">
        <v>435296</v>
      </c>
      <c r="W66" s="101">
        <v>518575</v>
      </c>
      <c r="X66" s="149">
        <f t="shared" si="2"/>
        <v>0.72260424494194042</v>
      </c>
      <c r="Y66" s="184">
        <v>8.7900000000000006E-2</v>
      </c>
      <c r="Z66" s="253">
        <v>7</v>
      </c>
      <c r="AA66" s="149">
        <f t="shared" si="3"/>
        <v>-2.5289791520243379E-2</v>
      </c>
      <c r="AB66" s="149"/>
      <c r="AD66" s="101">
        <v>471879</v>
      </c>
      <c r="AE66" s="101">
        <v>520935</v>
      </c>
      <c r="AF66" s="101">
        <f t="shared" si="4"/>
        <v>-49056</v>
      </c>
      <c r="AG66" s="101">
        <v>493717</v>
      </c>
      <c r="AH66" s="101">
        <v>506203</v>
      </c>
      <c r="AI66" s="101">
        <f t="shared" si="5"/>
        <v>-12486</v>
      </c>
    </row>
    <row r="67" spans="2:47" x14ac:dyDescent="0.25">
      <c r="B67" t="s">
        <v>245</v>
      </c>
      <c r="C67" s="101">
        <v>162004000</v>
      </c>
      <c r="D67" s="101">
        <f t="shared" ref="D67:D130" si="6">SUM(C67,-F67,-G67,-H67)</f>
        <v>141319390</v>
      </c>
      <c r="E67" s="101">
        <v>0</v>
      </c>
      <c r="F67" s="101">
        <v>8380039</v>
      </c>
      <c r="G67" s="101">
        <v>7435912</v>
      </c>
      <c r="H67" s="101">
        <v>4868659</v>
      </c>
      <c r="I67" s="101">
        <v>28716000</v>
      </c>
      <c r="K67" s="101">
        <v>2942000</v>
      </c>
      <c r="L67" s="101">
        <f t="shared" ref="L67:L130" si="7">SUM(M67,-C67,-I67,-J67,-K67)</f>
        <v>7115000</v>
      </c>
      <c r="M67" s="101">
        <v>200777000</v>
      </c>
      <c r="N67" s="101">
        <v>683</v>
      </c>
      <c r="O67" s="101">
        <v>1739</v>
      </c>
      <c r="P67" s="101">
        <v>1058</v>
      </c>
      <c r="Q67" s="101">
        <v>3633</v>
      </c>
      <c r="R67" s="101">
        <v>257876</v>
      </c>
      <c r="S67" s="101">
        <v>266472</v>
      </c>
      <c r="T67" s="101">
        <v>214174</v>
      </c>
      <c r="U67" s="101">
        <v>216155</v>
      </c>
      <c r="V67" s="101">
        <v>225087</v>
      </c>
      <c r="W67" s="101">
        <v>220046</v>
      </c>
      <c r="X67" s="149">
        <f t="shared" ref="X67:X130" si="8">M67/(R67*1000)</f>
        <v>0.77857962741782871</v>
      </c>
      <c r="Y67" s="184">
        <v>5.4199999999999998E-2</v>
      </c>
      <c r="Z67" s="253">
        <v>5.5</v>
      </c>
      <c r="AA67" s="149">
        <f t="shared" ref="AA67:AA130" si="9">SUM(R67,-S67)/R67</f>
        <v>-3.333385037770091E-2</v>
      </c>
      <c r="AB67" s="149"/>
      <c r="AD67" s="101">
        <v>240484</v>
      </c>
      <c r="AE67" s="101">
        <v>246497</v>
      </c>
      <c r="AF67" s="101">
        <f t="shared" ref="AF67:AF130" si="10">SUM(AD67,-AE67)</f>
        <v>-6013</v>
      </c>
      <c r="AG67" s="101">
        <v>257876</v>
      </c>
      <c r="AH67" s="101">
        <v>266472</v>
      </c>
      <c r="AI67" s="101">
        <f t="shared" ref="AI67:AI130" si="11">SUM(AG67,-AH67)</f>
        <v>-8596</v>
      </c>
    </row>
    <row r="68" spans="2:47" x14ac:dyDescent="0.25">
      <c r="B68" t="s">
        <v>355</v>
      </c>
      <c r="C68" s="101">
        <v>66996000</v>
      </c>
      <c r="D68" s="101">
        <f t="shared" si="6"/>
        <v>62427564</v>
      </c>
      <c r="E68" s="101">
        <v>0</v>
      </c>
      <c r="F68" s="101">
        <v>0</v>
      </c>
      <c r="G68" s="101">
        <v>4144039</v>
      </c>
      <c r="H68" s="101">
        <v>424397</v>
      </c>
      <c r="I68" s="101">
        <v>7980000</v>
      </c>
      <c r="K68" s="101">
        <v>345000</v>
      </c>
      <c r="L68" s="101">
        <f t="shared" si="7"/>
        <v>1498000</v>
      </c>
      <c r="M68" s="101">
        <v>76819000</v>
      </c>
      <c r="N68" s="101">
        <v>181</v>
      </c>
      <c r="O68" s="101">
        <v>1046</v>
      </c>
      <c r="P68" s="101">
        <v>204</v>
      </c>
      <c r="Q68" s="101">
        <v>10725</v>
      </c>
      <c r="R68" s="101">
        <v>114415</v>
      </c>
      <c r="S68" s="101">
        <v>115052</v>
      </c>
      <c r="T68" s="101">
        <v>100509</v>
      </c>
      <c r="U68" s="101">
        <v>100089</v>
      </c>
      <c r="V68" s="101">
        <v>101543</v>
      </c>
      <c r="W68" s="101">
        <v>98589</v>
      </c>
      <c r="X68" s="149">
        <f t="shared" si="8"/>
        <v>0.67140672114670275</v>
      </c>
      <c r="Y68" s="184">
        <v>5.0299999999999997E-2</v>
      </c>
      <c r="Z68" s="253">
        <v>9</v>
      </c>
      <c r="AA68" s="149">
        <f t="shared" si="9"/>
        <v>-5.5674518201284801E-3</v>
      </c>
      <c r="AB68" s="149"/>
      <c r="AD68" s="101">
        <v>114532</v>
      </c>
      <c r="AE68" s="101">
        <v>112835</v>
      </c>
      <c r="AF68" s="101">
        <f t="shared" si="10"/>
        <v>1697</v>
      </c>
      <c r="AG68" s="101">
        <v>114415</v>
      </c>
      <c r="AH68" s="101">
        <v>115052</v>
      </c>
      <c r="AI68" s="101">
        <f t="shared" si="11"/>
        <v>-637</v>
      </c>
    </row>
    <row r="69" spans="2:47" x14ac:dyDescent="0.25">
      <c r="B69" t="s">
        <v>142</v>
      </c>
      <c r="C69" s="101">
        <v>286072000</v>
      </c>
      <c r="D69" s="101">
        <f t="shared" si="6"/>
        <v>241657184</v>
      </c>
      <c r="E69" s="101">
        <v>0</v>
      </c>
      <c r="F69" s="101">
        <v>19918098</v>
      </c>
      <c r="G69" s="101">
        <v>18087826</v>
      </c>
      <c r="H69" s="101">
        <v>6408892</v>
      </c>
      <c r="I69" s="101">
        <v>45819000</v>
      </c>
      <c r="K69" s="101">
        <v>3872000</v>
      </c>
      <c r="L69" s="101">
        <f t="shared" si="7"/>
        <v>8416000</v>
      </c>
      <c r="M69" s="101">
        <v>344179000</v>
      </c>
      <c r="N69" s="101">
        <v>1420</v>
      </c>
      <c r="O69" s="101">
        <v>2724</v>
      </c>
      <c r="P69" s="101">
        <v>1289</v>
      </c>
      <c r="Q69" s="101">
        <v>15111</v>
      </c>
      <c r="R69" s="101">
        <v>460883</v>
      </c>
      <c r="S69" s="101">
        <v>463602</v>
      </c>
      <c r="T69" s="101">
        <v>378726</v>
      </c>
      <c r="U69" s="101">
        <v>380214</v>
      </c>
      <c r="V69" s="101">
        <v>413067</v>
      </c>
      <c r="W69" s="101">
        <v>446002</v>
      </c>
      <c r="X69" s="149">
        <f t="shared" si="8"/>
        <v>0.74678172117435448</v>
      </c>
      <c r="Y69" s="184">
        <v>7.22E-2</v>
      </c>
      <c r="Z69" s="253">
        <v>7.5</v>
      </c>
      <c r="AA69" s="149">
        <f t="shared" si="9"/>
        <v>-5.899545003829605E-3</v>
      </c>
      <c r="AB69" s="149"/>
      <c r="AD69" s="101">
        <v>438175</v>
      </c>
      <c r="AE69" s="101">
        <v>456256</v>
      </c>
      <c r="AF69" s="101">
        <f t="shared" si="10"/>
        <v>-18081</v>
      </c>
      <c r="AG69" s="101">
        <v>460883</v>
      </c>
      <c r="AH69" s="101">
        <v>463602</v>
      </c>
      <c r="AI69" s="101">
        <f t="shared" si="11"/>
        <v>-2719</v>
      </c>
    </row>
    <row r="70" spans="2:47" x14ac:dyDescent="0.25">
      <c r="B70" t="s">
        <v>246</v>
      </c>
      <c r="C70" s="101">
        <v>62545000</v>
      </c>
      <c r="D70" s="101">
        <f t="shared" si="6"/>
        <v>60107029</v>
      </c>
      <c r="E70" s="101">
        <v>0</v>
      </c>
      <c r="F70" s="101">
        <v>0</v>
      </c>
      <c r="G70" s="101">
        <v>1955117</v>
      </c>
      <c r="H70" s="101">
        <v>482854</v>
      </c>
      <c r="I70" s="101">
        <v>7938000</v>
      </c>
      <c r="K70" s="101">
        <v>945000</v>
      </c>
      <c r="L70" s="101">
        <f t="shared" si="7"/>
        <v>1330000</v>
      </c>
      <c r="M70" s="101">
        <v>72758000</v>
      </c>
      <c r="N70" s="101">
        <v>388</v>
      </c>
      <c r="O70" s="101">
        <v>1682</v>
      </c>
      <c r="P70" s="101">
        <v>104</v>
      </c>
      <c r="Q70" s="101">
        <v>1086</v>
      </c>
      <c r="R70" s="101">
        <v>104352</v>
      </c>
      <c r="S70" s="101">
        <v>106548</v>
      </c>
      <c r="T70" s="101">
        <v>96754</v>
      </c>
      <c r="U70" s="101">
        <v>97208</v>
      </c>
      <c r="V70" s="101">
        <v>95491</v>
      </c>
      <c r="W70" s="101">
        <v>96049</v>
      </c>
      <c r="X70" s="149">
        <f t="shared" si="8"/>
        <v>0.69723627721557802</v>
      </c>
      <c r="Y70" s="184">
        <v>3.8399999999999997E-2</v>
      </c>
      <c r="Z70" s="253">
        <v>8</v>
      </c>
      <c r="AA70" s="149">
        <f t="shared" si="9"/>
        <v>-2.1044158233670653E-2</v>
      </c>
      <c r="AB70" s="149"/>
      <c r="AD70" s="101">
        <v>102501</v>
      </c>
      <c r="AE70" s="101">
        <v>102739</v>
      </c>
      <c r="AF70" s="101">
        <f t="shared" si="10"/>
        <v>-238</v>
      </c>
      <c r="AG70" s="101">
        <v>104352</v>
      </c>
      <c r="AH70" s="101">
        <v>106548</v>
      </c>
      <c r="AI70" s="101">
        <f t="shared" si="11"/>
        <v>-2196</v>
      </c>
    </row>
    <row r="71" spans="2:47" x14ac:dyDescent="0.25">
      <c r="B71" t="s">
        <v>772</v>
      </c>
      <c r="C71" s="101">
        <v>182203000</v>
      </c>
      <c r="D71" s="101">
        <f t="shared" si="6"/>
        <v>174821544</v>
      </c>
      <c r="E71" s="101">
        <v>0</v>
      </c>
      <c r="F71" s="101">
        <v>0</v>
      </c>
      <c r="G71" s="101">
        <v>6187552</v>
      </c>
      <c r="H71" s="101">
        <v>1193904</v>
      </c>
      <c r="I71" s="101">
        <v>22199000</v>
      </c>
      <c r="K71" s="101">
        <v>2500000</v>
      </c>
      <c r="L71" s="101">
        <f t="shared" si="7"/>
        <v>244000</v>
      </c>
      <c r="M71" s="101">
        <v>207146000</v>
      </c>
      <c r="N71" s="101">
        <v>0</v>
      </c>
      <c r="O71" s="101">
        <v>3367</v>
      </c>
      <c r="P71" s="101">
        <v>408</v>
      </c>
      <c r="Q71" s="101">
        <v>9572</v>
      </c>
      <c r="R71" s="101">
        <v>286971</v>
      </c>
      <c r="S71" s="101">
        <v>297174</v>
      </c>
      <c r="T71" s="101">
        <v>236097</v>
      </c>
      <c r="U71" s="101">
        <v>248795</v>
      </c>
      <c r="V71" s="101">
        <v>265472</v>
      </c>
      <c r="W71" s="101">
        <v>249898</v>
      </c>
      <c r="X71" s="149">
        <f t="shared" si="8"/>
        <v>0.72183600433493278</v>
      </c>
      <c r="Y71" s="184">
        <v>3.5000000000000003E-2</v>
      </c>
      <c r="Z71" s="253">
        <v>6.5</v>
      </c>
      <c r="AA71" s="149">
        <f t="shared" si="9"/>
        <v>-3.5554115224186417E-2</v>
      </c>
      <c r="AB71" s="149"/>
      <c r="AD71" s="101">
        <v>286210</v>
      </c>
      <c r="AE71" s="101">
        <v>288004</v>
      </c>
      <c r="AF71" s="101">
        <f t="shared" si="10"/>
        <v>-1794</v>
      </c>
      <c r="AG71" s="101">
        <v>286971</v>
      </c>
      <c r="AH71" s="101">
        <v>297174</v>
      </c>
      <c r="AI71" s="101">
        <f t="shared" si="11"/>
        <v>-10203</v>
      </c>
      <c r="AU71" s="102"/>
    </row>
    <row r="72" spans="2:47" x14ac:dyDescent="0.25">
      <c r="B72" t="s">
        <v>143</v>
      </c>
      <c r="C72" s="101">
        <v>49105000</v>
      </c>
      <c r="D72" s="101">
        <f t="shared" si="6"/>
        <v>46646808</v>
      </c>
      <c r="E72" s="101">
        <v>0</v>
      </c>
      <c r="F72" s="101">
        <v>0</v>
      </c>
      <c r="G72" s="101">
        <v>2100710</v>
      </c>
      <c r="H72" s="101">
        <v>357482</v>
      </c>
      <c r="I72" s="101">
        <v>4094000</v>
      </c>
      <c r="K72" s="101">
        <v>64000</v>
      </c>
      <c r="L72" s="101">
        <f t="shared" si="7"/>
        <v>757000</v>
      </c>
      <c r="M72" s="101">
        <v>54020000</v>
      </c>
      <c r="N72" s="101">
        <v>39</v>
      </c>
      <c r="O72" s="101">
        <v>1394</v>
      </c>
      <c r="P72" s="101">
        <v>1306</v>
      </c>
      <c r="Q72" s="101">
        <v>2528</v>
      </c>
      <c r="R72" s="101">
        <v>77500</v>
      </c>
      <c r="S72" s="101">
        <v>79603</v>
      </c>
      <c r="T72" s="101">
        <v>60954</v>
      </c>
      <c r="U72" s="101">
        <v>61204</v>
      </c>
      <c r="V72" s="101">
        <v>67035</v>
      </c>
      <c r="W72" s="101">
        <v>69905</v>
      </c>
      <c r="X72" s="149">
        <f t="shared" si="8"/>
        <v>0.69703225806451607</v>
      </c>
      <c r="Y72" s="184">
        <v>5.7200000000000001E-2</v>
      </c>
      <c r="Z72" s="253">
        <v>6.5</v>
      </c>
      <c r="AA72" s="149">
        <f t="shared" si="9"/>
        <v>-2.7135483870967741E-2</v>
      </c>
      <c r="AB72" s="149"/>
      <c r="AD72" s="101">
        <v>74087</v>
      </c>
      <c r="AE72" s="101">
        <v>74244</v>
      </c>
      <c r="AF72" s="101">
        <f t="shared" si="10"/>
        <v>-157</v>
      </c>
      <c r="AG72" s="101">
        <v>77500</v>
      </c>
      <c r="AH72" s="101">
        <v>79603</v>
      </c>
      <c r="AI72" s="101">
        <f t="shared" si="11"/>
        <v>-2103</v>
      </c>
      <c r="AU72" s="102"/>
    </row>
    <row r="73" spans="2:47" x14ac:dyDescent="0.25">
      <c r="B73" t="s">
        <v>173</v>
      </c>
      <c r="C73" s="101">
        <v>29222000</v>
      </c>
      <c r="D73" s="101">
        <f t="shared" si="6"/>
        <v>27431906</v>
      </c>
      <c r="E73" s="101">
        <v>0</v>
      </c>
      <c r="F73" s="101">
        <v>0</v>
      </c>
      <c r="G73" s="101">
        <v>1523607</v>
      </c>
      <c r="H73" s="101">
        <v>266487</v>
      </c>
      <c r="I73" s="101">
        <v>4500000</v>
      </c>
      <c r="K73" s="101">
        <v>300000</v>
      </c>
      <c r="L73" s="101">
        <f t="shared" si="7"/>
        <v>2275000</v>
      </c>
      <c r="M73" s="101">
        <v>36297000</v>
      </c>
      <c r="N73" s="101">
        <v>178</v>
      </c>
      <c r="O73" s="101">
        <v>195</v>
      </c>
      <c r="P73" s="101">
        <v>218</v>
      </c>
      <c r="Q73" s="101">
        <v>4</v>
      </c>
      <c r="R73" s="101">
        <v>46096</v>
      </c>
      <c r="S73" s="101">
        <v>47186</v>
      </c>
      <c r="T73" s="101">
        <v>36684</v>
      </c>
      <c r="U73" s="101">
        <v>37159</v>
      </c>
      <c r="V73" s="101">
        <v>38626</v>
      </c>
      <c r="W73" s="101">
        <v>36298</v>
      </c>
      <c r="X73" s="149">
        <f t="shared" si="8"/>
        <v>0.78742190211732033</v>
      </c>
      <c r="Y73" s="184">
        <v>5.9299999999999999E-2</v>
      </c>
      <c r="Z73" s="253">
        <v>6.5</v>
      </c>
      <c r="AA73" s="149">
        <f t="shared" si="9"/>
        <v>-2.3646303366886497E-2</v>
      </c>
      <c r="AB73" s="149"/>
      <c r="AD73" s="101">
        <v>40550</v>
      </c>
      <c r="AE73" s="101">
        <v>41382</v>
      </c>
      <c r="AF73" s="101">
        <f t="shared" si="10"/>
        <v>-832</v>
      </c>
      <c r="AG73" s="101">
        <v>46096</v>
      </c>
      <c r="AH73" s="101">
        <v>47186</v>
      </c>
      <c r="AI73" s="101">
        <f t="shared" si="11"/>
        <v>-1090</v>
      </c>
    </row>
    <row r="74" spans="2:47" x14ac:dyDescent="0.25">
      <c r="B74" t="s">
        <v>174</v>
      </c>
      <c r="C74" s="101">
        <v>182074000</v>
      </c>
      <c r="D74" s="101">
        <f t="shared" si="6"/>
        <v>136550973</v>
      </c>
      <c r="E74" s="101">
        <v>0</v>
      </c>
      <c r="F74" s="101">
        <v>30372127</v>
      </c>
      <c r="G74" s="101">
        <v>8636874</v>
      </c>
      <c r="H74" s="101">
        <v>6514026</v>
      </c>
      <c r="I74" s="101">
        <v>20462000</v>
      </c>
      <c r="K74" s="101">
        <v>3484000</v>
      </c>
      <c r="L74" s="101">
        <f t="shared" si="7"/>
        <v>11248000</v>
      </c>
      <c r="M74" s="101">
        <v>217268000</v>
      </c>
      <c r="N74" s="101">
        <v>122</v>
      </c>
      <c r="O74" s="101">
        <v>1771</v>
      </c>
      <c r="P74" s="101">
        <v>0</v>
      </c>
      <c r="Q74" s="101">
        <v>10889</v>
      </c>
      <c r="R74" s="101">
        <v>314509</v>
      </c>
      <c r="S74" s="101">
        <v>309504</v>
      </c>
      <c r="T74" s="101">
        <v>248187</v>
      </c>
      <c r="U74" s="101">
        <v>249428</v>
      </c>
      <c r="V74" s="101">
        <v>252580</v>
      </c>
      <c r="W74" s="101">
        <v>253515</v>
      </c>
      <c r="X74" s="149">
        <f t="shared" si="8"/>
        <v>0.69081647901967824</v>
      </c>
      <c r="Y74" s="184">
        <v>6.0100000000000001E-2</v>
      </c>
      <c r="Z74" s="253">
        <v>8</v>
      </c>
      <c r="AA74" s="149">
        <f t="shared" si="9"/>
        <v>1.5913694043731656E-2</v>
      </c>
      <c r="AB74" s="149"/>
      <c r="AD74" s="101">
        <v>273921</v>
      </c>
      <c r="AE74" s="101">
        <v>269449</v>
      </c>
      <c r="AF74" s="101">
        <f t="shared" si="10"/>
        <v>4472</v>
      </c>
      <c r="AG74" s="101">
        <v>314509</v>
      </c>
      <c r="AH74" s="101">
        <v>309504</v>
      </c>
      <c r="AI74" s="101">
        <f t="shared" si="11"/>
        <v>5005</v>
      </c>
    </row>
    <row r="75" spans="2:47" x14ac:dyDescent="0.25">
      <c r="B75" t="s">
        <v>356</v>
      </c>
      <c r="C75" s="101">
        <v>51225000</v>
      </c>
      <c r="D75" s="101">
        <f t="shared" si="6"/>
        <v>49348592</v>
      </c>
      <c r="E75" s="101">
        <v>0</v>
      </c>
      <c r="F75" s="101">
        <v>0</v>
      </c>
      <c r="G75" s="101">
        <v>1533891</v>
      </c>
      <c r="H75" s="101">
        <v>342517</v>
      </c>
      <c r="I75" s="101">
        <v>5848000</v>
      </c>
      <c r="K75" s="101">
        <v>504000</v>
      </c>
      <c r="L75" s="101">
        <f t="shared" si="7"/>
        <v>822000</v>
      </c>
      <c r="M75" s="101">
        <v>58399000</v>
      </c>
      <c r="N75" s="101">
        <v>0</v>
      </c>
      <c r="O75" s="101">
        <v>678</v>
      </c>
      <c r="P75" s="101">
        <v>40</v>
      </c>
      <c r="Q75" s="101">
        <v>5317</v>
      </c>
      <c r="R75" s="101">
        <v>82093</v>
      </c>
      <c r="S75" s="101">
        <v>81404</v>
      </c>
      <c r="T75" s="101">
        <v>64853</v>
      </c>
      <c r="U75" s="101">
        <v>64075</v>
      </c>
      <c r="V75" s="101">
        <v>66643</v>
      </c>
      <c r="W75" s="101">
        <v>66671</v>
      </c>
      <c r="X75" s="149">
        <f t="shared" si="8"/>
        <v>0.7113761222028675</v>
      </c>
      <c r="Y75" s="184">
        <v>4.9200000000000001E-2</v>
      </c>
      <c r="Z75" s="253">
        <v>8</v>
      </c>
      <c r="AA75" s="149">
        <f t="shared" si="9"/>
        <v>8.3929202246232938E-3</v>
      </c>
      <c r="AB75" s="149"/>
      <c r="AD75" s="101">
        <v>71507</v>
      </c>
      <c r="AE75" s="101">
        <v>70339</v>
      </c>
      <c r="AF75" s="101">
        <f t="shared" si="10"/>
        <v>1168</v>
      </c>
      <c r="AG75" s="101">
        <v>82093</v>
      </c>
      <c r="AH75" s="101">
        <v>81404</v>
      </c>
      <c r="AI75" s="101">
        <f t="shared" si="11"/>
        <v>689</v>
      </c>
    </row>
    <row r="76" spans="2:47" x14ac:dyDescent="0.25">
      <c r="B76" t="s">
        <v>289</v>
      </c>
      <c r="C76" s="101">
        <v>380621000</v>
      </c>
      <c r="D76" s="101">
        <f t="shared" si="6"/>
        <v>300765041</v>
      </c>
      <c r="E76" s="101">
        <v>0</v>
      </c>
      <c r="F76" s="101">
        <v>44817661</v>
      </c>
      <c r="G76" s="101">
        <v>20594213</v>
      </c>
      <c r="H76" s="101">
        <v>14444085</v>
      </c>
      <c r="I76" s="101">
        <v>67833000</v>
      </c>
      <c r="K76" s="101">
        <v>10430000</v>
      </c>
      <c r="L76" s="101">
        <f t="shared" si="7"/>
        <v>13508000</v>
      </c>
      <c r="M76" s="101">
        <v>472392000</v>
      </c>
      <c r="N76" s="101">
        <v>274</v>
      </c>
      <c r="O76" s="101">
        <v>9335</v>
      </c>
      <c r="P76" s="101">
        <v>2028</v>
      </c>
      <c r="Q76" s="101">
        <v>89041</v>
      </c>
      <c r="R76" s="101">
        <v>769647</v>
      </c>
      <c r="S76" s="101">
        <v>779249</v>
      </c>
      <c r="T76" s="101">
        <v>526349</v>
      </c>
      <c r="U76" s="101">
        <v>545350</v>
      </c>
      <c r="V76" s="101">
        <v>617669</v>
      </c>
      <c r="W76" s="101">
        <v>624964</v>
      </c>
      <c r="X76" s="149">
        <f t="shared" si="8"/>
        <v>0.613777485002865</v>
      </c>
      <c r="Y76" s="184">
        <v>6.8000000000000005E-2</v>
      </c>
      <c r="Z76" s="253">
        <v>7</v>
      </c>
      <c r="AA76" s="149">
        <f t="shared" si="9"/>
        <v>-1.2475849317934065E-2</v>
      </c>
      <c r="AB76" s="149"/>
      <c r="AD76" s="101">
        <v>667731</v>
      </c>
      <c r="AE76" s="101">
        <v>687717</v>
      </c>
      <c r="AF76" s="101">
        <f t="shared" si="10"/>
        <v>-19986</v>
      </c>
      <c r="AG76" s="101">
        <v>769647</v>
      </c>
      <c r="AH76" s="101">
        <v>779249</v>
      </c>
      <c r="AI76" s="101">
        <f t="shared" si="11"/>
        <v>-9602</v>
      </c>
    </row>
    <row r="77" spans="2:47" x14ac:dyDescent="0.25">
      <c r="B77" t="s">
        <v>247</v>
      </c>
      <c r="C77" s="101">
        <v>38659000</v>
      </c>
      <c r="D77" s="101">
        <f t="shared" si="6"/>
        <v>36959694</v>
      </c>
      <c r="E77" s="101">
        <v>0</v>
      </c>
      <c r="F77" s="101">
        <v>0</v>
      </c>
      <c r="G77" s="101">
        <v>1358892</v>
      </c>
      <c r="H77" s="101">
        <v>340414</v>
      </c>
      <c r="I77" s="101">
        <v>3250000</v>
      </c>
      <c r="K77" s="101">
        <v>0</v>
      </c>
      <c r="L77" s="101">
        <f t="shared" si="7"/>
        <v>616000</v>
      </c>
      <c r="M77" s="101">
        <v>42525000</v>
      </c>
      <c r="N77" s="101">
        <v>23</v>
      </c>
      <c r="O77" s="101">
        <v>538</v>
      </c>
      <c r="P77" s="101">
        <v>166</v>
      </c>
      <c r="Q77" s="101">
        <v>0</v>
      </c>
      <c r="R77" s="101">
        <v>56093</v>
      </c>
      <c r="S77" s="101">
        <v>57698</v>
      </c>
      <c r="T77" s="101">
        <v>43493</v>
      </c>
      <c r="U77" s="101">
        <v>44657</v>
      </c>
      <c r="V77" s="101">
        <v>48582</v>
      </c>
      <c r="W77" s="101">
        <v>45966</v>
      </c>
      <c r="X77" s="149">
        <f t="shared" si="8"/>
        <v>0.75811598595190133</v>
      </c>
      <c r="Y77" s="184">
        <v>4.4900000000000002E-2</v>
      </c>
      <c r="Z77" s="253">
        <v>5.5</v>
      </c>
      <c r="AA77" s="149">
        <f t="shared" si="9"/>
        <v>-2.8613195942452714E-2</v>
      </c>
      <c r="AB77" s="149"/>
      <c r="AD77" s="101">
        <v>52360</v>
      </c>
      <c r="AE77" s="101">
        <v>53104</v>
      </c>
      <c r="AF77" s="101">
        <f t="shared" si="10"/>
        <v>-744</v>
      </c>
      <c r="AG77" s="101">
        <v>56093</v>
      </c>
      <c r="AH77" s="101">
        <v>57698</v>
      </c>
      <c r="AI77" s="101">
        <f t="shared" si="11"/>
        <v>-1605</v>
      </c>
    </row>
    <row r="78" spans="2:47" x14ac:dyDescent="0.25">
      <c r="B78" t="s">
        <v>357</v>
      </c>
      <c r="C78" s="101">
        <v>50537000</v>
      </c>
      <c r="D78" s="101">
        <f t="shared" si="6"/>
        <v>48736519</v>
      </c>
      <c r="E78" s="101">
        <v>0</v>
      </c>
      <c r="F78" s="101">
        <v>0</v>
      </c>
      <c r="G78" s="101">
        <v>1446281</v>
      </c>
      <c r="H78" s="101">
        <v>354200</v>
      </c>
      <c r="I78" s="101">
        <v>3943000</v>
      </c>
      <c r="K78" s="101">
        <v>311000</v>
      </c>
      <c r="L78" s="101">
        <f t="shared" si="7"/>
        <v>2006000</v>
      </c>
      <c r="M78" s="101">
        <v>56797000</v>
      </c>
      <c r="N78" s="101">
        <v>265</v>
      </c>
      <c r="O78" s="101">
        <v>694</v>
      </c>
      <c r="P78" s="101">
        <v>83</v>
      </c>
      <c r="Q78" s="101">
        <v>669</v>
      </c>
      <c r="R78" s="101">
        <v>77305</v>
      </c>
      <c r="S78" s="101">
        <v>77130</v>
      </c>
      <c r="T78" s="101">
        <v>64263</v>
      </c>
      <c r="U78" s="101">
        <v>63541</v>
      </c>
      <c r="V78" s="101">
        <v>67979</v>
      </c>
      <c r="W78" s="101">
        <v>67281</v>
      </c>
      <c r="X78" s="149">
        <f t="shared" si="8"/>
        <v>0.73471314921415176</v>
      </c>
      <c r="Y78" s="184">
        <v>4.5600000000000002E-2</v>
      </c>
      <c r="Z78" s="253">
        <v>7.5</v>
      </c>
      <c r="AA78" s="149">
        <f t="shared" si="9"/>
        <v>2.2637604294676928E-3</v>
      </c>
      <c r="AB78" s="149"/>
      <c r="AD78" s="101">
        <v>76791</v>
      </c>
      <c r="AE78" s="101">
        <v>76910</v>
      </c>
      <c r="AF78" s="101">
        <f t="shared" si="10"/>
        <v>-119</v>
      </c>
      <c r="AG78" s="101">
        <v>77305</v>
      </c>
      <c r="AH78" s="101">
        <v>77130</v>
      </c>
      <c r="AI78" s="101">
        <f t="shared" si="11"/>
        <v>175</v>
      </c>
    </row>
    <row r="79" spans="2:47" x14ac:dyDescent="0.25">
      <c r="B79" t="s">
        <v>428</v>
      </c>
      <c r="C79" s="101">
        <v>88889000</v>
      </c>
      <c r="D79" s="101">
        <f t="shared" si="6"/>
        <v>86206927</v>
      </c>
      <c r="E79" s="101">
        <v>0</v>
      </c>
      <c r="F79" s="101">
        <v>0</v>
      </c>
      <c r="G79" s="101">
        <v>1956310</v>
      </c>
      <c r="H79" s="101">
        <v>725763</v>
      </c>
      <c r="I79" s="101">
        <v>11085000</v>
      </c>
      <c r="K79" s="101">
        <v>1352000</v>
      </c>
      <c r="L79" s="101">
        <f t="shared" si="7"/>
        <v>5830000</v>
      </c>
      <c r="M79" s="101">
        <v>107156000</v>
      </c>
      <c r="N79" s="101">
        <v>824</v>
      </c>
      <c r="O79" s="101">
        <v>791</v>
      </c>
      <c r="P79" s="101">
        <v>265</v>
      </c>
      <c r="Q79" s="101">
        <v>1958</v>
      </c>
      <c r="R79" s="101">
        <v>147113</v>
      </c>
      <c r="S79" s="101">
        <v>151312</v>
      </c>
      <c r="T79" s="101">
        <v>108539</v>
      </c>
      <c r="U79" s="101">
        <v>110803</v>
      </c>
      <c r="V79" s="101">
        <v>125630</v>
      </c>
      <c r="W79" s="101">
        <v>127971</v>
      </c>
      <c r="X79" s="149">
        <f t="shared" si="8"/>
        <v>0.7283924602176558</v>
      </c>
      <c r="Y79" s="184">
        <v>5.4800000000000001E-2</v>
      </c>
      <c r="Z79" s="253">
        <v>6</v>
      </c>
      <c r="AA79" s="149">
        <f t="shared" si="9"/>
        <v>-2.8542684874892088E-2</v>
      </c>
      <c r="AB79" s="149"/>
      <c r="AD79" s="101">
        <v>138288</v>
      </c>
      <c r="AE79" s="101">
        <v>141433</v>
      </c>
      <c r="AF79" s="101">
        <f t="shared" si="10"/>
        <v>-3145</v>
      </c>
      <c r="AG79" s="101">
        <v>147113</v>
      </c>
      <c r="AH79" s="101">
        <v>151312</v>
      </c>
      <c r="AI79" s="101">
        <f t="shared" si="11"/>
        <v>-4199</v>
      </c>
    </row>
    <row r="80" spans="2:47" x14ac:dyDescent="0.25">
      <c r="B80" t="s">
        <v>175</v>
      </c>
      <c r="C80" s="101">
        <v>41701000</v>
      </c>
      <c r="D80" s="101">
        <f t="shared" si="6"/>
        <v>39074401</v>
      </c>
      <c r="E80" s="101">
        <v>0</v>
      </c>
      <c r="F80" s="101">
        <v>0</v>
      </c>
      <c r="G80" s="101">
        <v>2202905</v>
      </c>
      <c r="H80" s="101">
        <v>423694</v>
      </c>
      <c r="I80" s="101">
        <v>4456000</v>
      </c>
      <c r="K80" s="101">
        <v>350000</v>
      </c>
      <c r="L80" s="101">
        <f t="shared" si="7"/>
        <v>3579000</v>
      </c>
      <c r="M80" s="101">
        <v>50086000</v>
      </c>
      <c r="N80" s="101">
        <v>120</v>
      </c>
      <c r="O80" s="101">
        <v>1336</v>
      </c>
      <c r="P80" s="101">
        <v>50</v>
      </c>
      <c r="Q80" s="101">
        <v>5337</v>
      </c>
      <c r="R80" s="101">
        <v>71860</v>
      </c>
      <c r="S80" s="101">
        <v>73647</v>
      </c>
      <c r="T80" s="101">
        <v>47301</v>
      </c>
      <c r="U80" s="101">
        <v>49181</v>
      </c>
      <c r="V80" s="101">
        <v>53445</v>
      </c>
      <c r="W80" s="101">
        <v>50787</v>
      </c>
      <c r="X80" s="149">
        <f t="shared" si="8"/>
        <v>0.69699415530197606</v>
      </c>
      <c r="Y80" s="184">
        <v>3.9399999999999998E-2</v>
      </c>
      <c r="Z80" s="253">
        <v>8</v>
      </c>
      <c r="AA80" s="149">
        <f t="shared" si="9"/>
        <v>-2.486779849707765E-2</v>
      </c>
      <c r="AB80" s="149"/>
      <c r="AD80" s="101">
        <v>59074</v>
      </c>
      <c r="AE80" s="101">
        <v>60140</v>
      </c>
      <c r="AF80" s="101">
        <f t="shared" si="10"/>
        <v>-1066</v>
      </c>
      <c r="AG80" s="101">
        <v>71860</v>
      </c>
      <c r="AH80" s="101">
        <v>73647</v>
      </c>
      <c r="AI80" s="101">
        <f t="shared" si="11"/>
        <v>-1787</v>
      </c>
    </row>
    <row r="81" spans="2:35" x14ac:dyDescent="0.25">
      <c r="B81" t="s">
        <v>176</v>
      </c>
      <c r="C81" s="101">
        <v>49974000</v>
      </c>
      <c r="D81" s="101">
        <f t="shared" si="6"/>
        <v>47689872</v>
      </c>
      <c r="E81" s="101">
        <v>0</v>
      </c>
      <c r="F81" s="101">
        <v>0</v>
      </c>
      <c r="G81" s="101">
        <v>1881585</v>
      </c>
      <c r="H81" s="101">
        <v>402543</v>
      </c>
      <c r="I81" s="101">
        <v>6518000</v>
      </c>
      <c r="K81" s="101">
        <v>507000</v>
      </c>
      <c r="L81" s="101">
        <f t="shared" si="7"/>
        <v>1099000</v>
      </c>
      <c r="M81" s="101">
        <v>58098000</v>
      </c>
      <c r="N81" s="101">
        <v>26</v>
      </c>
      <c r="O81" s="101">
        <v>1227</v>
      </c>
      <c r="P81" s="101">
        <v>108</v>
      </c>
      <c r="Q81" s="101">
        <v>283</v>
      </c>
      <c r="R81" s="101">
        <v>76686</v>
      </c>
      <c r="S81" s="101">
        <v>82068</v>
      </c>
      <c r="T81" s="101">
        <v>64484</v>
      </c>
      <c r="U81" s="101">
        <v>65615</v>
      </c>
      <c r="V81" s="101">
        <v>70455</v>
      </c>
      <c r="W81" s="101">
        <v>70597</v>
      </c>
      <c r="X81" s="149">
        <f t="shared" si="8"/>
        <v>0.7576089507863234</v>
      </c>
      <c r="Y81" s="184">
        <v>5.11E-2</v>
      </c>
      <c r="Z81" s="253">
        <v>7.5</v>
      </c>
      <c r="AA81" s="149">
        <f t="shared" si="9"/>
        <v>-7.0182301854314996E-2</v>
      </c>
      <c r="AB81" s="149"/>
      <c r="AD81" s="101">
        <v>74603</v>
      </c>
      <c r="AE81" s="101">
        <v>77502</v>
      </c>
      <c r="AF81" s="101">
        <f t="shared" si="10"/>
        <v>-2899</v>
      </c>
      <c r="AG81" s="101">
        <v>76686</v>
      </c>
      <c r="AH81" s="101">
        <v>82068</v>
      </c>
      <c r="AI81" s="101">
        <f t="shared" si="11"/>
        <v>-5382</v>
      </c>
    </row>
    <row r="82" spans="2:35" x14ac:dyDescent="0.25">
      <c r="B82" t="s">
        <v>401</v>
      </c>
      <c r="C82" s="101">
        <v>66757000</v>
      </c>
      <c r="D82" s="101">
        <f t="shared" si="6"/>
        <v>62846745</v>
      </c>
      <c r="E82" s="101">
        <v>0</v>
      </c>
      <c r="F82" s="101">
        <v>0</v>
      </c>
      <c r="G82" s="101">
        <v>3377948</v>
      </c>
      <c r="H82" s="101">
        <v>532307</v>
      </c>
      <c r="I82" s="101">
        <v>7023000</v>
      </c>
      <c r="K82" s="101">
        <v>606000</v>
      </c>
      <c r="L82" s="101">
        <f t="shared" si="7"/>
        <v>1927000</v>
      </c>
      <c r="M82" s="101">
        <v>76313000</v>
      </c>
      <c r="N82" s="101">
        <v>587</v>
      </c>
      <c r="O82" s="101">
        <v>473</v>
      </c>
      <c r="P82" s="101">
        <v>286</v>
      </c>
      <c r="Q82" s="101">
        <v>97</v>
      </c>
      <c r="R82" s="101">
        <v>109305</v>
      </c>
      <c r="S82" s="101">
        <v>109020</v>
      </c>
      <c r="T82" s="101">
        <v>83832</v>
      </c>
      <c r="U82" s="101">
        <v>84039</v>
      </c>
      <c r="V82" s="101">
        <v>93726</v>
      </c>
      <c r="W82" s="101">
        <v>93952</v>
      </c>
      <c r="X82" s="149">
        <f t="shared" si="8"/>
        <v>0.69816568318009242</v>
      </c>
      <c r="Y82" s="184">
        <v>4.8399999999999999E-2</v>
      </c>
      <c r="Z82" s="253">
        <v>7</v>
      </c>
      <c r="AA82" s="149">
        <f t="shared" si="9"/>
        <v>2.6073830108412242E-3</v>
      </c>
      <c r="AB82" s="149"/>
      <c r="AD82" s="101">
        <v>101822</v>
      </c>
      <c r="AE82" s="101">
        <v>100245</v>
      </c>
      <c r="AF82" s="101">
        <f t="shared" si="10"/>
        <v>1577</v>
      </c>
      <c r="AG82" s="101">
        <v>109305</v>
      </c>
      <c r="AH82" s="101">
        <v>109020</v>
      </c>
      <c r="AI82" s="101">
        <f t="shared" si="11"/>
        <v>285</v>
      </c>
    </row>
    <row r="83" spans="2:35" x14ac:dyDescent="0.25">
      <c r="B83" t="s">
        <v>248</v>
      </c>
      <c r="C83" s="101">
        <v>68059000</v>
      </c>
      <c r="D83" s="101">
        <f t="shared" si="6"/>
        <v>65927998</v>
      </c>
      <c r="E83" s="101">
        <v>0</v>
      </c>
      <c r="F83" s="101">
        <v>0</v>
      </c>
      <c r="G83" s="101">
        <v>1667288</v>
      </c>
      <c r="H83" s="101">
        <v>463714</v>
      </c>
      <c r="I83" s="101">
        <v>5453000</v>
      </c>
      <c r="K83" s="101">
        <v>674000</v>
      </c>
      <c r="L83" s="101">
        <f t="shared" si="7"/>
        <v>5833000</v>
      </c>
      <c r="M83" s="101">
        <v>80019000</v>
      </c>
      <c r="N83" s="101">
        <v>99</v>
      </c>
      <c r="O83" s="101">
        <v>2497</v>
      </c>
      <c r="P83" s="101">
        <v>330</v>
      </c>
      <c r="Q83" s="101">
        <v>504</v>
      </c>
      <c r="R83" s="101">
        <v>110172</v>
      </c>
      <c r="S83" s="101">
        <v>116806</v>
      </c>
      <c r="T83" s="101">
        <v>81952</v>
      </c>
      <c r="U83" s="101">
        <v>88252</v>
      </c>
      <c r="V83" s="101">
        <v>95163</v>
      </c>
      <c r="W83" s="101">
        <v>98932</v>
      </c>
      <c r="X83" s="149">
        <f t="shared" si="8"/>
        <v>0.72630977017754061</v>
      </c>
      <c r="Y83" s="184">
        <v>4.8500000000000001E-2</v>
      </c>
      <c r="Z83" s="253">
        <v>6</v>
      </c>
      <c r="AA83" s="149">
        <f t="shared" si="9"/>
        <v>-6.0214936644519476E-2</v>
      </c>
      <c r="AB83" s="149"/>
      <c r="AD83" s="101">
        <v>103653</v>
      </c>
      <c r="AE83" s="101">
        <v>119133</v>
      </c>
      <c r="AF83" s="101">
        <f t="shared" si="10"/>
        <v>-15480</v>
      </c>
      <c r="AG83" s="101">
        <v>110172</v>
      </c>
      <c r="AH83" s="101">
        <v>116806</v>
      </c>
      <c r="AI83" s="101">
        <f t="shared" si="11"/>
        <v>-6634</v>
      </c>
    </row>
    <row r="84" spans="2:35" x14ac:dyDescent="0.25">
      <c r="B84" t="s">
        <v>177</v>
      </c>
      <c r="C84" s="101">
        <v>284014000</v>
      </c>
      <c r="D84" s="101">
        <f t="shared" si="6"/>
        <v>239964032</v>
      </c>
      <c r="E84" s="101">
        <v>0</v>
      </c>
      <c r="F84" s="101">
        <v>25749787</v>
      </c>
      <c r="G84" s="101">
        <v>8756317</v>
      </c>
      <c r="H84" s="101">
        <v>9543864</v>
      </c>
      <c r="I84" s="101">
        <v>29728000</v>
      </c>
      <c r="K84" s="101">
        <v>5851000</v>
      </c>
      <c r="L84" s="101">
        <f t="shared" si="7"/>
        <v>22966000</v>
      </c>
      <c r="M84" s="101">
        <v>342559000</v>
      </c>
      <c r="N84" s="101">
        <v>1068</v>
      </c>
      <c r="O84" s="101">
        <v>7474</v>
      </c>
      <c r="P84" s="101">
        <v>479</v>
      </c>
      <c r="Q84" s="101">
        <v>11714</v>
      </c>
      <c r="R84" s="101">
        <v>471127</v>
      </c>
      <c r="S84" s="101">
        <v>474488</v>
      </c>
      <c r="T84" s="101">
        <v>394066</v>
      </c>
      <c r="U84" s="101">
        <v>392274</v>
      </c>
      <c r="V84" s="101">
        <v>400245</v>
      </c>
      <c r="W84" s="101">
        <v>385053</v>
      </c>
      <c r="X84" s="149">
        <f t="shared" si="8"/>
        <v>0.72710543017063345</v>
      </c>
      <c r="Y84" s="184">
        <v>4.7500000000000001E-2</v>
      </c>
      <c r="Z84" s="253">
        <v>10</v>
      </c>
      <c r="AA84" s="149">
        <f t="shared" si="9"/>
        <v>-7.1339575103952866E-3</v>
      </c>
      <c r="AB84" s="149"/>
      <c r="AD84" s="101">
        <v>436940</v>
      </c>
      <c r="AE84" s="101">
        <v>435359</v>
      </c>
      <c r="AF84" s="101">
        <f t="shared" si="10"/>
        <v>1581</v>
      </c>
      <c r="AG84" s="101">
        <v>471127</v>
      </c>
      <c r="AH84" s="101">
        <v>474488</v>
      </c>
      <c r="AI84" s="101">
        <f t="shared" si="11"/>
        <v>-3361</v>
      </c>
    </row>
    <row r="85" spans="2:35" x14ac:dyDescent="0.25">
      <c r="B85" t="s">
        <v>218</v>
      </c>
      <c r="C85" s="101">
        <v>16424000</v>
      </c>
      <c r="D85" s="101">
        <f t="shared" si="6"/>
        <v>15887143</v>
      </c>
      <c r="E85" s="101">
        <v>0</v>
      </c>
      <c r="F85" s="101">
        <v>0</v>
      </c>
      <c r="G85" s="101">
        <v>263662</v>
      </c>
      <c r="H85" s="101">
        <v>273195</v>
      </c>
      <c r="I85" s="101">
        <v>1472000</v>
      </c>
      <c r="K85" s="101">
        <v>246000</v>
      </c>
      <c r="L85" s="101">
        <f t="shared" si="7"/>
        <v>2221000</v>
      </c>
      <c r="M85" s="101">
        <v>20363000</v>
      </c>
      <c r="N85" s="101">
        <v>75</v>
      </c>
      <c r="O85" s="101">
        <v>961</v>
      </c>
      <c r="P85" s="101">
        <v>50</v>
      </c>
      <c r="Q85" s="101">
        <v>817</v>
      </c>
      <c r="R85" s="101">
        <v>31304</v>
      </c>
      <c r="S85" s="101">
        <v>32028</v>
      </c>
      <c r="T85" s="101">
        <v>29607</v>
      </c>
      <c r="U85" s="101">
        <v>28569</v>
      </c>
      <c r="V85" s="101">
        <v>28504</v>
      </c>
      <c r="W85" s="101">
        <v>28455</v>
      </c>
      <c r="X85" s="149">
        <f t="shared" si="8"/>
        <v>0.65049194991055459</v>
      </c>
      <c r="Y85" s="184">
        <v>4.8500000000000001E-2</v>
      </c>
      <c r="Z85" s="253">
        <v>6.5</v>
      </c>
      <c r="AA85" s="149">
        <f t="shared" si="9"/>
        <v>-2.3128034755941732E-2</v>
      </c>
      <c r="AB85" s="149"/>
      <c r="AD85" s="101">
        <v>29134</v>
      </c>
      <c r="AE85" s="101">
        <v>29745</v>
      </c>
      <c r="AF85" s="101">
        <f t="shared" si="10"/>
        <v>-611</v>
      </c>
      <c r="AG85" s="101">
        <v>31304</v>
      </c>
      <c r="AH85" s="101">
        <v>32028</v>
      </c>
      <c r="AI85" s="101">
        <f t="shared" si="11"/>
        <v>-724</v>
      </c>
    </row>
    <row r="86" spans="2:35" x14ac:dyDescent="0.25">
      <c r="B86" t="s">
        <v>719</v>
      </c>
      <c r="C86" s="101">
        <v>131306000</v>
      </c>
      <c r="D86" s="101">
        <f t="shared" si="6"/>
        <v>120434136</v>
      </c>
      <c r="E86" s="101">
        <v>0</v>
      </c>
      <c r="F86" s="101">
        <v>0</v>
      </c>
      <c r="G86" s="101">
        <v>9708193</v>
      </c>
      <c r="H86" s="101">
        <v>1163671</v>
      </c>
      <c r="I86" s="101">
        <v>24848000</v>
      </c>
      <c r="K86" s="101">
        <v>3620000</v>
      </c>
      <c r="L86" s="101">
        <f t="shared" si="7"/>
        <v>18415000</v>
      </c>
      <c r="M86" s="101">
        <v>178189000</v>
      </c>
      <c r="N86" s="101">
        <v>179</v>
      </c>
      <c r="O86" s="101">
        <v>1154</v>
      </c>
      <c r="P86" s="101">
        <v>731</v>
      </c>
      <c r="Q86" s="101">
        <v>7621</v>
      </c>
      <c r="R86" s="101">
        <v>302529</v>
      </c>
      <c r="S86" s="101">
        <v>308016</v>
      </c>
      <c r="T86" s="101">
        <v>319987</v>
      </c>
      <c r="U86" s="101">
        <v>322333</v>
      </c>
      <c r="V86" s="101">
        <v>351712</v>
      </c>
      <c r="W86" s="101">
        <v>351338</v>
      </c>
      <c r="X86" s="149">
        <f t="shared" si="8"/>
        <v>0.5889980795229548</v>
      </c>
      <c r="Y86" s="184">
        <v>0.1341</v>
      </c>
      <c r="Z86" s="253">
        <v>6</v>
      </c>
      <c r="AA86" s="149">
        <f t="shared" si="9"/>
        <v>-1.8137104211497078E-2</v>
      </c>
      <c r="AB86" s="149"/>
      <c r="AD86" s="101">
        <v>313304</v>
      </c>
      <c r="AE86" s="101">
        <v>316685</v>
      </c>
      <c r="AF86" s="101">
        <f t="shared" si="10"/>
        <v>-3381</v>
      </c>
      <c r="AG86" s="101">
        <v>302529</v>
      </c>
      <c r="AH86" s="101">
        <v>308016</v>
      </c>
      <c r="AI86" s="101">
        <f t="shared" si="11"/>
        <v>-5487</v>
      </c>
    </row>
    <row r="87" spans="2:35" x14ac:dyDescent="0.25">
      <c r="B87" t="s">
        <v>358</v>
      </c>
      <c r="C87" s="101">
        <v>37944000</v>
      </c>
      <c r="D87" s="101">
        <f t="shared" si="6"/>
        <v>34923983</v>
      </c>
      <c r="E87" s="101">
        <v>0</v>
      </c>
      <c r="F87" s="101">
        <v>0</v>
      </c>
      <c r="G87" s="101">
        <v>2673129</v>
      </c>
      <c r="H87" s="101">
        <v>346888</v>
      </c>
      <c r="I87" s="101">
        <v>2558000</v>
      </c>
      <c r="K87" s="101">
        <v>110000</v>
      </c>
      <c r="L87" s="101">
        <f t="shared" si="7"/>
        <v>2011000</v>
      </c>
      <c r="M87" s="101">
        <v>42623000</v>
      </c>
      <c r="N87" s="101">
        <v>379</v>
      </c>
      <c r="O87" s="101">
        <v>640</v>
      </c>
      <c r="P87" s="101">
        <v>220</v>
      </c>
      <c r="Q87" s="101">
        <v>1937</v>
      </c>
      <c r="R87" s="101">
        <v>61268</v>
      </c>
      <c r="S87" s="101">
        <v>61078</v>
      </c>
      <c r="T87" s="101">
        <v>50221</v>
      </c>
      <c r="U87" s="101">
        <v>49183</v>
      </c>
      <c r="V87" s="101">
        <v>50609</v>
      </c>
      <c r="W87" s="101">
        <v>48540</v>
      </c>
      <c r="X87" s="149">
        <f t="shared" si="8"/>
        <v>0.69568126917803752</v>
      </c>
      <c r="Y87" s="184">
        <v>4.65E-2</v>
      </c>
      <c r="Z87" s="253">
        <v>8</v>
      </c>
      <c r="AA87" s="149">
        <f t="shared" si="9"/>
        <v>3.1011294639942547E-3</v>
      </c>
      <c r="AB87" s="149"/>
      <c r="AD87" s="101">
        <v>55868</v>
      </c>
      <c r="AE87" s="101">
        <v>54992</v>
      </c>
      <c r="AF87" s="101">
        <f t="shared" si="10"/>
        <v>876</v>
      </c>
      <c r="AG87" s="101">
        <v>61268</v>
      </c>
      <c r="AH87" s="101">
        <v>61078</v>
      </c>
      <c r="AI87" s="101">
        <f t="shared" si="11"/>
        <v>190</v>
      </c>
    </row>
    <row r="88" spans="2:35" x14ac:dyDescent="0.25">
      <c r="B88" t="s">
        <v>402</v>
      </c>
      <c r="C88" s="101">
        <v>47234000</v>
      </c>
      <c r="D88" s="101">
        <f t="shared" si="6"/>
        <v>45299736</v>
      </c>
      <c r="E88" s="101">
        <v>0</v>
      </c>
      <c r="F88" s="101">
        <v>0</v>
      </c>
      <c r="G88" s="101">
        <v>1617145</v>
      </c>
      <c r="H88" s="101">
        <v>317119</v>
      </c>
      <c r="I88" s="101">
        <v>4297000</v>
      </c>
      <c r="K88" s="101">
        <v>64000</v>
      </c>
      <c r="L88" s="101">
        <f t="shared" si="7"/>
        <v>3489000</v>
      </c>
      <c r="M88" s="101">
        <v>55084000</v>
      </c>
      <c r="N88" s="101">
        <v>50</v>
      </c>
      <c r="O88" s="101">
        <v>1229</v>
      </c>
      <c r="P88" s="101">
        <v>400</v>
      </c>
      <c r="Q88" s="101">
        <v>751</v>
      </c>
      <c r="R88" s="101">
        <v>78812</v>
      </c>
      <c r="S88" s="101">
        <v>78781</v>
      </c>
      <c r="T88" s="101">
        <v>60668</v>
      </c>
      <c r="U88" s="101">
        <v>60742</v>
      </c>
      <c r="V88" s="101">
        <v>66180</v>
      </c>
      <c r="W88" s="101">
        <v>66451</v>
      </c>
      <c r="X88" s="149">
        <f t="shared" si="8"/>
        <v>0.69892909709181339</v>
      </c>
      <c r="Y88" s="184">
        <v>4.3400000000000001E-2</v>
      </c>
      <c r="Z88" s="253">
        <v>4.5</v>
      </c>
      <c r="AA88" s="149">
        <f t="shared" si="9"/>
        <v>3.9334111556615746E-4</v>
      </c>
      <c r="AB88" s="149"/>
      <c r="AD88" s="101">
        <v>72252</v>
      </c>
      <c r="AE88" s="101">
        <v>72148</v>
      </c>
      <c r="AF88" s="101">
        <f t="shared" si="10"/>
        <v>104</v>
      </c>
      <c r="AG88" s="101">
        <v>78812</v>
      </c>
      <c r="AH88" s="101">
        <v>78781</v>
      </c>
      <c r="AI88" s="101">
        <f t="shared" si="11"/>
        <v>31</v>
      </c>
    </row>
    <row r="89" spans="2:35" x14ac:dyDescent="0.25">
      <c r="B89" t="s">
        <v>359</v>
      </c>
      <c r="C89" s="101">
        <v>706159000</v>
      </c>
      <c r="D89" s="101">
        <f t="shared" si="6"/>
        <v>591511883</v>
      </c>
      <c r="E89" s="101">
        <v>0</v>
      </c>
      <c r="F89" s="101">
        <v>52184283</v>
      </c>
      <c r="G89" s="101">
        <v>36304076</v>
      </c>
      <c r="H89" s="101">
        <v>26158758</v>
      </c>
      <c r="I89" s="101">
        <v>124300000</v>
      </c>
      <c r="K89" s="101">
        <v>13272000</v>
      </c>
      <c r="L89" s="101">
        <f t="shared" si="7"/>
        <v>22513000</v>
      </c>
      <c r="M89" s="101">
        <v>866244000</v>
      </c>
      <c r="N89" s="101">
        <v>2215</v>
      </c>
      <c r="O89" s="101">
        <v>21888</v>
      </c>
      <c r="P89" s="101">
        <v>528</v>
      </c>
      <c r="Q89" s="101">
        <v>52373</v>
      </c>
      <c r="R89" s="101">
        <v>1188910</v>
      </c>
      <c r="S89" s="101">
        <v>1208937</v>
      </c>
      <c r="T89" s="101">
        <v>965740</v>
      </c>
      <c r="U89" s="101">
        <v>969841</v>
      </c>
      <c r="V89" s="101">
        <v>1009980</v>
      </c>
      <c r="W89" s="101">
        <v>1023525</v>
      </c>
      <c r="X89" s="149">
        <f t="shared" si="8"/>
        <v>0.72860351077878061</v>
      </c>
      <c r="Y89" s="184">
        <v>5.8999999999999997E-2</v>
      </c>
      <c r="Z89" s="253">
        <v>8</v>
      </c>
      <c r="AA89" s="149">
        <f t="shared" si="9"/>
        <v>-1.6844841072915527E-2</v>
      </c>
      <c r="AB89" s="149"/>
      <c r="AD89" s="101">
        <v>1099955</v>
      </c>
      <c r="AE89" s="101">
        <v>1125956</v>
      </c>
      <c r="AF89" s="101">
        <f t="shared" si="10"/>
        <v>-26001</v>
      </c>
      <c r="AG89" s="101">
        <v>1188910</v>
      </c>
      <c r="AH89" s="101">
        <v>1208937</v>
      </c>
      <c r="AI89" s="101">
        <f t="shared" si="11"/>
        <v>-20027</v>
      </c>
    </row>
    <row r="90" spans="2:35" x14ac:dyDescent="0.25">
      <c r="B90" t="s">
        <v>178</v>
      </c>
      <c r="C90" s="101">
        <v>49169000</v>
      </c>
      <c r="D90" s="101">
        <f t="shared" si="6"/>
        <v>45353941</v>
      </c>
      <c r="E90" s="101">
        <v>0</v>
      </c>
      <c r="F90" s="101">
        <v>0</v>
      </c>
      <c r="G90" s="101">
        <v>3476402</v>
      </c>
      <c r="H90" s="101">
        <v>338657</v>
      </c>
      <c r="I90" s="101">
        <v>5012000</v>
      </c>
      <c r="K90" s="101">
        <v>450000</v>
      </c>
      <c r="L90" s="101">
        <f t="shared" si="7"/>
        <v>3118000</v>
      </c>
      <c r="M90" s="101">
        <v>57749000</v>
      </c>
      <c r="N90" s="101">
        <v>187</v>
      </c>
      <c r="O90" s="101">
        <v>679</v>
      </c>
      <c r="P90" s="101">
        <v>0</v>
      </c>
      <c r="Q90" s="101">
        <v>548</v>
      </c>
      <c r="R90" s="101">
        <v>75086</v>
      </c>
      <c r="S90" s="101">
        <v>78119</v>
      </c>
      <c r="T90" s="101">
        <v>54754</v>
      </c>
      <c r="U90" s="101">
        <v>56445</v>
      </c>
      <c r="V90" s="101">
        <v>62857</v>
      </c>
      <c r="W90" s="101">
        <v>64615</v>
      </c>
      <c r="X90" s="149">
        <f t="shared" si="8"/>
        <v>0.76910475987534299</v>
      </c>
      <c r="Y90" s="184">
        <v>5.96E-2</v>
      </c>
      <c r="Z90" s="253">
        <v>7</v>
      </c>
      <c r="AA90" s="149">
        <f t="shared" si="9"/>
        <v>-4.0393681911408255E-2</v>
      </c>
      <c r="AB90" s="149"/>
      <c r="AD90" s="101">
        <v>79603</v>
      </c>
      <c r="AE90" s="101">
        <v>79083</v>
      </c>
      <c r="AF90" s="101">
        <f t="shared" si="10"/>
        <v>520</v>
      </c>
      <c r="AG90" s="101">
        <v>75086</v>
      </c>
      <c r="AH90" s="101">
        <v>78119</v>
      </c>
      <c r="AI90" s="101">
        <f t="shared" si="11"/>
        <v>-3033</v>
      </c>
    </row>
    <row r="91" spans="2:35" x14ac:dyDescent="0.25">
      <c r="B91" t="s">
        <v>108</v>
      </c>
      <c r="C91" s="101">
        <v>331178000</v>
      </c>
      <c r="D91" s="101">
        <f t="shared" si="6"/>
        <v>277451346</v>
      </c>
      <c r="E91" s="101">
        <v>0</v>
      </c>
      <c r="F91" s="101">
        <v>16113687</v>
      </c>
      <c r="G91" s="101">
        <v>25134374</v>
      </c>
      <c r="H91" s="101">
        <v>12478593</v>
      </c>
      <c r="I91" s="101">
        <v>53285000</v>
      </c>
      <c r="K91" s="101">
        <v>5912000</v>
      </c>
      <c r="L91" s="101">
        <f t="shared" si="7"/>
        <v>9010000</v>
      </c>
      <c r="M91" s="101">
        <v>399385000</v>
      </c>
      <c r="N91" s="101">
        <v>955</v>
      </c>
      <c r="O91" s="101">
        <v>5998</v>
      </c>
      <c r="P91" s="101">
        <v>676</v>
      </c>
      <c r="Q91" s="101">
        <v>6010</v>
      </c>
      <c r="R91" s="101">
        <v>517187</v>
      </c>
      <c r="S91" s="101">
        <v>510522</v>
      </c>
      <c r="T91" s="101">
        <v>420335</v>
      </c>
      <c r="U91" s="101">
        <v>411124</v>
      </c>
      <c r="V91" s="101">
        <v>432093</v>
      </c>
      <c r="W91" s="101">
        <v>425582</v>
      </c>
      <c r="X91" s="149">
        <f t="shared" si="8"/>
        <v>0.77222551997633349</v>
      </c>
      <c r="Y91" s="184">
        <v>4.4999999999999998E-2</v>
      </c>
      <c r="Z91" s="253">
        <v>6</v>
      </c>
      <c r="AA91" s="149">
        <f t="shared" si="9"/>
        <v>1.2887021522196033E-2</v>
      </c>
      <c r="AB91" s="149"/>
      <c r="AD91" s="101">
        <v>484272</v>
      </c>
      <c r="AE91" s="101">
        <v>475122</v>
      </c>
      <c r="AF91" s="101">
        <f t="shared" si="10"/>
        <v>9150</v>
      </c>
      <c r="AG91" s="101">
        <v>517187</v>
      </c>
      <c r="AH91" s="101">
        <v>510522</v>
      </c>
      <c r="AI91" s="101">
        <f t="shared" si="11"/>
        <v>6665</v>
      </c>
    </row>
    <row r="92" spans="2:35" x14ac:dyDescent="0.25">
      <c r="B92" t="s">
        <v>249</v>
      </c>
      <c r="C92" s="101">
        <v>46637000</v>
      </c>
      <c r="D92" s="101">
        <f t="shared" si="6"/>
        <v>44564291</v>
      </c>
      <c r="E92" s="101">
        <v>0</v>
      </c>
      <c r="F92" s="101">
        <v>0</v>
      </c>
      <c r="G92" s="101">
        <v>1681135</v>
      </c>
      <c r="H92" s="101">
        <v>391574</v>
      </c>
      <c r="I92" s="101">
        <v>5311000</v>
      </c>
      <c r="K92" s="101">
        <v>0</v>
      </c>
      <c r="L92" s="101">
        <f t="shared" si="7"/>
        <v>635000</v>
      </c>
      <c r="M92" s="101">
        <v>52583000</v>
      </c>
      <c r="N92" s="101">
        <v>309</v>
      </c>
      <c r="O92" s="101">
        <v>717</v>
      </c>
      <c r="P92" s="101">
        <v>449</v>
      </c>
      <c r="Q92" s="101">
        <v>60</v>
      </c>
      <c r="R92" s="101">
        <v>70940</v>
      </c>
      <c r="S92" s="101">
        <v>73440</v>
      </c>
      <c r="T92" s="101">
        <v>56659</v>
      </c>
      <c r="U92" s="101">
        <v>56966</v>
      </c>
      <c r="V92" s="101">
        <v>61629</v>
      </c>
      <c r="W92" s="101">
        <v>59089</v>
      </c>
      <c r="X92" s="149">
        <f t="shared" si="8"/>
        <v>0.74123202706512548</v>
      </c>
      <c r="Y92" s="184">
        <v>3.27E-2</v>
      </c>
      <c r="Z92" s="253">
        <v>6.5</v>
      </c>
      <c r="AA92" s="149">
        <f t="shared" si="9"/>
        <v>-3.5241048773611505E-2</v>
      </c>
      <c r="AB92" s="149"/>
      <c r="AD92" s="101">
        <v>66425</v>
      </c>
      <c r="AE92" s="101">
        <v>67313</v>
      </c>
      <c r="AF92" s="101">
        <f t="shared" si="10"/>
        <v>-888</v>
      </c>
      <c r="AG92" s="101">
        <v>70940</v>
      </c>
      <c r="AH92" s="101">
        <v>73440</v>
      </c>
      <c r="AI92" s="101">
        <f t="shared" si="11"/>
        <v>-2500</v>
      </c>
    </row>
    <row r="93" spans="2:35" x14ac:dyDescent="0.25">
      <c r="B93" t="s">
        <v>144</v>
      </c>
      <c r="C93" s="101">
        <v>503909000</v>
      </c>
      <c r="D93" s="101">
        <f t="shared" si="6"/>
        <v>415779836</v>
      </c>
      <c r="E93" s="101">
        <v>0</v>
      </c>
      <c r="F93" s="101">
        <v>38689903</v>
      </c>
      <c r="G93" s="101">
        <v>26723021</v>
      </c>
      <c r="H93" s="101">
        <v>22716240</v>
      </c>
      <c r="I93" s="101">
        <v>107670000</v>
      </c>
      <c r="K93" s="101">
        <v>12353000</v>
      </c>
      <c r="L93" s="101">
        <f t="shared" si="7"/>
        <v>28184000</v>
      </c>
      <c r="M93" s="101">
        <v>652116000</v>
      </c>
      <c r="N93" s="101">
        <v>432</v>
      </c>
      <c r="O93" s="101">
        <v>10592</v>
      </c>
      <c r="P93" s="101">
        <v>1363</v>
      </c>
      <c r="Q93" s="101">
        <v>29765</v>
      </c>
      <c r="R93" s="101">
        <v>903796</v>
      </c>
      <c r="S93" s="101">
        <v>911620</v>
      </c>
      <c r="T93" s="101">
        <v>728839</v>
      </c>
      <c r="U93" s="101">
        <v>727622</v>
      </c>
      <c r="V93" s="101">
        <v>769331</v>
      </c>
      <c r="W93" s="101">
        <v>773306</v>
      </c>
      <c r="X93" s="149">
        <f t="shared" si="8"/>
        <v>0.72153007979676831</v>
      </c>
      <c r="Y93" s="184">
        <v>6.2399999999999997E-2</v>
      </c>
      <c r="Z93" s="253">
        <v>7</v>
      </c>
      <c r="AA93" s="149">
        <f t="shared" si="9"/>
        <v>-8.6568207869917556E-3</v>
      </c>
      <c r="AB93" s="149"/>
      <c r="AD93" s="101">
        <v>844976</v>
      </c>
      <c r="AE93" s="101">
        <v>851686</v>
      </c>
      <c r="AF93" s="101">
        <f t="shared" si="10"/>
        <v>-6710</v>
      </c>
      <c r="AG93" s="101">
        <v>903796</v>
      </c>
      <c r="AH93" s="101">
        <v>911620</v>
      </c>
      <c r="AI93" s="101">
        <f t="shared" si="11"/>
        <v>-7824</v>
      </c>
    </row>
    <row r="94" spans="2:35" x14ac:dyDescent="0.25">
      <c r="B94" t="s">
        <v>179</v>
      </c>
      <c r="C94" s="101">
        <v>70545000</v>
      </c>
      <c r="D94" s="101">
        <f t="shared" si="6"/>
        <v>65982505</v>
      </c>
      <c r="E94" s="101">
        <v>0</v>
      </c>
      <c r="F94" s="101">
        <v>0</v>
      </c>
      <c r="G94" s="101">
        <v>4131958</v>
      </c>
      <c r="H94" s="101">
        <v>430537</v>
      </c>
      <c r="I94" s="101">
        <v>7794000</v>
      </c>
      <c r="K94" s="101">
        <v>830000</v>
      </c>
      <c r="L94" s="101">
        <f t="shared" si="7"/>
        <v>7752000</v>
      </c>
      <c r="M94" s="101">
        <v>86921000</v>
      </c>
      <c r="N94" s="101">
        <v>156</v>
      </c>
      <c r="O94" s="101">
        <v>1123</v>
      </c>
      <c r="P94" s="101">
        <v>125</v>
      </c>
      <c r="Q94" s="101">
        <v>283</v>
      </c>
      <c r="R94" s="101">
        <v>109860</v>
      </c>
      <c r="S94" s="101">
        <v>111040</v>
      </c>
      <c r="T94" s="101">
        <v>82445</v>
      </c>
      <c r="U94" s="101">
        <v>85663</v>
      </c>
      <c r="V94" s="101">
        <v>95474</v>
      </c>
      <c r="W94" s="101">
        <v>95745</v>
      </c>
      <c r="X94" s="149">
        <f t="shared" si="8"/>
        <v>0.7911978882213726</v>
      </c>
      <c r="Y94" s="184">
        <v>5.5800000000000002E-2</v>
      </c>
      <c r="Z94" s="253">
        <v>7</v>
      </c>
      <c r="AA94" s="149">
        <f t="shared" si="9"/>
        <v>-1.0740943018387038E-2</v>
      </c>
      <c r="AB94" s="149"/>
      <c r="AD94" s="101">
        <v>101303</v>
      </c>
      <c r="AE94" s="101">
        <v>101688</v>
      </c>
      <c r="AF94" s="101">
        <f t="shared" si="10"/>
        <v>-385</v>
      </c>
      <c r="AG94" s="101">
        <v>109860</v>
      </c>
      <c r="AH94" s="101">
        <v>111040</v>
      </c>
      <c r="AI94" s="101">
        <f t="shared" si="11"/>
        <v>-1180</v>
      </c>
    </row>
    <row r="95" spans="2:35" x14ac:dyDescent="0.25">
      <c r="B95" t="s">
        <v>180</v>
      </c>
      <c r="C95" s="101">
        <v>60331000</v>
      </c>
      <c r="D95" s="101">
        <f t="shared" si="6"/>
        <v>56223732</v>
      </c>
      <c r="E95" s="101">
        <v>0</v>
      </c>
      <c r="F95" s="101">
        <v>0</v>
      </c>
      <c r="G95" s="101">
        <v>3736464</v>
      </c>
      <c r="H95" s="101">
        <v>370804</v>
      </c>
      <c r="I95" s="101">
        <v>6877000</v>
      </c>
      <c r="K95" s="101">
        <v>399000</v>
      </c>
      <c r="L95" s="101">
        <f t="shared" si="7"/>
        <v>1443000</v>
      </c>
      <c r="M95" s="101">
        <v>69050000</v>
      </c>
      <c r="N95" s="101">
        <v>296</v>
      </c>
      <c r="O95" s="101">
        <v>648</v>
      </c>
      <c r="P95" s="101">
        <v>490</v>
      </c>
      <c r="Q95" s="101">
        <v>88</v>
      </c>
      <c r="R95" s="101">
        <v>98566</v>
      </c>
      <c r="S95" s="101">
        <v>101132</v>
      </c>
      <c r="T95" s="101">
        <v>79770</v>
      </c>
      <c r="U95" s="101">
        <v>82271</v>
      </c>
      <c r="V95" s="101">
        <v>85567</v>
      </c>
      <c r="W95" s="101">
        <v>87334</v>
      </c>
      <c r="X95" s="149">
        <f t="shared" si="8"/>
        <v>0.70054582716149583</v>
      </c>
      <c r="Y95" s="184">
        <v>5.11E-2</v>
      </c>
      <c r="Z95" s="253">
        <v>4</v>
      </c>
      <c r="AA95" s="149">
        <f t="shared" si="9"/>
        <v>-2.6033317776921049E-2</v>
      </c>
      <c r="AB95" s="149"/>
      <c r="AD95" s="101">
        <v>92499</v>
      </c>
      <c r="AE95" s="101">
        <v>94555</v>
      </c>
      <c r="AF95" s="101">
        <f t="shared" si="10"/>
        <v>-2056</v>
      </c>
      <c r="AG95" s="101">
        <v>98566</v>
      </c>
      <c r="AH95" s="101">
        <v>101132</v>
      </c>
      <c r="AI95" s="101">
        <f t="shared" si="11"/>
        <v>-2566</v>
      </c>
    </row>
    <row r="96" spans="2:35" x14ac:dyDescent="0.25">
      <c r="B96" t="s">
        <v>360</v>
      </c>
      <c r="C96" s="101">
        <v>98136000</v>
      </c>
      <c r="D96" s="101">
        <f t="shared" si="6"/>
        <v>91468957</v>
      </c>
      <c r="E96" s="101">
        <v>0</v>
      </c>
      <c r="F96" s="101">
        <v>0</v>
      </c>
      <c r="G96" s="101">
        <v>6087601</v>
      </c>
      <c r="H96" s="101">
        <v>579442</v>
      </c>
      <c r="I96" s="101">
        <v>14820000</v>
      </c>
      <c r="K96" s="101">
        <v>1194000</v>
      </c>
      <c r="L96" s="101">
        <f t="shared" si="7"/>
        <v>3267000</v>
      </c>
      <c r="M96" s="101">
        <v>117417000</v>
      </c>
      <c r="N96" s="101">
        <v>189</v>
      </c>
      <c r="O96" s="101">
        <v>3178</v>
      </c>
      <c r="P96" s="101">
        <v>12</v>
      </c>
      <c r="Q96" s="101">
        <v>2640</v>
      </c>
      <c r="R96" s="101">
        <v>154312</v>
      </c>
      <c r="S96" s="101">
        <v>158056</v>
      </c>
      <c r="T96" s="101">
        <v>135361</v>
      </c>
      <c r="U96" s="101">
        <v>135272</v>
      </c>
      <c r="V96" s="101">
        <v>143616</v>
      </c>
      <c r="W96" s="101">
        <v>140106</v>
      </c>
      <c r="X96" s="149">
        <f t="shared" si="8"/>
        <v>0.76090647519311527</v>
      </c>
      <c r="Y96" s="184">
        <v>4.4200000000000003E-2</v>
      </c>
      <c r="Z96" s="253">
        <v>10</v>
      </c>
      <c r="AA96" s="149">
        <f t="shared" si="9"/>
        <v>-2.4262533049924827E-2</v>
      </c>
      <c r="AB96" s="149"/>
      <c r="AD96" s="101">
        <v>156218</v>
      </c>
      <c r="AE96" s="101">
        <v>155858</v>
      </c>
      <c r="AF96" s="101">
        <f t="shared" si="10"/>
        <v>360</v>
      </c>
      <c r="AG96" s="101">
        <v>154312</v>
      </c>
      <c r="AH96" s="101">
        <v>158056</v>
      </c>
      <c r="AI96" s="101">
        <f t="shared" si="11"/>
        <v>-3744</v>
      </c>
    </row>
    <row r="97" spans="2:35" x14ac:dyDescent="0.25">
      <c r="B97" t="s">
        <v>361</v>
      </c>
      <c r="C97" s="101">
        <v>45194000</v>
      </c>
      <c r="D97" s="101">
        <f t="shared" si="6"/>
        <v>42529311</v>
      </c>
      <c r="E97" s="101">
        <v>0</v>
      </c>
      <c r="F97" s="101">
        <v>0</v>
      </c>
      <c r="G97" s="101">
        <v>2179339</v>
      </c>
      <c r="H97" s="101">
        <v>485350</v>
      </c>
      <c r="I97" s="101">
        <v>5736000</v>
      </c>
      <c r="K97" s="101">
        <v>668000</v>
      </c>
      <c r="L97" s="101">
        <f t="shared" si="7"/>
        <v>5902000</v>
      </c>
      <c r="M97" s="101">
        <v>57500000</v>
      </c>
      <c r="N97" s="101">
        <v>159</v>
      </c>
      <c r="O97" s="101">
        <v>857</v>
      </c>
      <c r="P97" s="101">
        <v>304</v>
      </c>
      <c r="Q97" s="101">
        <v>3451</v>
      </c>
      <c r="R97" s="101">
        <v>82004</v>
      </c>
      <c r="S97" s="101">
        <v>79363</v>
      </c>
      <c r="T97" s="101">
        <v>59039</v>
      </c>
      <c r="U97" s="101">
        <v>58240</v>
      </c>
      <c r="V97" s="101">
        <v>63315</v>
      </c>
      <c r="W97" s="101">
        <v>62228</v>
      </c>
      <c r="X97" s="149">
        <f t="shared" si="8"/>
        <v>0.70118530803375445</v>
      </c>
      <c r="Y97" s="184">
        <v>4.5499999999999999E-2</v>
      </c>
      <c r="Z97" s="253">
        <v>7.5</v>
      </c>
      <c r="AA97" s="149">
        <f t="shared" si="9"/>
        <v>3.2205746061167745E-2</v>
      </c>
      <c r="AB97" s="149"/>
      <c r="AD97" s="101">
        <v>68783</v>
      </c>
      <c r="AE97" s="101">
        <v>68316</v>
      </c>
      <c r="AF97" s="101">
        <f t="shared" si="10"/>
        <v>467</v>
      </c>
      <c r="AG97" s="101">
        <v>82004</v>
      </c>
      <c r="AH97" s="101">
        <v>79363</v>
      </c>
      <c r="AI97" s="101">
        <f t="shared" si="11"/>
        <v>2641</v>
      </c>
    </row>
    <row r="98" spans="2:35" x14ac:dyDescent="0.25">
      <c r="B98" t="s">
        <v>362</v>
      </c>
      <c r="C98" s="101">
        <v>79219000</v>
      </c>
      <c r="D98" s="101">
        <f t="shared" si="6"/>
        <v>76766436</v>
      </c>
      <c r="E98" s="101">
        <v>0</v>
      </c>
      <c r="F98" s="101">
        <v>0</v>
      </c>
      <c r="G98" s="101">
        <v>1928581</v>
      </c>
      <c r="H98" s="101">
        <v>523983</v>
      </c>
      <c r="I98" s="101">
        <v>11535000</v>
      </c>
      <c r="K98" s="101">
        <v>949000</v>
      </c>
      <c r="L98" s="101">
        <f t="shared" si="7"/>
        <v>1827000</v>
      </c>
      <c r="M98" s="101">
        <v>93530000</v>
      </c>
      <c r="N98" s="101">
        <v>80</v>
      </c>
      <c r="O98" s="101">
        <v>2315</v>
      </c>
      <c r="P98" s="101">
        <v>42</v>
      </c>
      <c r="Q98" s="101">
        <v>25076</v>
      </c>
      <c r="R98" s="101">
        <v>147578</v>
      </c>
      <c r="S98" s="101">
        <v>147942</v>
      </c>
      <c r="T98" s="101">
        <v>112676</v>
      </c>
      <c r="U98" s="101">
        <v>110664</v>
      </c>
      <c r="V98" s="101">
        <v>125075</v>
      </c>
      <c r="W98" s="101">
        <v>122072</v>
      </c>
      <c r="X98" s="149">
        <f t="shared" si="8"/>
        <v>0.63376655056986819</v>
      </c>
      <c r="Y98" s="184">
        <v>4.1599999999999998E-2</v>
      </c>
      <c r="Z98" s="253">
        <v>8</v>
      </c>
      <c r="AA98" s="149">
        <f t="shared" si="9"/>
        <v>-2.4664922955996149E-3</v>
      </c>
      <c r="AB98" s="149"/>
      <c r="AD98" s="101">
        <v>118793</v>
      </c>
      <c r="AE98" s="101">
        <v>118986</v>
      </c>
      <c r="AF98" s="101">
        <f t="shared" si="10"/>
        <v>-193</v>
      </c>
      <c r="AG98" s="101">
        <v>147578</v>
      </c>
      <c r="AH98" s="101">
        <v>147942</v>
      </c>
      <c r="AI98" s="101">
        <f t="shared" si="11"/>
        <v>-364</v>
      </c>
    </row>
    <row r="99" spans="2:35" x14ac:dyDescent="0.25">
      <c r="B99" t="s">
        <v>363</v>
      </c>
      <c r="C99" s="101">
        <v>65060000</v>
      </c>
      <c r="D99" s="101">
        <f t="shared" si="6"/>
        <v>59969150</v>
      </c>
      <c r="E99" s="101">
        <v>0</v>
      </c>
      <c r="F99" s="101">
        <v>0</v>
      </c>
      <c r="G99" s="101">
        <v>4625508</v>
      </c>
      <c r="H99" s="101">
        <v>465342</v>
      </c>
      <c r="I99" s="101">
        <v>6665000</v>
      </c>
      <c r="K99" s="101">
        <v>551000</v>
      </c>
      <c r="L99" s="101">
        <f t="shared" si="7"/>
        <v>1600000</v>
      </c>
      <c r="M99" s="101">
        <v>73876000</v>
      </c>
      <c r="N99" s="101">
        <v>31</v>
      </c>
      <c r="O99" s="101">
        <v>521</v>
      </c>
      <c r="P99" s="101">
        <v>68</v>
      </c>
      <c r="Q99" s="101">
        <v>2601</v>
      </c>
      <c r="R99" s="101">
        <v>105372</v>
      </c>
      <c r="S99" s="101">
        <v>104667</v>
      </c>
      <c r="T99" s="101">
        <v>83596</v>
      </c>
      <c r="U99" s="101">
        <v>81610</v>
      </c>
      <c r="V99" s="101">
        <v>91538</v>
      </c>
      <c r="W99" s="101">
        <v>91321</v>
      </c>
      <c r="X99" s="149">
        <f t="shared" si="8"/>
        <v>0.70109706563413432</v>
      </c>
      <c r="Y99" s="184">
        <v>4.8599999999999997E-2</v>
      </c>
      <c r="Z99" s="253">
        <v>9.5</v>
      </c>
      <c r="AA99" s="149">
        <f t="shared" si="9"/>
        <v>6.6905819382758226E-3</v>
      </c>
      <c r="AB99" s="149"/>
      <c r="AD99" s="101">
        <v>96419</v>
      </c>
      <c r="AE99" s="101">
        <v>95703</v>
      </c>
      <c r="AF99" s="101">
        <f t="shared" si="10"/>
        <v>716</v>
      </c>
      <c r="AG99" s="101">
        <v>105372</v>
      </c>
      <c r="AH99" s="101">
        <v>104667</v>
      </c>
      <c r="AI99" s="101">
        <f t="shared" si="11"/>
        <v>705</v>
      </c>
    </row>
    <row r="100" spans="2:35" x14ac:dyDescent="0.25">
      <c r="B100" t="s">
        <v>403</v>
      </c>
      <c r="C100" s="101">
        <v>41373000</v>
      </c>
      <c r="D100" s="101">
        <f t="shared" si="6"/>
        <v>35931044</v>
      </c>
      <c r="E100" s="101">
        <v>0</v>
      </c>
      <c r="F100" s="101">
        <v>0</v>
      </c>
      <c r="G100" s="101">
        <v>5157594</v>
      </c>
      <c r="H100" s="101">
        <v>284362</v>
      </c>
      <c r="I100" s="101">
        <v>4500000</v>
      </c>
      <c r="K100" s="101">
        <v>170000</v>
      </c>
      <c r="L100" s="101">
        <f t="shared" si="7"/>
        <v>10611000</v>
      </c>
      <c r="M100" s="101">
        <v>56654000</v>
      </c>
      <c r="N100" s="101">
        <v>39</v>
      </c>
      <c r="O100" s="101">
        <v>762</v>
      </c>
      <c r="P100" s="101">
        <v>159</v>
      </c>
      <c r="Q100" s="101">
        <v>829</v>
      </c>
      <c r="R100" s="101">
        <v>73829</v>
      </c>
      <c r="S100" s="101">
        <v>69484</v>
      </c>
      <c r="T100" s="101">
        <v>48938</v>
      </c>
      <c r="U100" s="101">
        <v>50170</v>
      </c>
      <c r="V100" s="101">
        <v>55490</v>
      </c>
      <c r="W100" s="101">
        <v>57483</v>
      </c>
      <c r="X100" s="149">
        <f t="shared" si="8"/>
        <v>0.76736783648701734</v>
      </c>
      <c r="Y100" s="184">
        <v>5.57E-2</v>
      </c>
      <c r="Z100" s="253">
        <v>5.5</v>
      </c>
      <c r="AA100" s="149">
        <f t="shared" si="9"/>
        <v>5.8852212545205812E-2</v>
      </c>
      <c r="AB100" s="149"/>
      <c r="AD100" s="101">
        <v>60809</v>
      </c>
      <c r="AE100" s="101">
        <v>60698</v>
      </c>
      <c r="AF100" s="101">
        <f t="shared" si="10"/>
        <v>111</v>
      </c>
      <c r="AG100" s="101">
        <v>73829</v>
      </c>
      <c r="AH100" s="101">
        <v>69484</v>
      </c>
      <c r="AI100" s="101">
        <f t="shared" si="11"/>
        <v>4345</v>
      </c>
    </row>
    <row r="101" spans="2:35" x14ac:dyDescent="0.25">
      <c r="B101" t="s">
        <v>364</v>
      </c>
      <c r="C101" s="101">
        <v>52990000</v>
      </c>
      <c r="D101" s="101">
        <f t="shared" si="6"/>
        <v>49927062</v>
      </c>
      <c r="E101" s="101">
        <v>0</v>
      </c>
      <c r="F101" s="101">
        <v>0</v>
      </c>
      <c r="G101" s="101">
        <v>1974968</v>
      </c>
      <c r="H101" s="101">
        <v>1087970</v>
      </c>
      <c r="I101" s="101">
        <v>6588000</v>
      </c>
      <c r="K101" s="101">
        <v>886000</v>
      </c>
      <c r="L101" s="101">
        <f t="shared" si="7"/>
        <v>2769000</v>
      </c>
      <c r="M101" s="101">
        <v>63233000</v>
      </c>
      <c r="N101" s="101">
        <v>2</v>
      </c>
      <c r="O101" s="101">
        <v>1477</v>
      </c>
      <c r="P101" s="101">
        <v>29</v>
      </c>
      <c r="Q101" s="101">
        <v>13243</v>
      </c>
      <c r="R101" s="101">
        <v>97203</v>
      </c>
      <c r="S101" s="101">
        <v>94279</v>
      </c>
      <c r="T101" s="101">
        <v>76771</v>
      </c>
      <c r="U101" s="101">
        <v>73854</v>
      </c>
      <c r="V101" s="101">
        <v>85208</v>
      </c>
      <c r="W101" s="101">
        <v>84336</v>
      </c>
      <c r="X101" s="149">
        <f t="shared" si="8"/>
        <v>0.65052518955176275</v>
      </c>
      <c r="Y101" s="184">
        <v>5.2299999999999999E-2</v>
      </c>
      <c r="Z101" s="253">
        <v>10</v>
      </c>
      <c r="AA101" s="149">
        <f t="shared" si="9"/>
        <v>3.0081376089215354E-2</v>
      </c>
      <c r="AB101" s="149"/>
      <c r="AD101" s="101">
        <v>85049</v>
      </c>
      <c r="AE101" s="101">
        <v>83345</v>
      </c>
      <c r="AF101" s="101">
        <f t="shared" si="10"/>
        <v>1704</v>
      </c>
      <c r="AG101" s="101">
        <v>97203</v>
      </c>
      <c r="AH101" s="101">
        <v>94279</v>
      </c>
      <c r="AI101" s="101">
        <f t="shared" si="11"/>
        <v>2924</v>
      </c>
    </row>
    <row r="102" spans="2:35" x14ac:dyDescent="0.25">
      <c r="B102" t="s">
        <v>290</v>
      </c>
      <c r="C102" s="101">
        <v>106253000</v>
      </c>
      <c r="D102" s="101">
        <f t="shared" si="6"/>
        <v>99134545</v>
      </c>
      <c r="E102" s="101">
        <v>0</v>
      </c>
      <c r="F102" s="101">
        <v>0</v>
      </c>
      <c r="G102" s="101">
        <v>5645453</v>
      </c>
      <c r="H102" s="101">
        <v>1473002</v>
      </c>
      <c r="I102" s="101">
        <v>10302000</v>
      </c>
      <c r="K102" s="101">
        <v>761000</v>
      </c>
      <c r="L102" s="101">
        <f t="shared" si="7"/>
        <v>15185000</v>
      </c>
      <c r="M102" s="101">
        <v>132501000</v>
      </c>
      <c r="N102" s="101">
        <v>486</v>
      </c>
      <c r="O102" s="101">
        <v>3509</v>
      </c>
      <c r="P102" s="101">
        <v>671</v>
      </c>
      <c r="Q102" s="101">
        <v>139</v>
      </c>
      <c r="R102" s="101">
        <v>178991</v>
      </c>
      <c r="S102" s="101">
        <v>179325</v>
      </c>
      <c r="T102" s="101">
        <v>135294</v>
      </c>
      <c r="U102" s="101">
        <v>136216</v>
      </c>
      <c r="V102" s="101">
        <v>145600</v>
      </c>
      <c r="W102" s="101">
        <v>144353</v>
      </c>
      <c r="X102" s="149">
        <f t="shared" si="8"/>
        <v>0.74026627037113601</v>
      </c>
      <c r="Y102" s="184">
        <v>4.1599999999999998E-2</v>
      </c>
      <c r="Z102" s="253">
        <v>7</v>
      </c>
      <c r="AA102" s="149">
        <f t="shared" si="9"/>
        <v>-1.8660156097233939E-3</v>
      </c>
      <c r="AB102" s="149"/>
      <c r="AD102" s="101">
        <v>160653</v>
      </c>
      <c r="AE102" s="101">
        <v>161516</v>
      </c>
      <c r="AF102" s="101">
        <f t="shared" si="10"/>
        <v>-863</v>
      </c>
      <c r="AG102" s="101">
        <v>178991</v>
      </c>
      <c r="AH102" s="101">
        <v>179325</v>
      </c>
      <c r="AI102" s="101">
        <f t="shared" si="11"/>
        <v>-334</v>
      </c>
    </row>
    <row r="103" spans="2:35" x14ac:dyDescent="0.25">
      <c r="B103" t="s">
        <v>329</v>
      </c>
      <c r="C103" s="101">
        <v>105722000</v>
      </c>
      <c r="D103" s="101">
        <f t="shared" si="6"/>
        <v>97688396</v>
      </c>
      <c r="E103" s="101">
        <v>0</v>
      </c>
      <c r="F103" s="101">
        <v>0</v>
      </c>
      <c r="G103" s="101">
        <v>6392108</v>
      </c>
      <c r="H103" s="101">
        <v>1641496</v>
      </c>
      <c r="I103" s="101">
        <v>14207000</v>
      </c>
      <c r="K103" s="101">
        <v>2736000</v>
      </c>
      <c r="L103" s="101">
        <f t="shared" si="7"/>
        <v>14143000</v>
      </c>
      <c r="M103" s="101">
        <v>136808000</v>
      </c>
      <c r="N103" s="101">
        <v>1394</v>
      </c>
      <c r="O103" s="101">
        <v>3887</v>
      </c>
      <c r="P103" s="101">
        <v>661</v>
      </c>
      <c r="Q103" s="101">
        <v>3150</v>
      </c>
      <c r="R103" s="101">
        <v>201541</v>
      </c>
      <c r="S103" s="101">
        <v>198642</v>
      </c>
      <c r="T103" s="101">
        <v>140487</v>
      </c>
      <c r="U103" s="101">
        <v>141194</v>
      </c>
      <c r="V103" s="101">
        <v>154949</v>
      </c>
      <c r="W103" s="101">
        <v>156293</v>
      </c>
      <c r="X103" s="149">
        <f t="shared" si="8"/>
        <v>0.6788097707166284</v>
      </c>
      <c r="Y103" s="184">
        <v>4.9099999999999998E-2</v>
      </c>
      <c r="Z103" s="253">
        <v>6.5</v>
      </c>
      <c r="AA103" s="149">
        <f t="shared" si="9"/>
        <v>1.4384169970378235E-2</v>
      </c>
      <c r="AB103" s="149"/>
      <c r="AD103" s="101">
        <v>179315</v>
      </c>
      <c r="AE103" s="101">
        <v>183802</v>
      </c>
      <c r="AF103" s="101">
        <f t="shared" si="10"/>
        <v>-4487</v>
      </c>
      <c r="AG103" s="101">
        <v>201541</v>
      </c>
      <c r="AH103" s="101">
        <v>198642</v>
      </c>
      <c r="AI103" s="101">
        <f t="shared" si="11"/>
        <v>2899</v>
      </c>
    </row>
    <row r="104" spans="2:35" x14ac:dyDescent="0.25">
      <c r="B104" t="s">
        <v>365</v>
      </c>
      <c r="C104" s="101">
        <v>48461000</v>
      </c>
      <c r="D104" s="101">
        <f t="shared" si="6"/>
        <v>45628373</v>
      </c>
      <c r="E104" s="101">
        <v>0</v>
      </c>
      <c r="F104" s="101">
        <v>0</v>
      </c>
      <c r="G104" s="101">
        <v>2493822</v>
      </c>
      <c r="H104" s="101">
        <v>338805</v>
      </c>
      <c r="I104" s="101">
        <v>4681000</v>
      </c>
      <c r="K104" s="101">
        <v>253000</v>
      </c>
      <c r="L104" s="101">
        <f t="shared" si="7"/>
        <v>543000</v>
      </c>
      <c r="M104" s="101">
        <v>53938000</v>
      </c>
      <c r="N104" s="101">
        <v>74</v>
      </c>
      <c r="O104" s="101">
        <v>703</v>
      </c>
      <c r="P104" s="101">
        <v>25</v>
      </c>
      <c r="Q104" s="101">
        <v>1423</v>
      </c>
      <c r="R104" s="101">
        <v>72657</v>
      </c>
      <c r="S104" s="101">
        <v>69331</v>
      </c>
      <c r="T104" s="101">
        <v>61167</v>
      </c>
      <c r="U104" s="101">
        <v>61735</v>
      </c>
      <c r="V104" s="101">
        <v>67610</v>
      </c>
      <c r="W104" s="101">
        <v>67970</v>
      </c>
      <c r="X104" s="149">
        <f t="shared" si="8"/>
        <v>0.74236480999766019</v>
      </c>
      <c r="Y104" s="184">
        <v>4.48E-2</v>
      </c>
      <c r="Z104" s="253">
        <v>7</v>
      </c>
      <c r="AA104" s="149">
        <f t="shared" si="9"/>
        <v>4.5776731767069929E-2</v>
      </c>
      <c r="AB104" s="149"/>
      <c r="AD104" s="101">
        <v>69989</v>
      </c>
      <c r="AE104" s="101">
        <v>69695</v>
      </c>
      <c r="AF104" s="101">
        <f t="shared" si="10"/>
        <v>294</v>
      </c>
      <c r="AG104" s="101">
        <v>72657</v>
      </c>
      <c r="AH104" s="101">
        <v>69331</v>
      </c>
      <c r="AI104" s="101">
        <f t="shared" si="11"/>
        <v>3326</v>
      </c>
    </row>
    <row r="105" spans="2:35" x14ac:dyDescent="0.25">
      <c r="B105" t="s">
        <v>486</v>
      </c>
      <c r="C105" s="101">
        <v>111110000</v>
      </c>
      <c r="D105" s="101">
        <f t="shared" si="6"/>
        <v>108851557</v>
      </c>
      <c r="E105" s="101">
        <v>0</v>
      </c>
      <c r="F105" s="101">
        <v>0</v>
      </c>
      <c r="G105" s="101">
        <v>1579819</v>
      </c>
      <c r="H105" s="101">
        <v>678624</v>
      </c>
      <c r="I105" s="101">
        <v>11423000</v>
      </c>
      <c r="K105" s="101">
        <v>110000</v>
      </c>
      <c r="L105" s="101">
        <f t="shared" si="7"/>
        <v>3265000</v>
      </c>
      <c r="M105" s="101">
        <v>125908000</v>
      </c>
      <c r="N105" s="101">
        <v>448</v>
      </c>
      <c r="O105" s="101">
        <v>2286</v>
      </c>
      <c r="P105" s="101">
        <v>287</v>
      </c>
      <c r="Q105" s="101">
        <v>430</v>
      </c>
      <c r="R105" s="101">
        <v>175898</v>
      </c>
      <c r="S105" s="101">
        <v>175834</v>
      </c>
      <c r="T105" s="101">
        <v>141685</v>
      </c>
      <c r="U105" s="101">
        <v>142514</v>
      </c>
      <c r="V105" s="101">
        <v>156182</v>
      </c>
      <c r="W105" s="101">
        <v>156887</v>
      </c>
      <c r="X105" s="149">
        <f t="shared" si="8"/>
        <v>0.71580120296990302</v>
      </c>
      <c r="Y105" s="184">
        <v>3.7100000000000001E-2</v>
      </c>
      <c r="Z105" s="253">
        <v>7</v>
      </c>
      <c r="AA105" s="149">
        <f t="shared" si="9"/>
        <v>3.6384722964445302E-4</v>
      </c>
      <c r="AB105" s="149"/>
      <c r="AD105" s="101">
        <v>171345</v>
      </c>
      <c r="AE105" s="101">
        <v>173977</v>
      </c>
      <c r="AF105" s="101">
        <f t="shared" si="10"/>
        <v>-2632</v>
      </c>
      <c r="AG105" s="101">
        <v>175898</v>
      </c>
      <c r="AH105" s="101">
        <v>175834</v>
      </c>
      <c r="AI105" s="101">
        <f t="shared" si="11"/>
        <v>64</v>
      </c>
    </row>
    <row r="106" spans="2:35" x14ac:dyDescent="0.25">
      <c r="B106" t="s">
        <v>291</v>
      </c>
      <c r="C106" s="101">
        <v>97930000</v>
      </c>
      <c r="D106" s="101">
        <f t="shared" si="6"/>
        <v>88682858</v>
      </c>
      <c r="E106" s="101">
        <v>0</v>
      </c>
      <c r="F106" s="101">
        <v>0</v>
      </c>
      <c r="G106" s="101">
        <v>7569695</v>
      </c>
      <c r="H106" s="101">
        <v>1677447</v>
      </c>
      <c r="I106" s="101">
        <v>13632000</v>
      </c>
      <c r="K106" s="101">
        <v>1708000</v>
      </c>
      <c r="L106" s="101">
        <f t="shared" si="7"/>
        <v>8537000</v>
      </c>
      <c r="M106" s="101">
        <v>121807000</v>
      </c>
      <c r="N106" s="101">
        <v>543</v>
      </c>
      <c r="O106" s="101">
        <v>3137</v>
      </c>
      <c r="P106" s="101">
        <v>263</v>
      </c>
      <c r="Q106" s="101">
        <v>436</v>
      </c>
      <c r="R106" s="101">
        <v>181797</v>
      </c>
      <c r="S106" s="101">
        <v>176639</v>
      </c>
      <c r="T106" s="101">
        <v>143735</v>
      </c>
      <c r="U106" s="101">
        <v>146615</v>
      </c>
      <c r="V106" s="101">
        <v>155731</v>
      </c>
      <c r="W106" s="101">
        <v>156517</v>
      </c>
      <c r="X106" s="149">
        <f t="shared" si="8"/>
        <v>0.67001655692888218</v>
      </c>
      <c r="Y106" s="184">
        <v>4.2099999999999999E-2</v>
      </c>
      <c r="Z106" s="253">
        <v>8.5</v>
      </c>
      <c r="AA106" s="149">
        <f t="shared" si="9"/>
        <v>2.8372305373576021E-2</v>
      </c>
      <c r="AB106" s="149"/>
      <c r="AD106" s="101">
        <v>161505</v>
      </c>
      <c r="AE106" s="101">
        <v>158678</v>
      </c>
      <c r="AF106" s="101">
        <f t="shared" si="10"/>
        <v>2827</v>
      </c>
      <c r="AG106" s="101">
        <v>181797</v>
      </c>
      <c r="AH106" s="101">
        <v>176639</v>
      </c>
      <c r="AI106" s="101">
        <f t="shared" si="11"/>
        <v>5158</v>
      </c>
    </row>
    <row r="107" spans="2:35" x14ac:dyDescent="0.25">
      <c r="B107" t="s">
        <v>292</v>
      </c>
      <c r="C107" s="101">
        <v>224881000</v>
      </c>
      <c r="D107" s="101">
        <f t="shared" si="6"/>
        <v>189785312</v>
      </c>
      <c r="E107" s="101">
        <v>0</v>
      </c>
      <c r="F107" s="101">
        <v>18272106</v>
      </c>
      <c r="G107" s="101">
        <v>10215070</v>
      </c>
      <c r="H107" s="101">
        <v>6608512</v>
      </c>
      <c r="I107" s="101">
        <v>30971000</v>
      </c>
      <c r="K107" s="101">
        <v>5631000</v>
      </c>
      <c r="L107" s="101">
        <f t="shared" si="7"/>
        <v>4719000</v>
      </c>
      <c r="M107" s="101">
        <v>266202000</v>
      </c>
      <c r="N107" s="101">
        <v>1257</v>
      </c>
      <c r="O107" s="101">
        <v>8187</v>
      </c>
      <c r="P107" s="101">
        <v>125</v>
      </c>
      <c r="Q107" s="101">
        <v>9881</v>
      </c>
      <c r="R107" s="101">
        <v>365365</v>
      </c>
      <c r="S107" s="101">
        <v>383519</v>
      </c>
      <c r="T107" s="101">
        <v>284017</v>
      </c>
      <c r="U107" s="101">
        <v>292423</v>
      </c>
      <c r="V107" s="101">
        <v>325912</v>
      </c>
      <c r="W107" s="101">
        <v>327629</v>
      </c>
      <c r="X107" s="149">
        <f t="shared" si="8"/>
        <v>0.72859195598921622</v>
      </c>
      <c r="Y107" s="184">
        <v>4.9500000000000002E-2</v>
      </c>
      <c r="Z107" s="253">
        <v>6.5</v>
      </c>
      <c r="AA107" s="149">
        <f t="shared" si="9"/>
        <v>-4.9687299002367492E-2</v>
      </c>
      <c r="AB107" s="149"/>
      <c r="AD107" s="101">
        <v>351395</v>
      </c>
      <c r="AE107" s="101">
        <v>355445</v>
      </c>
      <c r="AF107" s="101">
        <f t="shared" si="10"/>
        <v>-4050</v>
      </c>
      <c r="AG107" s="101">
        <v>365365</v>
      </c>
      <c r="AH107" s="101">
        <v>383519</v>
      </c>
      <c r="AI107" s="101">
        <f t="shared" si="11"/>
        <v>-18154</v>
      </c>
    </row>
    <row r="108" spans="2:35" x14ac:dyDescent="0.25">
      <c r="B108" t="s">
        <v>721</v>
      </c>
      <c r="C108" s="101">
        <v>788617000</v>
      </c>
      <c r="D108" s="101">
        <f t="shared" si="6"/>
        <v>645369773</v>
      </c>
      <c r="E108" s="101">
        <v>0</v>
      </c>
      <c r="F108" s="101">
        <v>78904396</v>
      </c>
      <c r="G108" s="101">
        <v>30159432</v>
      </c>
      <c r="H108" s="101">
        <v>34183399</v>
      </c>
      <c r="I108" s="101">
        <v>171497000</v>
      </c>
      <c r="K108" s="101">
        <v>12122000</v>
      </c>
      <c r="L108" s="101">
        <f t="shared" si="7"/>
        <v>25612000</v>
      </c>
      <c r="M108" s="101">
        <v>997848000</v>
      </c>
      <c r="N108" s="101">
        <v>2101</v>
      </c>
      <c r="O108" s="101">
        <v>24040</v>
      </c>
      <c r="P108" s="101">
        <v>1935</v>
      </c>
      <c r="Q108" s="101">
        <v>746</v>
      </c>
      <c r="R108" s="101">
        <v>1376051</v>
      </c>
      <c r="S108" s="101">
        <v>1371911</v>
      </c>
      <c r="T108" s="101">
        <v>1082150</v>
      </c>
      <c r="U108" s="101">
        <v>1081946</v>
      </c>
      <c r="V108" s="101">
        <v>1158759</v>
      </c>
      <c r="W108" s="101">
        <v>1153527</v>
      </c>
      <c r="X108" s="149">
        <f t="shared" si="8"/>
        <v>0.72515335550789906</v>
      </c>
      <c r="Y108" s="184">
        <v>4.19E-2</v>
      </c>
      <c r="Z108" s="253">
        <v>7.5</v>
      </c>
      <c r="AA108" s="149">
        <f t="shared" si="9"/>
        <v>3.0086094192729776E-3</v>
      </c>
      <c r="AB108" s="149"/>
      <c r="AD108" s="101">
        <v>1281142</v>
      </c>
      <c r="AE108" s="101">
        <v>1291784</v>
      </c>
      <c r="AF108" s="101">
        <f t="shared" si="10"/>
        <v>-10642</v>
      </c>
      <c r="AG108" s="101">
        <v>1376051</v>
      </c>
      <c r="AH108" s="101">
        <v>1371911</v>
      </c>
      <c r="AI108" s="101">
        <f t="shared" si="11"/>
        <v>4140</v>
      </c>
    </row>
    <row r="109" spans="2:35" x14ac:dyDescent="0.25">
      <c r="B109" t="s">
        <v>404</v>
      </c>
      <c r="C109" s="101">
        <v>31034000</v>
      </c>
      <c r="D109" s="101">
        <f t="shared" si="6"/>
        <v>28898520</v>
      </c>
      <c r="E109" s="101">
        <v>0</v>
      </c>
      <c r="F109" s="101">
        <v>0</v>
      </c>
      <c r="G109" s="101">
        <v>1891492</v>
      </c>
      <c r="H109" s="101">
        <v>243988</v>
      </c>
      <c r="I109" s="101">
        <v>2740000</v>
      </c>
      <c r="K109" s="101">
        <v>168000</v>
      </c>
      <c r="L109" s="101">
        <f t="shared" si="7"/>
        <v>801000</v>
      </c>
      <c r="M109" s="101">
        <v>34743000</v>
      </c>
      <c r="N109" s="101">
        <v>4</v>
      </c>
      <c r="O109" s="101">
        <v>372</v>
      </c>
      <c r="P109" s="101">
        <v>248</v>
      </c>
      <c r="Q109" s="101">
        <v>0</v>
      </c>
      <c r="R109" s="101">
        <v>48778</v>
      </c>
      <c r="S109" s="101">
        <v>49579</v>
      </c>
      <c r="T109" s="101">
        <v>38478</v>
      </c>
      <c r="U109" s="101">
        <v>38786</v>
      </c>
      <c r="V109" s="101">
        <v>41655</v>
      </c>
      <c r="W109" s="101">
        <v>42365</v>
      </c>
      <c r="X109" s="149">
        <f t="shared" si="8"/>
        <v>0.71226782565910862</v>
      </c>
      <c r="Y109" s="184">
        <v>4.8000000000000001E-2</v>
      </c>
      <c r="Z109" s="253">
        <v>5</v>
      </c>
      <c r="AA109" s="149">
        <f t="shared" si="9"/>
        <v>-1.6421337488211899E-2</v>
      </c>
      <c r="AB109" s="149"/>
      <c r="AD109" s="101">
        <v>45376</v>
      </c>
      <c r="AE109" s="101">
        <v>45589</v>
      </c>
      <c r="AF109" s="101">
        <f t="shared" si="10"/>
        <v>-213</v>
      </c>
      <c r="AG109" s="101">
        <v>48778</v>
      </c>
      <c r="AH109" s="101">
        <v>49579</v>
      </c>
      <c r="AI109" s="101">
        <f t="shared" si="11"/>
        <v>-801</v>
      </c>
    </row>
    <row r="110" spans="2:35" x14ac:dyDescent="0.25">
      <c r="B110" t="s">
        <v>145</v>
      </c>
      <c r="C110" s="101">
        <v>51079000</v>
      </c>
      <c r="D110" s="101">
        <f t="shared" si="6"/>
        <v>48344534</v>
      </c>
      <c r="E110" s="101">
        <v>0</v>
      </c>
      <c r="F110" s="101">
        <v>0</v>
      </c>
      <c r="G110" s="101">
        <v>2390196</v>
      </c>
      <c r="H110" s="101">
        <v>344270</v>
      </c>
      <c r="I110" s="101">
        <v>6066000</v>
      </c>
      <c r="K110" s="101">
        <v>608000</v>
      </c>
      <c r="L110" s="101">
        <f t="shared" si="7"/>
        <v>4851000</v>
      </c>
      <c r="M110" s="101">
        <v>62604000</v>
      </c>
      <c r="N110" s="101">
        <v>11</v>
      </c>
      <c r="O110" s="101">
        <v>770</v>
      </c>
      <c r="P110" s="101">
        <v>359</v>
      </c>
      <c r="Q110" s="101">
        <v>15</v>
      </c>
      <c r="R110" s="101">
        <v>83183</v>
      </c>
      <c r="S110" s="101">
        <v>83540</v>
      </c>
      <c r="T110" s="101">
        <v>63222</v>
      </c>
      <c r="U110" s="101">
        <v>62340</v>
      </c>
      <c r="V110" s="101">
        <v>67501</v>
      </c>
      <c r="W110" s="101">
        <v>67383</v>
      </c>
      <c r="X110" s="149">
        <f t="shared" si="8"/>
        <v>0.75260570068403398</v>
      </c>
      <c r="Y110" s="184">
        <v>4.6199999999999998E-2</v>
      </c>
      <c r="Z110" s="253">
        <v>9</v>
      </c>
      <c r="AA110" s="149">
        <f t="shared" si="9"/>
        <v>-4.2917423031148191E-3</v>
      </c>
      <c r="AB110" s="149"/>
      <c r="AD110" s="101">
        <v>74193</v>
      </c>
      <c r="AE110" s="101">
        <v>74223</v>
      </c>
      <c r="AF110" s="101">
        <f t="shared" si="10"/>
        <v>-30</v>
      </c>
      <c r="AG110" s="101">
        <v>83183</v>
      </c>
      <c r="AH110" s="101">
        <v>83540</v>
      </c>
      <c r="AI110" s="101">
        <f t="shared" si="11"/>
        <v>-357</v>
      </c>
    </row>
    <row r="111" spans="2:35" x14ac:dyDescent="0.25">
      <c r="B111" t="s">
        <v>250</v>
      </c>
      <c r="C111" s="101">
        <v>449367000</v>
      </c>
      <c r="D111" s="101">
        <f t="shared" si="6"/>
        <v>364696119</v>
      </c>
      <c r="E111" s="101">
        <v>0</v>
      </c>
      <c r="F111" s="101">
        <v>47866650</v>
      </c>
      <c r="G111" s="101">
        <v>17186577</v>
      </c>
      <c r="H111" s="101">
        <v>19617654</v>
      </c>
      <c r="I111" s="101">
        <v>61998000</v>
      </c>
      <c r="K111" s="101">
        <v>7913000</v>
      </c>
      <c r="L111" s="101">
        <f t="shared" si="7"/>
        <v>19250000</v>
      </c>
      <c r="M111" s="101">
        <v>538528000</v>
      </c>
      <c r="N111" s="101">
        <v>3413</v>
      </c>
      <c r="O111" s="101">
        <v>23598</v>
      </c>
      <c r="P111" s="101">
        <v>1000</v>
      </c>
      <c r="Q111" s="101">
        <v>5404</v>
      </c>
      <c r="R111" s="101">
        <v>763986</v>
      </c>
      <c r="S111" s="101">
        <v>764246</v>
      </c>
      <c r="T111" s="101">
        <v>611626</v>
      </c>
      <c r="U111" s="101">
        <v>598728</v>
      </c>
      <c r="V111" s="101">
        <v>664015</v>
      </c>
      <c r="W111" s="101">
        <v>629684</v>
      </c>
      <c r="X111" s="149">
        <f t="shared" si="8"/>
        <v>0.70489249803006859</v>
      </c>
      <c r="Y111" s="184">
        <v>3.4229999999999997E-2</v>
      </c>
      <c r="Z111" s="253">
        <v>9</v>
      </c>
      <c r="AA111" s="149">
        <f t="shared" si="9"/>
        <v>-3.4032037236284436E-4</v>
      </c>
      <c r="AB111" s="149"/>
      <c r="AD111" s="101">
        <v>719536</v>
      </c>
      <c r="AE111" s="101">
        <v>718879</v>
      </c>
      <c r="AF111" s="101">
        <f t="shared" si="10"/>
        <v>657</v>
      </c>
      <c r="AG111" s="101">
        <v>763986</v>
      </c>
      <c r="AH111" s="101">
        <v>764246</v>
      </c>
      <c r="AI111" s="101">
        <f t="shared" si="11"/>
        <v>-260</v>
      </c>
    </row>
    <row r="112" spans="2:35" x14ac:dyDescent="0.25">
      <c r="B112" t="s">
        <v>251</v>
      </c>
      <c r="C112" s="101">
        <v>286300000</v>
      </c>
      <c r="D112" s="101">
        <f t="shared" si="6"/>
        <v>277326887</v>
      </c>
      <c r="E112" s="101">
        <v>0</v>
      </c>
      <c r="F112" s="101">
        <v>0</v>
      </c>
      <c r="G112" s="101">
        <v>5962662</v>
      </c>
      <c r="H112" s="101">
        <v>3010451</v>
      </c>
      <c r="I112" s="101">
        <v>37204000</v>
      </c>
      <c r="K112" s="101">
        <v>3673000</v>
      </c>
      <c r="L112" s="101">
        <f t="shared" si="7"/>
        <v>10900000</v>
      </c>
      <c r="M112" s="101">
        <v>338077000</v>
      </c>
      <c r="N112" s="101">
        <v>1794</v>
      </c>
      <c r="O112" s="101">
        <v>19285</v>
      </c>
      <c r="P112" s="101">
        <v>889</v>
      </c>
      <c r="Q112" s="101">
        <v>8855</v>
      </c>
      <c r="R112" s="101">
        <v>608756</v>
      </c>
      <c r="S112" s="101">
        <v>608988</v>
      </c>
      <c r="T112" s="101">
        <v>498653</v>
      </c>
      <c r="U112" s="101">
        <v>499363</v>
      </c>
      <c r="V112" s="101">
        <v>499775</v>
      </c>
      <c r="W112" s="101">
        <v>486215</v>
      </c>
      <c r="X112" s="149">
        <f t="shared" si="8"/>
        <v>0.55535715459067347</v>
      </c>
      <c r="Y112" s="184">
        <v>3.2399999999999998E-2</v>
      </c>
      <c r="Z112" s="253">
        <v>7.5</v>
      </c>
      <c r="AA112" s="149">
        <f t="shared" si="9"/>
        <v>-3.8110507329701886E-4</v>
      </c>
      <c r="AB112" s="149"/>
      <c r="AD112" s="101">
        <v>528572</v>
      </c>
      <c r="AE112" s="101">
        <v>527385</v>
      </c>
      <c r="AF112" s="101">
        <f t="shared" si="10"/>
        <v>1187</v>
      </c>
      <c r="AG112" s="101">
        <v>608756</v>
      </c>
      <c r="AH112" s="101">
        <v>608988</v>
      </c>
      <c r="AI112" s="101">
        <f t="shared" si="11"/>
        <v>-232</v>
      </c>
    </row>
    <row r="113" spans="2:35" x14ac:dyDescent="0.25">
      <c r="B113" t="s">
        <v>368</v>
      </c>
      <c r="C113" s="101">
        <v>66043000</v>
      </c>
      <c r="D113" s="101">
        <f t="shared" si="6"/>
        <v>59934224</v>
      </c>
      <c r="E113" s="101">
        <v>0</v>
      </c>
      <c r="F113" s="101">
        <v>0</v>
      </c>
      <c r="G113" s="101">
        <v>5572903</v>
      </c>
      <c r="H113" s="101">
        <v>535873</v>
      </c>
      <c r="I113" s="101">
        <v>9138000</v>
      </c>
      <c r="K113" s="101">
        <v>1088000</v>
      </c>
      <c r="L113" s="101">
        <f t="shared" si="7"/>
        <v>1962000</v>
      </c>
      <c r="M113" s="101">
        <v>78231000</v>
      </c>
      <c r="N113" s="101">
        <v>18</v>
      </c>
      <c r="O113" s="101">
        <v>936</v>
      </c>
      <c r="P113" s="101">
        <v>157</v>
      </c>
      <c r="Q113" s="101">
        <v>11493</v>
      </c>
      <c r="R113" s="101">
        <v>113605</v>
      </c>
      <c r="S113" s="101">
        <v>112474</v>
      </c>
      <c r="T113" s="101">
        <v>90225</v>
      </c>
      <c r="U113" s="101">
        <v>86852</v>
      </c>
      <c r="V113" s="101">
        <v>90237</v>
      </c>
      <c r="W113" s="101">
        <v>90923</v>
      </c>
      <c r="X113" s="149">
        <f t="shared" si="8"/>
        <v>0.68862285990933503</v>
      </c>
      <c r="Y113" s="184">
        <v>5.7200000000000001E-2</v>
      </c>
      <c r="Z113" s="253">
        <v>8.5</v>
      </c>
      <c r="AA113" s="149">
        <f t="shared" si="9"/>
        <v>9.9555477311738041E-3</v>
      </c>
      <c r="AB113" s="149"/>
      <c r="AD113" s="101">
        <v>99471</v>
      </c>
      <c r="AE113" s="101">
        <v>98302</v>
      </c>
      <c r="AF113" s="101">
        <f t="shared" si="10"/>
        <v>1169</v>
      </c>
      <c r="AG113" s="101">
        <v>113605</v>
      </c>
      <c r="AH113" s="101">
        <v>112474</v>
      </c>
      <c r="AI113" s="101">
        <f t="shared" si="11"/>
        <v>1131</v>
      </c>
    </row>
    <row r="114" spans="2:35" x14ac:dyDescent="0.25">
      <c r="B114" t="s">
        <v>146</v>
      </c>
      <c r="C114" s="101">
        <v>137610000</v>
      </c>
      <c r="D114" s="101">
        <f t="shared" si="6"/>
        <v>127315183</v>
      </c>
      <c r="E114" s="101">
        <v>0</v>
      </c>
      <c r="F114" s="101">
        <v>0</v>
      </c>
      <c r="G114" s="101">
        <v>9372156</v>
      </c>
      <c r="H114" s="101">
        <v>922661</v>
      </c>
      <c r="I114" s="101">
        <v>15986000</v>
      </c>
      <c r="K114" s="101">
        <v>76000</v>
      </c>
      <c r="L114" s="101">
        <f t="shared" si="7"/>
        <v>3557000</v>
      </c>
      <c r="M114" s="101">
        <v>157229000</v>
      </c>
      <c r="N114" s="101">
        <v>9</v>
      </c>
      <c r="O114" s="101">
        <v>2038</v>
      </c>
      <c r="P114" s="101">
        <v>2188</v>
      </c>
      <c r="Q114" s="101">
        <v>12469</v>
      </c>
      <c r="R114" s="101">
        <v>254955</v>
      </c>
      <c r="S114" s="101">
        <v>261380</v>
      </c>
      <c r="T114" s="101">
        <v>188678</v>
      </c>
      <c r="U114" s="101">
        <v>189984</v>
      </c>
      <c r="V114" s="101">
        <v>196949</v>
      </c>
      <c r="W114" s="101">
        <v>195361</v>
      </c>
      <c r="X114" s="149">
        <f t="shared" si="8"/>
        <v>0.61669314192700675</v>
      </c>
      <c r="Y114" s="184">
        <v>3.9899999999999998E-2</v>
      </c>
      <c r="Z114" s="253">
        <v>8</v>
      </c>
      <c r="AA114" s="149">
        <f t="shared" si="9"/>
        <v>-2.5200525582946009E-2</v>
      </c>
      <c r="AB114" s="149"/>
      <c r="AD114" s="101">
        <v>238531</v>
      </c>
      <c r="AE114" s="101">
        <v>242015</v>
      </c>
      <c r="AF114" s="101">
        <f t="shared" si="10"/>
        <v>-3484</v>
      </c>
      <c r="AG114" s="101">
        <v>254955</v>
      </c>
      <c r="AH114" s="101">
        <v>261380</v>
      </c>
      <c r="AI114" s="101">
        <f t="shared" si="11"/>
        <v>-6425</v>
      </c>
    </row>
    <row r="115" spans="2:35" x14ac:dyDescent="0.25">
      <c r="B115" t="s">
        <v>181</v>
      </c>
      <c r="C115" s="101">
        <v>108183000</v>
      </c>
      <c r="D115" s="101">
        <f t="shared" si="6"/>
        <v>102063275</v>
      </c>
      <c r="E115" s="101">
        <v>0</v>
      </c>
      <c r="F115" s="101">
        <v>0</v>
      </c>
      <c r="G115" s="101">
        <v>5339906</v>
      </c>
      <c r="H115" s="101">
        <v>779819</v>
      </c>
      <c r="I115" s="101">
        <v>15500000</v>
      </c>
      <c r="K115" s="101">
        <v>2675000</v>
      </c>
      <c r="L115" s="101">
        <f t="shared" si="7"/>
        <v>2682000</v>
      </c>
      <c r="M115" s="101">
        <v>129040000</v>
      </c>
      <c r="N115" s="101">
        <v>809</v>
      </c>
      <c r="O115" s="101">
        <v>2761</v>
      </c>
      <c r="P115" s="101">
        <v>571</v>
      </c>
      <c r="Q115" s="101">
        <v>17703</v>
      </c>
      <c r="R115" s="101">
        <v>224776</v>
      </c>
      <c r="S115" s="101">
        <v>224452</v>
      </c>
      <c r="T115" s="101">
        <v>178980</v>
      </c>
      <c r="U115" s="101">
        <v>180228</v>
      </c>
      <c r="V115" s="101">
        <v>184495</v>
      </c>
      <c r="W115" s="101">
        <v>185403</v>
      </c>
      <c r="X115" s="149">
        <f t="shared" si="8"/>
        <v>0.57408264227497596</v>
      </c>
      <c r="Y115" s="184">
        <v>5.7299999999999997E-2</v>
      </c>
      <c r="Z115" s="253">
        <v>7.5</v>
      </c>
      <c r="AA115" s="149">
        <f t="shared" si="9"/>
        <v>1.4414350286507456E-3</v>
      </c>
      <c r="AB115" s="149"/>
      <c r="AD115" s="101">
        <v>199379</v>
      </c>
      <c r="AE115" s="101">
        <v>201420</v>
      </c>
      <c r="AF115" s="101">
        <f t="shared" si="10"/>
        <v>-2041</v>
      </c>
      <c r="AG115" s="101">
        <v>224776</v>
      </c>
      <c r="AH115" s="101">
        <v>224452</v>
      </c>
      <c r="AI115" s="101">
        <f t="shared" si="11"/>
        <v>324</v>
      </c>
    </row>
    <row r="116" spans="2:35" x14ac:dyDescent="0.25">
      <c r="B116" t="s">
        <v>293</v>
      </c>
      <c r="C116" s="101">
        <v>35575000</v>
      </c>
      <c r="D116" s="101">
        <f t="shared" si="6"/>
        <v>35033534</v>
      </c>
      <c r="E116" s="101">
        <v>0</v>
      </c>
      <c r="F116" s="101">
        <v>0</v>
      </c>
      <c r="G116" s="101">
        <v>113030</v>
      </c>
      <c r="H116" s="101">
        <v>428436</v>
      </c>
      <c r="I116" s="101">
        <v>3620000</v>
      </c>
      <c r="K116" s="101">
        <v>88000</v>
      </c>
      <c r="L116" s="101">
        <f t="shared" si="7"/>
        <v>710000</v>
      </c>
      <c r="M116" s="101">
        <v>39993000</v>
      </c>
      <c r="N116" s="101">
        <v>134</v>
      </c>
      <c r="O116" s="101">
        <v>600</v>
      </c>
      <c r="P116" s="101">
        <v>40</v>
      </c>
      <c r="Q116" s="101">
        <v>4691</v>
      </c>
      <c r="R116" s="101">
        <v>58387</v>
      </c>
      <c r="S116" s="101">
        <v>58079</v>
      </c>
      <c r="T116" s="101">
        <v>48036</v>
      </c>
      <c r="U116" s="101">
        <v>49746</v>
      </c>
      <c r="V116" s="101">
        <v>47357</v>
      </c>
      <c r="W116" s="101">
        <v>48002</v>
      </c>
      <c r="X116" s="149">
        <f t="shared" si="8"/>
        <v>0.68496411872505869</v>
      </c>
      <c r="Y116" s="184">
        <v>5.5500000000000001E-2</v>
      </c>
      <c r="Z116" s="253">
        <v>7</v>
      </c>
      <c r="AA116" s="149">
        <f t="shared" si="9"/>
        <v>5.2751468648843062E-3</v>
      </c>
      <c r="AB116" s="149"/>
      <c r="AD116" s="101">
        <v>52640</v>
      </c>
      <c r="AE116" s="101">
        <v>52518</v>
      </c>
      <c r="AF116" s="101">
        <f t="shared" si="10"/>
        <v>122</v>
      </c>
      <c r="AG116" s="101">
        <v>58387</v>
      </c>
      <c r="AH116" s="101">
        <v>58079</v>
      </c>
      <c r="AI116" s="101">
        <f t="shared" si="11"/>
        <v>308</v>
      </c>
    </row>
    <row r="117" spans="2:35" x14ac:dyDescent="0.25">
      <c r="B117" t="s">
        <v>128</v>
      </c>
      <c r="C117" s="101">
        <v>45803000</v>
      </c>
      <c r="D117" s="101">
        <f t="shared" si="6"/>
        <v>43068906</v>
      </c>
      <c r="E117" s="101">
        <v>0</v>
      </c>
      <c r="F117" s="101">
        <v>0</v>
      </c>
      <c r="G117" s="101">
        <v>2159408</v>
      </c>
      <c r="H117" s="101">
        <v>574686</v>
      </c>
      <c r="I117" s="101">
        <v>8320000</v>
      </c>
      <c r="K117" s="101">
        <v>474000</v>
      </c>
      <c r="L117" s="101">
        <f t="shared" si="7"/>
        <v>640000</v>
      </c>
      <c r="M117" s="101">
        <v>55237000</v>
      </c>
      <c r="N117" s="101">
        <v>676</v>
      </c>
      <c r="O117" s="101">
        <v>828</v>
      </c>
      <c r="P117" s="101">
        <v>964</v>
      </c>
      <c r="Q117" s="101">
        <v>0</v>
      </c>
      <c r="R117" s="101">
        <v>77423</v>
      </c>
      <c r="S117" s="101">
        <v>83392</v>
      </c>
      <c r="T117" s="101">
        <v>60444</v>
      </c>
      <c r="U117" s="101">
        <v>60889</v>
      </c>
      <c r="V117" s="101">
        <v>65289</v>
      </c>
      <c r="W117" s="101">
        <v>66144</v>
      </c>
      <c r="X117" s="149">
        <f t="shared" si="8"/>
        <v>0.71344432532968238</v>
      </c>
      <c r="Y117" s="184">
        <v>3.6600000000000001E-2</v>
      </c>
      <c r="Z117" s="253">
        <v>8.5</v>
      </c>
      <c r="AA117" s="149">
        <f t="shared" si="9"/>
        <v>-7.70959533988608E-2</v>
      </c>
      <c r="AB117" s="149"/>
      <c r="AD117" s="101">
        <v>71173</v>
      </c>
      <c r="AE117" s="101">
        <v>73091</v>
      </c>
      <c r="AF117" s="101">
        <f t="shared" si="10"/>
        <v>-1918</v>
      </c>
      <c r="AG117" s="101">
        <v>77423</v>
      </c>
      <c r="AH117" s="101">
        <v>83392</v>
      </c>
      <c r="AI117" s="101">
        <f t="shared" si="11"/>
        <v>-5969</v>
      </c>
    </row>
    <row r="118" spans="2:35" x14ac:dyDescent="0.25">
      <c r="B118" t="s">
        <v>182</v>
      </c>
      <c r="C118" s="101">
        <v>23901000</v>
      </c>
      <c r="D118" s="101">
        <f t="shared" si="6"/>
        <v>22827013</v>
      </c>
      <c r="E118" s="101">
        <v>0</v>
      </c>
      <c r="F118" s="101">
        <v>0</v>
      </c>
      <c r="G118" s="101">
        <v>813314</v>
      </c>
      <c r="H118" s="101">
        <v>260673</v>
      </c>
      <c r="I118" s="101">
        <v>1775000</v>
      </c>
      <c r="K118" s="101">
        <v>116000</v>
      </c>
      <c r="L118" s="101">
        <f t="shared" si="7"/>
        <v>874000</v>
      </c>
      <c r="M118" s="101">
        <v>26666000</v>
      </c>
      <c r="N118" s="101">
        <v>35</v>
      </c>
      <c r="O118" s="101">
        <v>286</v>
      </c>
      <c r="P118" s="101">
        <v>201</v>
      </c>
      <c r="Q118" s="101">
        <v>0</v>
      </c>
      <c r="R118" s="101">
        <v>37335</v>
      </c>
      <c r="S118" s="101">
        <v>37543</v>
      </c>
      <c r="T118" s="101">
        <v>29567</v>
      </c>
      <c r="U118" s="101">
        <v>29315</v>
      </c>
      <c r="V118" s="101">
        <v>30683</v>
      </c>
      <c r="W118" s="101">
        <v>30892</v>
      </c>
      <c r="X118" s="149">
        <f t="shared" si="8"/>
        <v>0.71423597160841035</v>
      </c>
      <c r="Y118" s="184">
        <v>5.3800000000000001E-2</v>
      </c>
      <c r="Z118" s="253">
        <v>8.5</v>
      </c>
      <c r="AA118" s="149">
        <f t="shared" si="9"/>
        <v>-5.5711798580420514E-3</v>
      </c>
      <c r="AB118" s="149"/>
      <c r="AD118" s="101">
        <v>34515</v>
      </c>
      <c r="AE118" s="101">
        <v>34180</v>
      </c>
      <c r="AF118" s="101">
        <f t="shared" si="10"/>
        <v>335</v>
      </c>
      <c r="AG118" s="101">
        <v>37335</v>
      </c>
      <c r="AH118" s="101">
        <v>37543</v>
      </c>
      <c r="AI118" s="101">
        <f t="shared" si="11"/>
        <v>-208</v>
      </c>
    </row>
    <row r="119" spans="2:35" x14ac:dyDescent="0.25">
      <c r="B119" t="s">
        <v>252</v>
      </c>
      <c r="C119" s="101">
        <v>84307000</v>
      </c>
      <c r="D119" s="101">
        <f t="shared" si="6"/>
        <v>79365378</v>
      </c>
      <c r="E119" s="101">
        <v>0</v>
      </c>
      <c r="F119" s="101">
        <v>0</v>
      </c>
      <c r="G119" s="101">
        <v>4452086</v>
      </c>
      <c r="H119" s="101">
        <v>489536</v>
      </c>
      <c r="I119" s="101">
        <v>14118000</v>
      </c>
      <c r="K119" s="101">
        <v>1891000</v>
      </c>
      <c r="L119" s="101">
        <f t="shared" si="7"/>
        <v>1712000</v>
      </c>
      <c r="M119" s="101">
        <v>102028000</v>
      </c>
      <c r="N119" s="101">
        <v>259</v>
      </c>
      <c r="O119" s="101">
        <v>874</v>
      </c>
      <c r="P119" s="101">
        <v>131</v>
      </c>
      <c r="Q119" s="101">
        <v>0</v>
      </c>
      <c r="R119" s="101">
        <v>128373</v>
      </c>
      <c r="S119" s="101">
        <v>132661</v>
      </c>
      <c r="T119" s="101">
        <v>104197</v>
      </c>
      <c r="U119" s="101">
        <v>107064</v>
      </c>
      <c r="V119" s="101">
        <v>112669</v>
      </c>
      <c r="W119" s="101">
        <v>112866</v>
      </c>
      <c r="X119" s="149">
        <f t="shared" si="8"/>
        <v>0.79477771805597752</v>
      </c>
      <c r="Y119" s="184">
        <v>5.5899999999999998E-2</v>
      </c>
      <c r="Z119" s="253">
        <v>6.5</v>
      </c>
      <c r="AA119" s="149">
        <f t="shared" si="9"/>
        <v>-3.3402662553652249E-2</v>
      </c>
      <c r="AB119" s="149"/>
      <c r="AD119" s="101">
        <v>120932</v>
      </c>
      <c r="AE119" s="101">
        <v>126410</v>
      </c>
      <c r="AF119" s="101">
        <f t="shared" si="10"/>
        <v>-5478</v>
      </c>
      <c r="AG119" s="101">
        <v>128373</v>
      </c>
      <c r="AH119" s="101">
        <v>132661</v>
      </c>
      <c r="AI119" s="101">
        <f t="shared" si="11"/>
        <v>-4288</v>
      </c>
    </row>
    <row r="120" spans="2:35" x14ac:dyDescent="0.25">
      <c r="B120" t="s">
        <v>253</v>
      </c>
      <c r="C120" s="101">
        <v>46715000</v>
      </c>
      <c r="D120" s="101">
        <f t="shared" si="6"/>
        <v>45090523</v>
      </c>
      <c r="E120" s="101">
        <v>0</v>
      </c>
      <c r="F120" s="101">
        <v>0</v>
      </c>
      <c r="G120" s="101">
        <v>1330115</v>
      </c>
      <c r="H120" s="101">
        <v>294362</v>
      </c>
      <c r="I120" s="101">
        <v>4190000</v>
      </c>
      <c r="K120" s="101">
        <v>182000</v>
      </c>
      <c r="L120" s="101">
        <f t="shared" si="7"/>
        <v>3237000</v>
      </c>
      <c r="M120" s="101">
        <v>54324000</v>
      </c>
      <c r="N120" s="101">
        <v>203</v>
      </c>
      <c r="O120" s="101">
        <v>2514</v>
      </c>
      <c r="P120" s="101">
        <v>458</v>
      </c>
      <c r="Q120" s="101">
        <v>0</v>
      </c>
      <c r="R120" s="101">
        <v>89268</v>
      </c>
      <c r="S120" s="101">
        <v>91009</v>
      </c>
      <c r="T120" s="101">
        <v>63993</v>
      </c>
      <c r="U120" s="101">
        <v>64419</v>
      </c>
      <c r="V120" s="101">
        <v>71878</v>
      </c>
      <c r="W120" s="101">
        <v>73467</v>
      </c>
      <c r="X120" s="149">
        <f t="shared" si="8"/>
        <v>0.60854953622798769</v>
      </c>
      <c r="Y120" s="184">
        <v>4.4600000000000001E-2</v>
      </c>
      <c r="Z120" s="253">
        <v>8</v>
      </c>
      <c r="AA120" s="149">
        <f t="shared" si="9"/>
        <v>-1.9503069408970741E-2</v>
      </c>
      <c r="AB120" s="149"/>
      <c r="AD120" s="101">
        <v>82243</v>
      </c>
      <c r="AE120" s="101">
        <v>83575</v>
      </c>
      <c r="AF120" s="101">
        <f t="shared" si="10"/>
        <v>-1332</v>
      </c>
      <c r="AG120" s="101">
        <v>89268</v>
      </c>
      <c r="AH120" s="101">
        <v>91009</v>
      </c>
      <c r="AI120" s="101">
        <f t="shared" si="11"/>
        <v>-1741</v>
      </c>
    </row>
    <row r="121" spans="2:35" x14ac:dyDescent="0.25">
      <c r="B121" t="s">
        <v>183</v>
      </c>
      <c r="C121" s="101">
        <v>40010000</v>
      </c>
      <c r="D121" s="101">
        <f t="shared" si="6"/>
        <v>37381678</v>
      </c>
      <c r="E121" s="101">
        <v>0</v>
      </c>
      <c r="F121" s="101">
        <v>0</v>
      </c>
      <c r="G121" s="101">
        <v>2304372</v>
      </c>
      <c r="H121" s="101">
        <v>323950</v>
      </c>
      <c r="I121" s="101">
        <v>3365000</v>
      </c>
      <c r="K121" s="101">
        <v>287000</v>
      </c>
      <c r="L121" s="101">
        <f t="shared" si="7"/>
        <v>443000</v>
      </c>
      <c r="M121" s="101">
        <v>44105000</v>
      </c>
      <c r="N121" s="101">
        <v>112</v>
      </c>
      <c r="O121" s="101">
        <v>835</v>
      </c>
      <c r="P121" s="101">
        <v>152</v>
      </c>
      <c r="Q121" s="101">
        <v>299</v>
      </c>
      <c r="R121" s="101">
        <v>58038</v>
      </c>
      <c r="S121" s="101">
        <v>59122</v>
      </c>
      <c r="T121" s="101">
        <v>46654</v>
      </c>
      <c r="U121" s="101">
        <v>47426</v>
      </c>
      <c r="V121" s="101">
        <v>51703</v>
      </c>
      <c r="W121" s="101">
        <v>52665</v>
      </c>
      <c r="X121" s="149">
        <f t="shared" si="8"/>
        <v>0.75993314724835448</v>
      </c>
      <c r="Y121" s="184">
        <v>5.0799999999999998E-2</v>
      </c>
      <c r="Z121" s="253">
        <v>7.5</v>
      </c>
      <c r="AA121" s="149">
        <f t="shared" si="9"/>
        <v>-1.8677418243219959E-2</v>
      </c>
      <c r="AB121" s="149"/>
      <c r="AD121" s="101">
        <v>54646</v>
      </c>
      <c r="AE121" s="101">
        <v>55934</v>
      </c>
      <c r="AF121" s="101">
        <f t="shared" si="10"/>
        <v>-1288</v>
      </c>
      <c r="AG121" s="101">
        <v>58038</v>
      </c>
      <c r="AH121" s="101">
        <v>59122</v>
      </c>
      <c r="AI121" s="101">
        <f t="shared" si="11"/>
        <v>-1084</v>
      </c>
    </row>
    <row r="122" spans="2:35" x14ac:dyDescent="0.25">
      <c r="B122" t="s">
        <v>129</v>
      </c>
      <c r="C122" s="101">
        <v>128574000</v>
      </c>
      <c r="D122" s="101">
        <f t="shared" si="6"/>
        <v>119015748</v>
      </c>
      <c r="E122" s="101">
        <v>0</v>
      </c>
      <c r="F122" s="101">
        <v>0</v>
      </c>
      <c r="G122" s="101">
        <v>8854336</v>
      </c>
      <c r="H122" s="101">
        <v>703916</v>
      </c>
      <c r="I122" s="101">
        <v>21547000</v>
      </c>
      <c r="K122" s="101">
        <v>811000</v>
      </c>
      <c r="L122" s="101">
        <f t="shared" si="7"/>
        <v>771000</v>
      </c>
      <c r="M122" s="101">
        <v>151703000</v>
      </c>
      <c r="N122" s="101">
        <v>414</v>
      </c>
      <c r="O122" s="101">
        <v>1352</v>
      </c>
      <c r="P122" s="101">
        <v>237</v>
      </c>
      <c r="Q122" s="101">
        <v>14171</v>
      </c>
      <c r="R122" s="101">
        <v>221296</v>
      </c>
      <c r="S122" s="101">
        <v>229361</v>
      </c>
      <c r="T122" s="101">
        <v>178427</v>
      </c>
      <c r="U122" s="101">
        <v>181594</v>
      </c>
      <c r="V122" s="101">
        <v>189436</v>
      </c>
      <c r="W122" s="101">
        <v>199131</v>
      </c>
      <c r="X122" s="149">
        <f t="shared" si="8"/>
        <v>0.68552075048803418</v>
      </c>
      <c r="Y122" s="184">
        <v>6.3299999999999995E-2</v>
      </c>
      <c r="Z122" s="253">
        <v>7.5</v>
      </c>
      <c r="AA122" s="149">
        <f t="shared" si="9"/>
        <v>-3.6444400260284865E-2</v>
      </c>
      <c r="AB122" s="149"/>
      <c r="AD122" s="101">
        <v>212783</v>
      </c>
      <c r="AE122" s="101">
        <v>216819</v>
      </c>
      <c r="AF122" s="101">
        <f t="shared" si="10"/>
        <v>-4036</v>
      </c>
      <c r="AG122" s="101">
        <v>221296</v>
      </c>
      <c r="AH122" s="101">
        <v>229361</v>
      </c>
      <c r="AI122" s="101">
        <f t="shared" si="11"/>
        <v>-8065</v>
      </c>
    </row>
    <row r="123" spans="2:35" x14ac:dyDescent="0.25">
      <c r="B123" t="s">
        <v>405</v>
      </c>
      <c r="C123" s="101">
        <v>337379000</v>
      </c>
      <c r="D123" s="101">
        <f t="shared" si="6"/>
        <v>261565424</v>
      </c>
      <c r="E123" s="101">
        <v>0</v>
      </c>
      <c r="F123" s="101">
        <v>34418812</v>
      </c>
      <c r="G123" s="101">
        <v>28509439</v>
      </c>
      <c r="H123" s="101">
        <v>12885325</v>
      </c>
      <c r="I123" s="101">
        <v>66733000</v>
      </c>
      <c r="K123" s="101">
        <v>2695000</v>
      </c>
      <c r="L123" s="101">
        <f t="shared" si="7"/>
        <v>4713000</v>
      </c>
      <c r="M123" s="101">
        <v>411520000</v>
      </c>
      <c r="N123" s="101">
        <v>116</v>
      </c>
      <c r="O123" s="101">
        <v>3687</v>
      </c>
      <c r="P123" s="101">
        <v>1125</v>
      </c>
      <c r="Q123" s="101">
        <v>37</v>
      </c>
      <c r="R123" s="101">
        <v>492884</v>
      </c>
      <c r="S123" s="101">
        <v>490396</v>
      </c>
      <c r="T123" s="101">
        <v>424894</v>
      </c>
      <c r="U123" s="101">
        <v>426201</v>
      </c>
      <c r="V123" s="101">
        <v>448875</v>
      </c>
      <c r="W123" s="101">
        <v>447674</v>
      </c>
      <c r="X123" s="149">
        <f t="shared" si="8"/>
        <v>0.83492261870947326</v>
      </c>
      <c r="Y123" s="184">
        <v>5.5500000000000001E-2</v>
      </c>
      <c r="Z123" s="253">
        <v>5.5</v>
      </c>
      <c r="AA123" s="149">
        <f t="shared" si="9"/>
        <v>5.0478408712800581E-3</v>
      </c>
      <c r="AB123" s="149"/>
      <c r="AD123" s="101">
        <v>484726</v>
      </c>
      <c r="AE123" s="101">
        <v>488110</v>
      </c>
      <c r="AF123" s="101">
        <f t="shared" si="10"/>
        <v>-3384</v>
      </c>
      <c r="AG123" s="101">
        <v>492884</v>
      </c>
      <c r="AH123" s="101">
        <v>490396</v>
      </c>
      <c r="AI123" s="101">
        <f t="shared" si="11"/>
        <v>2488</v>
      </c>
    </row>
    <row r="124" spans="2:35" x14ac:dyDescent="0.25">
      <c r="B124" t="s">
        <v>369</v>
      </c>
      <c r="C124" s="101">
        <v>29910000</v>
      </c>
      <c r="D124" s="101">
        <f t="shared" si="6"/>
        <v>28463841</v>
      </c>
      <c r="E124" s="101">
        <v>0</v>
      </c>
      <c r="F124" s="101">
        <v>0</v>
      </c>
      <c r="G124" s="101">
        <v>1172305</v>
      </c>
      <c r="H124" s="101">
        <v>273854</v>
      </c>
      <c r="I124" s="101">
        <v>1971000</v>
      </c>
      <c r="K124" s="101">
        <v>175000</v>
      </c>
      <c r="L124" s="101">
        <f t="shared" si="7"/>
        <v>5912000</v>
      </c>
      <c r="M124" s="101">
        <v>37968000</v>
      </c>
      <c r="N124" s="101">
        <v>16</v>
      </c>
      <c r="O124" s="101">
        <v>836</v>
      </c>
      <c r="P124" s="101">
        <v>20</v>
      </c>
      <c r="Q124" s="101">
        <v>85</v>
      </c>
      <c r="R124" s="101">
        <v>50251</v>
      </c>
      <c r="S124" s="101">
        <v>51871</v>
      </c>
      <c r="T124" s="101">
        <v>35841</v>
      </c>
      <c r="U124" s="101">
        <v>35725</v>
      </c>
      <c r="V124" s="101">
        <v>38627</v>
      </c>
      <c r="W124" s="101">
        <v>38730</v>
      </c>
      <c r="X124" s="149">
        <f t="shared" si="8"/>
        <v>0.75556705339197228</v>
      </c>
      <c r="Y124" s="184">
        <v>4.8500000000000001E-2</v>
      </c>
      <c r="Z124" s="253">
        <v>8.5</v>
      </c>
      <c r="AA124" s="149">
        <f t="shared" si="9"/>
        <v>-3.2238164414638518E-2</v>
      </c>
      <c r="AB124" s="149"/>
      <c r="AD124" s="101">
        <v>42624</v>
      </c>
      <c r="AE124" s="101">
        <v>43099</v>
      </c>
      <c r="AF124" s="101">
        <f t="shared" si="10"/>
        <v>-475</v>
      </c>
      <c r="AG124" s="101">
        <v>50251</v>
      </c>
      <c r="AH124" s="101">
        <v>51871</v>
      </c>
      <c r="AI124" s="101">
        <f t="shared" si="11"/>
        <v>-1620</v>
      </c>
    </row>
    <row r="125" spans="2:35" x14ac:dyDescent="0.25">
      <c r="B125" t="s">
        <v>255</v>
      </c>
      <c r="C125" s="101">
        <v>40768000</v>
      </c>
      <c r="D125" s="101">
        <f t="shared" si="6"/>
        <v>39409991</v>
      </c>
      <c r="E125" s="101">
        <v>0</v>
      </c>
      <c r="F125" s="101">
        <v>0</v>
      </c>
      <c r="G125" s="101">
        <v>1077309</v>
      </c>
      <c r="H125" s="101">
        <v>280700</v>
      </c>
      <c r="I125" s="101">
        <v>4310000</v>
      </c>
      <c r="K125" s="101">
        <v>64000</v>
      </c>
      <c r="L125" s="101">
        <f t="shared" si="7"/>
        <v>628000</v>
      </c>
      <c r="M125" s="101">
        <v>45770000</v>
      </c>
      <c r="N125" s="101">
        <v>13</v>
      </c>
      <c r="O125" s="101">
        <v>938</v>
      </c>
      <c r="P125" s="101">
        <v>180</v>
      </c>
      <c r="Q125" s="101">
        <v>2994</v>
      </c>
      <c r="R125" s="101">
        <v>66614</v>
      </c>
      <c r="S125" s="101">
        <v>69057</v>
      </c>
      <c r="T125" s="101">
        <v>57643</v>
      </c>
      <c r="U125" s="101">
        <v>57154</v>
      </c>
      <c r="V125" s="101">
        <v>66441</v>
      </c>
      <c r="W125" s="101">
        <v>63343</v>
      </c>
      <c r="X125" s="149">
        <f t="shared" si="8"/>
        <v>0.68709280331461853</v>
      </c>
      <c r="Y125" s="184">
        <v>4.4999999999999998E-2</v>
      </c>
      <c r="Z125" s="253">
        <v>9</v>
      </c>
      <c r="AA125" s="149">
        <f t="shared" si="9"/>
        <v>-3.6673972438226198E-2</v>
      </c>
      <c r="AB125" s="149"/>
      <c r="AD125" s="101">
        <v>63708</v>
      </c>
      <c r="AE125" s="101">
        <v>63147</v>
      </c>
      <c r="AF125" s="101">
        <f t="shared" si="10"/>
        <v>561</v>
      </c>
      <c r="AG125" s="101">
        <v>66614</v>
      </c>
      <c r="AH125" s="101">
        <v>69057</v>
      </c>
      <c r="AI125" s="101">
        <f t="shared" si="11"/>
        <v>-2443</v>
      </c>
    </row>
    <row r="126" spans="2:35" x14ac:dyDescent="0.25">
      <c r="B126" t="s">
        <v>147</v>
      </c>
      <c r="C126" s="101">
        <v>76922000</v>
      </c>
      <c r="D126" s="101">
        <f t="shared" si="6"/>
        <v>72616855</v>
      </c>
      <c r="E126" s="101">
        <v>0</v>
      </c>
      <c r="F126" s="101">
        <v>0</v>
      </c>
      <c r="G126" s="101">
        <v>3798814</v>
      </c>
      <c r="H126" s="101">
        <v>506331</v>
      </c>
      <c r="I126" s="101">
        <v>8495000</v>
      </c>
      <c r="K126" s="101">
        <v>218000</v>
      </c>
      <c r="L126" s="101">
        <f t="shared" si="7"/>
        <v>7323000</v>
      </c>
      <c r="M126" s="101">
        <v>92958000</v>
      </c>
      <c r="N126" s="101">
        <v>184</v>
      </c>
      <c r="O126" s="101">
        <v>2300</v>
      </c>
      <c r="P126" s="101">
        <v>484</v>
      </c>
      <c r="Q126" s="101">
        <v>2506</v>
      </c>
      <c r="R126" s="101">
        <v>126831</v>
      </c>
      <c r="S126" s="101">
        <v>125365</v>
      </c>
      <c r="T126" s="101">
        <v>97997</v>
      </c>
      <c r="U126" s="101">
        <v>98725</v>
      </c>
      <c r="V126" s="101">
        <v>102130</v>
      </c>
      <c r="W126" s="101">
        <v>102220</v>
      </c>
      <c r="X126" s="149">
        <f t="shared" si="8"/>
        <v>0.73292806963597223</v>
      </c>
      <c r="Y126" s="184">
        <v>3.78E-2</v>
      </c>
      <c r="Z126" s="253">
        <v>7.5</v>
      </c>
      <c r="AA126" s="149">
        <f t="shared" si="9"/>
        <v>1.1558688333293911E-2</v>
      </c>
      <c r="AB126" s="149"/>
      <c r="AD126" s="101">
        <v>121887</v>
      </c>
      <c r="AE126" s="101">
        <v>124941</v>
      </c>
      <c r="AF126" s="101">
        <f t="shared" si="10"/>
        <v>-3054</v>
      </c>
      <c r="AG126" s="101">
        <v>126831</v>
      </c>
      <c r="AH126" s="101">
        <v>125365</v>
      </c>
      <c r="AI126" s="101">
        <f t="shared" si="11"/>
        <v>1466</v>
      </c>
    </row>
    <row r="127" spans="2:35" x14ac:dyDescent="0.25">
      <c r="B127" t="s">
        <v>370</v>
      </c>
      <c r="C127" s="101">
        <v>269151000</v>
      </c>
      <c r="D127" s="101">
        <f t="shared" si="6"/>
        <v>222964675</v>
      </c>
      <c r="E127" s="101">
        <v>0</v>
      </c>
      <c r="F127" s="101">
        <v>20394020</v>
      </c>
      <c r="G127" s="101">
        <v>17787020</v>
      </c>
      <c r="H127" s="101">
        <v>8005285</v>
      </c>
      <c r="I127" s="101">
        <v>41927000</v>
      </c>
      <c r="K127" s="101">
        <v>728000</v>
      </c>
      <c r="L127" s="101">
        <f t="shared" si="7"/>
        <v>7284000</v>
      </c>
      <c r="M127" s="101">
        <v>319090000</v>
      </c>
      <c r="N127" s="101">
        <v>382</v>
      </c>
      <c r="O127" s="101">
        <v>9090</v>
      </c>
      <c r="P127" s="101">
        <v>0</v>
      </c>
      <c r="Q127" s="101">
        <v>29306</v>
      </c>
      <c r="R127" s="101">
        <v>434463</v>
      </c>
      <c r="S127" s="101">
        <v>438935</v>
      </c>
      <c r="T127" s="101">
        <v>380028</v>
      </c>
      <c r="U127" s="101">
        <v>388841</v>
      </c>
      <c r="V127" s="101">
        <v>417541</v>
      </c>
      <c r="W127" s="101">
        <v>421312</v>
      </c>
      <c r="X127" s="149">
        <f t="shared" si="8"/>
        <v>0.73444689191024326</v>
      </c>
      <c r="Y127" s="184">
        <v>8.1100000000000005E-2</v>
      </c>
      <c r="Z127" s="253">
        <v>7.5</v>
      </c>
      <c r="AA127" s="149">
        <f t="shared" si="9"/>
        <v>-1.0293166506699074E-2</v>
      </c>
      <c r="AB127" s="149"/>
      <c r="AD127" s="101">
        <v>446616</v>
      </c>
      <c r="AE127" s="101">
        <v>435157</v>
      </c>
      <c r="AF127" s="101">
        <f t="shared" si="10"/>
        <v>11459</v>
      </c>
      <c r="AG127" s="101">
        <v>434463</v>
      </c>
      <c r="AH127" s="101">
        <v>438935</v>
      </c>
      <c r="AI127" s="101">
        <f t="shared" si="11"/>
        <v>-4472</v>
      </c>
    </row>
    <row r="128" spans="2:35" x14ac:dyDescent="0.25">
      <c r="B128" t="s">
        <v>295</v>
      </c>
      <c r="C128" s="101">
        <v>56415000</v>
      </c>
      <c r="D128" s="101">
        <f t="shared" si="6"/>
        <v>54685558</v>
      </c>
      <c r="E128" s="101">
        <v>0</v>
      </c>
      <c r="F128" s="101">
        <v>0</v>
      </c>
      <c r="G128" s="101">
        <v>1219578</v>
      </c>
      <c r="H128" s="101">
        <v>509864</v>
      </c>
      <c r="I128" s="101">
        <v>6157000</v>
      </c>
      <c r="K128" s="101">
        <v>461000</v>
      </c>
      <c r="L128" s="101">
        <f t="shared" si="7"/>
        <v>5214000</v>
      </c>
      <c r="M128" s="101">
        <v>68247000</v>
      </c>
      <c r="N128" s="101">
        <v>0</v>
      </c>
      <c r="O128" s="101">
        <v>1804</v>
      </c>
      <c r="P128" s="101">
        <v>92</v>
      </c>
      <c r="Q128" s="101">
        <v>14650</v>
      </c>
      <c r="R128" s="101">
        <v>108799</v>
      </c>
      <c r="S128" s="101">
        <v>106893</v>
      </c>
      <c r="T128" s="101">
        <v>95497</v>
      </c>
      <c r="U128" s="101">
        <v>96771</v>
      </c>
      <c r="V128" s="101">
        <v>101796</v>
      </c>
      <c r="W128" s="101">
        <v>102312</v>
      </c>
      <c r="X128" s="149">
        <f t="shared" si="8"/>
        <v>0.62727598599251833</v>
      </c>
      <c r="Y128" s="184">
        <v>4.6800000000000001E-2</v>
      </c>
      <c r="Z128" s="253">
        <v>7</v>
      </c>
      <c r="AA128" s="149">
        <f t="shared" si="9"/>
        <v>1.7518543368964787E-2</v>
      </c>
      <c r="AB128" s="149"/>
      <c r="AD128" s="101">
        <v>104300</v>
      </c>
      <c r="AE128" s="101">
        <v>102581</v>
      </c>
      <c r="AF128" s="101">
        <f t="shared" si="10"/>
        <v>1719</v>
      </c>
      <c r="AG128" s="101">
        <v>108799</v>
      </c>
      <c r="AH128" s="101">
        <v>106893</v>
      </c>
      <c r="AI128" s="101">
        <f t="shared" si="11"/>
        <v>1906</v>
      </c>
    </row>
    <row r="129" spans="2:35" x14ac:dyDescent="0.25">
      <c r="B129" t="s">
        <v>722</v>
      </c>
      <c r="C129" s="101">
        <v>215796000</v>
      </c>
      <c r="D129" s="101">
        <f t="shared" si="6"/>
        <v>200543199</v>
      </c>
      <c r="E129" s="101">
        <v>0</v>
      </c>
      <c r="F129" s="101">
        <v>0</v>
      </c>
      <c r="G129" s="101">
        <v>13631839</v>
      </c>
      <c r="H129" s="101">
        <v>1620962</v>
      </c>
      <c r="I129" s="101">
        <v>42667000</v>
      </c>
      <c r="K129" s="101">
        <v>3670000</v>
      </c>
      <c r="L129" s="101">
        <f t="shared" si="7"/>
        <v>12879000</v>
      </c>
      <c r="M129" s="101">
        <v>275012000</v>
      </c>
      <c r="N129" s="101">
        <v>1676</v>
      </c>
      <c r="O129" s="101">
        <v>5498</v>
      </c>
      <c r="P129" s="101">
        <v>718</v>
      </c>
      <c r="Q129" s="101">
        <v>23780</v>
      </c>
      <c r="R129" s="101">
        <v>422644</v>
      </c>
      <c r="S129" s="101">
        <v>416549</v>
      </c>
      <c r="T129" s="101">
        <v>312919</v>
      </c>
      <c r="U129" s="101">
        <v>315002</v>
      </c>
      <c r="V129" s="101">
        <v>338815</v>
      </c>
      <c r="W129" s="101">
        <v>342731</v>
      </c>
      <c r="X129" s="149">
        <f t="shared" si="8"/>
        <v>0.65069420126631394</v>
      </c>
      <c r="Y129" s="184">
        <v>5.1499999999999997E-2</v>
      </c>
      <c r="Z129" s="253">
        <v>7</v>
      </c>
      <c r="AA129" s="149">
        <f t="shared" si="9"/>
        <v>1.4421120375540645E-2</v>
      </c>
      <c r="AB129" s="149"/>
      <c r="AD129" s="101">
        <v>363591</v>
      </c>
      <c r="AE129" s="101">
        <v>368663</v>
      </c>
      <c r="AF129" s="101">
        <f t="shared" si="10"/>
        <v>-5072</v>
      </c>
      <c r="AG129" s="101">
        <v>422644</v>
      </c>
      <c r="AH129" s="101">
        <v>416549</v>
      </c>
      <c r="AI129" s="101">
        <f t="shared" si="11"/>
        <v>6095</v>
      </c>
    </row>
    <row r="130" spans="2:35" x14ac:dyDescent="0.25">
      <c r="B130" t="s">
        <v>593</v>
      </c>
      <c r="C130" s="101">
        <v>121508000</v>
      </c>
      <c r="D130" s="101">
        <f t="shared" si="6"/>
        <v>112017388</v>
      </c>
      <c r="E130" s="101">
        <v>0</v>
      </c>
      <c r="F130" s="101">
        <v>0</v>
      </c>
      <c r="G130" s="101">
        <v>8068767</v>
      </c>
      <c r="H130" s="101">
        <v>1421845</v>
      </c>
      <c r="I130" s="101">
        <v>18826000</v>
      </c>
      <c r="K130" s="101">
        <v>858000</v>
      </c>
      <c r="L130" s="101">
        <f t="shared" si="7"/>
        <v>6815000</v>
      </c>
      <c r="M130" s="101">
        <v>148007000</v>
      </c>
      <c r="N130" s="101">
        <v>90</v>
      </c>
      <c r="O130" s="101">
        <v>1413</v>
      </c>
      <c r="P130" s="101">
        <v>330</v>
      </c>
      <c r="Q130" s="101">
        <v>182</v>
      </c>
      <c r="R130" s="101">
        <v>208419</v>
      </c>
      <c r="S130" s="101">
        <v>215625</v>
      </c>
      <c r="T130" s="101">
        <v>173277</v>
      </c>
      <c r="U130" s="101">
        <v>165571</v>
      </c>
      <c r="V130" s="101">
        <v>177357</v>
      </c>
      <c r="W130" s="101">
        <v>175569</v>
      </c>
      <c r="X130" s="149">
        <f t="shared" si="8"/>
        <v>0.71014158977828312</v>
      </c>
      <c r="Y130" s="184">
        <v>3.6299999999999999E-2</v>
      </c>
      <c r="Z130" s="253">
        <v>7</v>
      </c>
      <c r="AA130" s="149">
        <f t="shared" si="9"/>
        <v>-3.4574582931498565E-2</v>
      </c>
      <c r="AB130" s="149"/>
      <c r="AD130" s="101">
        <v>196271</v>
      </c>
      <c r="AE130" s="101">
        <v>195314</v>
      </c>
      <c r="AF130" s="101">
        <f t="shared" si="10"/>
        <v>957</v>
      </c>
      <c r="AG130" s="101">
        <v>208419</v>
      </c>
      <c r="AH130" s="101">
        <v>215625</v>
      </c>
      <c r="AI130" s="101">
        <f t="shared" si="11"/>
        <v>-7206</v>
      </c>
    </row>
    <row r="131" spans="2:35" x14ac:dyDescent="0.25">
      <c r="B131" t="s">
        <v>184</v>
      </c>
      <c r="C131" s="101">
        <v>31008000</v>
      </c>
      <c r="D131" s="101">
        <f t="shared" ref="D131:D194" si="12">SUM(C131,-F131,-G131,-H131)</f>
        <v>29397918</v>
      </c>
      <c r="E131" s="101">
        <v>0</v>
      </c>
      <c r="F131" s="101">
        <v>0</v>
      </c>
      <c r="G131" s="101">
        <v>1255204</v>
      </c>
      <c r="H131" s="101">
        <v>354878</v>
      </c>
      <c r="I131" s="101">
        <v>4866000</v>
      </c>
      <c r="K131" s="101">
        <v>64000</v>
      </c>
      <c r="L131" s="101">
        <f t="shared" ref="L131:L194" si="13">SUM(M131,-C131,-I131,-J131,-K131)</f>
        <v>3189000</v>
      </c>
      <c r="M131" s="101">
        <v>39127000</v>
      </c>
      <c r="N131" s="101">
        <v>111</v>
      </c>
      <c r="O131" s="101">
        <v>988</v>
      </c>
      <c r="P131" s="101">
        <v>376</v>
      </c>
      <c r="Q131" s="101">
        <v>310</v>
      </c>
      <c r="R131" s="101">
        <v>55428</v>
      </c>
      <c r="S131" s="101">
        <v>55815</v>
      </c>
      <c r="T131" s="101">
        <v>41253</v>
      </c>
      <c r="U131" s="101">
        <v>40175</v>
      </c>
      <c r="V131" s="101">
        <v>45071</v>
      </c>
      <c r="W131" s="101">
        <v>44833</v>
      </c>
      <c r="X131" s="149">
        <f t="shared" ref="X131:X194" si="14">M131/(R131*1000)</f>
        <v>0.70590676192538071</v>
      </c>
      <c r="Y131" s="184">
        <v>4.4499999999999998E-2</v>
      </c>
      <c r="Z131" s="253">
        <v>8.5</v>
      </c>
      <c r="AA131" s="149">
        <f t="shared" ref="AA131:AA194" si="15">SUM(R131,-S131)/R131</f>
        <v>-6.9820307425849755E-3</v>
      </c>
      <c r="AB131" s="149"/>
      <c r="AD131" s="101">
        <v>48495</v>
      </c>
      <c r="AE131" s="101">
        <v>48530</v>
      </c>
      <c r="AF131" s="101">
        <f t="shared" ref="AF131:AF194" si="16">SUM(AD131,-AE131)</f>
        <v>-35</v>
      </c>
      <c r="AG131" s="101">
        <v>55428</v>
      </c>
      <c r="AH131" s="101">
        <v>55815</v>
      </c>
      <c r="AI131" s="101">
        <f t="shared" ref="AI131:AI194" si="17">SUM(AG131,-AH131)</f>
        <v>-387</v>
      </c>
    </row>
    <row r="132" spans="2:35" x14ac:dyDescent="0.25">
      <c r="B132" t="s">
        <v>371</v>
      </c>
      <c r="C132" s="101">
        <v>88706000</v>
      </c>
      <c r="D132" s="101">
        <f t="shared" si="12"/>
        <v>84431775</v>
      </c>
      <c r="E132" s="101">
        <v>0</v>
      </c>
      <c r="F132" s="101">
        <v>0</v>
      </c>
      <c r="G132" s="101">
        <v>3772250</v>
      </c>
      <c r="H132" s="101">
        <v>501975</v>
      </c>
      <c r="I132" s="101">
        <v>10434000</v>
      </c>
      <c r="K132" s="101">
        <v>833000</v>
      </c>
      <c r="L132" s="101">
        <f t="shared" si="13"/>
        <v>1882000</v>
      </c>
      <c r="M132" s="101">
        <v>101855000</v>
      </c>
      <c r="N132" s="101">
        <v>988</v>
      </c>
      <c r="O132" s="101">
        <v>1830</v>
      </c>
      <c r="P132" s="101">
        <v>100</v>
      </c>
      <c r="Q132" s="101">
        <v>7150</v>
      </c>
      <c r="R132" s="101">
        <v>143956</v>
      </c>
      <c r="S132" s="101">
        <v>139089</v>
      </c>
      <c r="T132" s="101">
        <v>122464</v>
      </c>
      <c r="U132" s="101">
        <v>120261</v>
      </c>
      <c r="V132" s="101">
        <v>142408</v>
      </c>
      <c r="W132" s="101">
        <v>140007</v>
      </c>
      <c r="X132" s="149">
        <f t="shared" si="14"/>
        <v>0.70754258245575041</v>
      </c>
      <c r="Y132" s="184">
        <v>4.9599999999999998E-2</v>
      </c>
      <c r="Z132" s="253">
        <v>9</v>
      </c>
      <c r="AA132" s="149">
        <f t="shared" si="15"/>
        <v>3.3808941621050879E-2</v>
      </c>
      <c r="AB132" s="149"/>
      <c r="AD132" s="101">
        <v>149468</v>
      </c>
      <c r="AE132" s="101">
        <v>143285</v>
      </c>
      <c r="AF132" s="101">
        <f t="shared" si="16"/>
        <v>6183</v>
      </c>
      <c r="AG132" s="101">
        <v>143956</v>
      </c>
      <c r="AH132" s="101">
        <v>139089</v>
      </c>
      <c r="AI132" s="101">
        <f t="shared" si="17"/>
        <v>4867</v>
      </c>
    </row>
    <row r="133" spans="2:35" x14ac:dyDescent="0.25">
      <c r="B133" t="s">
        <v>296</v>
      </c>
      <c r="C133" s="101">
        <v>43368000</v>
      </c>
      <c r="D133" s="101">
        <f t="shared" si="12"/>
        <v>41094560</v>
      </c>
      <c r="E133" s="101">
        <v>0</v>
      </c>
      <c r="F133" s="101">
        <v>0</v>
      </c>
      <c r="G133" s="101">
        <v>1951162</v>
      </c>
      <c r="H133" s="101">
        <v>322278</v>
      </c>
      <c r="I133" s="101">
        <v>4841000</v>
      </c>
      <c r="K133" s="101">
        <v>329000</v>
      </c>
      <c r="L133" s="101">
        <f t="shared" si="13"/>
        <v>3811000</v>
      </c>
      <c r="M133" s="101">
        <v>52349000</v>
      </c>
      <c r="N133" s="101">
        <v>66</v>
      </c>
      <c r="O133" s="101">
        <v>597</v>
      </c>
      <c r="P133" s="101">
        <v>581</v>
      </c>
      <c r="Q133" s="101">
        <v>553</v>
      </c>
      <c r="R133" s="101">
        <v>68242</v>
      </c>
      <c r="S133" s="101">
        <v>68820</v>
      </c>
      <c r="T133" s="101">
        <v>56368</v>
      </c>
      <c r="U133" s="101">
        <v>57733</v>
      </c>
      <c r="V133" s="101">
        <v>55881</v>
      </c>
      <c r="W133" s="101">
        <v>57424</v>
      </c>
      <c r="X133" s="149">
        <f t="shared" si="14"/>
        <v>0.76710823246680926</v>
      </c>
      <c r="Y133" s="184">
        <v>5.0500000000000003E-2</v>
      </c>
      <c r="Z133" s="253">
        <v>6.5</v>
      </c>
      <c r="AA133" s="149">
        <f t="shared" si="15"/>
        <v>-8.469857272647343E-3</v>
      </c>
      <c r="AB133" s="149"/>
      <c r="AD133" s="101">
        <v>61365</v>
      </c>
      <c r="AE133" s="101">
        <v>62684</v>
      </c>
      <c r="AF133" s="101">
        <f t="shared" si="16"/>
        <v>-1319</v>
      </c>
      <c r="AG133" s="101">
        <v>68242</v>
      </c>
      <c r="AH133" s="101">
        <v>68820</v>
      </c>
      <c r="AI133" s="101">
        <f t="shared" si="17"/>
        <v>-578</v>
      </c>
    </row>
    <row r="134" spans="2:35" x14ac:dyDescent="0.25">
      <c r="B134" t="s">
        <v>372</v>
      </c>
      <c r="C134" s="101">
        <v>28548000</v>
      </c>
      <c r="D134" s="101">
        <f t="shared" si="12"/>
        <v>26748941</v>
      </c>
      <c r="E134" s="101">
        <v>0</v>
      </c>
      <c r="F134" s="101">
        <v>0</v>
      </c>
      <c r="G134" s="101">
        <v>1448464</v>
      </c>
      <c r="H134" s="101">
        <v>350595</v>
      </c>
      <c r="I134" s="101">
        <v>1846000</v>
      </c>
      <c r="K134" s="101">
        <v>129000</v>
      </c>
      <c r="L134" s="101">
        <f t="shared" si="13"/>
        <v>2969000</v>
      </c>
      <c r="M134" s="101">
        <v>33492000</v>
      </c>
      <c r="N134" s="101">
        <v>76</v>
      </c>
      <c r="O134" s="101">
        <v>776</v>
      </c>
      <c r="P134" s="101">
        <v>40</v>
      </c>
      <c r="Q134" s="101">
        <v>5051</v>
      </c>
      <c r="R134" s="101">
        <v>52602</v>
      </c>
      <c r="S134" s="101">
        <v>52415</v>
      </c>
      <c r="T134" s="101">
        <v>39187</v>
      </c>
      <c r="U134" s="101">
        <v>39412</v>
      </c>
      <c r="V134" s="101">
        <v>39844</v>
      </c>
      <c r="W134" s="101">
        <v>43681</v>
      </c>
      <c r="X134" s="149">
        <f t="shared" si="14"/>
        <v>0.63670582867571579</v>
      </c>
      <c r="Y134" s="184">
        <v>7.4899999999999994E-2</v>
      </c>
      <c r="Z134" s="253">
        <v>8</v>
      </c>
      <c r="AA134" s="149">
        <f t="shared" si="15"/>
        <v>3.5549979088247597E-3</v>
      </c>
      <c r="AB134" s="149"/>
      <c r="AD134" s="101">
        <v>51545</v>
      </c>
      <c r="AE134" s="101">
        <v>50003</v>
      </c>
      <c r="AF134" s="101">
        <f t="shared" si="16"/>
        <v>1542</v>
      </c>
      <c r="AG134" s="101">
        <v>52602</v>
      </c>
      <c r="AH134" s="101">
        <v>52415</v>
      </c>
      <c r="AI134" s="101">
        <f t="shared" si="17"/>
        <v>187</v>
      </c>
    </row>
    <row r="135" spans="2:35" x14ac:dyDescent="0.25">
      <c r="B135" t="s">
        <v>256</v>
      </c>
      <c r="C135" s="101">
        <v>231018000</v>
      </c>
      <c r="D135" s="101">
        <f t="shared" si="12"/>
        <v>202189989</v>
      </c>
      <c r="E135" s="101">
        <v>0</v>
      </c>
      <c r="F135" s="101">
        <v>13610161</v>
      </c>
      <c r="G135" s="101">
        <v>7732029</v>
      </c>
      <c r="H135" s="101">
        <v>7485821</v>
      </c>
      <c r="I135" s="101">
        <v>34293000</v>
      </c>
      <c r="K135" s="101">
        <v>4703000</v>
      </c>
      <c r="L135" s="101">
        <f t="shared" si="13"/>
        <v>28777000</v>
      </c>
      <c r="M135" s="101">
        <v>298791000</v>
      </c>
      <c r="N135" s="101">
        <v>1094</v>
      </c>
      <c r="O135" s="101">
        <v>3098</v>
      </c>
      <c r="P135" s="101">
        <v>250</v>
      </c>
      <c r="Q135" s="101">
        <v>1817</v>
      </c>
      <c r="R135" s="101">
        <v>381595</v>
      </c>
      <c r="S135" s="101">
        <v>382293</v>
      </c>
      <c r="T135" s="101">
        <v>285904</v>
      </c>
      <c r="U135" s="101">
        <v>284610</v>
      </c>
      <c r="V135" s="101">
        <v>309315</v>
      </c>
      <c r="W135" s="101">
        <v>297442</v>
      </c>
      <c r="X135" s="149">
        <f t="shared" si="14"/>
        <v>0.7830055425254524</v>
      </c>
      <c r="Y135" s="184">
        <v>4.1700000000000001E-2</v>
      </c>
      <c r="Z135" s="253">
        <v>7</v>
      </c>
      <c r="AA135" s="149">
        <f t="shared" si="15"/>
        <v>-1.8291644282550873E-3</v>
      </c>
      <c r="AB135" s="149"/>
      <c r="AD135" s="101">
        <v>363649</v>
      </c>
      <c r="AE135" s="101">
        <v>356591</v>
      </c>
      <c r="AF135" s="101">
        <f t="shared" si="16"/>
        <v>7058</v>
      </c>
      <c r="AG135" s="101">
        <v>381595</v>
      </c>
      <c r="AH135" s="101">
        <v>382293</v>
      </c>
      <c r="AI135" s="101">
        <f t="shared" si="17"/>
        <v>-698</v>
      </c>
    </row>
    <row r="136" spans="2:35" x14ac:dyDescent="0.25">
      <c r="B136" t="s">
        <v>594</v>
      </c>
      <c r="C136" s="101">
        <v>160522000</v>
      </c>
      <c r="D136" s="101">
        <f t="shared" si="12"/>
        <v>153586893</v>
      </c>
      <c r="E136" s="101">
        <v>0</v>
      </c>
      <c r="F136" s="101">
        <v>0</v>
      </c>
      <c r="G136" s="101">
        <v>5127988</v>
      </c>
      <c r="H136" s="101">
        <v>1807119</v>
      </c>
      <c r="I136" s="101">
        <v>15908000</v>
      </c>
      <c r="K136" s="101">
        <v>576000</v>
      </c>
      <c r="L136" s="101">
        <f t="shared" si="13"/>
        <v>8802000</v>
      </c>
      <c r="M136" s="101">
        <v>185808000</v>
      </c>
      <c r="N136" s="101">
        <v>55</v>
      </c>
      <c r="O136" s="101">
        <v>5261</v>
      </c>
      <c r="P136" s="101">
        <v>1050</v>
      </c>
      <c r="Q136" s="101">
        <v>1338</v>
      </c>
      <c r="R136" s="101">
        <v>253259</v>
      </c>
      <c r="S136" s="101">
        <v>265086</v>
      </c>
      <c r="T136" s="101">
        <v>193788</v>
      </c>
      <c r="U136" s="101">
        <v>204027</v>
      </c>
      <c r="V136" s="101">
        <v>215709</v>
      </c>
      <c r="W136" s="101">
        <v>214051</v>
      </c>
      <c r="X136" s="149">
        <f t="shared" si="14"/>
        <v>0.73366790518796965</v>
      </c>
      <c r="Y136" s="184">
        <v>5.1499999999999997E-2</v>
      </c>
      <c r="Z136" s="253">
        <v>6.5</v>
      </c>
      <c r="AA136" s="149">
        <f t="shared" si="15"/>
        <v>-4.6699228852676508E-2</v>
      </c>
      <c r="AB136" s="149"/>
      <c r="AD136" s="101">
        <v>236786</v>
      </c>
      <c r="AE136" s="101">
        <v>244692</v>
      </c>
      <c r="AF136" s="101">
        <f t="shared" si="16"/>
        <v>-7906</v>
      </c>
      <c r="AG136" s="101">
        <v>253259</v>
      </c>
      <c r="AH136" s="101">
        <v>265086</v>
      </c>
      <c r="AI136" s="101">
        <f t="shared" si="17"/>
        <v>-11827</v>
      </c>
    </row>
    <row r="137" spans="2:35" x14ac:dyDescent="0.25">
      <c r="B137" t="s">
        <v>148</v>
      </c>
      <c r="C137" s="101">
        <v>70200000</v>
      </c>
      <c r="D137" s="101">
        <f t="shared" si="12"/>
        <v>66864882</v>
      </c>
      <c r="E137" s="101">
        <v>0</v>
      </c>
      <c r="F137" s="101">
        <v>0</v>
      </c>
      <c r="G137" s="101">
        <v>2830535</v>
      </c>
      <c r="H137" s="101">
        <v>504583</v>
      </c>
      <c r="I137" s="101">
        <v>7062000</v>
      </c>
      <c r="K137" s="101">
        <v>266000</v>
      </c>
      <c r="L137" s="101">
        <f t="shared" si="13"/>
        <v>6636000</v>
      </c>
      <c r="M137" s="101">
        <v>84164000</v>
      </c>
      <c r="N137" s="101">
        <v>49</v>
      </c>
      <c r="O137" s="101">
        <v>1451</v>
      </c>
      <c r="P137" s="101">
        <v>1933</v>
      </c>
      <c r="Q137" s="101">
        <v>127</v>
      </c>
      <c r="R137" s="101">
        <v>115338</v>
      </c>
      <c r="S137" s="101">
        <v>117858</v>
      </c>
      <c r="T137" s="101">
        <v>85566</v>
      </c>
      <c r="U137" s="101">
        <v>91282</v>
      </c>
      <c r="V137" s="101">
        <v>93912</v>
      </c>
      <c r="W137" s="101">
        <v>96665</v>
      </c>
      <c r="X137" s="149">
        <f t="shared" si="14"/>
        <v>0.72971613865334928</v>
      </c>
      <c r="Y137" s="184">
        <v>5.0999999999999997E-2</v>
      </c>
      <c r="Z137" s="253">
        <v>6.5</v>
      </c>
      <c r="AA137" s="149">
        <f t="shared" si="15"/>
        <v>-2.1848826926078136E-2</v>
      </c>
      <c r="AB137" s="149"/>
      <c r="AD137" s="101">
        <v>104237</v>
      </c>
      <c r="AE137" s="101">
        <v>106529</v>
      </c>
      <c r="AF137" s="101">
        <f t="shared" si="16"/>
        <v>-2292</v>
      </c>
      <c r="AG137" s="101">
        <v>115338</v>
      </c>
      <c r="AH137" s="101">
        <v>117858</v>
      </c>
      <c r="AI137" s="101">
        <f t="shared" si="17"/>
        <v>-2520</v>
      </c>
    </row>
    <row r="138" spans="2:35" x14ac:dyDescent="0.25">
      <c r="B138" t="s">
        <v>257</v>
      </c>
      <c r="C138" s="101">
        <v>101254000</v>
      </c>
      <c r="D138" s="101">
        <f t="shared" si="12"/>
        <v>97027217</v>
      </c>
      <c r="E138" s="101">
        <v>0</v>
      </c>
      <c r="F138" s="101">
        <v>0</v>
      </c>
      <c r="G138" s="101">
        <v>3167100</v>
      </c>
      <c r="H138" s="101">
        <v>1059683</v>
      </c>
      <c r="I138" s="101">
        <v>9332000</v>
      </c>
      <c r="K138" s="101">
        <v>0</v>
      </c>
      <c r="L138" s="101">
        <f t="shared" si="13"/>
        <v>4341000</v>
      </c>
      <c r="M138" s="101">
        <v>114927000</v>
      </c>
      <c r="N138" s="101">
        <v>26</v>
      </c>
      <c r="O138" s="101">
        <v>709</v>
      </c>
      <c r="P138" s="101">
        <v>461</v>
      </c>
      <c r="Q138" s="101">
        <v>234</v>
      </c>
      <c r="R138" s="101">
        <v>157206</v>
      </c>
      <c r="S138" s="101">
        <v>156310</v>
      </c>
      <c r="T138" s="101">
        <v>118411</v>
      </c>
      <c r="U138" s="101">
        <v>116545</v>
      </c>
      <c r="V138" s="101">
        <v>127379</v>
      </c>
      <c r="W138" s="101">
        <v>126515</v>
      </c>
      <c r="X138" s="149">
        <f t="shared" si="14"/>
        <v>0.73105988321056448</v>
      </c>
      <c r="Y138" s="184">
        <v>4.4299999999999999E-2</v>
      </c>
      <c r="Z138" s="253">
        <v>8</v>
      </c>
      <c r="AA138" s="149">
        <f t="shared" si="15"/>
        <v>5.6995280078368507E-3</v>
      </c>
      <c r="AB138" s="149"/>
      <c r="AD138" s="101">
        <v>138641</v>
      </c>
      <c r="AE138" s="101">
        <v>140663</v>
      </c>
      <c r="AF138" s="101">
        <f t="shared" si="16"/>
        <v>-2022</v>
      </c>
      <c r="AG138" s="101">
        <v>157206</v>
      </c>
      <c r="AH138" s="101">
        <v>156310</v>
      </c>
      <c r="AI138" s="101">
        <f t="shared" si="17"/>
        <v>896</v>
      </c>
    </row>
    <row r="139" spans="2:35" x14ac:dyDescent="0.25">
      <c r="B139" t="s">
        <v>109</v>
      </c>
      <c r="C139" s="101">
        <v>158208000</v>
      </c>
      <c r="D139" s="101">
        <f t="shared" si="12"/>
        <v>137869789</v>
      </c>
      <c r="E139" s="101">
        <v>0</v>
      </c>
      <c r="F139" s="101">
        <v>0</v>
      </c>
      <c r="G139" s="101">
        <v>19454499</v>
      </c>
      <c r="H139" s="101">
        <v>883712</v>
      </c>
      <c r="I139" s="101">
        <v>19699000</v>
      </c>
      <c r="K139" s="101">
        <v>2626000</v>
      </c>
      <c r="L139" s="101">
        <f t="shared" si="13"/>
        <v>2514000</v>
      </c>
      <c r="M139" s="101">
        <v>183047000</v>
      </c>
      <c r="N139" s="101">
        <v>320</v>
      </c>
      <c r="O139" s="101">
        <v>1786</v>
      </c>
      <c r="P139" s="101">
        <v>1950</v>
      </c>
      <c r="Q139" s="101">
        <v>3057</v>
      </c>
      <c r="R139" s="101">
        <v>236028</v>
      </c>
      <c r="S139" s="101">
        <v>233639</v>
      </c>
      <c r="T139" s="101">
        <v>195785</v>
      </c>
      <c r="U139" s="101">
        <v>194782</v>
      </c>
      <c r="V139" s="101">
        <v>216767</v>
      </c>
      <c r="W139" s="101">
        <v>210444</v>
      </c>
      <c r="X139" s="149">
        <f t="shared" si="14"/>
        <v>0.77553086921890624</v>
      </c>
      <c r="Y139" s="184">
        <v>4.1399999999999999E-2</v>
      </c>
      <c r="Z139" s="253">
        <v>7</v>
      </c>
      <c r="AA139" s="149">
        <f t="shared" si="15"/>
        <v>1.0121680478587287E-2</v>
      </c>
      <c r="AB139" s="149"/>
      <c r="AD139" s="101">
        <v>225619</v>
      </c>
      <c r="AE139" s="101">
        <v>219764</v>
      </c>
      <c r="AF139" s="101">
        <f t="shared" si="16"/>
        <v>5855</v>
      </c>
      <c r="AG139" s="101">
        <v>236028</v>
      </c>
      <c r="AH139" s="101">
        <v>233639</v>
      </c>
      <c r="AI139" s="101">
        <f t="shared" si="17"/>
        <v>2389</v>
      </c>
    </row>
    <row r="140" spans="2:35" x14ac:dyDescent="0.25">
      <c r="B140" t="s">
        <v>258</v>
      </c>
      <c r="C140" s="101">
        <v>192907000</v>
      </c>
      <c r="D140" s="101">
        <f t="shared" si="12"/>
        <v>171247718</v>
      </c>
      <c r="E140" s="101">
        <v>0</v>
      </c>
      <c r="F140" s="101">
        <v>11665355</v>
      </c>
      <c r="G140" s="101">
        <v>6411870</v>
      </c>
      <c r="H140" s="101">
        <v>3582057</v>
      </c>
      <c r="I140" s="101">
        <v>24224000</v>
      </c>
      <c r="K140" s="101">
        <v>2792000</v>
      </c>
      <c r="L140" s="101">
        <f t="shared" si="13"/>
        <v>4428000</v>
      </c>
      <c r="M140" s="101">
        <v>224351000</v>
      </c>
      <c r="N140" s="101">
        <v>1031</v>
      </c>
      <c r="O140" s="101">
        <v>4899</v>
      </c>
      <c r="P140" s="101">
        <v>153</v>
      </c>
      <c r="Q140" s="101">
        <v>19129</v>
      </c>
      <c r="R140" s="101">
        <v>312430</v>
      </c>
      <c r="S140" s="101">
        <v>311465</v>
      </c>
      <c r="T140" s="101">
        <v>260171</v>
      </c>
      <c r="U140" s="101">
        <v>259485</v>
      </c>
      <c r="V140" s="101">
        <v>276780</v>
      </c>
      <c r="W140" s="101">
        <v>267399</v>
      </c>
      <c r="X140" s="149">
        <f t="shared" si="14"/>
        <v>0.71808405082738536</v>
      </c>
      <c r="Y140" s="184">
        <v>4.2999999999999997E-2</v>
      </c>
      <c r="Z140" s="253">
        <v>9.5</v>
      </c>
      <c r="AA140" s="149">
        <f t="shared" si="15"/>
        <v>3.088691866978203E-3</v>
      </c>
      <c r="AB140" s="149"/>
      <c r="AD140" s="101">
        <v>326571</v>
      </c>
      <c r="AE140" s="101">
        <v>315620</v>
      </c>
      <c r="AF140" s="101">
        <f t="shared" si="16"/>
        <v>10951</v>
      </c>
      <c r="AG140" s="101">
        <v>312430</v>
      </c>
      <c r="AH140" s="101">
        <v>311465</v>
      </c>
      <c r="AI140" s="101">
        <f t="shared" si="17"/>
        <v>965</v>
      </c>
    </row>
    <row r="141" spans="2:35" x14ac:dyDescent="0.25">
      <c r="B141" t="s">
        <v>406</v>
      </c>
      <c r="C141" s="101">
        <v>83215000</v>
      </c>
      <c r="D141" s="101">
        <f t="shared" si="12"/>
        <v>78583860</v>
      </c>
      <c r="E141" s="101">
        <v>0</v>
      </c>
      <c r="F141" s="101">
        <v>0</v>
      </c>
      <c r="G141" s="101">
        <v>4053985</v>
      </c>
      <c r="H141" s="101">
        <v>577155</v>
      </c>
      <c r="I141" s="101">
        <v>9310000</v>
      </c>
      <c r="K141" s="101">
        <v>455000</v>
      </c>
      <c r="L141" s="101">
        <f t="shared" si="13"/>
        <v>2882000</v>
      </c>
      <c r="M141" s="101">
        <v>95862000</v>
      </c>
      <c r="N141" s="101">
        <v>486</v>
      </c>
      <c r="O141" s="101">
        <v>1838</v>
      </c>
      <c r="P141" s="101">
        <v>643</v>
      </c>
      <c r="Q141" s="101">
        <v>9789</v>
      </c>
      <c r="R141" s="101">
        <v>162443</v>
      </c>
      <c r="S141" s="101">
        <v>160922</v>
      </c>
      <c r="T141" s="101">
        <v>116794</v>
      </c>
      <c r="U141" s="101">
        <v>117668</v>
      </c>
      <c r="V141" s="101">
        <v>125690</v>
      </c>
      <c r="W141" s="101">
        <v>126545</v>
      </c>
      <c r="X141" s="149">
        <f t="shared" si="14"/>
        <v>0.59012699839328253</v>
      </c>
      <c r="Y141" s="184">
        <v>4.6699999999999998E-2</v>
      </c>
      <c r="Z141" s="253">
        <v>7.5</v>
      </c>
      <c r="AA141" s="149">
        <f t="shared" si="15"/>
        <v>9.3632843520496424E-3</v>
      </c>
      <c r="AB141" s="149"/>
      <c r="AD141" s="101">
        <v>144918</v>
      </c>
      <c r="AE141" s="101">
        <v>144432</v>
      </c>
      <c r="AF141" s="101">
        <f t="shared" si="16"/>
        <v>486</v>
      </c>
      <c r="AG141" s="101">
        <v>162443</v>
      </c>
      <c r="AH141" s="101">
        <v>160922</v>
      </c>
      <c r="AI141" s="101">
        <f t="shared" si="17"/>
        <v>1521</v>
      </c>
    </row>
    <row r="142" spans="2:35" x14ac:dyDescent="0.25">
      <c r="B142" t="s">
        <v>219</v>
      </c>
      <c r="C142" s="101">
        <v>86336000</v>
      </c>
      <c r="D142" s="101">
        <f t="shared" si="12"/>
        <v>84972496</v>
      </c>
      <c r="E142" s="101">
        <v>0</v>
      </c>
      <c r="F142" s="101">
        <v>0</v>
      </c>
      <c r="G142" s="101">
        <v>826193</v>
      </c>
      <c r="H142" s="101">
        <v>537311</v>
      </c>
      <c r="I142" s="101">
        <v>9579000</v>
      </c>
      <c r="K142" s="101">
        <v>0</v>
      </c>
      <c r="L142" s="101">
        <f t="shared" si="13"/>
        <v>1541000</v>
      </c>
      <c r="M142" s="101">
        <v>97456000</v>
      </c>
      <c r="N142" s="101">
        <v>81</v>
      </c>
      <c r="O142" s="101">
        <v>3434</v>
      </c>
      <c r="P142" s="101">
        <v>10</v>
      </c>
      <c r="Q142" s="101">
        <v>20182</v>
      </c>
      <c r="R142" s="101">
        <v>160286</v>
      </c>
      <c r="S142" s="101">
        <v>145386</v>
      </c>
      <c r="T142" s="101">
        <v>139586</v>
      </c>
      <c r="U142" s="101">
        <v>140986</v>
      </c>
      <c r="V142" s="101">
        <v>136616</v>
      </c>
      <c r="W142" s="101">
        <v>132980</v>
      </c>
      <c r="X142" s="149">
        <f t="shared" si="14"/>
        <v>0.60801317644710084</v>
      </c>
      <c r="Y142" s="184">
        <v>4.0599999999999997E-2</v>
      </c>
      <c r="Z142" s="253">
        <v>7</v>
      </c>
      <c r="AA142" s="149">
        <f t="shared" si="15"/>
        <v>9.2958836080506091E-2</v>
      </c>
      <c r="AB142" s="149"/>
      <c r="AD142" s="101">
        <v>148065</v>
      </c>
      <c r="AE142" s="101">
        <v>151966</v>
      </c>
      <c r="AF142" s="101">
        <f t="shared" si="16"/>
        <v>-3901</v>
      </c>
      <c r="AG142" s="101">
        <v>160286</v>
      </c>
      <c r="AH142" s="101">
        <v>145386</v>
      </c>
      <c r="AI142" s="101">
        <f t="shared" si="17"/>
        <v>14900</v>
      </c>
    </row>
    <row r="143" spans="2:35" x14ac:dyDescent="0.25">
      <c r="B143" t="s">
        <v>259</v>
      </c>
      <c r="C143" s="101">
        <v>82337000</v>
      </c>
      <c r="D143" s="101">
        <f t="shared" si="12"/>
        <v>80046842</v>
      </c>
      <c r="E143" s="101">
        <v>0</v>
      </c>
      <c r="F143" s="101">
        <v>0</v>
      </c>
      <c r="G143" s="101">
        <v>1798017</v>
      </c>
      <c r="H143" s="101">
        <v>492141</v>
      </c>
      <c r="I143" s="101">
        <v>11850000</v>
      </c>
      <c r="K143" s="101">
        <v>742000</v>
      </c>
      <c r="L143" s="101">
        <f t="shared" si="13"/>
        <v>859000</v>
      </c>
      <c r="M143" s="101">
        <v>95788000</v>
      </c>
      <c r="N143" s="101">
        <v>862</v>
      </c>
      <c r="O143" s="101">
        <v>2104</v>
      </c>
      <c r="P143" s="101">
        <v>151</v>
      </c>
      <c r="Q143" s="101">
        <v>570</v>
      </c>
      <c r="R143" s="101">
        <v>130202</v>
      </c>
      <c r="S143" s="101">
        <v>128041</v>
      </c>
      <c r="T143" s="101">
        <v>100407</v>
      </c>
      <c r="U143" s="101">
        <v>105790</v>
      </c>
      <c r="V143" s="101">
        <v>113772</v>
      </c>
      <c r="W143" s="101">
        <v>113628</v>
      </c>
      <c r="X143" s="149">
        <f t="shared" si="14"/>
        <v>0.73568762384602382</v>
      </c>
      <c r="Y143" s="184">
        <v>5.5199999999999999E-2</v>
      </c>
      <c r="Z143" s="253">
        <v>6</v>
      </c>
      <c r="AA143" s="149">
        <f t="shared" si="15"/>
        <v>1.6597287292053887E-2</v>
      </c>
      <c r="AB143" s="149"/>
      <c r="AD143" s="101">
        <v>122616</v>
      </c>
      <c r="AE143" s="101">
        <v>121173</v>
      </c>
      <c r="AF143" s="101">
        <f t="shared" si="16"/>
        <v>1443</v>
      </c>
      <c r="AG143" s="101">
        <v>130202</v>
      </c>
      <c r="AH143" s="101">
        <v>128041</v>
      </c>
      <c r="AI143" s="101">
        <f t="shared" si="17"/>
        <v>2161</v>
      </c>
    </row>
    <row r="144" spans="2:35" x14ac:dyDescent="0.25">
      <c r="B144" t="s">
        <v>330</v>
      </c>
      <c r="C144" s="101">
        <v>64395000</v>
      </c>
      <c r="D144" s="101">
        <f t="shared" si="12"/>
        <v>59524282</v>
      </c>
      <c r="E144" s="101">
        <v>0</v>
      </c>
      <c r="F144" s="101">
        <v>0</v>
      </c>
      <c r="G144" s="101">
        <v>4209981</v>
      </c>
      <c r="H144" s="101">
        <v>660737</v>
      </c>
      <c r="I144" s="101">
        <v>5399000</v>
      </c>
      <c r="K144" s="101">
        <v>547000</v>
      </c>
      <c r="L144" s="101">
        <f t="shared" si="13"/>
        <v>7744000</v>
      </c>
      <c r="M144" s="101">
        <v>78085000</v>
      </c>
      <c r="N144" s="101">
        <v>205</v>
      </c>
      <c r="O144" s="101">
        <v>456</v>
      </c>
      <c r="P144" s="101">
        <v>85</v>
      </c>
      <c r="Q144" s="101">
        <v>2156</v>
      </c>
      <c r="R144" s="101">
        <v>107249</v>
      </c>
      <c r="S144" s="101">
        <v>94361</v>
      </c>
      <c r="T144" s="101">
        <v>74540</v>
      </c>
      <c r="U144" s="101">
        <v>75520</v>
      </c>
      <c r="V144" s="101">
        <v>79462</v>
      </c>
      <c r="W144" s="101">
        <v>80957</v>
      </c>
      <c r="X144" s="149">
        <f t="shared" si="14"/>
        <v>0.72807205661591246</v>
      </c>
      <c r="Y144" s="184">
        <v>5.7000000000000002E-2</v>
      </c>
      <c r="Z144" s="253">
        <v>8</v>
      </c>
      <c r="AA144" s="149">
        <f t="shared" si="15"/>
        <v>0.1201689526242669</v>
      </c>
      <c r="AB144" s="149"/>
      <c r="AD144" s="101">
        <v>92784</v>
      </c>
      <c r="AE144" s="101">
        <v>92711</v>
      </c>
      <c r="AF144" s="101">
        <f t="shared" si="16"/>
        <v>73</v>
      </c>
      <c r="AG144" s="101">
        <v>107249</v>
      </c>
      <c r="AH144" s="101">
        <v>94361</v>
      </c>
      <c r="AI144" s="101">
        <f t="shared" si="17"/>
        <v>12888</v>
      </c>
    </row>
    <row r="145" spans="2:35" x14ac:dyDescent="0.25">
      <c r="B145" t="s">
        <v>220</v>
      </c>
      <c r="C145" s="101">
        <v>64676000</v>
      </c>
      <c r="D145" s="101">
        <f t="shared" si="12"/>
        <v>61485451</v>
      </c>
      <c r="E145" s="101">
        <v>0</v>
      </c>
      <c r="F145" s="101">
        <v>0</v>
      </c>
      <c r="G145" s="101">
        <v>2770310</v>
      </c>
      <c r="H145" s="101">
        <v>420239</v>
      </c>
      <c r="I145" s="101">
        <v>7866000</v>
      </c>
      <c r="K145" s="101">
        <v>644000</v>
      </c>
      <c r="L145" s="101">
        <f t="shared" si="13"/>
        <v>1191000</v>
      </c>
      <c r="M145" s="101">
        <v>74377000</v>
      </c>
      <c r="N145" s="101">
        <v>62</v>
      </c>
      <c r="O145" s="101">
        <v>2078</v>
      </c>
      <c r="P145" s="101">
        <v>0</v>
      </c>
      <c r="Q145" s="101">
        <v>721</v>
      </c>
      <c r="R145" s="101">
        <v>98137</v>
      </c>
      <c r="S145" s="101">
        <v>99463</v>
      </c>
      <c r="T145" s="101">
        <v>83590</v>
      </c>
      <c r="U145" s="101">
        <v>83084</v>
      </c>
      <c r="V145" s="101">
        <v>92004</v>
      </c>
      <c r="W145" s="101">
        <v>92553</v>
      </c>
      <c r="X145" s="149">
        <f t="shared" si="14"/>
        <v>0.75788948103161902</v>
      </c>
      <c r="Y145" s="184">
        <v>5.1900000000000002E-2</v>
      </c>
      <c r="Z145" s="253">
        <v>8.5</v>
      </c>
      <c r="AA145" s="149">
        <f t="shared" si="15"/>
        <v>-1.3511723407073784E-2</v>
      </c>
      <c r="AB145" s="149"/>
      <c r="AD145" s="101">
        <v>96470</v>
      </c>
      <c r="AE145" s="101">
        <v>96138</v>
      </c>
      <c r="AF145" s="101">
        <f t="shared" si="16"/>
        <v>332</v>
      </c>
      <c r="AG145" s="101">
        <v>98137</v>
      </c>
      <c r="AH145" s="101">
        <v>99463</v>
      </c>
      <c r="AI145" s="101">
        <f t="shared" si="17"/>
        <v>-1326</v>
      </c>
    </row>
    <row r="146" spans="2:35" x14ac:dyDescent="0.25">
      <c r="B146" t="s">
        <v>297</v>
      </c>
      <c r="C146" s="101">
        <v>49477000</v>
      </c>
      <c r="D146" s="101">
        <f t="shared" si="12"/>
        <v>49007869</v>
      </c>
      <c r="E146" s="101">
        <v>0</v>
      </c>
      <c r="F146" s="101">
        <v>0</v>
      </c>
      <c r="G146" s="101">
        <v>91500</v>
      </c>
      <c r="H146" s="101">
        <v>377631</v>
      </c>
      <c r="I146" s="101">
        <v>5818000</v>
      </c>
      <c r="K146" s="101">
        <v>354000</v>
      </c>
      <c r="L146" s="101">
        <f t="shared" si="13"/>
        <v>1030000</v>
      </c>
      <c r="M146" s="101">
        <v>56679000</v>
      </c>
      <c r="N146" s="101">
        <v>200</v>
      </c>
      <c r="O146" s="101">
        <v>1160</v>
      </c>
      <c r="P146" s="101">
        <v>695</v>
      </c>
      <c r="Q146" s="101">
        <v>2382</v>
      </c>
      <c r="R146" s="101">
        <v>82714</v>
      </c>
      <c r="S146" s="101">
        <v>87315</v>
      </c>
      <c r="T146" s="101">
        <v>61104</v>
      </c>
      <c r="U146" s="101">
        <v>62280</v>
      </c>
      <c r="V146" s="101">
        <v>69439</v>
      </c>
      <c r="W146" s="101">
        <v>69843</v>
      </c>
      <c r="X146" s="149">
        <f t="shared" si="14"/>
        <v>0.68524070894890832</v>
      </c>
      <c r="Y146" s="184">
        <v>4.7199999999999999E-2</v>
      </c>
      <c r="Z146" s="253">
        <v>6</v>
      </c>
      <c r="AA146" s="149">
        <f t="shared" si="15"/>
        <v>-5.562540803249752E-2</v>
      </c>
      <c r="AB146" s="149"/>
      <c r="AD146" s="101">
        <v>75905</v>
      </c>
      <c r="AE146" s="101">
        <v>76029</v>
      </c>
      <c r="AF146" s="101">
        <f t="shared" si="16"/>
        <v>-124</v>
      </c>
      <c r="AG146" s="101">
        <v>82714</v>
      </c>
      <c r="AH146" s="101">
        <v>87315</v>
      </c>
      <c r="AI146" s="101">
        <f t="shared" si="17"/>
        <v>-4601</v>
      </c>
    </row>
    <row r="147" spans="2:35" x14ac:dyDescent="0.25">
      <c r="B147" t="s">
        <v>149</v>
      </c>
      <c r="C147" s="101">
        <v>130415000</v>
      </c>
      <c r="D147" s="101">
        <f t="shared" si="12"/>
        <v>123738833</v>
      </c>
      <c r="E147" s="101">
        <v>0</v>
      </c>
      <c r="F147" s="101">
        <v>0</v>
      </c>
      <c r="G147" s="101">
        <v>5827437</v>
      </c>
      <c r="H147" s="101">
        <v>848730</v>
      </c>
      <c r="I147" s="101">
        <v>14931000</v>
      </c>
      <c r="K147" s="101">
        <v>1290000</v>
      </c>
      <c r="L147" s="101">
        <f t="shared" si="13"/>
        <v>13209000</v>
      </c>
      <c r="M147" s="101">
        <v>159845000</v>
      </c>
      <c r="N147" s="101">
        <v>281</v>
      </c>
      <c r="O147" s="101">
        <v>4473</v>
      </c>
      <c r="P147" s="101">
        <v>1157</v>
      </c>
      <c r="Q147" s="101">
        <v>3252</v>
      </c>
      <c r="R147" s="101">
        <v>213733</v>
      </c>
      <c r="S147" s="101">
        <v>213124</v>
      </c>
      <c r="T147" s="101">
        <v>158870</v>
      </c>
      <c r="U147" s="101">
        <v>157476</v>
      </c>
      <c r="V147" s="101">
        <v>165596</v>
      </c>
      <c r="W147" s="101">
        <v>168012</v>
      </c>
      <c r="X147" s="149">
        <f t="shared" si="14"/>
        <v>0.74787234540290926</v>
      </c>
      <c r="Y147" s="184">
        <v>5.1200000000000002E-2</v>
      </c>
      <c r="Z147" s="253">
        <v>8.5</v>
      </c>
      <c r="AA147" s="149">
        <f t="shared" si="15"/>
        <v>2.8493494219423298E-3</v>
      </c>
      <c r="AB147" s="149"/>
      <c r="AD147" s="101">
        <v>187674</v>
      </c>
      <c r="AE147" s="101">
        <v>189031</v>
      </c>
      <c r="AF147" s="101">
        <f t="shared" si="16"/>
        <v>-1357</v>
      </c>
      <c r="AG147" s="101">
        <v>213733</v>
      </c>
      <c r="AH147" s="101">
        <v>213124</v>
      </c>
      <c r="AI147" s="101">
        <f t="shared" si="17"/>
        <v>609</v>
      </c>
    </row>
    <row r="148" spans="2:35" x14ac:dyDescent="0.25">
      <c r="B148" t="s">
        <v>331</v>
      </c>
      <c r="C148" s="101">
        <v>25324000</v>
      </c>
      <c r="D148" s="101">
        <f t="shared" si="12"/>
        <v>24517531</v>
      </c>
      <c r="E148" s="101">
        <v>0</v>
      </c>
      <c r="F148" s="101">
        <v>0</v>
      </c>
      <c r="G148" s="101">
        <v>460877</v>
      </c>
      <c r="H148" s="101">
        <v>345592</v>
      </c>
      <c r="I148" s="101">
        <v>1706000</v>
      </c>
      <c r="K148" s="101">
        <v>114000</v>
      </c>
      <c r="L148" s="101">
        <f t="shared" si="13"/>
        <v>2118000</v>
      </c>
      <c r="M148" s="101">
        <v>29262000</v>
      </c>
      <c r="N148" s="101">
        <v>351</v>
      </c>
      <c r="O148" s="101">
        <v>1140</v>
      </c>
      <c r="P148" s="101">
        <v>278</v>
      </c>
      <c r="Q148" s="101">
        <v>2644</v>
      </c>
      <c r="R148" s="101">
        <v>44823</v>
      </c>
      <c r="S148" s="101">
        <v>45731</v>
      </c>
      <c r="T148" s="101">
        <v>34162</v>
      </c>
      <c r="U148" s="101">
        <v>35357</v>
      </c>
      <c r="V148" s="101">
        <v>42369</v>
      </c>
      <c r="W148" s="101">
        <v>43632</v>
      </c>
      <c r="X148" s="149">
        <f t="shared" si="14"/>
        <v>0.652834482297035</v>
      </c>
      <c r="Y148" s="184">
        <v>4.8000000000000001E-2</v>
      </c>
      <c r="Z148" s="253">
        <v>7.5</v>
      </c>
      <c r="AA148" s="149">
        <f t="shared" si="15"/>
        <v>-2.0257457109073465E-2</v>
      </c>
      <c r="AB148" s="149"/>
      <c r="AD148" s="101">
        <v>41315</v>
      </c>
      <c r="AE148" s="101">
        <v>42326</v>
      </c>
      <c r="AF148" s="101">
        <f t="shared" si="16"/>
        <v>-1011</v>
      </c>
      <c r="AG148" s="101">
        <v>44823</v>
      </c>
      <c r="AH148" s="101">
        <v>45731</v>
      </c>
      <c r="AI148" s="101">
        <f t="shared" si="17"/>
        <v>-908</v>
      </c>
    </row>
    <row r="149" spans="2:35" x14ac:dyDescent="0.25">
      <c r="B149" t="s">
        <v>298</v>
      </c>
      <c r="C149" s="101">
        <v>131846000</v>
      </c>
      <c r="D149" s="101">
        <f t="shared" si="12"/>
        <v>123948843</v>
      </c>
      <c r="E149" s="101">
        <v>0</v>
      </c>
      <c r="F149" s="101">
        <v>0</v>
      </c>
      <c r="G149" s="101">
        <v>7016946</v>
      </c>
      <c r="H149" s="101">
        <v>880211</v>
      </c>
      <c r="I149" s="101">
        <v>15430000</v>
      </c>
      <c r="K149" s="101">
        <v>1398000</v>
      </c>
      <c r="L149" s="101">
        <f t="shared" si="13"/>
        <v>5577000</v>
      </c>
      <c r="M149" s="101">
        <v>154251000</v>
      </c>
      <c r="N149" s="101">
        <v>425</v>
      </c>
      <c r="O149" s="101">
        <v>4724</v>
      </c>
      <c r="P149" s="101">
        <v>1389</v>
      </c>
      <c r="Q149" s="101">
        <v>17633</v>
      </c>
      <c r="R149" s="101">
        <v>240880</v>
      </c>
      <c r="S149" s="101">
        <v>247819</v>
      </c>
      <c r="T149" s="101">
        <v>173339</v>
      </c>
      <c r="U149" s="101">
        <v>174550</v>
      </c>
      <c r="V149" s="101">
        <v>197926</v>
      </c>
      <c r="W149" s="101">
        <v>200898</v>
      </c>
      <c r="X149" s="149">
        <f t="shared" si="14"/>
        <v>0.64036449684490204</v>
      </c>
      <c r="Y149" s="184">
        <v>4.5600000000000002E-2</v>
      </c>
      <c r="Z149" s="253">
        <v>7.5</v>
      </c>
      <c r="AA149" s="149">
        <f t="shared" si="15"/>
        <v>-2.8806874792427765E-2</v>
      </c>
      <c r="AB149" s="149"/>
      <c r="AD149" s="101">
        <v>222361</v>
      </c>
      <c r="AE149" s="101">
        <v>227179</v>
      </c>
      <c r="AF149" s="101">
        <f t="shared" si="16"/>
        <v>-4818</v>
      </c>
      <c r="AG149" s="101">
        <v>240880</v>
      </c>
      <c r="AH149" s="101">
        <v>247819</v>
      </c>
      <c r="AI149" s="101">
        <f t="shared" si="17"/>
        <v>-6939</v>
      </c>
    </row>
    <row r="150" spans="2:35" x14ac:dyDescent="0.25">
      <c r="B150" t="s">
        <v>407</v>
      </c>
      <c r="C150" s="101">
        <v>144887000</v>
      </c>
      <c r="D150" s="101">
        <f t="shared" si="12"/>
        <v>125543588</v>
      </c>
      <c r="E150" s="101">
        <v>0</v>
      </c>
      <c r="F150" s="101">
        <v>0</v>
      </c>
      <c r="G150" s="101">
        <v>18523510</v>
      </c>
      <c r="H150" s="101">
        <v>819902</v>
      </c>
      <c r="I150" s="101">
        <v>27179000</v>
      </c>
      <c r="K150" s="101">
        <v>254000</v>
      </c>
      <c r="L150" s="101">
        <f t="shared" si="13"/>
        <v>4070000</v>
      </c>
      <c r="M150" s="101">
        <v>176390000</v>
      </c>
      <c r="N150" s="101">
        <v>224</v>
      </c>
      <c r="O150" s="101">
        <v>2164</v>
      </c>
      <c r="P150" s="101">
        <v>0</v>
      </c>
      <c r="Q150" s="101">
        <v>374</v>
      </c>
      <c r="R150" s="101">
        <v>213923</v>
      </c>
      <c r="S150" s="101">
        <v>220075</v>
      </c>
      <c r="T150" s="101">
        <v>181147</v>
      </c>
      <c r="U150" s="101">
        <v>180217</v>
      </c>
      <c r="V150" s="101">
        <v>187528</v>
      </c>
      <c r="W150" s="101">
        <v>188382</v>
      </c>
      <c r="X150" s="149">
        <f t="shared" si="14"/>
        <v>0.82454901997447683</v>
      </c>
      <c r="Y150" s="184">
        <v>5.0900000000000001E-2</v>
      </c>
      <c r="Z150" s="253">
        <v>8</v>
      </c>
      <c r="AA150" s="149">
        <f t="shared" si="15"/>
        <v>-2.8758011060054319E-2</v>
      </c>
      <c r="AB150" s="149"/>
      <c r="AD150" s="101">
        <v>200662</v>
      </c>
      <c r="AE150" s="101">
        <v>201796</v>
      </c>
      <c r="AF150" s="101">
        <f t="shared" si="16"/>
        <v>-1134</v>
      </c>
      <c r="AG150" s="101">
        <v>213923</v>
      </c>
      <c r="AH150" s="101">
        <v>220075</v>
      </c>
      <c r="AI150" s="101">
        <f t="shared" si="17"/>
        <v>-6152</v>
      </c>
    </row>
    <row r="151" spans="2:35" x14ac:dyDescent="0.25">
      <c r="B151" t="s">
        <v>260</v>
      </c>
      <c r="C151" s="101">
        <v>41079000</v>
      </c>
      <c r="D151" s="101">
        <f t="shared" si="12"/>
        <v>39971665</v>
      </c>
      <c r="E151" s="101">
        <v>0</v>
      </c>
      <c r="F151" s="101">
        <v>0</v>
      </c>
      <c r="G151" s="101">
        <v>675235</v>
      </c>
      <c r="H151" s="101">
        <v>432100</v>
      </c>
      <c r="I151" s="101">
        <v>3741000</v>
      </c>
      <c r="K151" s="101">
        <v>183000</v>
      </c>
      <c r="L151" s="101">
        <f t="shared" si="13"/>
        <v>1097000</v>
      </c>
      <c r="M151" s="101">
        <v>46100000</v>
      </c>
      <c r="N151" s="101">
        <v>14</v>
      </c>
      <c r="O151" s="101">
        <v>6605</v>
      </c>
      <c r="P151" s="101">
        <v>170</v>
      </c>
      <c r="Q151" s="101">
        <v>3755</v>
      </c>
      <c r="R151" s="101">
        <v>80540</v>
      </c>
      <c r="S151" s="101">
        <v>82473</v>
      </c>
      <c r="T151" s="101">
        <v>66249</v>
      </c>
      <c r="U151" s="101">
        <v>66760</v>
      </c>
      <c r="V151" s="101">
        <v>76289</v>
      </c>
      <c r="W151" s="101">
        <v>74632</v>
      </c>
      <c r="X151" s="149">
        <f t="shared" si="14"/>
        <v>0.57238639185497886</v>
      </c>
      <c r="Y151" s="184">
        <v>3.27E-2</v>
      </c>
      <c r="Z151" s="253">
        <v>7</v>
      </c>
      <c r="AA151" s="149">
        <f t="shared" si="15"/>
        <v>-2.4000496647628506E-2</v>
      </c>
      <c r="AB151" s="149"/>
      <c r="AD151" s="101">
        <v>96547</v>
      </c>
      <c r="AE151" s="101">
        <v>97534</v>
      </c>
      <c r="AF151" s="101">
        <f t="shared" si="16"/>
        <v>-987</v>
      </c>
      <c r="AG151" s="101">
        <v>80540</v>
      </c>
      <c r="AH151" s="101">
        <v>82473</v>
      </c>
      <c r="AI151" s="101">
        <f t="shared" si="17"/>
        <v>-1933</v>
      </c>
    </row>
    <row r="152" spans="2:35" x14ac:dyDescent="0.25">
      <c r="B152" t="s">
        <v>299</v>
      </c>
      <c r="C152" s="101">
        <v>63556000</v>
      </c>
      <c r="D152" s="101">
        <f t="shared" si="12"/>
        <v>60751458</v>
      </c>
      <c r="E152" s="101">
        <v>0</v>
      </c>
      <c r="F152" s="101">
        <v>0</v>
      </c>
      <c r="G152" s="101">
        <v>2323625</v>
      </c>
      <c r="H152" s="101">
        <v>480917</v>
      </c>
      <c r="I152" s="101">
        <v>9294000</v>
      </c>
      <c r="K152" s="101">
        <v>844000</v>
      </c>
      <c r="L152" s="101">
        <f t="shared" si="13"/>
        <v>1373000</v>
      </c>
      <c r="M152" s="101">
        <v>75067000</v>
      </c>
      <c r="N152" s="101">
        <v>16</v>
      </c>
      <c r="O152" s="101">
        <v>2114</v>
      </c>
      <c r="P152" s="101">
        <v>153</v>
      </c>
      <c r="Q152" s="101">
        <v>4750</v>
      </c>
      <c r="R152" s="101">
        <v>105893</v>
      </c>
      <c r="S152" s="101">
        <v>106229</v>
      </c>
      <c r="T152" s="101">
        <v>76477</v>
      </c>
      <c r="U152" s="101">
        <v>75442</v>
      </c>
      <c r="V152" s="101">
        <v>92240</v>
      </c>
      <c r="W152" s="101">
        <v>92380</v>
      </c>
      <c r="X152" s="149">
        <f t="shared" si="14"/>
        <v>0.70889482779787139</v>
      </c>
      <c r="Y152" s="184">
        <v>5.3199999999999997E-2</v>
      </c>
      <c r="Z152" s="253">
        <v>8</v>
      </c>
      <c r="AA152" s="149">
        <f t="shared" si="15"/>
        <v>-3.1730142691207162E-3</v>
      </c>
      <c r="AB152" s="149"/>
      <c r="AD152" s="101">
        <v>105780</v>
      </c>
      <c r="AE152" s="101">
        <v>106580</v>
      </c>
      <c r="AF152" s="101">
        <f t="shared" si="16"/>
        <v>-800</v>
      </c>
      <c r="AG152" s="101">
        <v>105893</v>
      </c>
      <c r="AH152" s="101">
        <v>106229</v>
      </c>
      <c r="AI152" s="101">
        <f t="shared" si="17"/>
        <v>-336</v>
      </c>
    </row>
    <row r="153" spans="2:35" x14ac:dyDescent="0.25">
      <c r="B153" t="s">
        <v>474</v>
      </c>
      <c r="C153" s="101">
        <v>117057000</v>
      </c>
      <c r="D153" s="101">
        <f t="shared" si="12"/>
        <v>112336902</v>
      </c>
      <c r="E153" s="101">
        <v>0</v>
      </c>
      <c r="F153" s="101">
        <v>0</v>
      </c>
      <c r="G153" s="101">
        <v>3467261</v>
      </c>
      <c r="H153" s="101">
        <v>1252837</v>
      </c>
      <c r="I153" s="101">
        <v>12034000</v>
      </c>
      <c r="K153" s="101">
        <v>1134000</v>
      </c>
      <c r="L153" s="101">
        <f t="shared" si="13"/>
        <v>7769000</v>
      </c>
      <c r="M153" s="101">
        <v>137994000</v>
      </c>
      <c r="N153" s="101">
        <v>79</v>
      </c>
      <c r="O153" s="101">
        <v>2159</v>
      </c>
      <c r="P153" s="101">
        <v>189</v>
      </c>
      <c r="Q153" s="101">
        <v>412</v>
      </c>
      <c r="R153" s="101">
        <v>181290</v>
      </c>
      <c r="S153" s="101">
        <v>186008</v>
      </c>
      <c r="T153" s="101">
        <v>143315</v>
      </c>
      <c r="U153" s="101">
        <v>148053</v>
      </c>
      <c r="V153" s="101">
        <v>155644</v>
      </c>
      <c r="W153" s="101">
        <v>158224</v>
      </c>
      <c r="X153" s="149">
        <f t="shared" si="14"/>
        <v>0.76117822273705116</v>
      </c>
      <c r="Y153" s="184">
        <v>5.6300000000000003E-2</v>
      </c>
      <c r="Z153" s="253">
        <v>7.5</v>
      </c>
      <c r="AA153" s="149">
        <f t="shared" si="15"/>
        <v>-2.6024601467262397E-2</v>
      </c>
      <c r="AB153" s="149"/>
      <c r="AD153" s="101">
        <v>163247</v>
      </c>
      <c r="AE153" s="101">
        <v>165103</v>
      </c>
      <c r="AF153" s="101">
        <f t="shared" si="16"/>
        <v>-1856</v>
      </c>
      <c r="AG153" s="101">
        <v>181290</v>
      </c>
      <c r="AH153" s="101">
        <v>186008</v>
      </c>
      <c r="AI153" s="101">
        <f t="shared" si="17"/>
        <v>-4718</v>
      </c>
    </row>
    <row r="154" spans="2:35" x14ac:dyDescent="0.25">
      <c r="B154" t="s">
        <v>373</v>
      </c>
      <c r="C154" s="101">
        <v>43232000</v>
      </c>
      <c r="D154" s="101">
        <f t="shared" si="12"/>
        <v>40405058</v>
      </c>
      <c r="E154" s="101">
        <v>0</v>
      </c>
      <c r="F154" s="101">
        <v>0</v>
      </c>
      <c r="G154" s="101">
        <v>2467127</v>
      </c>
      <c r="H154" s="101">
        <v>359815</v>
      </c>
      <c r="I154" s="101">
        <v>4228000</v>
      </c>
      <c r="K154" s="101">
        <v>137000</v>
      </c>
      <c r="L154" s="101">
        <f t="shared" si="13"/>
        <v>1439000</v>
      </c>
      <c r="M154" s="101">
        <v>49036000</v>
      </c>
      <c r="N154" s="101">
        <v>97</v>
      </c>
      <c r="O154" s="101">
        <v>557</v>
      </c>
      <c r="P154" s="101">
        <v>26</v>
      </c>
      <c r="Q154" s="101">
        <v>3020</v>
      </c>
      <c r="R154" s="101">
        <v>67745</v>
      </c>
      <c r="S154" s="101">
        <v>67367</v>
      </c>
      <c r="T154" s="101">
        <v>60827</v>
      </c>
      <c r="U154" s="101">
        <v>61626</v>
      </c>
      <c r="V154" s="101">
        <v>65821</v>
      </c>
      <c r="W154" s="101">
        <v>66668</v>
      </c>
      <c r="X154" s="149">
        <f t="shared" si="14"/>
        <v>0.72383201712303491</v>
      </c>
      <c r="Y154" s="184">
        <v>5.6300000000000003E-2</v>
      </c>
      <c r="Z154" s="253">
        <v>8</v>
      </c>
      <c r="AA154" s="149">
        <f t="shared" si="15"/>
        <v>5.5797475828474425E-3</v>
      </c>
      <c r="AB154" s="149"/>
      <c r="AD154" s="101">
        <v>68331</v>
      </c>
      <c r="AE154" s="101">
        <v>68874</v>
      </c>
      <c r="AF154" s="101">
        <f t="shared" si="16"/>
        <v>-543</v>
      </c>
      <c r="AG154" s="101">
        <v>67745</v>
      </c>
      <c r="AH154" s="101">
        <v>67367</v>
      </c>
      <c r="AI154" s="101">
        <f t="shared" si="17"/>
        <v>378</v>
      </c>
    </row>
    <row r="155" spans="2:35" x14ac:dyDescent="0.25">
      <c r="B155" t="s">
        <v>975</v>
      </c>
      <c r="C155" s="101">
        <v>192883000</v>
      </c>
      <c r="D155" s="101">
        <f t="shared" si="12"/>
        <v>175095666</v>
      </c>
      <c r="E155" s="101">
        <v>0</v>
      </c>
      <c r="F155" s="101">
        <v>0</v>
      </c>
      <c r="G155" s="101">
        <v>15839330</v>
      </c>
      <c r="H155" s="101">
        <v>1948004</v>
      </c>
      <c r="I155" s="101">
        <v>21770000</v>
      </c>
      <c r="K155" s="101">
        <v>2026000</v>
      </c>
      <c r="L155" s="101">
        <f t="shared" si="13"/>
        <v>5007000</v>
      </c>
      <c r="M155" s="101">
        <v>221686000</v>
      </c>
      <c r="N155" s="101">
        <v>1121</v>
      </c>
      <c r="O155" s="101">
        <v>1710</v>
      </c>
      <c r="P155" s="101">
        <v>203</v>
      </c>
      <c r="Q155" s="101">
        <v>16487</v>
      </c>
      <c r="R155" s="101">
        <v>317920</v>
      </c>
      <c r="S155" s="101">
        <v>322123</v>
      </c>
      <c r="T155" s="187">
        <v>242548</v>
      </c>
      <c r="U155" s="187">
        <v>241877</v>
      </c>
      <c r="V155" s="101">
        <v>261569</v>
      </c>
      <c r="W155" s="101">
        <v>253763</v>
      </c>
      <c r="X155" s="149">
        <f t="shared" si="14"/>
        <v>0.69730120785103167</v>
      </c>
      <c r="Y155" s="184">
        <v>3.6400000000000002E-2</v>
      </c>
      <c r="Z155" s="253">
        <v>8</v>
      </c>
      <c r="AA155" s="149">
        <f t="shared" si="15"/>
        <v>-1.3220306995470558E-2</v>
      </c>
      <c r="AB155" s="149"/>
      <c r="AD155" s="101">
        <v>285753</v>
      </c>
      <c r="AE155" s="101">
        <v>283085</v>
      </c>
      <c r="AF155" s="101">
        <f t="shared" si="16"/>
        <v>2668</v>
      </c>
      <c r="AG155" s="101">
        <v>317920</v>
      </c>
      <c r="AH155" s="101">
        <v>322123</v>
      </c>
      <c r="AI155" s="101">
        <f t="shared" si="17"/>
        <v>-4203</v>
      </c>
    </row>
    <row r="156" spans="2:35" x14ac:dyDescent="0.25">
      <c r="B156" t="s">
        <v>408</v>
      </c>
      <c r="C156" s="101">
        <v>101855000</v>
      </c>
      <c r="D156" s="101">
        <f t="shared" si="12"/>
        <v>91106974</v>
      </c>
      <c r="E156" s="101">
        <v>0</v>
      </c>
      <c r="F156" s="101">
        <v>0</v>
      </c>
      <c r="G156" s="101">
        <v>10181819</v>
      </c>
      <c r="H156" s="101">
        <v>566207</v>
      </c>
      <c r="I156" s="101">
        <v>15867000</v>
      </c>
      <c r="K156" s="101">
        <v>591000</v>
      </c>
      <c r="L156" s="101">
        <f t="shared" si="13"/>
        <v>1038000</v>
      </c>
      <c r="M156" s="101">
        <v>119351000</v>
      </c>
      <c r="N156" s="101">
        <v>19</v>
      </c>
      <c r="O156" s="101">
        <v>703</v>
      </c>
      <c r="P156" s="101">
        <v>445</v>
      </c>
      <c r="Q156" s="101">
        <v>145</v>
      </c>
      <c r="R156" s="101">
        <v>144318</v>
      </c>
      <c r="S156" s="101">
        <v>148639</v>
      </c>
      <c r="T156" s="101">
        <v>121312</v>
      </c>
      <c r="U156" s="101">
        <v>124220</v>
      </c>
      <c r="V156" s="101">
        <v>130404</v>
      </c>
      <c r="W156" s="101">
        <v>130851</v>
      </c>
      <c r="X156" s="149">
        <f t="shared" si="14"/>
        <v>0.82700009700799626</v>
      </c>
      <c r="Y156" s="184">
        <v>6.0299999999999999E-2</v>
      </c>
      <c r="Z156" s="253">
        <v>6.5</v>
      </c>
      <c r="AA156" s="149">
        <f t="shared" si="15"/>
        <v>-2.9940825122299366E-2</v>
      </c>
      <c r="AB156" s="149"/>
      <c r="AD156" s="101">
        <v>139752</v>
      </c>
      <c r="AE156" s="101">
        <v>140985</v>
      </c>
      <c r="AF156" s="101">
        <f t="shared" si="16"/>
        <v>-1233</v>
      </c>
      <c r="AG156" s="101">
        <v>144318</v>
      </c>
      <c r="AH156" s="101">
        <v>148639</v>
      </c>
      <c r="AI156" s="101">
        <f t="shared" si="17"/>
        <v>-4321</v>
      </c>
    </row>
    <row r="157" spans="2:35" x14ac:dyDescent="0.25">
      <c r="B157" s="164" t="s">
        <v>261</v>
      </c>
      <c r="C157" s="101">
        <v>20312183.940074667</v>
      </c>
      <c r="D157" s="101">
        <f t="shared" si="12"/>
        <v>19841439.940074667</v>
      </c>
      <c r="E157" s="101">
        <v>0</v>
      </c>
      <c r="F157" s="101">
        <v>0</v>
      </c>
      <c r="G157" s="101">
        <v>187339</v>
      </c>
      <c r="H157" s="101">
        <v>283405</v>
      </c>
      <c r="I157" s="101">
        <v>2000000</v>
      </c>
      <c r="K157" s="101">
        <v>0</v>
      </c>
      <c r="L157" s="101">
        <f t="shared" si="13"/>
        <v>1187816.0599253327</v>
      </c>
      <c r="M157" s="101">
        <v>23500000</v>
      </c>
      <c r="N157" s="187">
        <v>0</v>
      </c>
      <c r="O157" s="187">
        <v>0</v>
      </c>
      <c r="P157" s="101">
        <v>17</v>
      </c>
      <c r="Q157" s="187">
        <v>0</v>
      </c>
      <c r="R157" s="187">
        <v>33721</v>
      </c>
      <c r="S157" s="187">
        <f>SUM(R157,-1/78*R157)</f>
        <v>33288.679487179485</v>
      </c>
      <c r="T157" s="101">
        <v>25924</v>
      </c>
      <c r="U157" s="101">
        <v>26095</v>
      </c>
      <c r="V157" s="101">
        <v>25419</v>
      </c>
      <c r="W157" s="101">
        <v>25525</v>
      </c>
      <c r="X157" s="149">
        <f t="shared" si="14"/>
        <v>0.6968951098721865</v>
      </c>
      <c r="Y157" s="184">
        <v>4.58E-2</v>
      </c>
      <c r="Z157" s="253">
        <v>5.5</v>
      </c>
      <c r="AA157" s="149">
        <f t="shared" si="15"/>
        <v>1.2820512820512898E-2</v>
      </c>
      <c r="AB157" s="149"/>
      <c r="AD157" s="101">
        <v>31559</v>
      </c>
      <c r="AE157" s="101">
        <v>31188</v>
      </c>
      <c r="AF157" s="101">
        <f t="shared" si="16"/>
        <v>371</v>
      </c>
      <c r="AG157" s="101">
        <v>0</v>
      </c>
      <c r="AH157" s="101">
        <v>0</v>
      </c>
      <c r="AI157" s="101">
        <f t="shared" si="17"/>
        <v>0</v>
      </c>
    </row>
    <row r="158" spans="2:35" x14ac:dyDescent="0.25">
      <c r="B158" t="s">
        <v>300</v>
      </c>
      <c r="C158" s="101">
        <v>103271000</v>
      </c>
      <c r="D158" s="101">
        <f t="shared" si="12"/>
        <v>102371999</v>
      </c>
      <c r="E158" s="101">
        <v>0</v>
      </c>
      <c r="F158" s="101">
        <v>0</v>
      </c>
      <c r="G158" s="101">
        <v>187176</v>
      </c>
      <c r="H158" s="101">
        <v>711825</v>
      </c>
      <c r="I158" s="101">
        <v>10596000</v>
      </c>
      <c r="K158" s="101">
        <v>748000</v>
      </c>
      <c r="L158" s="101">
        <f t="shared" si="13"/>
        <v>6286000</v>
      </c>
      <c r="M158" s="101">
        <v>120901000</v>
      </c>
      <c r="N158" s="101">
        <v>211</v>
      </c>
      <c r="O158" s="101">
        <v>1809</v>
      </c>
      <c r="P158" s="101">
        <v>1001</v>
      </c>
      <c r="Q158" s="101">
        <v>38197</v>
      </c>
      <c r="R158" s="101">
        <v>214966</v>
      </c>
      <c r="S158" s="101">
        <v>225418</v>
      </c>
      <c r="T158" s="101">
        <v>169783</v>
      </c>
      <c r="U158" s="101">
        <v>178580</v>
      </c>
      <c r="V158" s="101">
        <v>196783</v>
      </c>
      <c r="W158" s="101">
        <v>204331</v>
      </c>
      <c r="X158" s="149">
        <f t="shared" si="14"/>
        <v>0.56241917326460933</v>
      </c>
      <c r="Y158" s="184">
        <v>6.0199999999999997E-2</v>
      </c>
      <c r="Z158" s="253">
        <v>7</v>
      </c>
      <c r="AA158" s="149">
        <f t="shared" si="15"/>
        <v>-4.8621642492301109E-2</v>
      </c>
      <c r="AB158" s="149"/>
      <c r="AD158" s="101">
        <v>224658</v>
      </c>
      <c r="AE158" s="101">
        <v>233124</v>
      </c>
      <c r="AF158" s="101">
        <f t="shared" si="16"/>
        <v>-8466</v>
      </c>
      <c r="AG158" s="101">
        <v>214966</v>
      </c>
      <c r="AH158" s="101">
        <v>225418</v>
      </c>
      <c r="AI158" s="101">
        <f t="shared" si="17"/>
        <v>-10452</v>
      </c>
    </row>
    <row r="159" spans="2:35" x14ac:dyDescent="0.25">
      <c r="B159" t="s">
        <v>724</v>
      </c>
      <c r="C159" s="101">
        <v>18323000</v>
      </c>
      <c r="D159" s="101">
        <f t="shared" si="12"/>
        <v>17954291</v>
      </c>
      <c r="E159" s="101">
        <v>0</v>
      </c>
      <c r="F159" s="101">
        <v>0</v>
      </c>
      <c r="G159" s="101">
        <v>136005</v>
      </c>
      <c r="H159" s="101">
        <v>232704</v>
      </c>
      <c r="I159" s="101">
        <v>2037000</v>
      </c>
      <c r="K159" s="101">
        <v>618000</v>
      </c>
      <c r="L159" s="101">
        <f t="shared" si="13"/>
        <v>1788000</v>
      </c>
      <c r="M159" s="101">
        <v>22766000</v>
      </c>
      <c r="N159" s="101">
        <v>62</v>
      </c>
      <c r="O159" s="101">
        <v>565</v>
      </c>
      <c r="P159" s="101">
        <v>0</v>
      </c>
      <c r="Q159" s="101">
        <v>1908</v>
      </c>
      <c r="R159" s="101">
        <v>37094</v>
      </c>
      <c r="S159" s="101">
        <v>37589</v>
      </c>
      <c r="T159" s="101">
        <v>26018</v>
      </c>
      <c r="U159" s="101">
        <v>27230</v>
      </c>
      <c r="V159" s="101">
        <v>28730</v>
      </c>
      <c r="W159" s="101">
        <v>28513</v>
      </c>
      <c r="X159" s="149">
        <f t="shared" si="14"/>
        <v>0.61373807084703724</v>
      </c>
      <c r="Y159" s="184">
        <v>4.2200000000000001E-2</v>
      </c>
      <c r="Z159" s="253">
        <v>6.5</v>
      </c>
      <c r="AA159" s="149">
        <f t="shared" si="15"/>
        <v>-1.334447619561115E-2</v>
      </c>
      <c r="AB159" s="149"/>
      <c r="AD159" s="101">
        <v>33076</v>
      </c>
      <c r="AE159" s="101">
        <v>32482</v>
      </c>
      <c r="AF159" s="101">
        <f t="shared" si="16"/>
        <v>594</v>
      </c>
      <c r="AG159" s="101">
        <v>37094</v>
      </c>
      <c r="AH159" s="101">
        <v>37589</v>
      </c>
      <c r="AI159" s="101">
        <f t="shared" si="17"/>
        <v>-495</v>
      </c>
    </row>
    <row r="160" spans="2:35" x14ac:dyDescent="0.25">
      <c r="B160" t="s">
        <v>130</v>
      </c>
      <c r="C160" s="101">
        <v>434332000</v>
      </c>
      <c r="D160" s="101">
        <f t="shared" si="12"/>
        <v>342436650</v>
      </c>
      <c r="E160" s="101">
        <v>0</v>
      </c>
      <c r="F160" s="101">
        <v>48416302</v>
      </c>
      <c r="G160" s="101">
        <v>14722674</v>
      </c>
      <c r="H160" s="101">
        <v>28756374</v>
      </c>
      <c r="I160" s="101">
        <v>87220000</v>
      </c>
      <c r="K160" s="101">
        <v>9621000</v>
      </c>
      <c r="L160" s="101">
        <f t="shared" si="13"/>
        <v>20170000</v>
      </c>
      <c r="M160" s="101">
        <v>551343000</v>
      </c>
      <c r="N160" s="101">
        <v>1069</v>
      </c>
      <c r="O160" s="101">
        <v>11421</v>
      </c>
      <c r="P160" s="101">
        <v>766</v>
      </c>
      <c r="Q160" s="101">
        <v>37949</v>
      </c>
      <c r="R160" s="101">
        <v>724234</v>
      </c>
      <c r="S160" s="101">
        <v>730874</v>
      </c>
      <c r="T160" s="101">
        <v>584924</v>
      </c>
      <c r="U160" s="101">
        <v>582083</v>
      </c>
      <c r="V160" s="101">
        <v>603948</v>
      </c>
      <c r="W160" s="101">
        <v>588968</v>
      </c>
      <c r="X160" s="149">
        <f t="shared" si="14"/>
        <v>0.76127743243205925</v>
      </c>
      <c r="Y160" s="184">
        <v>5.4399999999999997E-2</v>
      </c>
      <c r="Z160" s="253">
        <v>7.5</v>
      </c>
      <c r="AA160" s="149">
        <f t="shared" si="15"/>
        <v>-9.168307480731365E-3</v>
      </c>
      <c r="AB160" s="149"/>
      <c r="AD160" s="101">
        <v>654125</v>
      </c>
      <c r="AE160" s="101">
        <v>649171</v>
      </c>
      <c r="AF160" s="101">
        <f t="shared" si="16"/>
        <v>4954</v>
      </c>
      <c r="AG160" s="101">
        <v>724234</v>
      </c>
      <c r="AH160" s="101">
        <v>730874</v>
      </c>
      <c r="AI160" s="101">
        <f t="shared" si="17"/>
        <v>-6640</v>
      </c>
    </row>
    <row r="161" spans="2:35" x14ac:dyDescent="0.25">
      <c r="B161" t="s">
        <v>301</v>
      </c>
      <c r="C161" s="101">
        <v>382419000</v>
      </c>
      <c r="D161" s="101">
        <f t="shared" si="12"/>
        <v>305542749</v>
      </c>
      <c r="E161" s="101">
        <v>0</v>
      </c>
      <c r="F161" s="101">
        <v>36541803</v>
      </c>
      <c r="G161" s="101">
        <v>20989637</v>
      </c>
      <c r="H161" s="101">
        <v>19344811</v>
      </c>
      <c r="I161" s="101">
        <v>56946000</v>
      </c>
      <c r="K161" s="101">
        <v>6183000</v>
      </c>
      <c r="L161" s="101">
        <f t="shared" si="13"/>
        <v>26920000</v>
      </c>
      <c r="M161" s="101">
        <v>472468000</v>
      </c>
      <c r="N161" s="101">
        <v>2319</v>
      </c>
      <c r="O161" s="101">
        <v>4129</v>
      </c>
      <c r="P161" s="101">
        <v>2630</v>
      </c>
      <c r="Q161" s="101">
        <v>19630</v>
      </c>
      <c r="R161" s="101">
        <v>694298</v>
      </c>
      <c r="S161" s="101">
        <v>694907</v>
      </c>
      <c r="T161" s="101">
        <v>526416</v>
      </c>
      <c r="U161" s="101">
        <v>532569</v>
      </c>
      <c r="V161" s="101">
        <v>583924</v>
      </c>
      <c r="W161" s="101">
        <v>590177</v>
      </c>
      <c r="X161" s="149">
        <f t="shared" si="14"/>
        <v>0.68049742329662477</v>
      </c>
      <c r="Y161" s="184">
        <v>4.53E-2</v>
      </c>
      <c r="Z161" s="253">
        <v>4.5</v>
      </c>
      <c r="AA161" s="149">
        <f t="shared" si="15"/>
        <v>-8.7714497233176529E-4</v>
      </c>
      <c r="AB161" s="149"/>
      <c r="AD161" s="101">
        <v>630087</v>
      </c>
      <c r="AE161" s="101">
        <v>626031</v>
      </c>
      <c r="AF161" s="101">
        <f t="shared" si="16"/>
        <v>4056</v>
      </c>
      <c r="AG161" s="101">
        <v>694298</v>
      </c>
      <c r="AH161" s="101">
        <v>694907</v>
      </c>
      <c r="AI161" s="101">
        <f t="shared" si="17"/>
        <v>-609</v>
      </c>
    </row>
    <row r="162" spans="2:35" x14ac:dyDescent="0.25">
      <c r="B162" t="s">
        <v>302</v>
      </c>
      <c r="C162" s="101">
        <v>51365000</v>
      </c>
      <c r="D162" s="101">
        <f t="shared" si="12"/>
        <v>50788273</v>
      </c>
      <c r="E162" s="101">
        <v>0</v>
      </c>
      <c r="F162" s="101">
        <v>0</v>
      </c>
      <c r="G162" s="101">
        <v>227681</v>
      </c>
      <c r="H162" s="101">
        <v>349046</v>
      </c>
      <c r="I162" s="101">
        <v>6530000</v>
      </c>
      <c r="K162" s="101">
        <v>378000</v>
      </c>
      <c r="L162" s="101">
        <f t="shared" si="13"/>
        <v>990000</v>
      </c>
      <c r="M162" s="101">
        <v>59263000</v>
      </c>
      <c r="N162" s="101">
        <v>105</v>
      </c>
      <c r="O162" s="101">
        <v>1817</v>
      </c>
      <c r="P162" s="101">
        <v>725</v>
      </c>
      <c r="Q162" s="101">
        <v>0</v>
      </c>
      <c r="R162" s="101">
        <v>83817</v>
      </c>
      <c r="S162" s="101">
        <v>86997</v>
      </c>
      <c r="T162" s="101">
        <v>67258</v>
      </c>
      <c r="U162" s="101">
        <v>68006</v>
      </c>
      <c r="V162" s="101">
        <v>71586</v>
      </c>
      <c r="W162" s="101">
        <v>71531</v>
      </c>
      <c r="X162" s="149">
        <f t="shared" si="14"/>
        <v>0.70705226863285486</v>
      </c>
      <c r="Y162" s="184">
        <v>4.5100000000000001E-2</v>
      </c>
      <c r="Z162" s="253">
        <v>6.5</v>
      </c>
      <c r="AA162" s="149">
        <f t="shared" si="15"/>
        <v>-3.7939797415798705E-2</v>
      </c>
      <c r="AB162" s="149"/>
      <c r="AD162" s="101">
        <v>78644</v>
      </c>
      <c r="AE162" s="101">
        <v>80008</v>
      </c>
      <c r="AF162" s="101">
        <f t="shared" si="16"/>
        <v>-1364</v>
      </c>
      <c r="AG162" s="101">
        <v>83817</v>
      </c>
      <c r="AH162" s="101">
        <v>86997</v>
      </c>
      <c r="AI162" s="101">
        <f t="shared" si="17"/>
        <v>-3180</v>
      </c>
    </row>
    <row r="163" spans="2:35" x14ac:dyDescent="0.25">
      <c r="B163" t="s">
        <v>303</v>
      </c>
      <c r="C163" s="101">
        <v>165613000</v>
      </c>
      <c r="D163" s="101">
        <f t="shared" si="12"/>
        <v>161528521</v>
      </c>
      <c r="E163" s="101">
        <v>0</v>
      </c>
      <c r="F163" s="101">
        <v>0</v>
      </c>
      <c r="G163" s="101">
        <v>3087526</v>
      </c>
      <c r="H163" s="101">
        <v>996953</v>
      </c>
      <c r="I163" s="101">
        <v>30661000</v>
      </c>
      <c r="K163" s="101">
        <v>2027000</v>
      </c>
      <c r="L163" s="101">
        <f t="shared" si="13"/>
        <v>7695000</v>
      </c>
      <c r="M163" s="101">
        <v>205996000</v>
      </c>
      <c r="N163" s="101">
        <v>167</v>
      </c>
      <c r="O163" s="101">
        <v>4979</v>
      </c>
      <c r="P163" s="101">
        <v>906</v>
      </c>
      <c r="Q163" s="101">
        <v>32827</v>
      </c>
      <c r="R163" s="101">
        <v>310398</v>
      </c>
      <c r="S163" s="101">
        <v>315837</v>
      </c>
      <c r="T163" s="101">
        <v>229929</v>
      </c>
      <c r="U163" s="101">
        <v>242332</v>
      </c>
      <c r="V163" s="101">
        <v>254570</v>
      </c>
      <c r="W163" s="101">
        <v>264048</v>
      </c>
      <c r="X163" s="149">
        <f t="shared" si="14"/>
        <v>0.66365118331948014</v>
      </c>
      <c r="Y163" s="184">
        <v>5.8500000000000003E-2</v>
      </c>
      <c r="Z163" s="253">
        <v>8</v>
      </c>
      <c r="AA163" s="149">
        <f t="shared" si="15"/>
        <v>-1.752266445015754E-2</v>
      </c>
      <c r="AB163" s="149"/>
      <c r="AD163" s="101">
        <v>288365</v>
      </c>
      <c r="AE163" s="101">
        <v>294970</v>
      </c>
      <c r="AF163" s="101">
        <f t="shared" si="16"/>
        <v>-6605</v>
      </c>
      <c r="AG163" s="101">
        <v>310398</v>
      </c>
      <c r="AH163" s="101">
        <v>315837</v>
      </c>
      <c r="AI163" s="101">
        <f t="shared" si="17"/>
        <v>-5439</v>
      </c>
    </row>
    <row r="164" spans="2:35" x14ac:dyDescent="0.25">
      <c r="B164" t="s">
        <v>429</v>
      </c>
      <c r="C164" s="101">
        <v>219409000</v>
      </c>
      <c r="D164" s="101">
        <f t="shared" si="12"/>
        <v>210719867</v>
      </c>
      <c r="E164" s="101">
        <v>0</v>
      </c>
      <c r="F164" s="101">
        <v>0</v>
      </c>
      <c r="G164" s="101">
        <v>7064520</v>
      </c>
      <c r="H164" s="101">
        <v>1624613</v>
      </c>
      <c r="I164" s="101">
        <v>38096000</v>
      </c>
      <c r="K164" s="101">
        <v>8021000</v>
      </c>
      <c r="L164" s="101">
        <f t="shared" si="13"/>
        <v>7856000</v>
      </c>
      <c r="M164" s="101">
        <v>273382000</v>
      </c>
      <c r="N164" s="101">
        <v>740</v>
      </c>
      <c r="O164" s="101">
        <v>4666</v>
      </c>
      <c r="P164" s="101">
        <v>660</v>
      </c>
      <c r="Q164" s="101">
        <v>30232</v>
      </c>
      <c r="R164" s="101">
        <v>426946</v>
      </c>
      <c r="S164" s="101">
        <v>435309</v>
      </c>
      <c r="T164" s="101">
        <v>291483</v>
      </c>
      <c r="U164" s="101">
        <v>299304</v>
      </c>
      <c r="V164" s="101">
        <v>321946</v>
      </c>
      <c r="W164" s="101">
        <v>322924</v>
      </c>
      <c r="X164" s="149">
        <f t="shared" si="14"/>
        <v>0.64031985309617612</v>
      </c>
      <c r="Y164" s="184">
        <v>4.7800000000000002E-2</v>
      </c>
      <c r="Z164" s="253">
        <v>5.5</v>
      </c>
      <c r="AA164" s="149">
        <f t="shared" si="15"/>
        <v>-1.9587957259231847E-2</v>
      </c>
      <c r="AB164" s="149"/>
      <c r="AD164" s="101">
        <v>377598</v>
      </c>
      <c r="AE164" s="101">
        <v>387612</v>
      </c>
      <c r="AF164" s="101">
        <f t="shared" si="16"/>
        <v>-10014</v>
      </c>
      <c r="AG164" s="101">
        <v>426946</v>
      </c>
      <c r="AH164" s="101">
        <v>435309</v>
      </c>
      <c r="AI164" s="101">
        <f t="shared" si="17"/>
        <v>-8363</v>
      </c>
    </row>
    <row r="165" spans="2:35" x14ac:dyDescent="0.25">
      <c r="B165" t="s">
        <v>409</v>
      </c>
      <c r="C165" s="101">
        <v>71602000</v>
      </c>
      <c r="D165" s="101">
        <f t="shared" si="12"/>
        <v>67944989</v>
      </c>
      <c r="E165" s="101">
        <v>0</v>
      </c>
      <c r="F165" s="101">
        <v>0</v>
      </c>
      <c r="G165" s="101">
        <v>3177914</v>
      </c>
      <c r="H165" s="101">
        <v>479097</v>
      </c>
      <c r="I165" s="101">
        <v>5202000</v>
      </c>
      <c r="K165" s="101">
        <v>50000</v>
      </c>
      <c r="L165" s="101">
        <f t="shared" si="13"/>
        <v>3224000</v>
      </c>
      <c r="M165" s="101">
        <v>80078000</v>
      </c>
      <c r="N165" s="101">
        <v>134</v>
      </c>
      <c r="O165" s="101">
        <v>650</v>
      </c>
      <c r="P165" s="101">
        <v>874</v>
      </c>
      <c r="Q165" s="101">
        <v>1377</v>
      </c>
      <c r="R165" s="101">
        <v>111978</v>
      </c>
      <c r="S165" s="101">
        <v>114148</v>
      </c>
      <c r="T165" s="101">
        <v>82817</v>
      </c>
      <c r="U165" s="101">
        <v>84084</v>
      </c>
      <c r="V165" s="101">
        <v>93517</v>
      </c>
      <c r="W165" s="101">
        <v>94434</v>
      </c>
      <c r="X165" s="149">
        <f t="shared" si="14"/>
        <v>0.71512261337048344</v>
      </c>
      <c r="Y165" s="184">
        <v>4.5699999999999998E-2</v>
      </c>
      <c r="Z165" s="253">
        <v>7</v>
      </c>
      <c r="AA165" s="149">
        <f t="shared" si="15"/>
        <v>-1.9378806551286858E-2</v>
      </c>
      <c r="AB165" s="149"/>
      <c r="AD165" s="101">
        <v>99728</v>
      </c>
      <c r="AE165" s="101">
        <v>100704</v>
      </c>
      <c r="AF165" s="101">
        <f t="shared" si="16"/>
        <v>-976</v>
      </c>
      <c r="AG165" s="101">
        <v>111978</v>
      </c>
      <c r="AH165" s="101">
        <v>114148</v>
      </c>
      <c r="AI165" s="101">
        <f t="shared" si="17"/>
        <v>-2170</v>
      </c>
    </row>
    <row r="166" spans="2:35" x14ac:dyDescent="0.25">
      <c r="B166" t="s">
        <v>221</v>
      </c>
      <c r="C166" s="101">
        <v>52686000</v>
      </c>
      <c r="D166" s="101">
        <f t="shared" si="12"/>
        <v>50788731</v>
      </c>
      <c r="E166" s="101">
        <v>0</v>
      </c>
      <c r="F166" s="101">
        <v>0</v>
      </c>
      <c r="G166" s="101">
        <v>1501262</v>
      </c>
      <c r="H166" s="101">
        <v>396007</v>
      </c>
      <c r="I166" s="101">
        <v>5396000</v>
      </c>
      <c r="K166" s="101">
        <v>64000</v>
      </c>
      <c r="L166" s="101">
        <f t="shared" si="13"/>
        <v>7155000</v>
      </c>
      <c r="M166" s="101">
        <v>65301000</v>
      </c>
      <c r="N166" s="101">
        <v>0</v>
      </c>
      <c r="O166" s="101">
        <v>2006</v>
      </c>
      <c r="P166" s="101">
        <v>0</v>
      </c>
      <c r="Q166" s="101">
        <v>3608</v>
      </c>
      <c r="R166" s="101">
        <v>91465</v>
      </c>
      <c r="S166" s="101">
        <v>93309</v>
      </c>
      <c r="T166" s="101">
        <v>62212</v>
      </c>
      <c r="U166" s="101">
        <v>63782</v>
      </c>
      <c r="V166" s="101">
        <v>72294</v>
      </c>
      <c r="W166" s="101">
        <v>72981</v>
      </c>
      <c r="X166" s="149">
        <f t="shared" si="14"/>
        <v>0.71394522494943424</v>
      </c>
      <c r="Y166" s="184">
        <v>5.6599999999999998E-2</v>
      </c>
      <c r="Z166" s="253">
        <v>5</v>
      </c>
      <c r="AA166" s="149">
        <f t="shared" si="15"/>
        <v>-2.0160717214234954E-2</v>
      </c>
      <c r="AB166" s="149"/>
      <c r="AD166" s="101">
        <v>85926</v>
      </c>
      <c r="AE166" s="101">
        <v>86325</v>
      </c>
      <c r="AF166" s="101">
        <f t="shared" si="16"/>
        <v>-399</v>
      </c>
      <c r="AG166" s="101">
        <v>91465</v>
      </c>
      <c r="AH166" s="101">
        <v>93309</v>
      </c>
      <c r="AI166" s="101">
        <f t="shared" si="17"/>
        <v>-1844</v>
      </c>
    </row>
    <row r="167" spans="2:35" x14ac:dyDescent="0.25">
      <c r="B167" t="s">
        <v>185</v>
      </c>
      <c r="C167" s="101">
        <v>86595000</v>
      </c>
      <c r="D167" s="101">
        <f t="shared" si="12"/>
        <v>82153479</v>
      </c>
      <c r="E167" s="101">
        <v>0</v>
      </c>
      <c r="F167" s="101">
        <v>0</v>
      </c>
      <c r="G167" s="101">
        <v>3846681</v>
      </c>
      <c r="H167" s="101">
        <v>594840</v>
      </c>
      <c r="I167" s="101">
        <v>8442000</v>
      </c>
      <c r="K167" s="101">
        <v>516000</v>
      </c>
      <c r="L167" s="101">
        <f t="shared" si="13"/>
        <v>8483000</v>
      </c>
      <c r="M167" s="101">
        <v>104036000</v>
      </c>
      <c r="N167" s="101">
        <v>194</v>
      </c>
      <c r="O167" s="101">
        <v>1476</v>
      </c>
      <c r="P167" s="101">
        <v>35</v>
      </c>
      <c r="Q167" s="101">
        <v>2355</v>
      </c>
      <c r="R167" s="101">
        <v>146576</v>
      </c>
      <c r="S167" s="101">
        <v>151276</v>
      </c>
      <c r="T167" s="101">
        <v>113331</v>
      </c>
      <c r="U167" s="101">
        <v>112800</v>
      </c>
      <c r="V167" s="101">
        <v>117827</v>
      </c>
      <c r="W167" s="101">
        <v>118316</v>
      </c>
      <c r="X167" s="149">
        <f t="shared" si="14"/>
        <v>0.70977513371902634</v>
      </c>
      <c r="Y167" s="184">
        <v>4.8399999999999999E-2</v>
      </c>
      <c r="Z167" s="253">
        <v>8.5</v>
      </c>
      <c r="AA167" s="149">
        <f t="shared" si="15"/>
        <v>-3.2065276716515663E-2</v>
      </c>
      <c r="AB167" s="149"/>
      <c r="AD167" s="101">
        <v>130634</v>
      </c>
      <c r="AE167" s="101">
        <v>135705</v>
      </c>
      <c r="AF167" s="101">
        <f t="shared" si="16"/>
        <v>-5071</v>
      </c>
      <c r="AG167" s="101">
        <v>146576</v>
      </c>
      <c r="AH167" s="101">
        <v>151276</v>
      </c>
      <c r="AI167" s="101">
        <f t="shared" si="17"/>
        <v>-4700</v>
      </c>
    </row>
    <row r="168" spans="2:35" x14ac:dyDescent="0.25">
      <c r="B168" t="s">
        <v>304</v>
      </c>
      <c r="C168" s="101">
        <v>44710000</v>
      </c>
      <c r="D168" s="101">
        <f t="shared" si="12"/>
        <v>42603451</v>
      </c>
      <c r="E168" s="101">
        <v>0</v>
      </c>
      <c r="F168" s="101">
        <v>0</v>
      </c>
      <c r="G168" s="101">
        <v>1799423</v>
      </c>
      <c r="H168" s="101">
        <v>307126</v>
      </c>
      <c r="I168" s="101">
        <v>4871000</v>
      </c>
      <c r="K168" s="101">
        <v>265000</v>
      </c>
      <c r="L168" s="101">
        <f t="shared" si="13"/>
        <v>1186000</v>
      </c>
      <c r="M168" s="101">
        <v>51032000</v>
      </c>
      <c r="N168" s="101">
        <v>157</v>
      </c>
      <c r="O168" s="101">
        <v>2254</v>
      </c>
      <c r="P168" s="101">
        <v>530</v>
      </c>
      <c r="Q168" s="101">
        <v>0</v>
      </c>
      <c r="R168" s="101">
        <v>73818</v>
      </c>
      <c r="S168" s="101">
        <v>74961</v>
      </c>
      <c r="T168" s="101">
        <v>53414</v>
      </c>
      <c r="U168" s="101">
        <v>55445</v>
      </c>
      <c r="V168" s="101">
        <v>59931</v>
      </c>
      <c r="W168" s="101">
        <v>62358</v>
      </c>
      <c r="X168" s="149">
        <f t="shared" si="14"/>
        <v>0.69132189980763503</v>
      </c>
      <c r="Y168" s="184">
        <v>4.5499999999999999E-2</v>
      </c>
      <c r="Z168" s="253">
        <v>5.5</v>
      </c>
      <c r="AA168" s="149">
        <f t="shared" si="15"/>
        <v>-1.5484028285783956E-2</v>
      </c>
      <c r="AB168" s="149"/>
      <c r="AD168" s="101">
        <v>72540</v>
      </c>
      <c r="AE168" s="101">
        <v>67953</v>
      </c>
      <c r="AF168" s="101">
        <f t="shared" si="16"/>
        <v>4587</v>
      </c>
      <c r="AG168" s="101">
        <v>73818</v>
      </c>
      <c r="AH168" s="101">
        <v>74961</v>
      </c>
      <c r="AI168" s="101">
        <f t="shared" si="17"/>
        <v>-1143</v>
      </c>
    </row>
    <row r="169" spans="2:35" x14ac:dyDescent="0.25">
      <c r="B169" t="s">
        <v>186</v>
      </c>
      <c r="C169" s="101">
        <v>68523000</v>
      </c>
      <c r="D169" s="101">
        <f t="shared" si="12"/>
        <v>65181299</v>
      </c>
      <c r="E169" s="101">
        <v>0</v>
      </c>
      <c r="F169" s="101">
        <v>0</v>
      </c>
      <c r="G169" s="101">
        <v>2845573</v>
      </c>
      <c r="H169" s="101">
        <v>496128</v>
      </c>
      <c r="I169" s="101">
        <v>7100000</v>
      </c>
      <c r="K169" s="101">
        <v>296000</v>
      </c>
      <c r="L169" s="101">
        <f t="shared" si="13"/>
        <v>6319000</v>
      </c>
      <c r="M169" s="101">
        <v>82238000</v>
      </c>
      <c r="N169" s="101">
        <v>150</v>
      </c>
      <c r="O169" s="101">
        <v>732</v>
      </c>
      <c r="P169" s="101">
        <v>441</v>
      </c>
      <c r="Q169" s="101">
        <v>1403</v>
      </c>
      <c r="R169" s="101">
        <v>108628</v>
      </c>
      <c r="S169" s="101">
        <v>113765</v>
      </c>
      <c r="T169" s="101">
        <v>81453</v>
      </c>
      <c r="U169" s="101">
        <v>84750</v>
      </c>
      <c r="V169" s="101">
        <v>86708</v>
      </c>
      <c r="W169" s="101">
        <v>87804</v>
      </c>
      <c r="X169" s="149">
        <f t="shared" si="14"/>
        <v>0.757060794638583</v>
      </c>
      <c r="Y169" s="184">
        <v>4.8899999999999999E-2</v>
      </c>
      <c r="Z169" s="253">
        <v>6.5</v>
      </c>
      <c r="AA169" s="149">
        <f t="shared" si="15"/>
        <v>-4.7289833192178811E-2</v>
      </c>
      <c r="AB169" s="149"/>
      <c r="AD169" s="101">
        <v>98094</v>
      </c>
      <c r="AE169" s="101">
        <v>99613</v>
      </c>
      <c r="AF169" s="101">
        <f t="shared" si="16"/>
        <v>-1519</v>
      </c>
      <c r="AG169" s="101">
        <v>108628</v>
      </c>
      <c r="AH169" s="101">
        <v>113765</v>
      </c>
      <c r="AI169" s="101">
        <f t="shared" si="17"/>
        <v>-5137</v>
      </c>
    </row>
    <row r="170" spans="2:35" x14ac:dyDescent="0.25">
      <c r="B170" t="s">
        <v>375</v>
      </c>
      <c r="C170" s="101">
        <v>47796000</v>
      </c>
      <c r="D170" s="101">
        <f t="shared" si="12"/>
        <v>44372603</v>
      </c>
      <c r="E170" s="101">
        <v>0</v>
      </c>
      <c r="F170" s="101">
        <v>0</v>
      </c>
      <c r="G170" s="101">
        <v>3084795</v>
      </c>
      <c r="H170" s="101">
        <v>338602</v>
      </c>
      <c r="I170" s="101">
        <v>3992000</v>
      </c>
      <c r="K170" s="101">
        <v>393000</v>
      </c>
      <c r="L170" s="101">
        <f t="shared" si="13"/>
        <v>847000</v>
      </c>
      <c r="M170" s="101">
        <v>53028000</v>
      </c>
      <c r="N170" s="101">
        <v>0</v>
      </c>
      <c r="O170" s="101">
        <v>565</v>
      </c>
      <c r="P170" s="101">
        <v>88</v>
      </c>
      <c r="Q170" s="101">
        <v>20</v>
      </c>
      <c r="R170" s="101">
        <v>76293</v>
      </c>
      <c r="S170" s="101">
        <v>76416</v>
      </c>
      <c r="T170" s="101">
        <v>59738</v>
      </c>
      <c r="U170" s="101">
        <v>59683</v>
      </c>
      <c r="V170" s="101">
        <v>63973</v>
      </c>
      <c r="W170" s="101">
        <v>64531</v>
      </c>
      <c r="X170" s="149">
        <f t="shared" si="14"/>
        <v>0.69505721363689987</v>
      </c>
      <c r="Y170" s="184">
        <v>4.4299999999999999E-2</v>
      </c>
      <c r="Z170" s="253">
        <v>10</v>
      </c>
      <c r="AA170" s="149">
        <f t="shared" si="15"/>
        <v>-1.6122055758719673E-3</v>
      </c>
      <c r="AB170" s="149"/>
      <c r="AD170" s="101">
        <v>69158</v>
      </c>
      <c r="AE170" s="101">
        <v>70076</v>
      </c>
      <c r="AF170" s="101">
        <f t="shared" si="16"/>
        <v>-918</v>
      </c>
      <c r="AG170" s="101">
        <v>76293</v>
      </c>
      <c r="AH170" s="101">
        <v>76416</v>
      </c>
      <c r="AI170" s="101">
        <f t="shared" si="17"/>
        <v>-123</v>
      </c>
    </row>
    <row r="171" spans="2:35" x14ac:dyDescent="0.25">
      <c r="B171" t="s">
        <v>222</v>
      </c>
      <c r="C171" s="101">
        <v>27719000</v>
      </c>
      <c r="D171" s="101">
        <f t="shared" si="12"/>
        <v>26572703</v>
      </c>
      <c r="E171" s="101">
        <v>0</v>
      </c>
      <c r="F171" s="101">
        <v>0</v>
      </c>
      <c r="G171" s="101">
        <v>793498</v>
      </c>
      <c r="H171" s="101">
        <v>352799</v>
      </c>
      <c r="I171" s="101">
        <v>2485000</v>
      </c>
      <c r="K171" s="101">
        <v>284000</v>
      </c>
      <c r="L171" s="101">
        <f t="shared" si="13"/>
        <v>635000</v>
      </c>
      <c r="M171" s="101">
        <v>31123000</v>
      </c>
      <c r="N171" s="101">
        <v>38</v>
      </c>
      <c r="O171" s="101">
        <v>585</v>
      </c>
      <c r="P171" s="101">
        <v>70</v>
      </c>
      <c r="Q171" s="101">
        <v>0</v>
      </c>
      <c r="R171" s="101">
        <v>42727</v>
      </c>
      <c r="S171" s="101">
        <v>44093</v>
      </c>
      <c r="T171" s="101">
        <v>32010</v>
      </c>
      <c r="U171" s="101">
        <v>33619</v>
      </c>
      <c r="V171" s="101">
        <v>37333</v>
      </c>
      <c r="W171" s="101">
        <v>34699</v>
      </c>
      <c r="X171" s="149">
        <f t="shared" si="14"/>
        <v>0.72841528775715592</v>
      </c>
      <c r="Y171" s="184">
        <v>4.0099999999999997E-2</v>
      </c>
      <c r="Z171" s="253">
        <v>6.5</v>
      </c>
      <c r="AA171" s="149">
        <f t="shared" si="15"/>
        <v>-3.1970416832447869E-2</v>
      </c>
      <c r="AB171" s="149"/>
      <c r="AD171" s="101">
        <v>38715</v>
      </c>
      <c r="AE171" s="101">
        <v>40586</v>
      </c>
      <c r="AF171" s="101">
        <f t="shared" si="16"/>
        <v>-1871</v>
      </c>
      <c r="AG171" s="101">
        <v>42727</v>
      </c>
      <c r="AH171" s="101">
        <v>44093</v>
      </c>
      <c r="AI171" s="101">
        <f t="shared" si="17"/>
        <v>-1366</v>
      </c>
    </row>
    <row r="172" spans="2:35" x14ac:dyDescent="0.25">
      <c r="B172" t="s">
        <v>150</v>
      </c>
      <c r="C172" s="101">
        <v>50173000</v>
      </c>
      <c r="D172" s="101">
        <f t="shared" si="12"/>
        <v>46606913</v>
      </c>
      <c r="E172" s="101">
        <v>0</v>
      </c>
      <c r="F172" s="101">
        <v>0</v>
      </c>
      <c r="G172" s="101">
        <v>3177066</v>
      </c>
      <c r="H172" s="101">
        <v>389021</v>
      </c>
      <c r="I172" s="101">
        <v>5419000</v>
      </c>
      <c r="K172" s="101">
        <v>476000</v>
      </c>
      <c r="L172" s="101">
        <f t="shared" si="13"/>
        <v>29000</v>
      </c>
      <c r="M172" s="101">
        <v>56097000</v>
      </c>
      <c r="N172" s="101">
        <v>12</v>
      </c>
      <c r="O172" s="101">
        <v>483</v>
      </c>
      <c r="P172" s="101">
        <v>361</v>
      </c>
      <c r="Q172" s="101">
        <v>2021</v>
      </c>
      <c r="R172" s="101">
        <v>77010</v>
      </c>
      <c r="S172" s="101">
        <v>80578</v>
      </c>
      <c r="T172" s="101">
        <v>65135</v>
      </c>
      <c r="U172" s="101">
        <v>64998</v>
      </c>
      <c r="V172" s="101">
        <v>68338</v>
      </c>
      <c r="W172" s="101">
        <v>68591</v>
      </c>
      <c r="X172" s="149">
        <f t="shared" si="14"/>
        <v>0.72843786521231013</v>
      </c>
      <c r="Y172" s="184">
        <v>4.9599999999999998E-2</v>
      </c>
      <c r="Z172" s="253">
        <v>8</v>
      </c>
      <c r="AA172" s="149">
        <f t="shared" si="15"/>
        <v>-4.6331645240877808E-2</v>
      </c>
      <c r="AB172" s="149"/>
      <c r="AD172" s="101">
        <v>71811</v>
      </c>
      <c r="AE172" s="101">
        <v>73558</v>
      </c>
      <c r="AF172" s="101">
        <f t="shared" si="16"/>
        <v>-1747</v>
      </c>
      <c r="AG172" s="101">
        <v>77010</v>
      </c>
      <c r="AH172" s="101">
        <v>80578</v>
      </c>
      <c r="AI172" s="101">
        <f t="shared" si="17"/>
        <v>-3568</v>
      </c>
    </row>
    <row r="173" spans="2:35" x14ac:dyDescent="0.25">
      <c r="B173" t="s">
        <v>187</v>
      </c>
      <c r="C173" s="101">
        <v>48632000</v>
      </c>
      <c r="D173" s="101">
        <f t="shared" si="12"/>
        <v>46722310</v>
      </c>
      <c r="E173" s="101">
        <v>0</v>
      </c>
      <c r="F173" s="101">
        <v>0</v>
      </c>
      <c r="G173" s="101">
        <v>1548897</v>
      </c>
      <c r="H173" s="101">
        <v>360793</v>
      </c>
      <c r="I173" s="101">
        <v>4214000</v>
      </c>
      <c r="K173" s="101">
        <v>40000</v>
      </c>
      <c r="L173" s="101">
        <f t="shared" si="13"/>
        <v>1516000</v>
      </c>
      <c r="M173" s="101">
        <v>54402000</v>
      </c>
      <c r="N173" s="101">
        <v>27</v>
      </c>
      <c r="O173" s="101">
        <v>795</v>
      </c>
      <c r="P173" s="101">
        <v>59</v>
      </c>
      <c r="Q173" s="101">
        <v>4219</v>
      </c>
      <c r="R173" s="101">
        <v>79693</v>
      </c>
      <c r="S173" s="101">
        <v>80276</v>
      </c>
      <c r="T173" s="101">
        <v>59786</v>
      </c>
      <c r="U173" s="101">
        <v>59523</v>
      </c>
      <c r="V173" s="101">
        <v>61476</v>
      </c>
      <c r="W173" s="101">
        <v>61431</v>
      </c>
      <c r="X173" s="149">
        <f t="shared" si="14"/>
        <v>0.68264464883992315</v>
      </c>
      <c r="Y173" s="184">
        <v>4.6199999999999998E-2</v>
      </c>
      <c r="Z173" s="253">
        <v>8.5</v>
      </c>
      <c r="AA173" s="149">
        <f t="shared" si="15"/>
        <v>-7.3155735133575098E-3</v>
      </c>
      <c r="AB173" s="149"/>
      <c r="AD173" s="101">
        <v>69324</v>
      </c>
      <c r="AE173" s="101">
        <v>69742</v>
      </c>
      <c r="AF173" s="101">
        <f t="shared" si="16"/>
        <v>-418</v>
      </c>
      <c r="AG173" s="101">
        <v>79693</v>
      </c>
      <c r="AH173" s="101">
        <v>80276</v>
      </c>
      <c r="AI173" s="101">
        <f t="shared" si="17"/>
        <v>-583</v>
      </c>
    </row>
    <row r="174" spans="2:35" x14ac:dyDescent="0.25">
      <c r="B174" t="s">
        <v>410</v>
      </c>
      <c r="C174" s="101">
        <v>49963000</v>
      </c>
      <c r="D174" s="101">
        <f t="shared" si="12"/>
        <v>46848509</v>
      </c>
      <c r="E174" s="101">
        <v>0</v>
      </c>
      <c r="F174" s="101">
        <v>0</v>
      </c>
      <c r="G174" s="101">
        <v>2322762</v>
      </c>
      <c r="H174" s="101">
        <v>791729</v>
      </c>
      <c r="I174" s="101">
        <v>4037000</v>
      </c>
      <c r="K174" s="101">
        <v>130000</v>
      </c>
      <c r="L174" s="101">
        <f t="shared" si="13"/>
        <v>1043000</v>
      </c>
      <c r="M174" s="101">
        <v>55173000</v>
      </c>
      <c r="N174" s="101">
        <v>150</v>
      </c>
      <c r="O174" s="101">
        <v>1111</v>
      </c>
      <c r="P174" s="101">
        <v>165</v>
      </c>
      <c r="Q174" s="101">
        <v>0</v>
      </c>
      <c r="R174" s="101">
        <v>75630</v>
      </c>
      <c r="S174" s="101">
        <v>77900</v>
      </c>
      <c r="T174" s="101">
        <v>59797</v>
      </c>
      <c r="U174" s="101">
        <v>61051</v>
      </c>
      <c r="V174" s="101">
        <v>66999</v>
      </c>
      <c r="W174" s="101">
        <v>68011</v>
      </c>
      <c r="X174" s="149">
        <f t="shared" si="14"/>
        <v>0.72951209837366127</v>
      </c>
      <c r="Y174" s="184">
        <v>4.7500000000000001E-2</v>
      </c>
      <c r="Z174" s="253">
        <v>6.5</v>
      </c>
      <c r="AA174" s="149">
        <f t="shared" si="15"/>
        <v>-3.0014544492926086E-2</v>
      </c>
      <c r="AB174" s="149"/>
      <c r="AD174" s="101">
        <v>71626</v>
      </c>
      <c r="AE174" s="101">
        <v>72983</v>
      </c>
      <c r="AF174" s="101">
        <f t="shared" si="16"/>
        <v>-1357</v>
      </c>
      <c r="AG174" s="101">
        <v>75630</v>
      </c>
      <c r="AH174" s="101">
        <v>77900</v>
      </c>
      <c r="AI174" s="101">
        <f t="shared" si="17"/>
        <v>-2270</v>
      </c>
    </row>
    <row r="175" spans="2:35" x14ac:dyDescent="0.25">
      <c r="B175" t="s">
        <v>774</v>
      </c>
      <c r="C175" s="101">
        <v>130229000</v>
      </c>
      <c r="D175" s="101">
        <f t="shared" si="12"/>
        <v>119304464</v>
      </c>
      <c r="E175" s="101">
        <v>0</v>
      </c>
      <c r="F175" s="101">
        <v>0</v>
      </c>
      <c r="G175" s="101">
        <v>9995464</v>
      </c>
      <c r="H175" s="101">
        <v>929072</v>
      </c>
      <c r="I175" s="101">
        <v>15181000</v>
      </c>
      <c r="K175" s="101">
        <v>1290000</v>
      </c>
      <c r="L175" s="101">
        <f t="shared" si="13"/>
        <v>2954000</v>
      </c>
      <c r="M175" s="101">
        <v>149654000</v>
      </c>
      <c r="N175" s="101">
        <v>965</v>
      </c>
      <c r="O175" s="101">
        <v>3111</v>
      </c>
      <c r="P175" s="101">
        <v>83</v>
      </c>
      <c r="Q175" s="101">
        <v>-572</v>
      </c>
      <c r="R175" s="101">
        <v>200971</v>
      </c>
      <c r="S175" s="101">
        <v>207384</v>
      </c>
      <c r="T175" s="187">
        <v>149664</v>
      </c>
      <c r="U175" s="187">
        <v>154696</v>
      </c>
      <c r="V175" s="101">
        <v>172814</v>
      </c>
      <c r="W175" s="101">
        <v>172638</v>
      </c>
      <c r="X175" s="149">
        <f t="shared" si="14"/>
        <v>0.74465470142458368</v>
      </c>
      <c r="Y175" s="184">
        <v>4.8800000000000003E-2</v>
      </c>
      <c r="Z175" s="253">
        <v>7</v>
      </c>
      <c r="AA175" s="149">
        <f t="shared" si="15"/>
        <v>-3.1910076578212779E-2</v>
      </c>
      <c r="AB175" s="149"/>
      <c r="AD175" s="101">
        <v>191616</v>
      </c>
      <c r="AE175" s="101">
        <v>191031</v>
      </c>
      <c r="AF175" s="101">
        <f t="shared" si="16"/>
        <v>585</v>
      </c>
      <c r="AG175" s="101">
        <v>200971</v>
      </c>
      <c r="AH175" s="101">
        <v>207384</v>
      </c>
      <c r="AI175" s="101">
        <f t="shared" si="17"/>
        <v>-6413</v>
      </c>
    </row>
    <row r="176" spans="2:35" x14ac:dyDescent="0.25">
      <c r="B176" t="s">
        <v>305</v>
      </c>
      <c r="C176" s="101">
        <v>79360000</v>
      </c>
      <c r="D176" s="101">
        <f t="shared" si="12"/>
        <v>74308749</v>
      </c>
      <c r="E176" s="101">
        <v>0</v>
      </c>
      <c r="F176" s="101">
        <v>0</v>
      </c>
      <c r="G176" s="101">
        <v>4556637</v>
      </c>
      <c r="H176" s="101">
        <v>494614</v>
      </c>
      <c r="I176" s="101">
        <v>14504000</v>
      </c>
      <c r="K176" s="101">
        <v>2163000</v>
      </c>
      <c r="L176" s="101">
        <f t="shared" si="13"/>
        <v>1914000</v>
      </c>
      <c r="M176" s="101">
        <v>97941000</v>
      </c>
      <c r="N176" s="101">
        <v>148</v>
      </c>
      <c r="O176" s="101">
        <v>1521</v>
      </c>
      <c r="P176" s="101">
        <v>354</v>
      </c>
      <c r="Q176" s="101">
        <v>65</v>
      </c>
      <c r="R176" s="101">
        <v>124775</v>
      </c>
      <c r="S176" s="101">
        <v>127219</v>
      </c>
      <c r="T176" s="101">
        <v>104154</v>
      </c>
      <c r="U176" s="101">
        <v>103700</v>
      </c>
      <c r="V176" s="101">
        <v>110346</v>
      </c>
      <c r="W176" s="101">
        <v>112606</v>
      </c>
      <c r="X176" s="149">
        <f t="shared" si="14"/>
        <v>0.78494089360849528</v>
      </c>
      <c r="Y176" s="184">
        <v>5.8700000000000002E-2</v>
      </c>
      <c r="Z176" s="253">
        <v>9.5</v>
      </c>
      <c r="AA176" s="149">
        <f t="shared" si="15"/>
        <v>-1.9587257062712884E-2</v>
      </c>
      <c r="AB176" s="149"/>
      <c r="AD176" s="101">
        <v>118803</v>
      </c>
      <c r="AE176" s="101">
        <v>118446</v>
      </c>
      <c r="AF176" s="101">
        <f t="shared" si="16"/>
        <v>357</v>
      </c>
      <c r="AG176" s="101">
        <v>124775</v>
      </c>
      <c r="AH176" s="101">
        <v>127219</v>
      </c>
      <c r="AI176" s="101">
        <f t="shared" si="17"/>
        <v>-2444</v>
      </c>
    </row>
    <row r="177" spans="2:35" x14ac:dyDescent="0.25">
      <c r="B177" t="s">
        <v>411</v>
      </c>
      <c r="C177" s="101">
        <v>364178000</v>
      </c>
      <c r="D177" s="101">
        <f t="shared" si="12"/>
        <v>305019373</v>
      </c>
      <c r="E177" s="101">
        <v>0</v>
      </c>
      <c r="F177" s="101">
        <v>24944640</v>
      </c>
      <c r="G177" s="101">
        <v>19542046</v>
      </c>
      <c r="H177" s="101">
        <v>14671941</v>
      </c>
      <c r="I177" s="101">
        <v>68088000</v>
      </c>
      <c r="K177" s="101">
        <v>3543000</v>
      </c>
      <c r="L177" s="101">
        <f t="shared" si="13"/>
        <v>11301000</v>
      </c>
      <c r="M177" s="101">
        <v>447110000</v>
      </c>
      <c r="N177" s="187">
        <v>5673</v>
      </c>
      <c r="O177" s="187">
        <v>8816</v>
      </c>
      <c r="P177" s="101">
        <v>938</v>
      </c>
      <c r="Q177" s="101">
        <v>7082</v>
      </c>
      <c r="R177" s="101">
        <v>626697</v>
      </c>
      <c r="S177" s="101">
        <v>627013</v>
      </c>
      <c r="T177" s="101">
        <v>529732</v>
      </c>
      <c r="U177" s="101">
        <v>534184</v>
      </c>
      <c r="V177" s="101">
        <v>548198</v>
      </c>
      <c r="W177" s="101">
        <v>543773</v>
      </c>
      <c r="X177" s="149">
        <f t="shared" si="14"/>
        <v>0.71343887077806345</v>
      </c>
      <c r="Y177" s="184">
        <v>4.3099999999999999E-2</v>
      </c>
      <c r="Z177" s="253">
        <v>8</v>
      </c>
      <c r="AA177" s="149">
        <f t="shared" si="15"/>
        <v>-5.0423091222712092E-4</v>
      </c>
      <c r="AB177" s="149"/>
      <c r="AD177" s="101">
        <v>586632</v>
      </c>
      <c r="AE177" s="101">
        <v>591275</v>
      </c>
      <c r="AF177" s="101">
        <f t="shared" si="16"/>
        <v>-4643</v>
      </c>
      <c r="AG177" s="101">
        <v>626697</v>
      </c>
      <c r="AH177" s="101">
        <v>627013</v>
      </c>
      <c r="AI177" s="101">
        <f t="shared" si="17"/>
        <v>-316</v>
      </c>
    </row>
    <row r="178" spans="2:35" x14ac:dyDescent="0.25">
      <c r="B178" t="s">
        <v>264</v>
      </c>
      <c r="C178" s="101">
        <v>92654000</v>
      </c>
      <c r="D178" s="101">
        <f t="shared" si="12"/>
        <v>89239939</v>
      </c>
      <c r="E178" s="101">
        <v>0</v>
      </c>
      <c r="F178" s="101">
        <v>0</v>
      </c>
      <c r="G178" s="101">
        <v>2689737</v>
      </c>
      <c r="H178" s="101">
        <v>724324</v>
      </c>
      <c r="I178" s="101">
        <v>9860000</v>
      </c>
      <c r="K178" s="101">
        <v>582000</v>
      </c>
      <c r="L178" s="101">
        <f t="shared" si="13"/>
        <v>4258000</v>
      </c>
      <c r="M178" s="101">
        <v>107354000</v>
      </c>
      <c r="N178" s="101">
        <v>185</v>
      </c>
      <c r="O178" s="101">
        <v>1216</v>
      </c>
      <c r="P178" s="101">
        <v>316</v>
      </c>
      <c r="Q178" s="101">
        <v>6039</v>
      </c>
      <c r="R178" s="101">
        <v>157822</v>
      </c>
      <c r="S178" s="101">
        <v>165550</v>
      </c>
      <c r="T178" s="101">
        <v>122555</v>
      </c>
      <c r="U178" s="101">
        <v>110371</v>
      </c>
      <c r="V178" s="101">
        <v>123316</v>
      </c>
      <c r="W178" s="101">
        <v>125356</v>
      </c>
      <c r="X178" s="149">
        <f t="shared" si="14"/>
        <v>0.68022202227826289</v>
      </c>
      <c r="Y178" s="184">
        <v>5.3499999999999999E-2</v>
      </c>
      <c r="Z178" s="253">
        <v>8.5</v>
      </c>
      <c r="AA178" s="149">
        <f t="shared" si="15"/>
        <v>-4.8966557260711432E-2</v>
      </c>
      <c r="AB178" s="149"/>
      <c r="AD178" s="101">
        <v>140475</v>
      </c>
      <c r="AE178" s="101">
        <v>141571</v>
      </c>
      <c r="AF178" s="101">
        <f t="shared" si="16"/>
        <v>-1096</v>
      </c>
      <c r="AG178" s="101">
        <v>157822</v>
      </c>
      <c r="AH178" s="101">
        <v>165550</v>
      </c>
      <c r="AI178" s="101">
        <f t="shared" si="17"/>
        <v>-7728</v>
      </c>
    </row>
    <row r="179" spans="2:35" x14ac:dyDescent="0.25">
      <c r="B179" t="s">
        <v>412</v>
      </c>
      <c r="C179" s="101">
        <v>38348000</v>
      </c>
      <c r="D179" s="101">
        <f t="shared" si="12"/>
        <v>36077652</v>
      </c>
      <c r="E179" s="101">
        <v>0</v>
      </c>
      <c r="F179" s="101">
        <v>0</v>
      </c>
      <c r="G179" s="101">
        <v>1996052</v>
      </c>
      <c r="H179" s="101">
        <v>274296</v>
      </c>
      <c r="I179" s="101">
        <v>3598000</v>
      </c>
      <c r="K179" s="101">
        <v>193000</v>
      </c>
      <c r="L179" s="101">
        <f t="shared" si="13"/>
        <v>679000</v>
      </c>
      <c r="M179" s="101">
        <v>42818000</v>
      </c>
      <c r="N179" s="101">
        <v>56</v>
      </c>
      <c r="O179" s="101">
        <v>985</v>
      </c>
      <c r="P179" s="101">
        <v>277</v>
      </c>
      <c r="Q179" s="101">
        <v>0</v>
      </c>
      <c r="R179" s="101">
        <v>60754</v>
      </c>
      <c r="S179" s="101">
        <v>58968</v>
      </c>
      <c r="T179" s="101">
        <v>49840</v>
      </c>
      <c r="U179" s="101">
        <v>49824</v>
      </c>
      <c r="V179" s="101">
        <v>53351</v>
      </c>
      <c r="W179" s="101">
        <v>52741</v>
      </c>
      <c r="X179" s="149">
        <f t="shared" si="14"/>
        <v>0.70477664022122</v>
      </c>
      <c r="Y179" s="184">
        <v>4.8000000000000001E-2</v>
      </c>
      <c r="Z179" s="253">
        <v>8.5</v>
      </c>
      <c r="AA179" s="149">
        <f t="shared" si="15"/>
        <v>2.939724133390394E-2</v>
      </c>
      <c r="AB179" s="149"/>
      <c r="AD179" s="101">
        <v>58059</v>
      </c>
      <c r="AE179" s="101">
        <v>56751</v>
      </c>
      <c r="AF179" s="101">
        <f t="shared" si="16"/>
        <v>1308</v>
      </c>
      <c r="AG179" s="101">
        <v>60754</v>
      </c>
      <c r="AH179" s="101">
        <v>58968</v>
      </c>
      <c r="AI179" s="101">
        <f t="shared" si="17"/>
        <v>1786</v>
      </c>
    </row>
    <row r="180" spans="2:35" x14ac:dyDescent="0.25">
      <c r="B180" t="s">
        <v>581</v>
      </c>
      <c r="C180" s="101">
        <v>173122000</v>
      </c>
      <c r="D180" s="101">
        <f t="shared" si="12"/>
        <v>156105537</v>
      </c>
      <c r="E180" s="101">
        <v>0</v>
      </c>
      <c r="F180" s="101">
        <v>0</v>
      </c>
      <c r="G180" s="101">
        <v>15961424</v>
      </c>
      <c r="H180" s="101">
        <v>1055039</v>
      </c>
      <c r="I180" s="101">
        <v>17064000</v>
      </c>
      <c r="K180" s="101">
        <v>1788000</v>
      </c>
      <c r="L180" s="101">
        <f t="shared" si="13"/>
        <v>7573000</v>
      </c>
      <c r="M180" s="101">
        <v>199547000</v>
      </c>
      <c r="N180" s="101">
        <v>145</v>
      </c>
      <c r="O180" s="101">
        <v>6201</v>
      </c>
      <c r="P180" s="101">
        <v>215</v>
      </c>
      <c r="Q180" s="101">
        <v>11622</v>
      </c>
      <c r="R180" s="101">
        <v>286010</v>
      </c>
      <c r="S180" s="101">
        <v>299009</v>
      </c>
      <c r="T180" s="101">
        <v>236098</v>
      </c>
      <c r="U180" s="101">
        <v>245944</v>
      </c>
      <c r="V180" s="101">
        <v>269401</v>
      </c>
      <c r="W180" s="101">
        <v>277956</v>
      </c>
      <c r="X180" s="149">
        <f t="shared" si="14"/>
        <v>0.69769238837802872</v>
      </c>
      <c r="Y180" s="184">
        <v>4.9700000000000001E-2</v>
      </c>
      <c r="Z180" s="253">
        <v>7</v>
      </c>
      <c r="AA180" s="149">
        <f t="shared" si="15"/>
        <v>-4.5449459809097585E-2</v>
      </c>
      <c r="AB180" s="149"/>
      <c r="AD180" s="101">
        <v>262885</v>
      </c>
      <c r="AE180" s="101">
        <v>277982</v>
      </c>
      <c r="AF180" s="101">
        <f t="shared" si="16"/>
        <v>-15097</v>
      </c>
      <c r="AG180" s="101">
        <v>286010</v>
      </c>
      <c r="AH180" s="101">
        <v>299009</v>
      </c>
      <c r="AI180" s="101">
        <f t="shared" si="17"/>
        <v>-12999</v>
      </c>
    </row>
    <row r="181" spans="2:35" x14ac:dyDescent="0.25">
      <c r="B181" t="s">
        <v>110</v>
      </c>
      <c r="C181" s="101">
        <v>89964000</v>
      </c>
      <c r="D181" s="101">
        <f t="shared" si="12"/>
        <v>81570061</v>
      </c>
      <c r="E181" s="101">
        <v>0</v>
      </c>
      <c r="F181" s="101">
        <v>0</v>
      </c>
      <c r="G181" s="101">
        <v>7767538</v>
      </c>
      <c r="H181" s="101">
        <v>626401</v>
      </c>
      <c r="I181" s="101">
        <v>12738000</v>
      </c>
      <c r="K181" s="101">
        <v>528000</v>
      </c>
      <c r="L181" s="101">
        <f t="shared" si="13"/>
        <v>1971000</v>
      </c>
      <c r="M181" s="101">
        <v>105201000</v>
      </c>
      <c r="N181" s="101">
        <v>79</v>
      </c>
      <c r="O181" s="101">
        <v>2293</v>
      </c>
      <c r="P181" s="101">
        <v>645</v>
      </c>
      <c r="Q181" s="101">
        <v>19210</v>
      </c>
      <c r="R181" s="101">
        <v>161396</v>
      </c>
      <c r="S181" s="101">
        <v>159407</v>
      </c>
      <c r="T181" s="101">
        <v>115315</v>
      </c>
      <c r="U181" s="101">
        <v>114289</v>
      </c>
      <c r="V181" s="101">
        <v>122940</v>
      </c>
      <c r="W181" s="101">
        <v>119847</v>
      </c>
      <c r="X181" s="149">
        <f t="shared" si="14"/>
        <v>0.65181912810726417</v>
      </c>
      <c r="Y181" s="184">
        <v>4.1000000000000002E-2</v>
      </c>
      <c r="Z181" s="253">
        <v>8</v>
      </c>
      <c r="AA181" s="149">
        <f t="shared" si="15"/>
        <v>1.2323725495055639E-2</v>
      </c>
      <c r="AB181" s="149"/>
      <c r="AD181" s="101">
        <v>156380</v>
      </c>
      <c r="AE181" s="101">
        <v>154355</v>
      </c>
      <c r="AF181" s="101">
        <f t="shared" si="16"/>
        <v>2025</v>
      </c>
      <c r="AG181" s="101">
        <v>161396</v>
      </c>
      <c r="AH181" s="101">
        <v>159407</v>
      </c>
      <c r="AI181" s="101">
        <f t="shared" si="17"/>
        <v>1989</v>
      </c>
    </row>
    <row r="182" spans="2:35" x14ac:dyDescent="0.25">
      <c r="B182" t="s">
        <v>725</v>
      </c>
      <c r="C182" s="101">
        <v>128337000</v>
      </c>
      <c r="D182" s="101">
        <f t="shared" si="12"/>
        <v>121181183</v>
      </c>
      <c r="E182" s="101">
        <v>0</v>
      </c>
      <c r="F182" s="101">
        <v>0</v>
      </c>
      <c r="G182" s="101">
        <v>5758688</v>
      </c>
      <c r="H182" s="101">
        <v>1397129</v>
      </c>
      <c r="I182" s="101">
        <v>23421000</v>
      </c>
      <c r="K182" s="101">
        <v>2416000</v>
      </c>
      <c r="L182" s="101">
        <f t="shared" si="13"/>
        <v>1137000</v>
      </c>
      <c r="M182" s="101">
        <v>155311000</v>
      </c>
      <c r="N182" s="101">
        <v>538</v>
      </c>
      <c r="O182" s="101">
        <v>4057</v>
      </c>
      <c r="P182" s="101">
        <v>702</v>
      </c>
      <c r="Q182" s="101">
        <v>2472</v>
      </c>
      <c r="R182" s="101">
        <v>220981</v>
      </c>
      <c r="S182" s="101">
        <v>217814</v>
      </c>
      <c r="T182" s="101">
        <v>179431</v>
      </c>
      <c r="U182" s="101">
        <v>177991</v>
      </c>
      <c r="V182" s="101">
        <v>191491</v>
      </c>
      <c r="W182" s="101">
        <v>189874</v>
      </c>
      <c r="X182" s="149">
        <f t="shared" si="14"/>
        <v>0.70282512976228728</v>
      </c>
      <c r="Y182" s="184">
        <v>3.8699999999999998E-2</v>
      </c>
      <c r="Z182" s="253">
        <v>7.5</v>
      </c>
      <c r="AA182" s="149">
        <f t="shared" si="15"/>
        <v>1.4331548866192116E-2</v>
      </c>
      <c r="AB182" s="149"/>
      <c r="AD182" s="101">
        <v>209261</v>
      </c>
      <c r="AE182" s="101">
        <v>207997</v>
      </c>
      <c r="AF182" s="101">
        <f t="shared" si="16"/>
        <v>1264</v>
      </c>
      <c r="AG182" s="101">
        <v>220981</v>
      </c>
      <c r="AH182" s="101">
        <v>217814</v>
      </c>
      <c r="AI182" s="101">
        <f t="shared" si="17"/>
        <v>3167</v>
      </c>
    </row>
    <row r="183" spans="2:35" x14ac:dyDescent="0.25">
      <c r="B183" t="s">
        <v>306</v>
      </c>
      <c r="C183" s="101">
        <v>30464000</v>
      </c>
      <c r="D183" s="101">
        <f t="shared" si="12"/>
        <v>30069575</v>
      </c>
      <c r="E183" s="101">
        <v>0</v>
      </c>
      <c r="F183" s="101">
        <v>0</v>
      </c>
      <c r="G183" s="101">
        <v>88809</v>
      </c>
      <c r="H183" s="101">
        <v>305616</v>
      </c>
      <c r="I183" s="101">
        <v>2364000</v>
      </c>
      <c r="K183" s="101">
        <v>63000</v>
      </c>
      <c r="L183" s="101">
        <f t="shared" si="13"/>
        <v>2044000</v>
      </c>
      <c r="M183" s="101">
        <v>34935000</v>
      </c>
      <c r="N183" s="101">
        <v>3098</v>
      </c>
      <c r="O183" s="101">
        <v>742</v>
      </c>
      <c r="P183" s="101">
        <v>1561</v>
      </c>
      <c r="Q183" s="101">
        <v>292</v>
      </c>
      <c r="R183" s="101">
        <v>57758</v>
      </c>
      <c r="S183" s="101">
        <v>59310</v>
      </c>
      <c r="T183" s="101">
        <v>47801</v>
      </c>
      <c r="U183" s="101">
        <v>49795</v>
      </c>
      <c r="V183" s="101">
        <v>49544</v>
      </c>
      <c r="W183" s="101">
        <v>50302</v>
      </c>
      <c r="X183" s="149">
        <f t="shared" si="14"/>
        <v>0.60485127601371236</v>
      </c>
      <c r="Y183" s="184">
        <v>3.3799999999999997E-2</v>
      </c>
      <c r="Z183" s="253">
        <v>5</v>
      </c>
      <c r="AA183" s="149">
        <f t="shared" si="15"/>
        <v>-2.6870736521347693E-2</v>
      </c>
      <c r="AB183" s="149"/>
      <c r="AD183" s="101">
        <v>55615</v>
      </c>
      <c r="AE183" s="101">
        <v>57236</v>
      </c>
      <c r="AF183" s="101">
        <f t="shared" si="16"/>
        <v>-1621</v>
      </c>
      <c r="AG183" s="101">
        <v>57758</v>
      </c>
      <c r="AH183" s="101">
        <v>59310</v>
      </c>
      <c r="AI183" s="101">
        <f t="shared" si="17"/>
        <v>-1552</v>
      </c>
    </row>
    <row r="184" spans="2:35" x14ac:dyDescent="0.25">
      <c r="B184" s="164" t="s">
        <v>111</v>
      </c>
      <c r="C184" s="101">
        <v>68749834.052366346</v>
      </c>
      <c r="D184" s="101">
        <f t="shared" si="12"/>
        <v>68057775.052366346</v>
      </c>
      <c r="E184" s="101">
        <v>0</v>
      </c>
      <c r="F184" s="101">
        <v>0</v>
      </c>
      <c r="G184" s="101">
        <v>209913</v>
      </c>
      <c r="H184" s="101">
        <v>482146</v>
      </c>
      <c r="I184" s="101">
        <v>0</v>
      </c>
      <c r="K184" s="101">
        <v>0</v>
      </c>
      <c r="L184" s="101">
        <f t="shared" si="13"/>
        <v>20250165.947633654</v>
      </c>
      <c r="M184" s="101">
        <v>89000000</v>
      </c>
      <c r="N184" s="101">
        <v>0</v>
      </c>
      <c r="O184" s="101">
        <v>0</v>
      </c>
      <c r="P184" s="101">
        <v>180</v>
      </c>
      <c r="Q184" s="101">
        <v>0</v>
      </c>
      <c r="R184" s="187">
        <v>106542</v>
      </c>
      <c r="S184" s="187">
        <f>SUM(R184,-1/78*R184)</f>
        <v>105176.07692307692</v>
      </c>
      <c r="T184" s="187">
        <v>82394</v>
      </c>
      <c r="U184" s="187">
        <v>81024</v>
      </c>
      <c r="V184" s="101">
        <v>92047</v>
      </c>
      <c r="W184" s="101">
        <v>92375</v>
      </c>
      <c r="X184" s="149">
        <f t="shared" si="14"/>
        <v>0.83535131685157027</v>
      </c>
      <c r="Y184" s="184">
        <v>4.4999999999999998E-2</v>
      </c>
      <c r="Z184" s="253">
        <v>8.5</v>
      </c>
      <c r="AA184" s="149">
        <f t="shared" si="15"/>
        <v>1.282051282051283E-2</v>
      </c>
      <c r="AB184" s="149"/>
      <c r="AD184" s="101">
        <v>99712</v>
      </c>
      <c r="AE184" s="101">
        <v>102364</v>
      </c>
      <c r="AF184" s="101">
        <f t="shared" si="16"/>
        <v>-2652</v>
      </c>
      <c r="AG184" s="101">
        <v>0</v>
      </c>
      <c r="AH184" s="101">
        <v>0</v>
      </c>
      <c r="AI184" s="101">
        <f t="shared" si="17"/>
        <v>0</v>
      </c>
    </row>
    <row r="185" spans="2:35" x14ac:dyDescent="0.25">
      <c r="B185" t="s">
        <v>595</v>
      </c>
      <c r="C185" s="101">
        <v>162565000</v>
      </c>
      <c r="D185" s="101">
        <f t="shared" si="12"/>
        <v>149299362</v>
      </c>
      <c r="E185" s="101">
        <v>0</v>
      </c>
      <c r="F185" s="101">
        <v>0</v>
      </c>
      <c r="G185" s="101">
        <v>11861355</v>
      </c>
      <c r="H185" s="101">
        <v>1404283</v>
      </c>
      <c r="I185" s="101">
        <v>32870000</v>
      </c>
      <c r="K185" s="101">
        <v>4216000</v>
      </c>
      <c r="L185" s="101">
        <f t="shared" si="13"/>
        <v>27305000</v>
      </c>
      <c r="M185" s="101">
        <v>226956000</v>
      </c>
      <c r="N185" s="101">
        <v>21</v>
      </c>
      <c r="O185" s="101">
        <v>1428</v>
      </c>
      <c r="P185" s="101">
        <v>285</v>
      </c>
      <c r="Q185" s="101">
        <v>17801</v>
      </c>
      <c r="R185" s="101">
        <v>319132</v>
      </c>
      <c r="S185" s="101">
        <v>323174</v>
      </c>
      <c r="T185" s="101">
        <v>242669</v>
      </c>
      <c r="U185" s="101">
        <v>245053</v>
      </c>
      <c r="V185" s="101">
        <v>253454</v>
      </c>
      <c r="W185" s="101">
        <v>254390</v>
      </c>
      <c r="X185" s="149">
        <f t="shared" si="14"/>
        <v>0.71116653923768225</v>
      </c>
      <c r="Y185" s="184">
        <v>6.1699999999999998E-2</v>
      </c>
      <c r="Z185" s="253">
        <v>5.5</v>
      </c>
      <c r="AA185" s="149">
        <f t="shared" si="15"/>
        <v>-1.2665605454796135E-2</v>
      </c>
      <c r="AB185" s="149"/>
      <c r="AD185" s="101">
        <v>283630</v>
      </c>
      <c r="AE185" s="101">
        <v>285619</v>
      </c>
      <c r="AF185" s="101">
        <f t="shared" si="16"/>
        <v>-1989</v>
      </c>
      <c r="AG185" s="101">
        <v>319132</v>
      </c>
      <c r="AH185" s="101">
        <v>323174</v>
      </c>
      <c r="AI185" s="101">
        <f t="shared" si="17"/>
        <v>-4042</v>
      </c>
    </row>
    <row r="186" spans="2:35" x14ac:dyDescent="0.25">
      <c r="B186" t="s">
        <v>377</v>
      </c>
      <c r="C186" s="101">
        <v>77282000</v>
      </c>
      <c r="D186" s="101">
        <f t="shared" si="12"/>
        <v>73332903</v>
      </c>
      <c r="E186" s="101">
        <v>0</v>
      </c>
      <c r="F186" s="101">
        <v>0</v>
      </c>
      <c r="G186" s="101">
        <v>2820395</v>
      </c>
      <c r="H186" s="101">
        <v>1128702</v>
      </c>
      <c r="I186" s="101">
        <v>10008000</v>
      </c>
      <c r="K186" s="101">
        <v>1035000</v>
      </c>
      <c r="L186" s="101">
        <f t="shared" si="13"/>
        <v>10298000</v>
      </c>
      <c r="M186" s="101">
        <v>98623000</v>
      </c>
      <c r="N186" s="187">
        <v>0</v>
      </c>
      <c r="O186" s="187">
        <v>989</v>
      </c>
      <c r="P186" s="101">
        <v>62</v>
      </c>
      <c r="Q186" s="101">
        <v>9023</v>
      </c>
      <c r="R186" s="101">
        <v>155562</v>
      </c>
      <c r="S186" s="101">
        <v>151508</v>
      </c>
      <c r="T186" s="101">
        <v>108476</v>
      </c>
      <c r="U186" s="101">
        <v>106875</v>
      </c>
      <c r="V186" s="101">
        <v>121082</v>
      </c>
      <c r="W186" s="101">
        <v>119325</v>
      </c>
      <c r="X186" s="149">
        <f t="shared" si="14"/>
        <v>0.6339787351666859</v>
      </c>
      <c r="Y186" s="184">
        <v>4.1700000000000001E-2</v>
      </c>
      <c r="Z186" s="253">
        <v>7.5</v>
      </c>
      <c r="AA186" s="149">
        <f t="shared" si="15"/>
        <v>2.6060348928401537E-2</v>
      </c>
      <c r="AB186" s="149"/>
      <c r="AD186" s="101">
        <v>151074</v>
      </c>
      <c r="AE186" s="101">
        <v>142872</v>
      </c>
      <c r="AF186" s="101">
        <f t="shared" si="16"/>
        <v>8202</v>
      </c>
      <c r="AG186" s="101">
        <v>155562</v>
      </c>
      <c r="AH186" s="101">
        <v>151508</v>
      </c>
      <c r="AI186" s="101">
        <f t="shared" si="17"/>
        <v>4054</v>
      </c>
    </row>
    <row r="187" spans="2:35" x14ac:dyDescent="0.25">
      <c r="B187" t="s">
        <v>596</v>
      </c>
      <c r="C187" s="101">
        <v>80376000</v>
      </c>
      <c r="D187" s="101">
        <f t="shared" si="12"/>
        <v>78382664</v>
      </c>
      <c r="E187" s="101">
        <v>0</v>
      </c>
      <c r="F187" s="101">
        <v>0</v>
      </c>
      <c r="G187" s="101">
        <v>1188067</v>
      </c>
      <c r="H187" s="101">
        <v>805269</v>
      </c>
      <c r="I187" s="101">
        <v>7186000</v>
      </c>
      <c r="K187" s="101">
        <v>909000</v>
      </c>
      <c r="L187" s="101">
        <f t="shared" si="13"/>
        <v>3064000</v>
      </c>
      <c r="M187" s="101">
        <v>91535000</v>
      </c>
      <c r="N187" s="101">
        <v>22</v>
      </c>
      <c r="O187" s="101">
        <v>1414</v>
      </c>
      <c r="P187" s="101">
        <v>261</v>
      </c>
      <c r="Q187" s="101">
        <v>1948</v>
      </c>
      <c r="R187" s="101">
        <v>129927</v>
      </c>
      <c r="S187" s="101">
        <v>132668</v>
      </c>
      <c r="T187" s="101">
        <v>105714</v>
      </c>
      <c r="U187" s="101">
        <v>108714</v>
      </c>
      <c r="V187" s="101">
        <v>113150</v>
      </c>
      <c r="W187" s="101">
        <v>115163</v>
      </c>
      <c r="X187" s="149">
        <f t="shared" si="14"/>
        <v>0.70451099463544908</v>
      </c>
      <c r="Y187" s="184">
        <v>5.79E-2</v>
      </c>
      <c r="Z187" s="253">
        <v>6.5</v>
      </c>
      <c r="AA187" s="149">
        <f t="shared" si="15"/>
        <v>-2.1096461859351791E-2</v>
      </c>
      <c r="AB187" s="149"/>
      <c r="AD187" s="101">
        <v>120920</v>
      </c>
      <c r="AE187" s="101">
        <v>119771</v>
      </c>
      <c r="AF187" s="101">
        <f t="shared" si="16"/>
        <v>1149</v>
      </c>
      <c r="AG187" s="101">
        <v>129927</v>
      </c>
      <c r="AH187" s="101">
        <v>132668</v>
      </c>
      <c r="AI187" s="101">
        <f t="shared" si="17"/>
        <v>-2741</v>
      </c>
    </row>
    <row r="188" spans="2:35" x14ac:dyDescent="0.25">
      <c r="B188" t="s">
        <v>188</v>
      </c>
      <c r="C188" s="101">
        <v>81514000</v>
      </c>
      <c r="D188" s="101">
        <f t="shared" si="12"/>
        <v>76422652</v>
      </c>
      <c r="E188" s="101">
        <v>0</v>
      </c>
      <c r="F188" s="101">
        <v>0</v>
      </c>
      <c r="G188" s="101">
        <v>4683028</v>
      </c>
      <c r="H188" s="101">
        <v>408320</v>
      </c>
      <c r="I188" s="101">
        <v>8279000</v>
      </c>
      <c r="K188" s="101">
        <v>783000</v>
      </c>
      <c r="L188" s="101">
        <f t="shared" si="13"/>
        <v>2096000</v>
      </c>
      <c r="M188" s="101">
        <v>92672000</v>
      </c>
      <c r="N188" s="101">
        <v>16</v>
      </c>
      <c r="O188" s="101">
        <v>1656</v>
      </c>
      <c r="P188" s="101">
        <v>340</v>
      </c>
      <c r="Q188" s="101">
        <v>0</v>
      </c>
      <c r="R188" s="101">
        <v>120122</v>
      </c>
      <c r="S188" s="101">
        <v>122321</v>
      </c>
      <c r="T188" s="101">
        <v>91821</v>
      </c>
      <c r="U188" s="101">
        <v>89260</v>
      </c>
      <c r="V188" s="101">
        <v>103948</v>
      </c>
      <c r="W188" s="101">
        <v>99509</v>
      </c>
      <c r="X188" s="149">
        <f t="shared" si="14"/>
        <v>0.77148232630159341</v>
      </c>
      <c r="Y188" s="184">
        <v>3.6999999999999998E-2</v>
      </c>
      <c r="Z188" s="253">
        <v>8.5</v>
      </c>
      <c r="AA188" s="149">
        <f t="shared" si="15"/>
        <v>-1.8306388505019897E-2</v>
      </c>
      <c r="AB188" s="149"/>
      <c r="AD188" s="101">
        <v>109539</v>
      </c>
      <c r="AE188" s="101">
        <v>108996</v>
      </c>
      <c r="AF188" s="101">
        <f t="shared" si="16"/>
        <v>543</v>
      </c>
      <c r="AG188" s="101">
        <v>120122</v>
      </c>
      <c r="AH188" s="101">
        <v>122321</v>
      </c>
      <c r="AI188" s="101">
        <f t="shared" si="17"/>
        <v>-2199</v>
      </c>
    </row>
    <row r="189" spans="2:35" x14ac:dyDescent="0.25">
      <c r="B189" t="s">
        <v>436</v>
      </c>
      <c r="C189" s="101">
        <v>23654000</v>
      </c>
      <c r="D189" s="101">
        <f t="shared" si="12"/>
        <v>22797083</v>
      </c>
      <c r="E189" s="101">
        <v>0</v>
      </c>
      <c r="F189" s="101">
        <v>0</v>
      </c>
      <c r="G189" s="101">
        <v>503596</v>
      </c>
      <c r="H189" s="101">
        <v>353321</v>
      </c>
      <c r="I189" s="101">
        <v>1881000</v>
      </c>
      <c r="K189" s="101">
        <v>151000</v>
      </c>
      <c r="L189" s="101">
        <f t="shared" si="13"/>
        <v>218000</v>
      </c>
      <c r="M189" s="101">
        <v>25904000</v>
      </c>
      <c r="N189" s="101">
        <v>10</v>
      </c>
      <c r="O189" s="101">
        <v>812</v>
      </c>
      <c r="P189" s="101">
        <v>0</v>
      </c>
      <c r="Q189" s="101">
        <v>0</v>
      </c>
      <c r="R189" s="101">
        <v>37030</v>
      </c>
      <c r="S189" s="101">
        <v>36444</v>
      </c>
      <c r="T189" s="101">
        <v>29748</v>
      </c>
      <c r="U189" s="101">
        <v>29210</v>
      </c>
      <c r="V189" s="101">
        <v>32940</v>
      </c>
      <c r="W189" s="101">
        <v>31498</v>
      </c>
      <c r="X189" s="149">
        <f t="shared" si="14"/>
        <v>0.699540912773427</v>
      </c>
      <c r="Y189" s="184">
        <v>4.6199999999999998E-2</v>
      </c>
      <c r="Z189" s="253">
        <v>6</v>
      </c>
      <c r="AA189" s="149">
        <f t="shared" si="15"/>
        <v>1.5825006751282743E-2</v>
      </c>
      <c r="AB189" s="149"/>
      <c r="AD189" s="101">
        <v>36401</v>
      </c>
      <c r="AE189" s="101">
        <v>34781</v>
      </c>
      <c r="AF189" s="101">
        <f t="shared" si="16"/>
        <v>1620</v>
      </c>
      <c r="AG189" s="101">
        <v>37030</v>
      </c>
      <c r="AH189" s="101">
        <v>36444</v>
      </c>
      <c r="AI189" s="101">
        <f t="shared" si="17"/>
        <v>586</v>
      </c>
    </row>
    <row r="190" spans="2:35" x14ac:dyDescent="0.25">
      <c r="B190" t="s">
        <v>413</v>
      </c>
      <c r="C190" s="101">
        <v>14860000</v>
      </c>
      <c r="D190" s="101">
        <f t="shared" si="12"/>
        <v>13993374</v>
      </c>
      <c r="E190" s="101">
        <v>0</v>
      </c>
      <c r="F190" s="101">
        <v>0</v>
      </c>
      <c r="G190" s="101">
        <v>635831</v>
      </c>
      <c r="H190" s="101">
        <v>230795</v>
      </c>
      <c r="I190" s="101">
        <v>1253000</v>
      </c>
      <c r="K190" s="101">
        <v>0</v>
      </c>
      <c r="L190" s="101">
        <f t="shared" si="13"/>
        <v>3601000</v>
      </c>
      <c r="M190" s="101">
        <v>19714000</v>
      </c>
      <c r="N190" s="101">
        <v>35</v>
      </c>
      <c r="O190" s="101">
        <v>31</v>
      </c>
      <c r="P190" s="101">
        <v>346</v>
      </c>
      <c r="Q190" s="101">
        <v>0</v>
      </c>
      <c r="R190" s="101">
        <v>25232</v>
      </c>
      <c r="S190" s="101">
        <v>25293</v>
      </c>
      <c r="T190" s="101">
        <v>17653</v>
      </c>
      <c r="U190" s="101">
        <v>17648</v>
      </c>
      <c r="V190" s="101">
        <v>19376</v>
      </c>
      <c r="W190" s="101">
        <v>19455</v>
      </c>
      <c r="X190" s="149">
        <f t="shared" si="14"/>
        <v>0.78130944831959415</v>
      </c>
      <c r="Y190" s="184">
        <v>6.7299999999999999E-2</v>
      </c>
      <c r="Z190" s="253">
        <v>7</v>
      </c>
      <c r="AA190" s="149">
        <f t="shared" si="15"/>
        <v>-2.4175649968294229E-3</v>
      </c>
      <c r="AB190" s="149"/>
      <c r="AD190" s="101">
        <v>25649</v>
      </c>
      <c r="AE190" s="101">
        <v>25932</v>
      </c>
      <c r="AF190" s="101">
        <f t="shared" si="16"/>
        <v>-283</v>
      </c>
      <c r="AG190" s="101">
        <v>25232</v>
      </c>
      <c r="AH190" s="101">
        <v>25293</v>
      </c>
      <c r="AI190" s="101">
        <f t="shared" si="17"/>
        <v>-61</v>
      </c>
    </row>
    <row r="191" spans="2:35" x14ac:dyDescent="0.25">
      <c r="B191" t="s">
        <v>189</v>
      </c>
      <c r="C191" s="101">
        <v>48455000</v>
      </c>
      <c r="D191" s="101">
        <f t="shared" si="12"/>
        <v>46773459</v>
      </c>
      <c r="E191" s="101">
        <v>0</v>
      </c>
      <c r="F191" s="101">
        <v>0</v>
      </c>
      <c r="G191" s="101">
        <v>1243741</v>
      </c>
      <c r="H191" s="101">
        <v>437800</v>
      </c>
      <c r="I191" s="101">
        <v>4030000</v>
      </c>
      <c r="K191" s="101">
        <v>887000</v>
      </c>
      <c r="L191" s="101">
        <f t="shared" si="13"/>
        <v>1107000</v>
      </c>
      <c r="M191" s="101">
        <v>54479000</v>
      </c>
      <c r="N191" s="101">
        <v>2</v>
      </c>
      <c r="O191" s="101">
        <v>836</v>
      </c>
      <c r="P191" s="101">
        <v>36</v>
      </c>
      <c r="Q191" s="101">
        <v>684</v>
      </c>
      <c r="R191" s="101">
        <v>76169</v>
      </c>
      <c r="S191" s="101">
        <v>80722</v>
      </c>
      <c r="T191" s="101">
        <v>59441</v>
      </c>
      <c r="U191" s="101">
        <v>60764</v>
      </c>
      <c r="V191" s="101">
        <v>66450</v>
      </c>
      <c r="W191" s="101">
        <v>68032</v>
      </c>
      <c r="X191" s="149">
        <f t="shared" si="14"/>
        <v>0.71523848284735259</v>
      </c>
      <c r="Y191" s="184">
        <v>5.79E-2</v>
      </c>
      <c r="Z191" s="253">
        <v>8</v>
      </c>
      <c r="AA191" s="149">
        <f t="shared" si="15"/>
        <v>-5.9774974070816209E-2</v>
      </c>
      <c r="AB191" s="149"/>
      <c r="AD191" s="101">
        <v>71724</v>
      </c>
      <c r="AE191" s="101">
        <v>74119</v>
      </c>
      <c r="AF191" s="101">
        <f t="shared" si="16"/>
        <v>-2395</v>
      </c>
      <c r="AG191" s="101">
        <v>76169</v>
      </c>
      <c r="AH191" s="101">
        <v>80722</v>
      </c>
      <c r="AI191" s="101">
        <f t="shared" si="17"/>
        <v>-4553</v>
      </c>
    </row>
    <row r="192" spans="2:35" x14ac:dyDescent="0.25">
      <c r="B192" t="s">
        <v>414</v>
      </c>
      <c r="C192" s="101">
        <v>37768000</v>
      </c>
      <c r="D192" s="101">
        <f t="shared" si="12"/>
        <v>34756831</v>
      </c>
      <c r="E192" s="101">
        <v>0</v>
      </c>
      <c r="F192" s="101">
        <v>0</v>
      </c>
      <c r="G192" s="101">
        <v>2682879</v>
      </c>
      <c r="H192" s="101">
        <v>328290</v>
      </c>
      <c r="I192" s="101">
        <v>2400000</v>
      </c>
      <c r="K192" s="101">
        <v>66000</v>
      </c>
      <c r="L192" s="101">
        <f t="shared" si="13"/>
        <v>2661000</v>
      </c>
      <c r="M192" s="101">
        <v>42895000</v>
      </c>
      <c r="N192" s="101">
        <v>7</v>
      </c>
      <c r="O192" s="101">
        <v>242</v>
      </c>
      <c r="P192" s="101">
        <v>121</v>
      </c>
      <c r="Q192" s="101">
        <v>2893</v>
      </c>
      <c r="R192" s="101">
        <v>58445</v>
      </c>
      <c r="S192" s="101">
        <v>58640</v>
      </c>
      <c r="T192" s="101">
        <v>46271</v>
      </c>
      <c r="U192" s="101">
        <v>45374</v>
      </c>
      <c r="V192" s="101">
        <v>51383</v>
      </c>
      <c r="W192" s="101">
        <v>48716</v>
      </c>
      <c r="X192" s="149">
        <f t="shared" si="14"/>
        <v>0.73393789032423651</v>
      </c>
      <c r="Y192" s="184">
        <v>5.0999999999999997E-2</v>
      </c>
      <c r="Z192" s="253">
        <v>9</v>
      </c>
      <c r="AA192" s="149">
        <f t="shared" si="15"/>
        <v>-3.3364701856446232E-3</v>
      </c>
      <c r="AB192" s="149"/>
      <c r="AD192" s="101">
        <v>58652</v>
      </c>
      <c r="AE192" s="101">
        <v>55299</v>
      </c>
      <c r="AF192" s="101">
        <f t="shared" si="16"/>
        <v>3353</v>
      </c>
      <c r="AG192" s="101">
        <v>58445</v>
      </c>
      <c r="AH192" s="101">
        <v>58640</v>
      </c>
      <c r="AI192" s="101">
        <f t="shared" si="17"/>
        <v>-195</v>
      </c>
    </row>
    <row r="193" spans="2:35" x14ac:dyDescent="0.25">
      <c r="B193" t="s">
        <v>223</v>
      </c>
      <c r="C193" s="101">
        <v>141276000</v>
      </c>
      <c r="D193" s="101">
        <f t="shared" si="12"/>
        <v>137310122</v>
      </c>
      <c r="E193" s="101">
        <v>0</v>
      </c>
      <c r="F193" s="101">
        <v>0</v>
      </c>
      <c r="G193" s="101">
        <v>3099325</v>
      </c>
      <c r="H193" s="101">
        <v>866553</v>
      </c>
      <c r="I193" s="101">
        <v>22391000</v>
      </c>
      <c r="K193" s="101">
        <v>3631000</v>
      </c>
      <c r="L193" s="101">
        <f t="shared" si="13"/>
        <v>8376000</v>
      </c>
      <c r="M193" s="101">
        <v>175674000</v>
      </c>
      <c r="N193" s="101">
        <v>577</v>
      </c>
      <c r="O193" s="101">
        <v>5178</v>
      </c>
      <c r="P193" s="101">
        <v>236</v>
      </c>
      <c r="Q193" s="101">
        <v>23571</v>
      </c>
      <c r="R193" s="101">
        <v>271884</v>
      </c>
      <c r="S193" s="101">
        <v>272314</v>
      </c>
      <c r="T193" s="101">
        <v>229749</v>
      </c>
      <c r="U193" s="101">
        <v>232027</v>
      </c>
      <c r="V193" s="101">
        <v>243262</v>
      </c>
      <c r="W193" s="101">
        <v>245208</v>
      </c>
      <c r="X193" s="149">
        <f t="shared" si="14"/>
        <v>0.64613585205455271</v>
      </c>
      <c r="Y193" s="184">
        <v>4.5900000000000003E-2</v>
      </c>
      <c r="Z193" s="253">
        <v>8.5</v>
      </c>
      <c r="AA193" s="149">
        <f t="shared" si="15"/>
        <v>-1.5815568404172367E-3</v>
      </c>
      <c r="AB193" s="149"/>
      <c r="AD193" s="101">
        <v>262389</v>
      </c>
      <c r="AE193" s="101">
        <v>264827</v>
      </c>
      <c r="AF193" s="101">
        <f t="shared" si="16"/>
        <v>-2438</v>
      </c>
      <c r="AG193" s="101">
        <v>271884</v>
      </c>
      <c r="AH193" s="101">
        <v>272314</v>
      </c>
      <c r="AI193" s="101">
        <f t="shared" si="17"/>
        <v>-430</v>
      </c>
    </row>
    <row r="194" spans="2:35" x14ac:dyDescent="0.25">
      <c r="B194" t="s">
        <v>307</v>
      </c>
      <c r="C194" s="101">
        <v>51074000</v>
      </c>
      <c r="D194" s="101">
        <f t="shared" si="12"/>
        <v>50607524</v>
      </c>
      <c r="E194" s="101">
        <v>0</v>
      </c>
      <c r="F194" s="101">
        <v>0</v>
      </c>
      <c r="G194" s="101">
        <v>126486</v>
      </c>
      <c r="H194" s="101">
        <v>339990</v>
      </c>
      <c r="I194" s="101">
        <v>4332000</v>
      </c>
      <c r="K194" s="101">
        <v>291000</v>
      </c>
      <c r="L194" s="101">
        <f t="shared" si="13"/>
        <v>5273000</v>
      </c>
      <c r="M194" s="101">
        <v>60970000</v>
      </c>
      <c r="N194" s="101">
        <v>77</v>
      </c>
      <c r="O194" s="101">
        <v>780</v>
      </c>
      <c r="P194" s="101">
        <v>587</v>
      </c>
      <c r="Q194" s="101">
        <v>24561</v>
      </c>
      <c r="R194" s="101">
        <v>115163</v>
      </c>
      <c r="S194" s="101">
        <v>112782</v>
      </c>
      <c r="T194" s="101">
        <v>75030</v>
      </c>
      <c r="U194" s="101">
        <v>75776</v>
      </c>
      <c r="V194" s="101">
        <v>80654</v>
      </c>
      <c r="W194" s="101">
        <v>79670</v>
      </c>
      <c r="X194" s="149">
        <f t="shared" si="14"/>
        <v>0.52942351276017474</v>
      </c>
      <c r="Y194" s="184">
        <v>4.9399999999999999E-2</v>
      </c>
      <c r="Z194" s="253">
        <v>7.5</v>
      </c>
      <c r="AA194" s="149">
        <f t="shared" si="15"/>
        <v>2.0675043199638771E-2</v>
      </c>
      <c r="AB194" s="149"/>
      <c r="AD194" s="101">
        <v>123157</v>
      </c>
      <c r="AE194" s="101">
        <v>140033</v>
      </c>
      <c r="AF194" s="101">
        <f t="shared" si="16"/>
        <v>-16876</v>
      </c>
      <c r="AG194" s="101">
        <v>115163</v>
      </c>
      <c r="AH194" s="101">
        <v>112782</v>
      </c>
      <c r="AI194" s="101">
        <f t="shared" si="17"/>
        <v>2381</v>
      </c>
    </row>
    <row r="195" spans="2:35" x14ac:dyDescent="0.25">
      <c r="B195" t="s">
        <v>190</v>
      </c>
      <c r="C195" s="101">
        <v>82074000</v>
      </c>
      <c r="D195" s="101">
        <f t="shared" ref="D195:D258" si="18">SUM(C195,-F195,-G195,-H195)</f>
        <v>78993836</v>
      </c>
      <c r="E195" s="101">
        <v>0</v>
      </c>
      <c r="F195" s="101">
        <v>0</v>
      </c>
      <c r="G195" s="101">
        <v>2172888</v>
      </c>
      <c r="H195" s="101">
        <v>907276</v>
      </c>
      <c r="I195" s="101">
        <v>8652000</v>
      </c>
      <c r="K195" s="101">
        <v>922000</v>
      </c>
      <c r="L195" s="101">
        <f t="shared" ref="L195:L258" si="19">SUM(M195,-C195,-I195,-J195,-K195)</f>
        <v>7599000</v>
      </c>
      <c r="M195" s="101">
        <v>99247000</v>
      </c>
      <c r="N195" s="101">
        <v>5</v>
      </c>
      <c r="O195" s="101">
        <v>2928</v>
      </c>
      <c r="P195" s="101">
        <v>350</v>
      </c>
      <c r="Q195" s="101">
        <v>32429</v>
      </c>
      <c r="R195" s="101">
        <v>174138</v>
      </c>
      <c r="S195" s="101">
        <v>177701</v>
      </c>
      <c r="T195" s="101">
        <v>102386</v>
      </c>
      <c r="U195" s="101">
        <v>103901</v>
      </c>
      <c r="V195" s="101">
        <v>132491</v>
      </c>
      <c r="W195" s="101">
        <v>132639</v>
      </c>
      <c r="X195" s="149">
        <f t="shared" ref="X195:X258" si="20">M195/(R195*1000)</f>
        <v>0.56993304161067659</v>
      </c>
      <c r="Y195" s="184">
        <v>4.4499999999999998E-2</v>
      </c>
      <c r="Z195" s="253">
        <v>6.5</v>
      </c>
      <c r="AA195" s="149">
        <f t="shared" ref="AA195:AA258" si="21">SUM(R195,-S195)/R195</f>
        <v>-2.0460783975927137E-2</v>
      </c>
      <c r="AB195" s="149"/>
      <c r="AD195" s="101">
        <v>163512</v>
      </c>
      <c r="AE195" s="101">
        <v>165895</v>
      </c>
      <c r="AF195" s="101">
        <f t="shared" ref="AF195:AF258" si="22">SUM(AD195,-AE195)</f>
        <v>-2383</v>
      </c>
      <c r="AG195" s="101">
        <v>174138</v>
      </c>
      <c r="AH195" s="101">
        <v>177701</v>
      </c>
      <c r="AI195" s="101">
        <f t="shared" ref="AI195:AI258" si="23">SUM(AG195,-AH195)</f>
        <v>-3563</v>
      </c>
    </row>
    <row r="196" spans="2:35" x14ac:dyDescent="0.25">
      <c r="B196" t="s">
        <v>191</v>
      </c>
      <c r="C196" s="101">
        <v>562728000</v>
      </c>
      <c r="D196" s="101">
        <f t="shared" si="18"/>
        <v>454189480</v>
      </c>
      <c r="E196" s="101">
        <v>0</v>
      </c>
      <c r="F196" s="101">
        <v>61321309</v>
      </c>
      <c r="G196" s="101">
        <v>23886516</v>
      </c>
      <c r="H196" s="101">
        <v>23330695</v>
      </c>
      <c r="I196" s="101">
        <v>118823000</v>
      </c>
      <c r="K196" s="101">
        <v>8886000</v>
      </c>
      <c r="L196" s="101">
        <f t="shared" si="19"/>
        <v>15553000</v>
      </c>
      <c r="M196" s="101">
        <v>705990000</v>
      </c>
      <c r="N196" s="101">
        <v>880</v>
      </c>
      <c r="O196" s="101">
        <v>18156</v>
      </c>
      <c r="P196" s="101">
        <v>861</v>
      </c>
      <c r="Q196" s="101">
        <v>116587</v>
      </c>
      <c r="R196" s="101">
        <v>1038091</v>
      </c>
      <c r="S196" s="101">
        <v>1043084</v>
      </c>
      <c r="T196" s="101">
        <v>815863</v>
      </c>
      <c r="U196" s="101">
        <v>803072</v>
      </c>
      <c r="V196" s="101">
        <v>966512</v>
      </c>
      <c r="W196" s="101">
        <v>965639</v>
      </c>
      <c r="X196" s="149">
        <f t="shared" si="20"/>
        <v>0.68008488658508748</v>
      </c>
      <c r="Y196" s="184">
        <v>5.74E-2</v>
      </c>
      <c r="Z196" s="253">
        <v>8</v>
      </c>
      <c r="AA196" s="149">
        <f t="shared" si="21"/>
        <v>-4.8097902785015955E-3</v>
      </c>
      <c r="AB196" s="149"/>
      <c r="AD196" s="101">
        <v>947920</v>
      </c>
      <c r="AE196" s="101">
        <v>940839</v>
      </c>
      <c r="AF196" s="101">
        <f t="shared" si="22"/>
        <v>7081</v>
      </c>
      <c r="AG196" s="101">
        <v>1038091</v>
      </c>
      <c r="AH196" s="101">
        <v>1043084</v>
      </c>
      <c r="AI196" s="101">
        <f t="shared" si="23"/>
        <v>-4993</v>
      </c>
    </row>
    <row r="197" spans="2:35" x14ac:dyDescent="0.25">
      <c r="B197" t="s">
        <v>475</v>
      </c>
      <c r="C197" s="101">
        <v>234942000</v>
      </c>
      <c r="D197" s="101">
        <f t="shared" si="18"/>
        <v>201951785</v>
      </c>
      <c r="E197" s="101">
        <v>0</v>
      </c>
      <c r="F197" s="101">
        <v>15941946</v>
      </c>
      <c r="G197" s="101">
        <v>9481751</v>
      </c>
      <c r="H197" s="101">
        <v>7566518</v>
      </c>
      <c r="I197" s="101">
        <v>38538000</v>
      </c>
      <c r="K197" s="101">
        <v>4722000</v>
      </c>
      <c r="L197" s="101">
        <f t="shared" si="19"/>
        <v>7878000</v>
      </c>
      <c r="M197" s="101">
        <v>286080000</v>
      </c>
      <c r="N197" s="101">
        <v>46</v>
      </c>
      <c r="O197" s="101">
        <v>5622</v>
      </c>
      <c r="P197" s="101">
        <v>750</v>
      </c>
      <c r="Q197" s="101">
        <v>10334</v>
      </c>
      <c r="R197" s="101">
        <v>369370</v>
      </c>
      <c r="S197" s="101">
        <v>378040</v>
      </c>
      <c r="T197" s="101">
        <v>310996</v>
      </c>
      <c r="U197" s="101">
        <v>317577</v>
      </c>
      <c r="V197" s="101">
        <v>331079</v>
      </c>
      <c r="W197" s="101">
        <v>340421</v>
      </c>
      <c r="X197" s="149">
        <f t="shared" si="20"/>
        <v>0.77450794596204353</v>
      </c>
      <c r="Y197" s="184">
        <v>7.0000000000000007E-2</v>
      </c>
      <c r="Z197" s="253">
        <v>6.5</v>
      </c>
      <c r="AA197" s="149">
        <f t="shared" si="21"/>
        <v>-2.3472398949562771E-2</v>
      </c>
      <c r="AB197" s="149"/>
      <c r="AD197" s="101">
        <v>369856</v>
      </c>
      <c r="AE197" s="101">
        <v>371247</v>
      </c>
      <c r="AF197" s="101">
        <f t="shared" si="22"/>
        <v>-1391</v>
      </c>
      <c r="AG197" s="101">
        <v>369370</v>
      </c>
      <c r="AH197" s="101">
        <v>378040</v>
      </c>
      <c r="AI197" s="101">
        <f t="shared" si="23"/>
        <v>-8670</v>
      </c>
    </row>
    <row r="198" spans="2:35" x14ac:dyDescent="0.25">
      <c r="B198" t="s">
        <v>597</v>
      </c>
      <c r="C198" s="101">
        <v>119701000</v>
      </c>
      <c r="D198" s="101">
        <f t="shared" si="18"/>
        <v>108078986</v>
      </c>
      <c r="E198" s="101">
        <v>0</v>
      </c>
      <c r="F198" s="101">
        <v>0</v>
      </c>
      <c r="G198" s="101">
        <v>11021044</v>
      </c>
      <c r="H198" s="101">
        <v>600970</v>
      </c>
      <c r="I198" s="101">
        <v>14528000</v>
      </c>
      <c r="K198" s="101">
        <v>694000</v>
      </c>
      <c r="L198" s="101">
        <f t="shared" si="19"/>
        <v>4542000</v>
      </c>
      <c r="M198" s="101">
        <v>139465000</v>
      </c>
      <c r="N198" s="101">
        <v>108</v>
      </c>
      <c r="O198" s="101">
        <v>708</v>
      </c>
      <c r="P198" s="101">
        <v>611</v>
      </c>
      <c r="Q198" s="101">
        <v>604</v>
      </c>
      <c r="R198" s="101">
        <v>179375</v>
      </c>
      <c r="S198" s="101">
        <v>180138</v>
      </c>
      <c r="T198" s="101">
        <v>160636</v>
      </c>
      <c r="U198" s="101">
        <v>161466</v>
      </c>
      <c r="V198" s="101">
        <v>173377</v>
      </c>
      <c r="W198" s="101">
        <v>173091</v>
      </c>
      <c r="X198" s="149">
        <f t="shared" si="20"/>
        <v>0.7775052264808362</v>
      </c>
      <c r="Y198" s="184">
        <v>4.9299999999999997E-2</v>
      </c>
      <c r="Z198" s="253">
        <v>8</v>
      </c>
      <c r="AA198" s="149">
        <f t="shared" si="21"/>
        <v>-4.253658536585366E-3</v>
      </c>
      <c r="AB198" s="149"/>
      <c r="AD198" s="101">
        <v>169402</v>
      </c>
      <c r="AE198" s="101">
        <v>170612</v>
      </c>
      <c r="AF198" s="101">
        <f t="shared" si="22"/>
        <v>-1210</v>
      </c>
      <c r="AG198" s="101">
        <v>179375</v>
      </c>
      <c r="AH198" s="101">
        <v>180138</v>
      </c>
      <c r="AI198" s="101">
        <f t="shared" si="23"/>
        <v>-763</v>
      </c>
    </row>
    <row r="199" spans="2:35" x14ac:dyDescent="0.25">
      <c r="B199" t="s">
        <v>333</v>
      </c>
      <c r="C199" s="101">
        <v>18606000</v>
      </c>
      <c r="D199" s="101">
        <f t="shared" si="18"/>
        <v>17683532</v>
      </c>
      <c r="E199" s="101">
        <v>0</v>
      </c>
      <c r="F199" s="101">
        <v>0</v>
      </c>
      <c r="G199" s="101">
        <v>566566</v>
      </c>
      <c r="H199" s="101">
        <v>355902</v>
      </c>
      <c r="I199" s="101">
        <v>1804000</v>
      </c>
      <c r="K199" s="101">
        <v>0</v>
      </c>
      <c r="L199" s="101">
        <f t="shared" si="19"/>
        <v>2784000</v>
      </c>
      <c r="M199" s="101">
        <v>23194000</v>
      </c>
      <c r="N199" s="101">
        <v>11</v>
      </c>
      <c r="O199" s="101">
        <v>631</v>
      </c>
      <c r="P199" s="101">
        <v>42</v>
      </c>
      <c r="Q199" s="101">
        <v>3187</v>
      </c>
      <c r="R199" s="101">
        <v>40834</v>
      </c>
      <c r="S199" s="101">
        <v>39350</v>
      </c>
      <c r="T199" s="101">
        <v>27944</v>
      </c>
      <c r="U199" s="101">
        <v>28643</v>
      </c>
      <c r="V199" s="101">
        <v>30633</v>
      </c>
      <c r="W199" s="101">
        <v>31307</v>
      </c>
      <c r="X199" s="149">
        <f t="shared" si="20"/>
        <v>0.56800705294607434</v>
      </c>
      <c r="Y199" s="184">
        <v>3.8800000000000001E-2</v>
      </c>
      <c r="Z199" s="253">
        <v>8.5</v>
      </c>
      <c r="AA199" s="149">
        <f t="shared" si="21"/>
        <v>3.6342263799774698E-2</v>
      </c>
      <c r="AB199" s="149"/>
      <c r="AD199" s="101">
        <v>31681</v>
      </c>
      <c r="AE199" s="101">
        <v>32291</v>
      </c>
      <c r="AF199" s="101">
        <f t="shared" si="22"/>
        <v>-610</v>
      </c>
      <c r="AG199" s="101">
        <v>40834</v>
      </c>
      <c r="AH199" s="101">
        <v>39350</v>
      </c>
      <c r="AI199" s="101">
        <f t="shared" si="23"/>
        <v>1484</v>
      </c>
    </row>
    <row r="200" spans="2:35" x14ac:dyDescent="0.25">
      <c r="B200" t="s">
        <v>112</v>
      </c>
      <c r="C200" s="101">
        <v>68261000</v>
      </c>
      <c r="D200" s="101">
        <f t="shared" si="18"/>
        <v>64527991</v>
      </c>
      <c r="E200" s="101">
        <v>0</v>
      </c>
      <c r="F200" s="101">
        <v>0</v>
      </c>
      <c r="G200" s="101">
        <v>3224491</v>
      </c>
      <c r="H200" s="101">
        <v>508518</v>
      </c>
      <c r="I200" s="101">
        <v>8178000</v>
      </c>
      <c r="K200" s="101">
        <v>59000</v>
      </c>
      <c r="L200" s="101">
        <f t="shared" si="19"/>
        <v>832000</v>
      </c>
      <c r="M200" s="101">
        <v>77330000</v>
      </c>
      <c r="N200" s="101">
        <v>208</v>
      </c>
      <c r="O200" s="101">
        <v>735</v>
      </c>
      <c r="P200" s="101">
        <v>117</v>
      </c>
      <c r="Q200" s="101">
        <v>3803</v>
      </c>
      <c r="R200" s="101">
        <v>107339</v>
      </c>
      <c r="S200" s="101">
        <v>108746</v>
      </c>
      <c r="T200" s="101">
        <v>101474</v>
      </c>
      <c r="U200" s="101">
        <v>101479</v>
      </c>
      <c r="V200" s="101">
        <v>97105</v>
      </c>
      <c r="W200" s="101">
        <v>95995</v>
      </c>
      <c r="X200" s="149">
        <f t="shared" si="20"/>
        <v>0.7204278035010574</v>
      </c>
      <c r="Y200" s="184">
        <v>3.15E-2</v>
      </c>
      <c r="Z200" s="253">
        <v>6</v>
      </c>
      <c r="AA200" s="149">
        <f t="shared" si="21"/>
        <v>-1.3108003614715993E-2</v>
      </c>
      <c r="AB200" s="149"/>
      <c r="AD200" s="101">
        <v>101826</v>
      </c>
      <c r="AE200" s="101">
        <v>101303</v>
      </c>
      <c r="AF200" s="101">
        <f t="shared" si="22"/>
        <v>523</v>
      </c>
      <c r="AG200" s="101">
        <v>107339</v>
      </c>
      <c r="AH200" s="101">
        <v>108746</v>
      </c>
      <c r="AI200" s="101">
        <f t="shared" si="23"/>
        <v>-1407</v>
      </c>
    </row>
    <row r="201" spans="2:35" x14ac:dyDescent="0.25">
      <c r="B201" t="s">
        <v>430</v>
      </c>
      <c r="C201" s="101">
        <v>111195000</v>
      </c>
      <c r="D201" s="101">
        <f t="shared" si="18"/>
        <v>104245323</v>
      </c>
      <c r="E201" s="101">
        <v>0</v>
      </c>
      <c r="F201" s="101">
        <v>0</v>
      </c>
      <c r="G201" s="101">
        <v>5870005</v>
      </c>
      <c r="H201" s="101">
        <v>1079672</v>
      </c>
      <c r="I201" s="101">
        <v>15359000</v>
      </c>
      <c r="K201" s="101">
        <v>2342000</v>
      </c>
      <c r="L201" s="101">
        <f t="shared" si="19"/>
        <v>9993000</v>
      </c>
      <c r="M201" s="101">
        <v>138889000</v>
      </c>
      <c r="N201" s="101">
        <v>336</v>
      </c>
      <c r="O201" s="101">
        <v>907</v>
      </c>
      <c r="P201" s="101">
        <v>30</v>
      </c>
      <c r="Q201" s="101">
        <v>7402</v>
      </c>
      <c r="R201" s="101">
        <v>187655</v>
      </c>
      <c r="S201" s="101">
        <v>183564</v>
      </c>
      <c r="T201" s="101">
        <v>143634</v>
      </c>
      <c r="U201" s="101">
        <v>141219</v>
      </c>
      <c r="V201" s="101">
        <v>155512</v>
      </c>
      <c r="W201" s="101">
        <v>149181</v>
      </c>
      <c r="X201" s="149">
        <f t="shared" si="20"/>
        <v>0.74012949295249264</v>
      </c>
      <c r="Y201" s="184">
        <v>4.82E-2</v>
      </c>
      <c r="Z201" s="253">
        <v>8.5</v>
      </c>
      <c r="AA201" s="149">
        <f t="shared" si="21"/>
        <v>2.1800644800298419E-2</v>
      </c>
      <c r="AB201" s="149"/>
      <c r="AD201" s="101">
        <v>175145</v>
      </c>
      <c r="AE201" s="101">
        <v>166975</v>
      </c>
      <c r="AF201" s="101">
        <f t="shared" si="22"/>
        <v>8170</v>
      </c>
      <c r="AG201" s="101">
        <v>187655</v>
      </c>
      <c r="AH201" s="101">
        <v>183564</v>
      </c>
      <c r="AI201" s="101">
        <f t="shared" si="23"/>
        <v>4091</v>
      </c>
    </row>
    <row r="202" spans="2:35" x14ac:dyDescent="0.25">
      <c r="B202" t="s">
        <v>308</v>
      </c>
      <c r="C202" s="101">
        <v>79740000</v>
      </c>
      <c r="D202" s="101">
        <f t="shared" si="18"/>
        <v>76627954</v>
      </c>
      <c r="E202" s="101">
        <v>0</v>
      </c>
      <c r="F202" s="101">
        <v>0</v>
      </c>
      <c r="G202" s="101">
        <v>2646125</v>
      </c>
      <c r="H202" s="101">
        <v>465921</v>
      </c>
      <c r="I202" s="101">
        <v>9276000</v>
      </c>
      <c r="K202" s="101">
        <v>296000</v>
      </c>
      <c r="L202" s="101">
        <f t="shared" si="19"/>
        <v>4482000</v>
      </c>
      <c r="M202" s="101">
        <v>93794000</v>
      </c>
      <c r="N202" s="101">
        <v>328</v>
      </c>
      <c r="O202" s="101">
        <v>2708</v>
      </c>
      <c r="P202" s="101">
        <v>832</v>
      </c>
      <c r="Q202" s="101">
        <v>8285</v>
      </c>
      <c r="R202" s="101">
        <v>160303</v>
      </c>
      <c r="S202" s="101">
        <v>166354</v>
      </c>
      <c r="T202" s="101">
        <v>139670</v>
      </c>
      <c r="U202" s="101">
        <v>142499</v>
      </c>
      <c r="V202" s="101">
        <v>153826</v>
      </c>
      <c r="W202" s="101">
        <v>155520</v>
      </c>
      <c r="X202" s="149">
        <f t="shared" si="20"/>
        <v>0.58510445843184467</v>
      </c>
      <c r="Y202" s="184">
        <v>4.0899999999999999E-2</v>
      </c>
      <c r="Z202" s="253">
        <v>8.5</v>
      </c>
      <c r="AA202" s="149">
        <f t="shared" si="21"/>
        <v>-3.7747266114795106E-2</v>
      </c>
      <c r="AB202" s="149"/>
      <c r="AD202" s="101">
        <v>152091</v>
      </c>
      <c r="AE202" s="101">
        <v>158389</v>
      </c>
      <c r="AF202" s="101">
        <f t="shared" si="22"/>
        <v>-6298</v>
      </c>
      <c r="AG202" s="101">
        <v>160303</v>
      </c>
      <c r="AH202" s="101">
        <v>166354</v>
      </c>
      <c r="AI202" s="101">
        <f t="shared" si="23"/>
        <v>-6051</v>
      </c>
    </row>
    <row r="203" spans="2:35" x14ac:dyDescent="0.25">
      <c r="B203" t="s">
        <v>433</v>
      </c>
      <c r="C203" s="101">
        <v>41496000</v>
      </c>
      <c r="D203" s="101">
        <f t="shared" si="18"/>
        <v>39595915</v>
      </c>
      <c r="E203" s="101">
        <v>0</v>
      </c>
      <c r="F203" s="101">
        <v>0</v>
      </c>
      <c r="G203" s="101">
        <v>1607482</v>
      </c>
      <c r="H203" s="101">
        <v>292603</v>
      </c>
      <c r="I203" s="101">
        <v>4795000</v>
      </c>
      <c r="K203" s="101">
        <v>62000</v>
      </c>
      <c r="L203" s="101">
        <f t="shared" si="19"/>
        <v>1026000</v>
      </c>
      <c r="M203" s="101">
        <v>47379000</v>
      </c>
      <c r="N203" s="101">
        <v>101</v>
      </c>
      <c r="O203" s="101">
        <v>456</v>
      </c>
      <c r="P203" s="101">
        <v>3</v>
      </c>
      <c r="Q203" s="101">
        <v>6494</v>
      </c>
      <c r="R203" s="101">
        <v>70599</v>
      </c>
      <c r="S203" s="101">
        <v>69638</v>
      </c>
      <c r="T203" s="101">
        <v>55260</v>
      </c>
      <c r="U203" s="101">
        <v>55758</v>
      </c>
      <c r="V203" s="101">
        <v>63355</v>
      </c>
      <c r="W203" s="101">
        <v>62972</v>
      </c>
      <c r="X203" s="149">
        <f t="shared" si="20"/>
        <v>0.67110015722602301</v>
      </c>
      <c r="Y203" s="184">
        <v>4.2900000000000001E-2</v>
      </c>
      <c r="Z203" s="253">
        <v>5</v>
      </c>
      <c r="AA203" s="149">
        <f t="shared" si="21"/>
        <v>1.3612090822816187E-2</v>
      </c>
      <c r="AB203" s="149"/>
      <c r="AD203" s="101">
        <v>68634</v>
      </c>
      <c r="AE203" s="101">
        <v>68070</v>
      </c>
      <c r="AF203" s="101">
        <f t="shared" si="22"/>
        <v>564</v>
      </c>
      <c r="AG203" s="101">
        <v>70599</v>
      </c>
      <c r="AH203" s="101">
        <v>69638</v>
      </c>
      <c r="AI203" s="101">
        <f t="shared" si="23"/>
        <v>961</v>
      </c>
    </row>
    <row r="204" spans="2:35" x14ac:dyDescent="0.25">
      <c r="B204" t="s">
        <v>192</v>
      </c>
      <c r="C204" s="101">
        <v>59020000</v>
      </c>
      <c r="D204" s="101">
        <f t="shared" si="18"/>
        <v>54782154</v>
      </c>
      <c r="E204" s="101">
        <v>0</v>
      </c>
      <c r="F204" s="101">
        <v>0</v>
      </c>
      <c r="G204" s="101">
        <v>3805171</v>
      </c>
      <c r="H204" s="101">
        <v>432675</v>
      </c>
      <c r="I204" s="101">
        <v>5992000</v>
      </c>
      <c r="K204" s="101">
        <v>477000</v>
      </c>
      <c r="L204" s="101">
        <f t="shared" si="19"/>
        <v>888000</v>
      </c>
      <c r="M204" s="101">
        <v>66377000</v>
      </c>
      <c r="N204" s="101">
        <v>124</v>
      </c>
      <c r="O204" s="101">
        <v>488</v>
      </c>
      <c r="P204" s="101">
        <v>630</v>
      </c>
      <c r="Q204" s="101">
        <v>709</v>
      </c>
      <c r="R204" s="101">
        <v>87155</v>
      </c>
      <c r="S204" s="101">
        <v>91136</v>
      </c>
      <c r="T204" s="101">
        <v>66254</v>
      </c>
      <c r="U204" s="101">
        <v>68202</v>
      </c>
      <c r="V204" s="101">
        <v>75930</v>
      </c>
      <c r="W204" s="101">
        <v>76350</v>
      </c>
      <c r="X204" s="149">
        <f t="shared" si="20"/>
        <v>0.76159715449486542</v>
      </c>
      <c r="Y204" s="184">
        <v>5.0700000000000002E-2</v>
      </c>
      <c r="Z204" s="253">
        <v>6</v>
      </c>
      <c r="AA204" s="149">
        <f t="shared" si="21"/>
        <v>-4.567724169582927E-2</v>
      </c>
      <c r="AB204" s="149"/>
      <c r="AD204" s="101">
        <v>80636</v>
      </c>
      <c r="AE204" s="101">
        <v>80760</v>
      </c>
      <c r="AF204" s="101">
        <f t="shared" si="22"/>
        <v>-124</v>
      </c>
      <c r="AG204" s="101">
        <v>87155</v>
      </c>
      <c r="AH204" s="101">
        <v>91136</v>
      </c>
      <c r="AI204" s="101">
        <f t="shared" si="23"/>
        <v>-3981</v>
      </c>
    </row>
    <row r="205" spans="2:35" x14ac:dyDescent="0.25">
      <c r="B205" t="s">
        <v>309</v>
      </c>
      <c r="C205" s="101">
        <v>41974000</v>
      </c>
      <c r="D205" s="101">
        <f t="shared" si="18"/>
        <v>40822816</v>
      </c>
      <c r="E205" s="101">
        <v>0</v>
      </c>
      <c r="F205" s="101">
        <v>0</v>
      </c>
      <c r="G205" s="101">
        <v>815836</v>
      </c>
      <c r="H205" s="101">
        <v>335348</v>
      </c>
      <c r="I205" s="101">
        <v>5656000</v>
      </c>
      <c r="K205" s="101">
        <v>64000</v>
      </c>
      <c r="L205" s="101">
        <f t="shared" si="19"/>
        <v>3533000</v>
      </c>
      <c r="M205" s="101">
        <v>51227000</v>
      </c>
      <c r="N205" s="101">
        <v>60</v>
      </c>
      <c r="O205" s="101">
        <v>1581</v>
      </c>
      <c r="P205" s="101">
        <v>495</v>
      </c>
      <c r="Q205" s="101">
        <v>6501</v>
      </c>
      <c r="R205" s="101">
        <v>83718</v>
      </c>
      <c r="S205" s="101">
        <v>82617</v>
      </c>
      <c r="T205" s="101">
        <v>59324</v>
      </c>
      <c r="U205" s="101">
        <v>59727</v>
      </c>
      <c r="V205" s="101">
        <v>68639</v>
      </c>
      <c r="W205" s="101">
        <v>69123</v>
      </c>
      <c r="X205" s="149">
        <f t="shared" si="20"/>
        <v>0.61189947203707684</v>
      </c>
      <c r="Y205" s="184">
        <v>4.2200000000000001E-2</v>
      </c>
      <c r="Z205" s="253">
        <v>7.5</v>
      </c>
      <c r="AA205" s="149">
        <f t="shared" si="21"/>
        <v>1.3151293628610335E-2</v>
      </c>
      <c r="AB205" s="149"/>
      <c r="AD205" s="101">
        <v>68612</v>
      </c>
      <c r="AE205" s="101">
        <v>67948</v>
      </c>
      <c r="AF205" s="101">
        <f t="shared" si="22"/>
        <v>664</v>
      </c>
      <c r="AG205" s="101">
        <v>83718</v>
      </c>
      <c r="AH205" s="101">
        <v>82617</v>
      </c>
      <c r="AI205" s="101">
        <f t="shared" si="23"/>
        <v>1101</v>
      </c>
    </row>
    <row r="206" spans="2:35" x14ac:dyDescent="0.25">
      <c r="B206" t="s">
        <v>378</v>
      </c>
      <c r="C206" s="101">
        <v>35398000</v>
      </c>
      <c r="D206" s="101">
        <f t="shared" si="18"/>
        <v>32416937</v>
      </c>
      <c r="E206" s="101">
        <v>0</v>
      </c>
      <c r="F206" s="101">
        <v>0</v>
      </c>
      <c r="G206" s="101">
        <v>2628544</v>
      </c>
      <c r="H206" s="101">
        <v>352519</v>
      </c>
      <c r="I206" s="101">
        <v>2862000</v>
      </c>
      <c r="K206" s="101">
        <v>1000</v>
      </c>
      <c r="L206" s="101">
        <f t="shared" si="19"/>
        <v>842000</v>
      </c>
      <c r="M206" s="101">
        <v>39103000</v>
      </c>
      <c r="N206" s="101">
        <v>186</v>
      </c>
      <c r="O206" s="101">
        <v>678</v>
      </c>
      <c r="P206" s="101">
        <v>38</v>
      </c>
      <c r="Q206" s="101">
        <v>8306</v>
      </c>
      <c r="R206" s="101">
        <v>63802</v>
      </c>
      <c r="S206" s="101">
        <v>69289</v>
      </c>
      <c r="T206" s="101">
        <v>43434</v>
      </c>
      <c r="U206" s="101">
        <v>47517</v>
      </c>
      <c r="V206" s="101">
        <v>47339</v>
      </c>
      <c r="W206" s="101">
        <v>47473</v>
      </c>
      <c r="X206" s="149">
        <f t="shared" si="20"/>
        <v>0.61288047396633338</v>
      </c>
      <c r="Y206" s="184">
        <v>4.5900000000000003E-2</v>
      </c>
      <c r="Z206" s="253">
        <v>6</v>
      </c>
      <c r="AA206" s="149">
        <f t="shared" si="21"/>
        <v>-8.6000438857716063E-2</v>
      </c>
      <c r="AB206" s="149"/>
      <c r="AD206" s="101">
        <v>53362</v>
      </c>
      <c r="AE206" s="101">
        <v>51855</v>
      </c>
      <c r="AF206" s="101">
        <f t="shared" si="22"/>
        <v>1507</v>
      </c>
      <c r="AG206" s="101">
        <v>63802</v>
      </c>
      <c r="AH206" s="101">
        <v>69289</v>
      </c>
      <c r="AI206" s="101">
        <f t="shared" si="23"/>
        <v>-5487</v>
      </c>
    </row>
    <row r="207" spans="2:35" x14ac:dyDescent="0.25">
      <c r="B207" t="s">
        <v>379</v>
      </c>
      <c r="C207" s="101">
        <v>60949000</v>
      </c>
      <c r="D207" s="101">
        <f t="shared" si="18"/>
        <v>56222506</v>
      </c>
      <c r="E207" s="101">
        <v>0</v>
      </c>
      <c r="F207" s="101">
        <v>0</v>
      </c>
      <c r="G207" s="101">
        <v>4342686</v>
      </c>
      <c r="H207" s="101">
        <v>383808</v>
      </c>
      <c r="I207" s="101">
        <v>5925000</v>
      </c>
      <c r="K207" s="101">
        <v>399000</v>
      </c>
      <c r="L207" s="101">
        <f t="shared" si="19"/>
        <v>3932000</v>
      </c>
      <c r="M207" s="101">
        <v>71205000</v>
      </c>
      <c r="N207" s="101">
        <v>293</v>
      </c>
      <c r="O207" s="101">
        <v>1839</v>
      </c>
      <c r="P207" s="101">
        <v>16</v>
      </c>
      <c r="Q207" s="101">
        <v>3234</v>
      </c>
      <c r="R207" s="101">
        <v>102822</v>
      </c>
      <c r="S207" s="101">
        <v>102815</v>
      </c>
      <c r="T207" s="101">
        <v>88044</v>
      </c>
      <c r="U207" s="101">
        <v>84630</v>
      </c>
      <c r="V207" s="101">
        <v>88284</v>
      </c>
      <c r="W207" s="101">
        <v>87532</v>
      </c>
      <c r="X207" s="149">
        <f t="shared" si="20"/>
        <v>0.69250744004201437</v>
      </c>
      <c r="Y207" s="184">
        <v>4.5499999999999999E-2</v>
      </c>
      <c r="Z207" s="253">
        <v>9.5</v>
      </c>
      <c r="AA207" s="149">
        <f t="shared" si="21"/>
        <v>6.8078815817626583E-5</v>
      </c>
      <c r="AB207" s="149"/>
      <c r="AD207" s="101">
        <v>102726</v>
      </c>
      <c r="AE207" s="101">
        <v>102393</v>
      </c>
      <c r="AF207" s="101">
        <f t="shared" si="22"/>
        <v>333</v>
      </c>
      <c r="AG207" s="101">
        <v>102822</v>
      </c>
      <c r="AH207" s="101">
        <v>102815</v>
      </c>
      <c r="AI207" s="101">
        <f t="shared" si="23"/>
        <v>7</v>
      </c>
    </row>
    <row r="208" spans="2:35" x14ac:dyDescent="0.25">
      <c r="B208" t="s">
        <v>121</v>
      </c>
      <c r="C208" s="101">
        <v>119037000</v>
      </c>
      <c r="D208" s="101">
        <f t="shared" si="18"/>
        <v>105025828</v>
      </c>
      <c r="E208" s="101">
        <v>0</v>
      </c>
      <c r="F208" s="101">
        <v>0</v>
      </c>
      <c r="G208" s="101">
        <v>13250507</v>
      </c>
      <c r="H208" s="101">
        <v>760665</v>
      </c>
      <c r="I208" s="101">
        <v>21207000</v>
      </c>
      <c r="K208" s="101">
        <v>1367000</v>
      </c>
      <c r="L208" s="101">
        <f t="shared" si="19"/>
        <v>3222000</v>
      </c>
      <c r="M208" s="101">
        <v>144833000</v>
      </c>
      <c r="N208" s="101">
        <v>37</v>
      </c>
      <c r="O208" s="101">
        <v>1157</v>
      </c>
      <c r="P208" s="101">
        <v>846</v>
      </c>
      <c r="Q208" s="101">
        <v>75</v>
      </c>
      <c r="R208" s="101">
        <v>183498</v>
      </c>
      <c r="S208" s="101">
        <v>186302</v>
      </c>
      <c r="T208" s="101">
        <v>151781</v>
      </c>
      <c r="U208" s="101">
        <v>156944</v>
      </c>
      <c r="V208" s="101">
        <v>165707</v>
      </c>
      <c r="W208" s="101">
        <v>164594</v>
      </c>
      <c r="X208" s="149">
        <f t="shared" si="20"/>
        <v>0.78928925655865456</v>
      </c>
      <c r="Y208" s="184">
        <v>5.2299999999999999E-2</v>
      </c>
      <c r="Z208" s="253">
        <v>6.5</v>
      </c>
      <c r="AA208" s="149">
        <f t="shared" si="21"/>
        <v>-1.5280820499405988E-2</v>
      </c>
      <c r="AB208" s="149"/>
      <c r="AD208" s="101">
        <v>176436</v>
      </c>
      <c r="AE208" s="101">
        <v>172266</v>
      </c>
      <c r="AF208" s="101">
        <f t="shared" si="22"/>
        <v>4170</v>
      </c>
      <c r="AG208" s="101">
        <v>183498</v>
      </c>
      <c r="AH208" s="101">
        <v>186302</v>
      </c>
      <c r="AI208" s="101">
        <f t="shared" si="23"/>
        <v>-2804</v>
      </c>
    </row>
    <row r="209" spans="2:35" x14ac:dyDescent="0.25">
      <c r="B209" t="s">
        <v>193</v>
      </c>
      <c r="C209" s="101">
        <v>47515000</v>
      </c>
      <c r="D209" s="101">
        <f t="shared" si="18"/>
        <v>44456099</v>
      </c>
      <c r="E209" s="101">
        <v>0</v>
      </c>
      <c r="F209" s="101">
        <v>0</v>
      </c>
      <c r="G209" s="101">
        <v>2102578</v>
      </c>
      <c r="H209" s="101">
        <v>956323</v>
      </c>
      <c r="I209" s="101">
        <v>5068000</v>
      </c>
      <c r="K209" s="101">
        <v>484000</v>
      </c>
      <c r="L209" s="101">
        <f t="shared" si="19"/>
        <v>939000</v>
      </c>
      <c r="M209" s="101">
        <v>54006000</v>
      </c>
      <c r="N209" s="101">
        <v>232</v>
      </c>
      <c r="O209" s="101">
        <v>665</v>
      </c>
      <c r="P209" s="101">
        <v>173</v>
      </c>
      <c r="Q209" s="101">
        <v>6555</v>
      </c>
      <c r="R209" s="101">
        <v>96310</v>
      </c>
      <c r="S209" s="101">
        <v>96979</v>
      </c>
      <c r="T209" s="101">
        <v>71094</v>
      </c>
      <c r="U209" s="101">
        <v>71708</v>
      </c>
      <c r="V209" s="101">
        <v>82349</v>
      </c>
      <c r="W209" s="101">
        <v>82728</v>
      </c>
      <c r="X209" s="149">
        <f t="shared" si="20"/>
        <v>0.56075173917557886</v>
      </c>
      <c r="Y209" s="184">
        <v>3.8699999999999998E-2</v>
      </c>
      <c r="Z209" s="253">
        <v>6</v>
      </c>
      <c r="AA209" s="149">
        <f t="shared" si="21"/>
        <v>-6.9463191776554878E-3</v>
      </c>
      <c r="AB209" s="149"/>
      <c r="AD209" s="101">
        <v>89368</v>
      </c>
      <c r="AE209" s="101">
        <v>89097</v>
      </c>
      <c r="AF209" s="101">
        <f t="shared" si="22"/>
        <v>271</v>
      </c>
      <c r="AG209" s="101">
        <v>96310</v>
      </c>
      <c r="AH209" s="101">
        <v>96979</v>
      </c>
      <c r="AI209" s="101">
        <f t="shared" si="23"/>
        <v>-669</v>
      </c>
    </row>
    <row r="210" spans="2:35" x14ac:dyDescent="0.25">
      <c r="B210" t="s">
        <v>151</v>
      </c>
      <c r="C210" s="101">
        <v>77693000</v>
      </c>
      <c r="D210" s="101">
        <f t="shared" si="18"/>
        <v>70502941</v>
      </c>
      <c r="E210" s="101">
        <v>0</v>
      </c>
      <c r="F210" s="101">
        <v>0</v>
      </c>
      <c r="G210" s="101">
        <v>6761437</v>
      </c>
      <c r="H210" s="101">
        <v>428622</v>
      </c>
      <c r="I210" s="101">
        <v>9789000</v>
      </c>
      <c r="K210" s="101">
        <v>894000</v>
      </c>
      <c r="L210" s="101">
        <f t="shared" si="19"/>
        <v>4324000</v>
      </c>
      <c r="M210" s="101">
        <v>92700000</v>
      </c>
      <c r="N210" s="101">
        <v>5</v>
      </c>
      <c r="O210" s="101">
        <v>1718</v>
      </c>
      <c r="P210" s="101">
        <v>1415</v>
      </c>
      <c r="Q210" s="101">
        <v>1284</v>
      </c>
      <c r="R210" s="101">
        <v>123299</v>
      </c>
      <c r="S210" s="101">
        <v>121305</v>
      </c>
      <c r="T210" s="101">
        <v>96089</v>
      </c>
      <c r="U210" s="101">
        <v>96494</v>
      </c>
      <c r="V210" s="101">
        <v>102550</v>
      </c>
      <c r="W210" s="101">
        <v>101584</v>
      </c>
      <c r="X210" s="149">
        <f t="shared" si="20"/>
        <v>0.75183091509257982</v>
      </c>
      <c r="Y210" s="184">
        <v>4.8500000000000001E-2</v>
      </c>
      <c r="Z210" s="253">
        <v>7.5</v>
      </c>
      <c r="AA210" s="149">
        <f t="shared" si="21"/>
        <v>1.6172069522056139E-2</v>
      </c>
      <c r="AB210" s="149"/>
      <c r="AD210" s="101">
        <v>111645</v>
      </c>
      <c r="AE210" s="101">
        <v>113918</v>
      </c>
      <c r="AF210" s="101">
        <f t="shared" si="22"/>
        <v>-2273</v>
      </c>
      <c r="AG210" s="101">
        <v>123299</v>
      </c>
      <c r="AH210" s="101">
        <v>121305</v>
      </c>
      <c r="AI210" s="101">
        <f t="shared" si="23"/>
        <v>1994</v>
      </c>
    </row>
    <row r="211" spans="2:35" x14ac:dyDescent="0.25">
      <c r="B211" t="s">
        <v>152</v>
      </c>
      <c r="C211" s="101">
        <v>38289000</v>
      </c>
      <c r="D211" s="101">
        <f t="shared" si="18"/>
        <v>35888534</v>
      </c>
      <c r="E211" s="101">
        <v>0</v>
      </c>
      <c r="F211" s="101">
        <v>0</v>
      </c>
      <c r="G211" s="101">
        <v>2099339</v>
      </c>
      <c r="H211" s="101">
        <v>301127</v>
      </c>
      <c r="I211" s="101">
        <v>3700000</v>
      </c>
      <c r="K211" s="101">
        <v>157000</v>
      </c>
      <c r="L211" s="101">
        <f t="shared" si="19"/>
        <v>5621000</v>
      </c>
      <c r="M211" s="101">
        <v>47767000</v>
      </c>
      <c r="N211" s="101">
        <v>48</v>
      </c>
      <c r="O211" s="101">
        <v>349</v>
      </c>
      <c r="P211" s="101">
        <v>138</v>
      </c>
      <c r="Q211" s="101">
        <v>5468</v>
      </c>
      <c r="R211" s="101">
        <v>62279</v>
      </c>
      <c r="S211" s="101">
        <v>63009</v>
      </c>
      <c r="T211" s="101">
        <v>47490</v>
      </c>
      <c r="U211" s="101">
        <v>47758</v>
      </c>
      <c r="V211" s="101">
        <v>50815</v>
      </c>
      <c r="W211" s="101">
        <v>50935</v>
      </c>
      <c r="X211" s="149">
        <f t="shared" si="20"/>
        <v>0.76698405562067473</v>
      </c>
      <c r="Y211" s="184">
        <v>4.99E-2</v>
      </c>
      <c r="Z211" s="253">
        <v>7.5</v>
      </c>
      <c r="AA211" s="149">
        <f t="shared" si="21"/>
        <v>-1.1721447036721849E-2</v>
      </c>
      <c r="AB211" s="149"/>
      <c r="AD211" s="101">
        <v>58598</v>
      </c>
      <c r="AE211" s="101">
        <v>59441</v>
      </c>
      <c r="AF211" s="101">
        <f t="shared" si="22"/>
        <v>-843</v>
      </c>
      <c r="AG211" s="101">
        <v>62279</v>
      </c>
      <c r="AH211" s="101">
        <v>63009</v>
      </c>
      <c r="AI211" s="101">
        <f t="shared" si="23"/>
        <v>-730</v>
      </c>
    </row>
    <row r="212" spans="2:35" x14ac:dyDescent="0.25">
      <c r="B212" t="s">
        <v>153</v>
      </c>
      <c r="C212" s="101">
        <v>43664000</v>
      </c>
      <c r="D212" s="101">
        <f t="shared" si="18"/>
        <v>40381927</v>
      </c>
      <c r="E212" s="101">
        <v>0</v>
      </c>
      <c r="F212" s="101">
        <v>0</v>
      </c>
      <c r="G212" s="101">
        <v>2964155</v>
      </c>
      <c r="H212" s="101">
        <v>317918</v>
      </c>
      <c r="I212" s="101">
        <v>4127000</v>
      </c>
      <c r="K212" s="101">
        <v>27000</v>
      </c>
      <c r="L212" s="101">
        <f t="shared" si="19"/>
        <v>631000</v>
      </c>
      <c r="M212" s="101">
        <v>48449000</v>
      </c>
      <c r="N212" s="101">
        <v>41</v>
      </c>
      <c r="O212" s="101">
        <v>767</v>
      </c>
      <c r="P212" s="101">
        <v>252</v>
      </c>
      <c r="Q212" s="101">
        <v>3398</v>
      </c>
      <c r="R212" s="101">
        <v>66990</v>
      </c>
      <c r="S212" s="101">
        <v>67396</v>
      </c>
      <c r="T212" s="101">
        <v>53492</v>
      </c>
      <c r="U212" s="101">
        <v>52903</v>
      </c>
      <c r="V212" s="101">
        <v>64104</v>
      </c>
      <c r="W212" s="101">
        <v>62821</v>
      </c>
      <c r="X212" s="149">
        <f t="shared" si="20"/>
        <v>0.72322734736527838</v>
      </c>
      <c r="Y212" s="184">
        <v>3.6700000000000003E-2</v>
      </c>
      <c r="Z212" s="253">
        <v>10</v>
      </c>
      <c r="AA212" s="149">
        <f t="shared" si="21"/>
        <v>-6.0606060606060606E-3</v>
      </c>
      <c r="AB212" s="149"/>
      <c r="AD212" s="101">
        <v>62267</v>
      </c>
      <c r="AE212" s="101">
        <v>62708</v>
      </c>
      <c r="AF212" s="101">
        <f t="shared" si="22"/>
        <v>-441</v>
      </c>
      <c r="AG212" s="101">
        <v>66990</v>
      </c>
      <c r="AH212" s="101">
        <v>67396</v>
      </c>
      <c r="AI212" s="101">
        <f t="shared" si="23"/>
        <v>-406</v>
      </c>
    </row>
    <row r="213" spans="2:35" x14ac:dyDescent="0.25">
      <c r="B213" t="s">
        <v>194</v>
      </c>
      <c r="C213" s="101">
        <v>66294000</v>
      </c>
      <c r="D213" s="101">
        <f t="shared" si="18"/>
        <v>59524786</v>
      </c>
      <c r="E213" s="101">
        <v>0</v>
      </c>
      <c r="F213" s="101">
        <v>0</v>
      </c>
      <c r="G213" s="101">
        <v>6326221</v>
      </c>
      <c r="H213" s="101">
        <v>442993</v>
      </c>
      <c r="I213" s="101">
        <v>4900000</v>
      </c>
      <c r="K213" s="101">
        <v>226000</v>
      </c>
      <c r="L213" s="101">
        <f t="shared" si="19"/>
        <v>4600000</v>
      </c>
      <c r="M213" s="101">
        <v>76020000</v>
      </c>
      <c r="N213" s="101">
        <v>615</v>
      </c>
      <c r="O213" s="101">
        <v>364</v>
      </c>
      <c r="P213" s="101">
        <v>496</v>
      </c>
      <c r="Q213" s="101">
        <v>61</v>
      </c>
      <c r="R213" s="101">
        <v>98023</v>
      </c>
      <c r="S213" s="101">
        <v>99156</v>
      </c>
      <c r="T213" s="101">
        <v>74521</v>
      </c>
      <c r="U213" s="101">
        <v>74655</v>
      </c>
      <c r="V213" s="101">
        <v>79638</v>
      </c>
      <c r="W213" s="101">
        <v>81918</v>
      </c>
      <c r="X213" s="149">
        <f t="shared" si="20"/>
        <v>0.77553227303796046</v>
      </c>
      <c r="Y213" s="184">
        <v>4.8099999999999997E-2</v>
      </c>
      <c r="Z213" s="253">
        <v>5.5</v>
      </c>
      <c r="AA213" s="149">
        <f t="shared" si="21"/>
        <v>-1.1558511777848056E-2</v>
      </c>
      <c r="AB213" s="149"/>
      <c r="AD213" s="101">
        <v>88888</v>
      </c>
      <c r="AE213" s="101">
        <v>91450</v>
      </c>
      <c r="AF213" s="101">
        <f t="shared" si="22"/>
        <v>-2562</v>
      </c>
      <c r="AG213" s="101">
        <v>98023</v>
      </c>
      <c r="AH213" s="101">
        <v>99156</v>
      </c>
      <c r="AI213" s="101">
        <f t="shared" si="23"/>
        <v>-1133</v>
      </c>
    </row>
    <row r="214" spans="2:35" x14ac:dyDescent="0.25">
      <c r="B214" t="s">
        <v>380</v>
      </c>
      <c r="C214" s="101">
        <v>127933000</v>
      </c>
      <c r="D214" s="101">
        <f t="shared" si="18"/>
        <v>120319255</v>
      </c>
      <c r="E214" s="101">
        <v>0</v>
      </c>
      <c r="F214" s="101">
        <v>0</v>
      </c>
      <c r="G214" s="101">
        <v>6638716</v>
      </c>
      <c r="H214" s="101">
        <v>975029</v>
      </c>
      <c r="I214" s="101">
        <v>17740000</v>
      </c>
      <c r="K214" s="101">
        <v>1510000</v>
      </c>
      <c r="L214" s="101">
        <f t="shared" si="19"/>
        <v>8457000</v>
      </c>
      <c r="M214" s="101">
        <v>155640000</v>
      </c>
      <c r="N214" s="101">
        <v>331</v>
      </c>
      <c r="O214" s="101">
        <v>4014</v>
      </c>
      <c r="P214" s="101">
        <v>80</v>
      </c>
      <c r="Q214" s="101">
        <v>5876</v>
      </c>
      <c r="R214" s="101">
        <v>233549</v>
      </c>
      <c r="S214" s="101">
        <v>233214</v>
      </c>
      <c r="T214" s="101">
        <v>163559</v>
      </c>
      <c r="U214" s="101">
        <v>162345</v>
      </c>
      <c r="V214" s="101">
        <v>170714</v>
      </c>
      <c r="W214" s="101">
        <v>173617</v>
      </c>
      <c r="X214" s="149">
        <f t="shared" si="20"/>
        <v>0.66641261576799726</v>
      </c>
      <c r="Y214" s="184">
        <v>4.02E-2</v>
      </c>
      <c r="Z214" s="253">
        <v>10</v>
      </c>
      <c r="AA214" s="149">
        <f t="shared" si="21"/>
        <v>1.434388500914155E-3</v>
      </c>
      <c r="AB214" s="149"/>
      <c r="AD214" s="101">
        <v>191290</v>
      </c>
      <c r="AE214" s="101">
        <v>192797</v>
      </c>
      <c r="AF214" s="101">
        <f t="shared" si="22"/>
        <v>-1507</v>
      </c>
      <c r="AG214" s="101">
        <v>233549</v>
      </c>
      <c r="AH214" s="101">
        <v>233214</v>
      </c>
      <c r="AI214" s="101">
        <f t="shared" si="23"/>
        <v>335</v>
      </c>
    </row>
    <row r="215" spans="2:35" x14ac:dyDescent="0.25">
      <c r="B215" t="s">
        <v>131</v>
      </c>
      <c r="C215" s="101">
        <v>63197000</v>
      </c>
      <c r="D215" s="101">
        <f t="shared" si="18"/>
        <v>59886774</v>
      </c>
      <c r="E215" s="101">
        <v>0</v>
      </c>
      <c r="F215" s="101">
        <v>0</v>
      </c>
      <c r="G215" s="101">
        <v>2877919</v>
      </c>
      <c r="H215" s="101">
        <v>432307</v>
      </c>
      <c r="I215" s="101">
        <v>9580000</v>
      </c>
      <c r="K215" s="101">
        <v>447000</v>
      </c>
      <c r="L215" s="101">
        <f t="shared" si="19"/>
        <v>15364000</v>
      </c>
      <c r="M215" s="101">
        <v>88588000</v>
      </c>
      <c r="N215" s="101">
        <v>1</v>
      </c>
      <c r="O215" s="101">
        <v>815</v>
      </c>
      <c r="P215" s="101">
        <v>51</v>
      </c>
      <c r="Q215" s="101">
        <v>0</v>
      </c>
      <c r="R215" s="101">
        <v>91631</v>
      </c>
      <c r="S215" s="101">
        <v>94508</v>
      </c>
      <c r="T215" s="101">
        <v>77041</v>
      </c>
      <c r="U215" s="101">
        <v>80212</v>
      </c>
      <c r="V215" s="101">
        <v>80340</v>
      </c>
      <c r="W215" s="101">
        <v>80772</v>
      </c>
      <c r="X215" s="149">
        <f t="shared" si="20"/>
        <v>0.96679071493271929</v>
      </c>
      <c r="Y215" s="184">
        <v>5.0500000000000003E-2</v>
      </c>
      <c r="Z215" s="253">
        <v>7</v>
      </c>
      <c r="AA215" s="149">
        <f t="shared" si="21"/>
        <v>-3.1397671093843789E-2</v>
      </c>
      <c r="AB215" s="149"/>
      <c r="AD215" s="101">
        <v>86296</v>
      </c>
      <c r="AE215" s="101">
        <v>86849</v>
      </c>
      <c r="AF215" s="101">
        <f t="shared" si="22"/>
        <v>-553</v>
      </c>
      <c r="AG215" s="101">
        <v>91631</v>
      </c>
      <c r="AH215" s="101">
        <v>94508</v>
      </c>
      <c r="AI215" s="101">
        <f t="shared" si="23"/>
        <v>-2877</v>
      </c>
    </row>
    <row r="216" spans="2:35" x14ac:dyDescent="0.25">
      <c r="B216" t="s">
        <v>265</v>
      </c>
      <c r="C216" s="101">
        <v>17372000</v>
      </c>
      <c r="D216" s="101">
        <f t="shared" si="18"/>
        <v>17092458</v>
      </c>
      <c r="E216" s="101">
        <v>0</v>
      </c>
      <c r="F216" s="101">
        <v>0</v>
      </c>
      <c r="G216" s="101">
        <v>32294</v>
      </c>
      <c r="H216" s="101">
        <v>247248</v>
      </c>
      <c r="I216" s="101">
        <v>1519000</v>
      </c>
      <c r="K216" s="101">
        <v>94000</v>
      </c>
      <c r="L216" s="101">
        <f t="shared" si="19"/>
        <v>252000</v>
      </c>
      <c r="M216" s="101">
        <v>19237000</v>
      </c>
      <c r="N216" s="101">
        <v>12</v>
      </c>
      <c r="O216" s="101">
        <v>816</v>
      </c>
      <c r="P216" s="101">
        <v>60</v>
      </c>
      <c r="Q216" s="101">
        <v>90</v>
      </c>
      <c r="R216" s="101">
        <v>28707</v>
      </c>
      <c r="S216" s="101">
        <v>30243</v>
      </c>
      <c r="T216" s="101">
        <v>23043</v>
      </c>
      <c r="U216" s="101">
        <v>23504</v>
      </c>
      <c r="V216" s="101">
        <v>25681</v>
      </c>
      <c r="W216" s="101">
        <v>25973</v>
      </c>
      <c r="X216" s="149">
        <f t="shared" si="20"/>
        <v>0.67011530288779741</v>
      </c>
      <c r="Y216" s="184">
        <v>4.4499999999999998E-2</v>
      </c>
      <c r="Z216" s="253">
        <v>5.5</v>
      </c>
      <c r="AA216" s="149">
        <f t="shared" si="21"/>
        <v>-5.3506113491482911E-2</v>
      </c>
      <c r="AB216" s="149"/>
      <c r="AD216" s="101">
        <v>29974</v>
      </c>
      <c r="AE216" s="101">
        <v>29557</v>
      </c>
      <c r="AF216" s="101">
        <f t="shared" si="22"/>
        <v>417</v>
      </c>
      <c r="AG216" s="101">
        <v>28707</v>
      </c>
      <c r="AH216" s="101">
        <v>30243</v>
      </c>
      <c r="AI216" s="101">
        <f t="shared" si="23"/>
        <v>-1536</v>
      </c>
    </row>
    <row r="217" spans="2:35" x14ac:dyDescent="0.25">
      <c r="B217" t="s">
        <v>266</v>
      </c>
      <c r="C217" s="101">
        <v>23528000</v>
      </c>
      <c r="D217" s="101">
        <f t="shared" si="18"/>
        <v>22901517</v>
      </c>
      <c r="E217" s="101">
        <v>0</v>
      </c>
      <c r="F217" s="101">
        <v>0</v>
      </c>
      <c r="G217" s="101">
        <v>364032</v>
      </c>
      <c r="H217" s="101">
        <v>262451</v>
      </c>
      <c r="I217" s="101">
        <v>1840000</v>
      </c>
      <c r="K217" s="101">
        <v>153000</v>
      </c>
      <c r="L217" s="101">
        <f t="shared" si="19"/>
        <v>545000</v>
      </c>
      <c r="M217" s="101">
        <v>26066000</v>
      </c>
      <c r="N217" s="101">
        <v>5</v>
      </c>
      <c r="O217" s="101">
        <v>7325</v>
      </c>
      <c r="P217" s="101">
        <v>0</v>
      </c>
      <c r="Q217" s="101">
        <v>292</v>
      </c>
      <c r="R217" s="101">
        <v>43609</v>
      </c>
      <c r="S217" s="101">
        <v>42290</v>
      </c>
      <c r="T217" s="101">
        <v>38550</v>
      </c>
      <c r="U217" s="101">
        <v>38104</v>
      </c>
      <c r="V217" s="101">
        <v>42628</v>
      </c>
      <c r="W217" s="101">
        <v>40786</v>
      </c>
      <c r="X217" s="149">
        <f t="shared" si="20"/>
        <v>0.59772065399344176</v>
      </c>
      <c r="Y217" s="184">
        <v>3.2000000000000001E-2</v>
      </c>
      <c r="Z217" s="253">
        <v>9</v>
      </c>
      <c r="AA217" s="149">
        <f t="shared" si="21"/>
        <v>3.0246050127267308E-2</v>
      </c>
      <c r="AB217" s="149"/>
      <c r="AD217" s="101">
        <v>40086</v>
      </c>
      <c r="AE217" s="101">
        <v>40486</v>
      </c>
      <c r="AF217" s="101">
        <f t="shared" si="22"/>
        <v>-400</v>
      </c>
      <c r="AG217" s="101">
        <v>43609</v>
      </c>
      <c r="AH217" s="101">
        <v>42290</v>
      </c>
      <c r="AI217" s="101">
        <f t="shared" si="23"/>
        <v>1319</v>
      </c>
    </row>
    <row r="218" spans="2:35" x14ac:dyDescent="0.25">
      <c r="B218" t="s">
        <v>132</v>
      </c>
      <c r="C218" s="101">
        <v>67549000</v>
      </c>
      <c r="D218" s="101">
        <f t="shared" si="18"/>
        <v>63487852</v>
      </c>
      <c r="E218" s="101">
        <v>0</v>
      </c>
      <c r="F218" s="101">
        <v>0</v>
      </c>
      <c r="G218" s="101">
        <v>3548818</v>
      </c>
      <c r="H218" s="101">
        <v>512330</v>
      </c>
      <c r="I218" s="101">
        <v>9040000</v>
      </c>
      <c r="K218" s="101">
        <v>413000</v>
      </c>
      <c r="L218" s="101">
        <f t="shared" si="19"/>
        <v>3758000</v>
      </c>
      <c r="M218" s="101">
        <v>80760000</v>
      </c>
      <c r="N218" s="101">
        <v>54</v>
      </c>
      <c r="O218" s="101">
        <v>490</v>
      </c>
      <c r="P218" s="101">
        <v>210</v>
      </c>
      <c r="Q218" s="101">
        <v>1076</v>
      </c>
      <c r="R218" s="101">
        <v>102876</v>
      </c>
      <c r="S218" s="101">
        <v>101732</v>
      </c>
      <c r="T218" s="101">
        <v>81198</v>
      </c>
      <c r="U218" s="101">
        <v>81260</v>
      </c>
      <c r="V218" s="101">
        <v>84262</v>
      </c>
      <c r="W218" s="101">
        <v>84225</v>
      </c>
      <c r="X218" s="149">
        <f t="shared" si="20"/>
        <v>0.78502274582993115</v>
      </c>
      <c r="Y218" s="184">
        <v>5.2999999999999999E-2</v>
      </c>
      <c r="Z218" s="253">
        <v>8</v>
      </c>
      <c r="AA218" s="149">
        <f t="shared" si="21"/>
        <v>1.1120183521909872E-2</v>
      </c>
      <c r="AB218" s="149"/>
      <c r="AD218" s="101">
        <v>94792</v>
      </c>
      <c r="AE218" s="101">
        <v>94875</v>
      </c>
      <c r="AF218" s="101">
        <f t="shared" si="22"/>
        <v>-83</v>
      </c>
      <c r="AG218" s="101">
        <v>102876</v>
      </c>
      <c r="AH218" s="101">
        <v>101732</v>
      </c>
      <c r="AI218" s="101">
        <f t="shared" si="23"/>
        <v>1144</v>
      </c>
    </row>
    <row r="219" spans="2:35" x14ac:dyDescent="0.25">
      <c r="B219" t="s">
        <v>381</v>
      </c>
      <c r="C219" s="101">
        <v>256644000</v>
      </c>
      <c r="D219" s="101">
        <f t="shared" si="18"/>
        <v>212069536</v>
      </c>
      <c r="E219" s="101">
        <v>0</v>
      </c>
      <c r="F219" s="101">
        <v>20284076</v>
      </c>
      <c r="G219" s="101">
        <v>19253235</v>
      </c>
      <c r="H219" s="101">
        <v>5037153</v>
      </c>
      <c r="I219" s="101">
        <v>34865000</v>
      </c>
      <c r="K219" s="101">
        <v>3714000</v>
      </c>
      <c r="L219" s="101">
        <f t="shared" si="19"/>
        <v>12908000</v>
      </c>
      <c r="M219" s="101">
        <v>308131000</v>
      </c>
      <c r="N219" s="101">
        <v>68</v>
      </c>
      <c r="O219" s="101">
        <v>2305</v>
      </c>
      <c r="P219" s="101">
        <v>927</v>
      </c>
      <c r="Q219" s="101">
        <v>14237</v>
      </c>
      <c r="R219" s="101">
        <v>419493</v>
      </c>
      <c r="S219" s="101">
        <v>418936</v>
      </c>
      <c r="T219" s="101">
        <v>342720</v>
      </c>
      <c r="U219" s="101">
        <v>344986</v>
      </c>
      <c r="V219" s="101">
        <v>355575</v>
      </c>
      <c r="W219" s="101">
        <v>362227</v>
      </c>
      <c r="X219" s="149">
        <f t="shared" si="20"/>
        <v>0.73453192305950277</v>
      </c>
      <c r="Y219" s="184">
        <v>7.3099999999999998E-2</v>
      </c>
      <c r="Z219" s="253">
        <v>8</v>
      </c>
      <c r="AA219" s="149">
        <f t="shared" si="21"/>
        <v>1.327793312403306E-3</v>
      </c>
      <c r="AB219" s="149"/>
      <c r="AD219" s="101">
        <v>386843</v>
      </c>
      <c r="AE219" s="101">
        <v>376967</v>
      </c>
      <c r="AF219" s="101">
        <f t="shared" si="22"/>
        <v>9876</v>
      </c>
      <c r="AG219" s="101">
        <v>419493</v>
      </c>
      <c r="AH219" s="101">
        <v>418936</v>
      </c>
      <c r="AI219" s="101">
        <f t="shared" si="23"/>
        <v>557</v>
      </c>
    </row>
    <row r="220" spans="2:35" x14ac:dyDescent="0.25">
      <c r="B220" t="s">
        <v>195</v>
      </c>
      <c r="C220" s="101">
        <v>89509000</v>
      </c>
      <c r="D220" s="101">
        <f t="shared" si="18"/>
        <v>83807771</v>
      </c>
      <c r="E220" s="101">
        <v>0</v>
      </c>
      <c r="F220" s="101">
        <v>0</v>
      </c>
      <c r="G220" s="101">
        <v>5137251</v>
      </c>
      <c r="H220" s="101">
        <v>563978</v>
      </c>
      <c r="I220" s="101">
        <v>10417000</v>
      </c>
      <c r="K220" s="101">
        <v>1010000</v>
      </c>
      <c r="L220" s="101">
        <f t="shared" si="19"/>
        <v>1307000</v>
      </c>
      <c r="M220" s="101">
        <v>102243000</v>
      </c>
      <c r="N220" s="101">
        <v>329</v>
      </c>
      <c r="O220" s="101">
        <v>2177</v>
      </c>
      <c r="P220" s="101">
        <v>700</v>
      </c>
      <c r="Q220" s="101">
        <v>499</v>
      </c>
      <c r="R220" s="101">
        <v>139189</v>
      </c>
      <c r="S220" s="101">
        <v>136109</v>
      </c>
      <c r="T220" s="101">
        <v>107641</v>
      </c>
      <c r="U220" s="101">
        <v>106929</v>
      </c>
      <c r="V220" s="101">
        <v>126032</v>
      </c>
      <c r="W220" s="101">
        <v>126675</v>
      </c>
      <c r="X220" s="149">
        <f t="shared" si="20"/>
        <v>0.73456235765757349</v>
      </c>
      <c r="Y220" s="184">
        <v>4.0399999999999998E-2</v>
      </c>
      <c r="Z220" s="253">
        <v>8</v>
      </c>
      <c r="AA220" s="149">
        <f t="shared" si="21"/>
        <v>2.2128185416951052E-2</v>
      </c>
      <c r="AB220" s="149"/>
      <c r="AD220" s="101">
        <v>134593</v>
      </c>
      <c r="AE220" s="101">
        <v>131461</v>
      </c>
      <c r="AF220" s="101">
        <f t="shared" si="22"/>
        <v>3132</v>
      </c>
      <c r="AG220" s="101">
        <v>139189</v>
      </c>
      <c r="AH220" s="101">
        <v>136109</v>
      </c>
      <c r="AI220" s="101">
        <f t="shared" si="23"/>
        <v>3080</v>
      </c>
    </row>
    <row r="221" spans="2:35" x14ac:dyDescent="0.25">
      <c r="B221" t="s">
        <v>267</v>
      </c>
      <c r="C221" s="101">
        <v>25173000</v>
      </c>
      <c r="D221" s="101">
        <f t="shared" si="18"/>
        <v>24575625</v>
      </c>
      <c r="E221" s="101">
        <v>0</v>
      </c>
      <c r="F221" s="101">
        <v>0</v>
      </c>
      <c r="G221" s="101">
        <v>263508</v>
      </c>
      <c r="H221" s="101">
        <v>333867</v>
      </c>
      <c r="I221" s="101">
        <v>3643000</v>
      </c>
      <c r="K221" s="101">
        <v>100000</v>
      </c>
      <c r="L221" s="101">
        <f t="shared" si="19"/>
        <v>7289000</v>
      </c>
      <c r="M221" s="101">
        <v>36205000</v>
      </c>
      <c r="N221" s="101">
        <v>2</v>
      </c>
      <c r="O221" s="101">
        <v>799</v>
      </c>
      <c r="P221" s="101">
        <v>3</v>
      </c>
      <c r="Q221" s="101">
        <v>0</v>
      </c>
      <c r="R221" s="101">
        <v>57534</v>
      </c>
      <c r="S221" s="101">
        <v>58474</v>
      </c>
      <c r="T221" s="101">
        <v>37781</v>
      </c>
      <c r="U221" s="101">
        <v>38118</v>
      </c>
      <c r="V221" s="101">
        <v>41883</v>
      </c>
      <c r="W221" s="101">
        <v>42252</v>
      </c>
      <c r="X221" s="149">
        <f t="shared" si="20"/>
        <v>0.62928007786700035</v>
      </c>
      <c r="Y221" s="184">
        <v>6.25E-2</v>
      </c>
      <c r="Z221" s="253">
        <v>6</v>
      </c>
      <c r="AA221" s="149">
        <f t="shared" si="21"/>
        <v>-1.6338165258803491E-2</v>
      </c>
      <c r="AB221" s="149"/>
      <c r="AD221" s="101">
        <v>48438</v>
      </c>
      <c r="AE221" s="101">
        <v>49056</v>
      </c>
      <c r="AF221" s="101">
        <f t="shared" si="22"/>
        <v>-618</v>
      </c>
      <c r="AG221" s="101">
        <v>57534</v>
      </c>
      <c r="AH221" s="101">
        <v>58474</v>
      </c>
      <c r="AI221" s="101">
        <f t="shared" si="23"/>
        <v>-940</v>
      </c>
    </row>
    <row r="222" spans="2:35" x14ac:dyDescent="0.25">
      <c r="B222" t="s">
        <v>224</v>
      </c>
      <c r="C222" s="101">
        <v>20442000</v>
      </c>
      <c r="D222" s="101">
        <f t="shared" si="18"/>
        <v>19637316</v>
      </c>
      <c r="E222" s="101">
        <v>0</v>
      </c>
      <c r="F222" s="101">
        <v>0</v>
      </c>
      <c r="G222" s="101">
        <v>505181</v>
      </c>
      <c r="H222" s="101">
        <v>299503</v>
      </c>
      <c r="I222" s="101">
        <v>1599000</v>
      </c>
      <c r="K222" s="101">
        <v>64000</v>
      </c>
      <c r="L222" s="101">
        <f t="shared" si="19"/>
        <v>540000</v>
      </c>
      <c r="M222" s="101">
        <v>22645000</v>
      </c>
      <c r="N222" s="101">
        <v>42</v>
      </c>
      <c r="O222" s="101">
        <v>109</v>
      </c>
      <c r="P222" s="101">
        <v>35</v>
      </c>
      <c r="Q222" s="101">
        <v>0</v>
      </c>
      <c r="R222" s="101">
        <v>32021</v>
      </c>
      <c r="S222" s="101">
        <v>32218</v>
      </c>
      <c r="T222" s="101">
        <v>24950</v>
      </c>
      <c r="U222" s="101">
        <v>25212</v>
      </c>
      <c r="V222" s="101">
        <v>29029</v>
      </c>
      <c r="W222" s="101">
        <v>28779</v>
      </c>
      <c r="X222" s="149">
        <f t="shared" si="20"/>
        <v>0.70719215514818401</v>
      </c>
      <c r="Y222" s="184">
        <v>4.6699999999999998E-2</v>
      </c>
      <c r="Z222" s="253">
        <v>6</v>
      </c>
      <c r="AA222" s="149">
        <f t="shared" si="21"/>
        <v>-6.1522126104743766E-3</v>
      </c>
      <c r="AB222" s="149"/>
      <c r="AD222" s="101">
        <v>30330</v>
      </c>
      <c r="AE222" s="101">
        <v>30579</v>
      </c>
      <c r="AF222" s="101">
        <f t="shared" si="22"/>
        <v>-249</v>
      </c>
      <c r="AG222" s="101">
        <v>32021</v>
      </c>
      <c r="AH222" s="101">
        <v>32218</v>
      </c>
      <c r="AI222" s="101">
        <f t="shared" si="23"/>
        <v>-197</v>
      </c>
    </row>
    <row r="223" spans="2:35" x14ac:dyDescent="0.25">
      <c r="B223" t="s">
        <v>196</v>
      </c>
      <c r="C223" s="101">
        <v>92038000</v>
      </c>
      <c r="D223" s="101">
        <f t="shared" si="18"/>
        <v>87673583</v>
      </c>
      <c r="E223" s="101">
        <v>0</v>
      </c>
      <c r="F223" s="101">
        <v>0</v>
      </c>
      <c r="G223" s="101">
        <v>3764251</v>
      </c>
      <c r="H223" s="101">
        <v>600166</v>
      </c>
      <c r="I223" s="101">
        <v>10667000</v>
      </c>
      <c r="K223" s="101">
        <v>290000</v>
      </c>
      <c r="L223" s="101">
        <f t="shared" si="19"/>
        <v>7819000</v>
      </c>
      <c r="M223" s="101">
        <v>110814000</v>
      </c>
      <c r="N223" s="101">
        <v>42</v>
      </c>
      <c r="O223" s="101">
        <v>1290</v>
      </c>
      <c r="P223" s="101">
        <v>10</v>
      </c>
      <c r="Q223" s="101">
        <v>866</v>
      </c>
      <c r="R223" s="101">
        <v>141797</v>
      </c>
      <c r="S223" s="101">
        <v>142584</v>
      </c>
      <c r="T223" s="101">
        <v>113661</v>
      </c>
      <c r="U223" s="101">
        <v>114728</v>
      </c>
      <c r="V223" s="101">
        <v>118515</v>
      </c>
      <c r="W223" s="101">
        <v>121013</v>
      </c>
      <c r="X223" s="149">
        <f t="shared" si="20"/>
        <v>0.78149749289477211</v>
      </c>
      <c r="Y223" s="184">
        <v>5.4899999999999997E-2</v>
      </c>
      <c r="Z223" s="253">
        <v>5</v>
      </c>
      <c r="AA223" s="149">
        <f t="shared" si="21"/>
        <v>-5.5501879447378997E-3</v>
      </c>
      <c r="AB223" s="149"/>
      <c r="AD223" s="101">
        <v>132197</v>
      </c>
      <c r="AE223" s="101">
        <v>130680</v>
      </c>
      <c r="AF223" s="101">
        <f t="shared" si="22"/>
        <v>1517</v>
      </c>
      <c r="AG223" s="101">
        <v>141797</v>
      </c>
      <c r="AH223" s="101">
        <v>142584</v>
      </c>
      <c r="AI223" s="101">
        <f t="shared" si="23"/>
        <v>-787</v>
      </c>
    </row>
    <row r="224" spans="2:35" x14ac:dyDescent="0.25">
      <c r="B224" t="s">
        <v>310</v>
      </c>
      <c r="C224" s="101">
        <v>67957000</v>
      </c>
      <c r="D224" s="101">
        <f t="shared" si="18"/>
        <v>65446640</v>
      </c>
      <c r="E224" s="101">
        <v>0</v>
      </c>
      <c r="F224" s="101">
        <v>0</v>
      </c>
      <c r="G224" s="101">
        <v>1945935</v>
      </c>
      <c r="H224" s="101">
        <v>564425</v>
      </c>
      <c r="I224" s="101">
        <v>8896000</v>
      </c>
      <c r="K224" s="101">
        <v>1000000</v>
      </c>
      <c r="L224" s="101">
        <f t="shared" si="19"/>
        <v>1615000</v>
      </c>
      <c r="M224" s="101">
        <v>79468000</v>
      </c>
      <c r="N224" s="101">
        <v>1333</v>
      </c>
      <c r="O224" s="101">
        <v>2048</v>
      </c>
      <c r="P224" s="101">
        <v>275</v>
      </c>
      <c r="Q224" s="101">
        <v>2397</v>
      </c>
      <c r="R224" s="101">
        <v>109859</v>
      </c>
      <c r="S224" s="101">
        <v>111709</v>
      </c>
      <c r="T224" s="101">
        <v>88301</v>
      </c>
      <c r="U224" s="101">
        <v>88289</v>
      </c>
      <c r="V224" s="101">
        <v>94765</v>
      </c>
      <c r="W224" s="101">
        <v>95952</v>
      </c>
      <c r="X224" s="149">
        <f t="shared" si="20"/>
        <v>0.72336358423069569</v>
      </c>
      <c r="Y224" s="184">
        <v>5.2999999999999999E-2</v>
      </c>
      <c r="Z224" s="253">
        <v>9</v>
      </c>
      <c r="AA224" s="149">
        <f t="shared" si="21"/>
        <v>-1.6839767338133426E-2</v>
      </c>
      <c r="AB224" s="149"/>
      <c r="AD224" s="101">
        <v>103153</v>
      </c>
      <c r="AE224" s="101">
        <v>104779</v>
      </c>
      <c r="AF224" s="101">
        <f t="shared" si="22"/>
        <v>-1626</v>
      </c>
      <c r="AG224" s="101">
        <v>109859</v>
      </c>
      <c r="AH224" s="101">
        <v>111709</v>
      </c>
      <c r="AI224" s="101">
        <f t="shared" si="23"/>
        <v>-1850</v>
      </c>
    </row>
    <row r="225" spans="2:47" x14ac:dyDescent="0.25">
      <c r="B225" t="s">
        <v>415</v>
      </c>
      <c r="C225" s="101">
        <v>90529000</v>
      </c>
      <c r="D225" s="101">
        <f t="shared" si="18"/>
        <v>83566397</v>
      </c>
      <c r="E225" s="101">
        <v>0</v>
      </c>
      <c r="F225" s="101">
        <v>0</v>
      </c>
      <c r="G225" s="101">
        <v>6376946</v>
      </c>
      <c r="H225" s="101">
        <v>585657</v>
      </c>
      <c r="I225" s="101">
        <v>9130000</v>
      </c>
      <c r="K225" s="101">
        <v>487000</v>
      </c>
      <c r="L225" s="101">
        <f t="shared" si="19"/>
        <v>1622000</v>
      </c>
      <c r="M225" s="101">
        <v>101768000</v>
      </c>
      <c r="N225" s="101">
        <v>112</v>
      </c>
      <c r="O225" s="101">
        <v>1139</v>
      </c>
      <c r="P225" s="101">
        <v>562</v>
      </c>
      <c r="Q225" s="101">
        <v>386</v>
      </c>
      <c r="R225" s="101">
        <v>131297</v>
      </c>
      <c r="S225" s="101">
        <v>128524</v>
      </c>
      <c r="T225" s="101">
        <v>102350</v>
      </c>
      <c r="U225" s="101">
        <v>101980</v>
      </c>
      <c r="V225" s="101">
        <v>112450</v>
      </c>
      <c r="W225" s="101">
        <v>112473</v>
      </c>
      <c r="X225" s="149">
        <f t="shared" si="20"/>
        <v>0.77509767930721951</v>
      </c>
      <c r="Y225" s="184">
        <v>4.1099999999999998E-2</v>
      </c>
      <c r="Z225" s="253">
        <v>8</v>
      </c>
      <c r="AA225" s="149">
        <f t="shared" si="21"/>
        <v>2.1120056056117047E-2</v>
      </c>
      <c r="AB225" s="149"/>
      <c r="AD225" s="101">
        <v>122816</v>
      </c>
      <c r="AE225" s="101">
        <v>121587</v>
      </c>
      <c r="AF225" s="101">
        <f t="shared" si="22"/>
        <v>1229</v>
      </c>
      <c r="AG225" s="101">
        <v>131297</v>
      </c>
      <c r="AH225" s="101">
        <v>128524</v>
      </c>
      <c r="AI225" s="101">
        <f t="shared" si="23"/>
        <v>2773</v>
      </c>
    </row>
    <row r="226" spans="2:47" x14ac:dyDescent="0.25">
      <c r="B226" t="s">
        <v>122</v>
      </c>
      <c r="C226" s="101">
        <v>39114000</v>
      </c>
      <c r="D226" s="101">
        <f t="shared" si="18"/>
        <v>33779717</v>
      </c>
      <c r="E226" s="101">
        <v>0</v>
      </c>
      <c r="F226" s="101">
        <v>0</v>
      </c>
      <c r="G226" s="101">
        <v>4998231</v>
      </c>
      <c r="H226" s="101">
        <v>336052</v>
      </c>
      <c r="I226" s="101">
        <v>6855000</v>
      </c>
      <c r="K226" s="101">
        <v>452000</v>
      </c>
      <c r="L226" s="101">
        <f t="shared" si="19"/>
        <v>787000</v>
      </c>
      <c r="M226" s="101">
        <v>47208000</v>
      </c>
      <c r="N226" s="101">
        <v>10</v>
      </c>
      <c r="O226" s="101">
        <v>905</v>
      </c>
      <c r="P226" s="101">
        <v>90</v>
      </c>
      <c r="Q226" s="101">
        <v>731</v>
      </c>
      <c r="R226" s="101">
        <v>58057</v>
      </c>
      <c r="S226" s="101">
        <v>60266</v>
      </c>
      <c r="T226" s="101">
        <v>47401</v>
      </c>
      <c r="U226" s="101">
        <v>47399</v>
      </c>
      <c r="V226" s="101">
        <v>50061</v>
      </c>
      <c r="W226" s="101">
        <v>49427</v>
      </c>
      <c r="X226" s="149">
        <f t="shared" si="20"/>
        <v>0.81313192207657992</v>
      </c>
      <c r="Y226" s="184">
        <v>8.3299999999999999E-2</v>
      </c>
      <c r="Z226" s="253">
        <v>7.5</v>
      </c>
      <c r="AA226" s="149">
        <f t="shared" si="21"/>
        <v>-3.8048814096491378E-2</v>
      </c>
      <c r="AB226" s="149"/>
      <c r="AD226" s="101">
        <v>53080</v>
      </c>
      <c r="AE226" s="101">
        <v>54861</v>
      </c>
      <c r="AF226" s="101">
        <f t="shared" si="22"/>
        <v>-1781</v>
      </c>
      <c r="AG226" s="101">
        <v>58057</v>
      </c>
      <c r="AH226" s="101">
        <v>60266</v>
      </c>
      <c r="AI226" s="101">
        <f t="shared" si="23"/>
        <v>-2209</v>
      </c>
    </row>
    <row r="227" spans="2:47" x14ac:dyDescent="0.25">
      <c r="B227" t="s">
        <v>311</v>
      </c>
      <c r="C227" s="101">
        <v>93698000</v>
      </c>
      <c r="D227" s="101">
        <f t="shared" si="18"/>
        <v>92916932</v>
      </c>
      <c r="E227" s="101">
        <v>0</v>
      </c>
      <c r="F227" s="101">
        <v>0</v>
      </c>
      <c r="G227" s="101">
        <v>207221</v>
      </c>
      <c r="H227" s="101">
        <v>573847</v>
      </c>
      <c r="I227" s="101">
        <v>8460000</v>
      </c>
      <c r="K227" s="101">
        <v>447000</v>
      </c>
      <c r="L227" s="101">
        <f t="shared" si="19"/>
        <v>1650000</v>
      </c>
      <c r="M227" s="101">
        <v>104255000</v>
      </c>
      <c r="N227" s="101">
        <v>59</v>
      </c>
      <c r="O227" s="101">
        <v>2428</v>
      </c>
      <c r="P227" s="101">
        <v>634</v>
      </c>
      <c r="Q227" s="101">
        <v>13316</v>
      </c>
      <c r="R227" s="101">
        <v>168678</v>
      </c>
      <c r="S227" s="101">
        <v>170967</v>
      </c>
      <c r="T227" s="101">
        <v>162381</v>
      </c>
      <c r="U227" s="101">
        <v>162609</v>
      </c>
      <c r="V227" s="101">
        <v>162683</v>
      </c>
      <c r="W227" s="101">
        <v>166565</v>
      </c>
      <c r="X227" s="149">
        <f t="shared" si="20"/>
        <v>0.61807111775098111</v>
      </c>
      <c r="Y227" s="184">
        <v>5.4199999999999998E-2</v>
      </c>
      <c r="Z227" s="253">
        <v>8</v>
      </c>
      <c r="AA227" s="149">
        <f t="shared" si="21"/>
        <v>-1.3570234411126526E-2</v>
      </c>
      <c r="AB227" s="149"/>
      <c r="AD227" s="101">
        <v>163957</v>
      </c>
      <c r="AE227" s="101">
        <v>168807</v>
      </c>
      <c r="AF227" s="101">
        <f t="shared" si="22"/>
        <v>-4850</v>
      </c>
      <c r="AG227" s="101">
        <v>168678</v>
      </c>
      <c r="AH227" s="101">
        <v>170967</v>
      </c>
      <c r="AI227" s="101">
        <f t="shared" si="23"/>
        <v>-2289</v>
      </c>
    </row>
    <row r="228" spans="2:47" x14ac:dyDescent="0.25">
      <c r="B228" t="s">
        <v>268</v>
      </c>
      <c r="C228" s="101">
        <v>218069000</v>
      </c>
      <c r="D228" s="101">
        <f t="shared" si="18"/>
        <v>201896642</v>
      </c>
      <c r="E228" s="101">
        <v>0</v>
      </c>
      <c r="F228" s="101">
        <v>6355786</v>
      </c>
      <c r="G228" s="101">
        <v>6890106</v>
      </c>
      <c r="H228" s="101">
        <v>2926466</v>
      </c>
      <c r="I228" s="101">
        <v>27508000</v>
      </c>
      <c r="K228" s="101">
        <v>3063000</v>
      </c>
      <c r="L228" s="101">
        <f t="shared" si="19"/>
        <v>6901000</v>
      </c>
      <c r="M228" s="101">
        <v>255541000</v>
      </c>
      <c r="N228" s="101">
        <v>1468</v>
      </c>
      <c r="O228" s="101">
        <v>7432</v>
      </c>
      <c r="P228" s="101">
        <v>1023</v>
      </c>
      <c r="Q228" s="101">
        <v>27653</v>
      </c>
      <c r="R228" s="101">
        <v>365767</v>
      </c>
      <c r="S228" s="101">
        <v>357113</v>
      </c>
      <c r="T228" s="101">
        <v>295002</v>
      </c>
      <c r="U228" s="101">
        <v>293690</v>
      </c>
      <c r="V228" s="101">
        <v>309985</v>
      </c>
      <c r="W228" s="101">
        <v>298320</v>
      </c>
      <c r="X228" s="149">
        <f t="shared" si="20"/>
        <v>0.69864421886064076</v>
      </c>
      <c r="Y228" s="184">
        <v>3.2199999999999999E-2</v>
      </c>
      <c r="Z228" s="253">
        <v>9</v>
      </c>
      <c r="AA228" s="149">
        <f t="shared" si="21"/>
        <v>2.3659870901420851E-2</v>
      </c>
      <c r="AB228" s="149"/>
      <c r="AD228" s="101">
        <v>325887</v>
      </c>
      <c r="AE228" s="101">
        <v>321929</v>
      </c>
      <c r="AF228" s="101">
        <f t="shared" si="22"/>
        <v>3958</v>
      </c>
      <c r="AG228" s="101">
        <v>365767</v>
      </c>
      <c r="AH228" s="101">
        <v>357113</v>
      </c>
      <c r="AI228" s="101">
        <f t="shared" si="23"/>
        <v>8654</v>
      </c>
    </row>
    <row r="229" spans="2:47" x14ac:dyDescent="0.25">
      <c r="B229" t="s">
        <v>197</v>
      </c>
      <c r="C229" s="101">
        <v>48128000</v>
      </c>
      <c r="D229" s="101">
        <f t="shared" si="18"/>
        <v>45665326</v>
      </c>
      <c r="E229" s="101">
        <v>0</v>
      </c>
      <c r="F229" s="101">
        <v>0</v>
      </c>
      <c r="G229" s="101">
        <v>2041004</v>
      </c>
      <c r="H229" s="101">
        <v>421670</v>
      </c>
      <c r="I229" s="101">
        <v>3739000</v>
      </c>
      <c r="K229" s="101">
        <v>353000</v>
      </c>
      <c r="L229" s="101">
        <f t="shared" si="19"/>
        <v>1168000</v>
      </c>
      <c r="M229" s="101">
        <v>53388000</v>
      </c>
      <c r="N229" s="101">
        <v>58</v>
      </c>
      <c r="O229" s="101">
        <v>91</v>
      </c>
      <c r="P229" s="101">
        <v>240</v>
      </c>
      <c r="Q229" s="101">
        <v>2403</v>
      </c>
      <c r="R229" s="101">
        <v>73730</v>
      </c>
      <c r="S229" s="101">
        <v>71158</v>
      </c>
      <c r="T229" s="101">
        <v>57399</v>
      </c>
      <c r="U229" s="101">
        <v>56456</v>
      </c>
      <c r="V229" s="101">
        <v>63681</v>
      </c>
      <c r="W229" s="101">
        <v>60966</v>
      </c>
      <c r="X229" s="149">
        <f t="shared" si="20"/>
        <v>0.72410145124101455</v>
      </c>
      <c r="Y229" s="184">
        <v>3.6700000000000003E-2</v>
      </c>
      <c r="Z229" s="253">
        <v>7.5</v>
      </c>
      <c r="AA229" s="149">
        <f t="shared" si="21"/>
        <v>3.4884036348840367E-2</v>
      </c>
      <c r="AB229" s="149"/>
      <c r="AD229" s="101">
        <v>68475</v>
      </c>
      <c r="AE229" s="101">
        <v>65980</v>
      </c>
      <c r="AF229" s="101">
        <f t="shared" si="22"/>
        <v>2495</v>
      </c>
      <c r="AG229" s="101">
        <v>73730</v>
      </c>
      <c r="AH229" s="101">
        <v>71158</v>
      </c>
      <c r="AI229" s="101">
        <f t="shared" si="23"/>
        <v>2572</v>
      </c>
    </row>
    <row r="230" spans="2:47" x14ac:dyDescent="0.25">
      <c r="B230" t="s">
        <v>154</v>
      </c>
      <c r="C230" s="101">
        <v>78489000</v>
      </c>
      <c r="D230" s="101">
        <f t="shared" si="18"/>
        <v>73666792</v>
      </c>
      <c r="E230" s="101">
        <v>0</v>
      </c>
      <c r="F230" s="101">
        <v>0</v>
      </c>
      <c r="G230" s="101">
        <v>4321650</v>
      </c>
      <c r="H230" s="101">
        <v>500558</v>
      </c>
      <c r="I230" s="101">
        <v>7687000</v>
      </c>
      <c r="K230" s="101">
        <v>606000</v>
      </c>
      <c r="L230" s="101">
        <f t="shared" si="19"/>
        <v>2182000</v>
      </c>
      <c r="M230" s="101">
        <v>88964000</v>
      </c>
      <c r="N230" s="101">
        <v>55</v>
      </c>
      <c r="O230" s="101">
        <v>741</v>
      </c>
      <c r="P230" s="101">
        <v>297</v>
      </c>
      <c r="Q230" s="101">
        <v>7522</v>
      </c>
      <c r="R230" s="101">
        <v>124347</v>
      </c>
      <c r="S230" s="101">
        <v>131568</v>
      </c>
      <c r="T230" s="101">
        <v>98414</v>
      </c>
      <c r="U230" s="101">
        <v>99200</v>
      </c>
      <c r="V230" s="101">
        <v>110718</v>
      </c>
      <c r="W230" s="101">
        <v>112946</v>
      </c>
      <c r="X230" s="149">
        <f t="shared" si="20"/>
        <v>0.71544950823099873</v>
      </c>
      <c r="Y230" s="184">
        <v>5.62E-2</v>
      </c>
      <c r="Z230" s="253">
        <v>7</v>
      </c>
      <c r="AA230" s="149">
        <f t="shared" si="21"/>
        <v>-5.807136480976622E-2</v>
      </c>
      <c r="AB230" s="149"/>
      <c r="AD230" s="101">
        <v>116692</v>
      </c>
      <c r="AE230" s="101">
        <v>123540</v>
      </c>
      <c r="AF230" s="101">
        <f t="shared" si="22"/>
        <v>-6848</v>
      </c>
      <c r="AG230" s="101">
        <v>124347</v>
      </c>
      <c r="AH230" s="101">
        <v>131568</v>
      </c>
      <c r="AI230" s="101">
        <f t="shared" si="23"/>
        <v>-7221</v>
      </c>
    </row>
    <row r="231" spans="2:47" x14ac:dyDescent="0.25">
      <c r="B231" t="s">
        <v>334</v>
      </c>
      <c r="C231" s="101">
        <v>48771000</v>
      </c>
      <c r="D231" s="101">
        <f t="shared" si="18"/>
        <v>46892624</v>
      </c>
      <c r="E231" s="101">
        <v>0</v>
      </c>
      <c r="F231" s="101">
        <v>0</v>
      </c>
      <c r="G231" s="101">
        <v>1368182</v>
      </c>
      <c r="H231" s="101">
        <v>510194</v>
      </c>
      <c r="I231" s="101">
        <v>3570000</v>
      </c>
      <c r="K231" s="101">
        <v>248000</v>
      </c>
      <c r="L231" s="101">
        <f t="shared" si="19"/>
        <v>1794000</v>
      </c>
      <c r="M231" s="101">
        <v>54383000</v>
      </c>
      <c r="N231" s="101">
        <v>518</v>
      </c>
      <c r="O231" s="101">
        <v>804</v>
      </c>
      <c r="P231" s="101">
        <v>19</v>
      </c>
      <c r="Q231" s="101">
        <v>1266</v>
      </c>
      <c r="R231" s="101">
        <v>72765</v>
      </c>
      <c r="S231" s="101">
        <v>74441</v>
      </c>
      <c r="T231" s="101">
        <v>53290</v>
      </c>
      <c r="U231" s="101">
        <v>54914</v>
      </c>
      <c r="V231" s="101">
        <v>63301</v>
      </c>
      <c r="W231" s="101">
        <v>63617</v>
      </c>
      <c r="X231" s="149">
        <f t="shared" si="20"/>
        <v>0.74737854737854736</v>
      </c>
      <c r="Y231" s="184">
        <v>4.7800000000000002E-2</v>
      </c>
      <c r="Z231" s="253">
        <v>6</v>
      </c>
      <c r="AA231" s="149">
        <f t="shared" si="21"/>
        <v>-2.3033051604480177E-2</v>
      </c>
      <c r="AB231" s="149"/>
      <c r="AD231" s="101">
        <v>71497</v>
      </c>
      <c r="AE231" s="101">
        <v>70762</v>
      </c>
      <c r="AF231" s="101">
        <f t="shared" si="22"/>
        <v>735</v>
      </c>
      <c r="AG231" s="101">
        <v>72765</v>
      </c>
      <c r="AH231" s="101">
        <v>74441</v>
      </c>
      <c r="AI231" s="101">
        <f t="shared" si="23"/>
        <v>-1676</v>
      </c>
    </row>
    <row r="232" spans="2:47" x14ac:dyDescent="0.25">
      <c r="B232" t="s">
        <v>198</v>
      </c>
      <c r="C232" s="101">
        <v>63403000</v>
      </c>
      <c r="D232" s="101">
        <f t="shared" si="18"/>
        <v>60503026</v>
      </c>
      <c r="E232" s="101">
        <v>0</v>
      </c>
      <c r="F232" s="101">
        <v>0</v>
      </c>
      <c r="G232" s="101">
        <v>2460844</v>
      </c>
      <c r="H232" s="101">
        <v>439130</v>
      </c>
      <c r="I232" s="101">
        <v>8935000</v>
      </c>
      <c r="K232" s="101">
        <v>300000</v>
      </c>
      <c r="L232" s="101">
        <f t="shared" si="19"/>
        <v>8107000</v>
      </c>
      <c r="M232" s="101">
        <v>80745000</v>
      </c>
      <c r="N232" s="101">
        <v>1</v>
      </c>
      <c r="O232" s="101">
        <v>444</v>
      </c>
      <c r="P232" s="101">
        <v>172</v>
      </c>
      <c r="Q232" s="101">
        <v>322</v>
      </c>
      <c r="R232" s="101">
        <v>113527</v>
      </c>
      <c r="S232" s="101">
        <v>110820</v>
      </c>
      <c r="T232" s="101">
        <v>84813</v>
      </c>
      <c r="U232" s="101">
        <v>85583</v>
      </c>
      <c r="V232" s="101">
        <v>96791</v>
      </c>
      <c r="W232" s="101">
        <v>100032</v>
      </c>
      <c r="X232" s="149">
        <f t="shared" si="20"/>
        <v>0.71124049785513577</v>
      </c>
      <c r="Y232" s="184">
        <v>5.8200000000000002E-2</v>
      </c>
      <c r="Z232" s="253">
        <v>7</v>
      </c>
      <c r="AA232" s="149">
        <f t="shared" si="21"/>
        <v>2.3844547992988453E-2</v>
      </c>
      <c r="AB232" s="149"/>
      <c r="AD232" s="101">
        <v>107349</v>
      </c>
      <c r="AE232" s="101">
        <v>107488</v>
      </c>
      <c r="AF232" s="101">
        <f t="shared" si="22"/>
        <v>-139</v>
      </c>
      <c r="AG232" s="101">
        <v>113527</v>
      </c>
      <c r="AH232" s="101">
        <v>110820</v>
      </c>
      <c r="AI232" s="101">
        <f t="shared" si="23"/>
        <v>2707</v>
      </c>
    </row>
    <row r="233" spans="2:47" x14ac:dyDescent="0.25">
      <c r="B233" t="s">
        <v>225</v>
      </c>
      <c r="C233" s="101">
        <v>10440000</v>
      </c>
      <c r="D233" s="101">
        <f t="shared" si="18"/>
        <v>9572258</v>
      </c>
      <c r="E233" s="101">
        <v>0</v>
      </c>
      <c r="F233" s="101">
        <v>0</v>
      </c>
      <c r="G233" s="101">
        <v>307311</v>
      </c>
      <c r="H233" s="101">
        <v>560431</v>
      </c>
      <c r="I233" s="101">
        <v>679000</v>
      </c>
      <c r="K233" s="101">
        <v>69000</v>
      </c>
      <c r="L233" s="101">
        <f t="shared" si="19"/>
        <v>209000</v>
      </c>
      <c r="M233" s="101">
        <v>11397000</v>
      </c>
      <c r="N233" s="101">
        <v>0</v>
      </c>
      <c r="O233" s="101">
        <v>3444</v>
      </c>
      <c r="P233" s="101">
        <v>7</v>
      </c>
      <c r="Q233" s="101">
        <v>0</v>
      </c>
      <c r="R233" s="101">
        <v>19086</v>
      </c>
      <c r="S233" s="101">
        <v>19042</v>
      </c>
      <c r="T233" s="101">
        <v>14237</v>
      </c>
      <c r="U233" s="101">
        <v>14898</v>
      </c>
      <c r="V233" s="101">
        <v>15973</v>
      </c>
      <c r="W233" s="101">
        <v>15233</v>
      </c>
      <c r="X233" s="149">
        <f t="shared" si="20"/>
        <v>0.59713926438226972</v>
      </c>
      <c r="Y233" s="184">
        <v>1.9300000000000001E-2</v>
      </c>
      <c r="Z233" s="253">
        <v>5.5</v>
      </c>
      <c r="AA233" s="149">
        <f t="shared" si="21"/>
        <v>2.3053547102588287E-3</v>
      </c>
      <c r="AB233" s="149"/>
      <c r="AD233" s="101">
        <v>19121</v>
      </c>
      <c r="AE233" s="101">
        <v>19005</v>
      </c>
      <c r="AF233" s="101">
        <f t="shared" si="22"/>
        <v>116</v>
      </c>
      <c r="AG233" s="101">
        <v>19086</v>
      </c>
      <c r="AH233" s="101">
        <v>19042</v>
      </c>
      <c r="AI233" s="101">
        <f t="shared" si="23"/>
        <v>44</v>
      </c>
    </row>
    <row r="234" spans="2:47" x14ac:dyDescent="0.25">
      <c r="B234" t="s">
        <v>382</v>
      </c>
      <c r="C234" s="101">
        <v>27155000</v>
      </c>
      <c r="D234" s="101">
        <f t="shared" si="18"/>
        <v>24117763</v>
      </c>
      <c r="E234" s="101">
        <v>0</v>
      </c>
      <c r="F234" s="101">
        <v>0</v>
      </c>
      <c r="G234" s="101">
        <v>2802808</v>
      </c>
      <c r="H234" s="101">
        <v>234429</v>
      </c>
      <c r="I234" s="101">
        <v>1766000</v>
      </c>
      <c r="K234" s="101">
        <v>78000</v>
      </c>
      <c r="L234" s="101">
        <f t="shared" si="19"/>
        <v>104000</v>
      </c>
      <c r="M234" s="101">
        <v>29103000</v>
      </c>
      <c r="N234" s="101">
        <v>153</v>
      </c>
      <c r="O234" s="101">
        <v>322</v>
      </c>
      <c r="P234" s="101">
        <v>26</v>
      </c>
      <c r="Q234" s="101">
        <v>1212</v>
      </c>
      <c r="R234" s="101">
        <v>39606</v>
      </c>
      <c r="S234" s="101">
        <v>39951</v>
      </c>
      <c r="T234" s="101">
        <v>35400</v>
      </c>
      <c r="U234" s="101">
        <v>35624</v>
      </c>
      <c r="V234" s="101">
        <v>36215</v>
      </c>
      <c r="W234" s="101">
        <v>37593</v>
      </c>
      <c r="X234" s="149">
        <f t="shared" si="20"/>
        <v>0.73481290713528258</v>
      </c>
      <c r="Y234" s="184">
        <v>5.8299999999999998E-2</v>
      </c>
      <c r="Z234" s="253">
        <v>7</v>
      </c>
      <c r="AA234" s="149">
        <f t="shared" si="21"/>
        <v>-8.7108013937282226E-3</v>
      </c>
      <c r="AB234" s="149"/>
      <c r="AD234" s="101">
        <v>40909</v>
      </c>
      <c r="AE234" s="101">
        <v>41876</v>
      </c>
      <c r="AF234" s="101">
        <f t="shared" si="22"/>
        <v>-967</v>
      </c>
      <c r="AG234" s="101">
        <v>39606</v>
      </c>
      <c r="AH234" s="101">
        <v>39951</v>
      </c>
      <c r="AI234" s="101">
        <f t="shared" si="23"/>
        <v>-345</v>
      </c>
    </row>
    <row r="235" spans="2:47" x14ac:dyDescent="0.25">
      <c r="B235" t="s">
        <v>199</v>
      </c>
      <c r="C235" s="101">
        <v>104206000</v>
      </c>
      <c r="D235" s="101">
        <f t="shared" si="18"/>
        <v>96998131</v>
      </c>
      <c r="E235" s="101">
        <v>0</v>
      </c>
      <c r="F235" s="101">
        <v>0</v>
      </c>
      <c r="G235" s="101">
        <v>6511142</v>
      </c>
      <c r="H235" s="101">
        <v>696727</v>
      </c>
      <c r="I235" s="101">
        <v>16199000</v>
      </c>
      <c r="K235" s="101">
        <v>903000</v>
      </c>
      <c r="L235" s="101">
        <f t="shared" si="19"/>
        <v>17029000</v>
      </c>
      <c r="M235" s="101">
        <v>138337000</v>
      </c>
      <c r="N235" s="101">
        <v>8</v>
      </c>
      <c r="O235" s="101">
        <v>1228</v>
      </c>
      <c r="P235" s="101">
        <v>518</v>
      </c>
      <c r="Q235" s="101">
        <v>129</v>
      </c>
      <c r="R235" s="101">
        <v>176611</v>
      </c>
      <c r="S235" s="101">
        <v>175427</v>
      </c>
      <c r="T235" s="101">
        <v>126298</v>
      </c>
      <c r="U235" s="101">
        <v>124825</v>
      </c>
      <c r="V235" s="101">
        <v>137090</v>
      </c>
      <c r="W235" s="101">
        <v>135743</v>
      </c>
      <c r="X235" s="149">
        <f t="shared" si="20"/>
        <v>0.78328643176246104</v>
      </c>
      <c r="Y235" s="184">
        <v>0.05</v>
      </c>
      <c r="Z235" s="253">
        <v>9</v>
      </c>
      <c r="AA235" s="149">
        <f t="shared" si="21"/>
        <v>6.7039991846487481E-3</v>
      </c>
      <c r="AB235" s="149"/>
      <c r="AD235" s="101">
        <v>151616</v>
      </c>
      <c r="AE235" s="101">
        <v>149765</v>
      </c>
      <c r="AF235" s="101">
        <f t="shared" si="22"/>
        <v>1851</v>
      </c>
      <c r="AG235" s="101">
        <v>176611</v>
      </c>
      <c r="AH235" s="101">
        <v>175427</v>
      </c>
      <c r="AI235" s="101">
        <f t="shared" si="23"/>
        <v>1184</v>
      </c>
    </row>
    <row r="236" spans="2:47" x14ac:dyDescent="0.25">
      <c r="B236" t="s">
        <v>226</v>
      </c>
      <c r="C236" s="101">
        <v>39905000</v>
      </c>
      <c r="D236" s="101">
        <f t="shared" si="18"/>
        <v>38124983</v>
      </c>
      <c r="E236" s="101">
        <v>0</v>
      </c>
      <c r="F236" s="101">
        <v>0</v>
      </c>
      <c r="G236" s="101">
        <v>1452044</v>
      </c>
      <c r="H236" s="101">
        <v>327973</v>
      </c>
      <c r="I236" s="101">
        <v>4991000</v>
      </c>
      <c r="K236" s="101">
        <v>597000</v>
      </c>
      <c r="L236" s="101">
        <f t="shared" si="19"/>
        <v>3120000</v>
      </c>
      <c r="M236" s="101">
        <v>48613000</v>
      </c>
      <c r="N236" s="101">
        <v>246</v>
      </c>
      <c r="O236" s="101">
        <v>1006</v>
      </c>
      <c r="P236" s="101">
        <v>125</v>
      </c>
      <c r="Q236" s="101">
        <v>989</v>
      </c>
      <c r="R236" s="101">
        <v>65927</v>
      </c>
      <c r="S236" s="101">
        <v>65875</v>
      </c>
      <c r="T236" s="101">
        <v>48856</v>
      </c>
      <c r="U236" s="101">
        <v>47848</v>
      </c>
      <c r="V236" s="101">
        <v>52460</v>
      </c>
      <c r="W236" s="101">
        <v>51188</v>
      </c>
      <c r="X236" s="149">
        <f t="shared" si="20"/>
        <v>0.7373761888149013</v>
      </c>
      <c r="Y236" s="184">
        <v>4.2700000000000002E-2</v>
      </c>
      <c r="Z236" s="253">
        <v>10</v>
      </c>
      <c r="AA236" s="149">
        <f t="shared" si="21"/>
        <v>7.8875119450301089E-4</v>
      </c>
      <c r="AB236" s="149"/>
      <c r="AD236" s="101">
        <v>58336</v>
      </c>
      <c r="AE236" s="101">
        <v>57204</v>
      </c>
      <c r="AF236" s="101">
        <f t="shared" si="22"/>
        <v>1132</v>
      </c>
      <c r="AG236" s="101">
        <v>65927</v>
      </c>
      <c r="AH236" s="101">
        <v>65875</v>
      </c>
      <c r="AI236" s="101">
        <f t="shared" si="23"/>
        <v>52</v>
      </c>
    </row>
    <row r="237" spans="2:47" x14ac:dyDescent="0.25">
      <c r="B237" t="s">
        <v>312</v>
      </c>
      <c r="C237" s="101">
        <v>102869000</v>
      </c>
      <c r="D237" s="101">
        <f t="shared" si="18"/>
        <v>102023455</v>
      </c>
      <c r="E237" s="101">
        <v>0</v>
      </c>
      <c r="F237" s="101">
        <v>0</v>
      </c>
      <c r="G237" s="101">
        <v>234133</v>
      </c>
      <c r="H237" s="101">
        <v>611412</v>
      </c>
      <c r="I237" s="101">
        <v>15533000</v>
      </c>
      <c r="K237" s="101">
        <v>484000</v>
      </c>
      <c r="L237" s="101">
        <f t="shared" si="19"/>
        <v>928000</v>
      </c>
      <c r="M237" s="101">
        <v>119814000</v>
      </c>
      <c r="N237" s="101">
        <v>762</v>
      </c>
      <c r="O237" s="101">
        <v>2460</v>
      </c>
      <c r="P237" s="101">
        <v>402</v>
      </c>
      <c r="Q237" s="101">
        <v>1691</v>
      </c>
      <c r="R237" s="101">
        <v>163377</v>
      </c>
      <c r="S237" s="101">
        <v>169263</v>
      </c>
      <c r="T237" s="101">
        <v>129794</v>
      </c>
      <c r="U237" s="101">
        <v>132582</v>
      </c>
      <c r="V237" s="101">
        <v>137430</v>
      </c>
      <c r="W237" s="101">
        <v>146619</v>
      </c>
      <c r="X237" s="149">
        <f t="shared" si="20"/>
        <v>0.73335904074624947</v>
      </c>
      <c r="Y237" s="184">
        <v>6.0100000000000001E-2</v>
      </c>
      <c r="Z237" s="253">
        <v>7</v>
      </c>
      <c r="AA237" s="149">
        <f t="shared" si="21"/>
        <v>-3.6027102958188728E-2</v>
      </c>
      <c r="AB237" s="149"/>
      <c r="AD237" s="101">
        <v>160421</v>
      </c>
      <c r="AE237" s="101">
        <v>157816</v>
      </c>
      <c r="AF237" s="101">
        <f t="shared" si="22"/>
        <v>2605</v>
      </c>
      <c r="AG237" s="101">
        <v>163377</v>
      </c>
      <c r="AH237" s="101">
        <v>169263</v>
      </c>
      <c r="AI237" s="101">
        <f t="shared" si="23"/>
        <v>-5886</v>
      </c>
      <c r="AU237" s="102"/>
    </row>
    <row r="238" spans="2:47" x14ac:dyDescent="0.25">
      <c r="B238" t="s">
        <v>155</v>
      </c>
      <c r="C238" s="101">
        <v>79173000</v>
      </c>
      <c r="D238" s="101">
        <f t="shared" si="18"/>
        <v>75772568</v>
      </c>
      <c r="E238" s="101">
        <v>0</v>
      </c>
      <c r="F238" s="101">
        <v>0</v>
      </c>
      <c r="G238" s="101">
        <v>2949477</v>
      </c>
      <c r="H238" s="101">
        <v>450955</v>
      </c>
      <c r="I238" s="101">
        <v>7585000</v>
      </c>
      <c r="K238" s="101">
        <v>610000</v>
      </c>
      <c r="L238" s="101">
        <f t="shared" si="19"/>
        <v>5870000</v>
      </c>
      <c r="M238" s="101">
        <v>93238000</v>
      </c>
      <c r="N238" s="101">
        <v>94</v>
      </c>
      <c r="O238" s="101">
        <v>1706</v>
      </c>
      <c r="P238" s="101">
        <v>995</v>
      </c>
      <c r="Q238" s="101">
        <v>717</v>
      </c>
      <c r="R238" s="101">
        <v>120192</v>
      </c>
      <c r="S238" s="101">
        <v>124727</v>
      </c>
      <c r="T238" s="101">
        <v>92071</v>
      </c>
      <c r="U238" s="101">
        <v>93207</v>
      </c>
      <c r="V238" s="101">
        <v>106537</v>
      </c>
      <c r="W238" s="101">
        <v>106799</v>
      </c>
      <c r="X238" s="149">
        <f t="shared" si="20"/>
        <v>0.77574214589989354</v>
      </c>
      <c r="Y238" s="184">
        <v>4.6100000000000002E-2</v>
      </c>
      <c r="Z238" s="253">
        <v>6.5</v>
      </c>
      <c r="AA238" s="149">
        <f t="shared" si="21"/>
        <v>-3.7731296592119275E-2</v>
      </c>
      <c r="AB238" s="149"/>
      <c r="AD238" s="101">
        <v>110652</v>
      </c>
      <c r="AE238" s="101">
        <v>111938</v>
      </c>
      <c r="AF238" s="101">
        <f t="shared" si="22"/>
        <v>-1286</v>
      </c>
      <c r="AG238" s="101">
        <v>120192</v>
      </c>
      <c r="AH238" s="101">
        <v>124727</v>
      </c>
      <c r="AI238" s="101">
        <f t="shared" si="23"/>
        <v>-4535</v>
      </c>
      <c r="AU238" s="102"/>
    </row>
    <row r="239" spans="2:47" x14ac:dyDescent="0.25">
      <c r="B239" t="s">
        <v>726</v>
      </c>
      <c r="C239" s="101">
        <v>134220000</v>
      </c>
      <c r="D239" s="101">
        <f t="shared" si="18"/>
        <v>130906363</v>
      </c>
      <c r="E239" s="101">
        <v>0</v>
      </c>
      <c r="F239" s="101">
        <v>0</v>
      </c>
      <c r="G239" s="101">
        <v>2443565</v>
      </c>
      <c r="H239" s="101">
        <v>870072</v>
      </c>
      <c r="I239" s="101">
        <v>28455000</v>
      </c>
      <c r="K239" s="101">
        <v>2762000</v>
      </c>
      <c r="L239" s="101">
        <f t="shared" si="19"/>
        <v>10991000</v>
      </c>
      <c r="M239" s="101">
        <v>176428000</v>
      </c>
      <c r="N239" s="101">
        <v>773</v>
      </c>
      <c r="O239" s="101">
        <v>5124</v>
      </c>
      <c r="P239" s="101">
        <v>378</v>
      </c>
      <c r="Q239" s="101">
        <v>26110</v>
      </c>
      <c r="R239" s="101">
        <v>268864</v>
      </c>
      <c r="S239" s="101">
        <v>268749</v>
      </c>
      <c r="T239" s="101">
        <v>207186</v>
      </c>
      <c r="U239" s="101">
        <v>205010</v>
      </c>
      <c r="V239" s="101">
        <v>226376</v>
      </c>
      <c r="W239" s="101">
        <v>220033</v>
      </c>
      <c r="X239" s="149">
        <f t="shared" si="20"/>
        <v>0.65619792906450847</v>
      </c>
      <c r="Y239" s="184">
        <v>2.8000000000000001E-2</v>
      </c>
      <c r="Z239" s="253">
        <v>8.5</v>
      </c>
      <c r="AA239" s="149">
        <f t="shared" si="21"/>
        <v>4.277255415377291E-4</v>
      </c>
      <c r="AB239" s="149"/>
      <c r="AD239" s="101">
        <v>232390</v>
      </c>
      <c r="AE239" s="101">
        <v>232783</v>
      </c>
      <c r="AF239" s="101">
        <f t="shared" si="22"/>
        <v>-393</v>
      </c>
      <c r="AG239" s="101">
        <v>268864</v>
      </c>
      <c r="AH239" s="101">
        <v>268749</v>
      </c>
      <c r="AI239" s="101">
        <f t="shared" si="23"/>
        <v>115</v>
      </c>
    </row>
    <row r="240" spans="2:47" x14ac:dyDescent="0.25">
      <c r="B240" t="s">
        <v>416</v>
      </c>
      <c r="C240" s="101">
        <v>45271000</v>
      </c>
      <c r="D240" s="101">
        <f t="shared" si="18"/>
        <v>42016235</v>
      </c>
      <c r="E240" s="101">
        <v>0</v>
      </c>
      <c r="F240" s="101">
        <v>0</v>
      </c>
      <c r="G240" s="101">
        <v>2876382</v>
      </c>
      <c r="H240" s="101">
        <v>378383</v>
      </c>
      <c r="I240" s="101">
        <v>4575000</v>
      </c>
      <c r="K240" s="101">
        <v>363000</v>
      </c>
      <c r="L240" s="101">
        <f t="shared" si="19"/>
        <v>816000</v>
      </c>
      <c r="M240" s="101">
        <v>51025000</v>
      </c>
      <c r="N240" s="101">
        <v>439</v>
      </c>
      <c r="O240" s="101">
        <v>119</v>
      </c>
      <c r="P240" s="101">
        <v>532</v>
      </c>
      <c r="Q240" s="101">
        <v>11</v>
      </c>
      <c r="R240" s="101">
        <v>70802</v>
      </c>
      <c r="S240" s="101">
        <v>71134</v>
      </c>
      <c r="T240" s="101">
        <v>57816</v>
      </c>
      <c r="U240" s="101">
        <v>59729</v>
      </c>
      <c r="V240" s="101">
        <v>60359</v>
      </c>
      <c r="W240" s="101">
        <v>60948</v>
      </c>
      <c r="X240" s="149">
        <f t="shared" si="20"/>
        <v>0.72067173243693683</v>
      </c>
      <c r="Y240" s="184">
        <v>4.2500000000000003E-2</v>
      </c>
      <c r="Z240" s="253">
        <v>7.5</v>
      </c>
      <c r="AA240" s="149">
        <f t="shared" si="21"/>
        <v>-4.6891330753368547E-3</v>
      </c>
      <c r="AB240" s="149"/>
      <c r="AD240" s="101">
        <v>65184</v>
      </c>
      <c r="AE240" s="101">
        <v>69245</v>
      </c>
      <c r="AF240" s="101">
        <f t="shared" si="22"/>
        <v>-4061</v>
      </c>
      <c r="AG240" s="101">
        <v>70802</v>
      </c>
      <c r="AH240" s="101">
        <v>71134</v>
      </c>
      <c r="AI240" s="101">
        <f t="shared" si="23"/>
        <v>-332</v>
      </c>
    </row>
    <row r="241" spans="2:35" x14ac:dyDescent="0.25">
      <c r="B241" t="s">
        <v>417</v>
      </c>
      <c r="C241" s="101">
        <v>163414000</v>
      </c>
      <c r="D241" s="101">
        <f t="shared" si="18"/>
        <v>150535753</v>
      </c>
      <c r="E241" s="101">
        <v>0</v>
      </c>
      <c r="F241" s="101">
        <v>0</v>
      </c>
      <c r="G241" s="101">
        <v>11286649</v>
      </c>
      <c r="H241" s="101">
        <v>1591598</v>
      </c>
      <c r="I241" s="101">
        <v>31220000</v>
      </c>
      <c r="K241" s="101">
        <v>3008000</v>
      </c>
      <c r="L241" s="101">
        <f t="shared" si="19"/>
        <v>4527000</v>
      </c>
      <c r="M241" s="101">
        <v>202169000</v>
      </c>
      <c r="N241" s="101">
        <v>942</v>
      </c>
      <c r="O241" s="101">
        <v>3009</v>
      </c>
      <c r="P241" s="101">
        <v>198</v>
      </c>
      <c r="Q241" s="101">
        <v>68</v>
      </c>
      <c r="R241" s="101">
        <v>259526</v>
      </c>
      <c r="S241" s="101">
        <v>263536</v>
      </c>
      <c r="T241" s="101">
        <v>205888</v>
      </c>
      <c r="U241" s="101">
        <v>210973</v>
      </c>
      <c r="V241" s="101">
        <v>222190</v>
      </c>
      <c r="W241" s="101">
        <v>218321</v>
      </c>
      <c r="X241" s="149">
        <f t="shared" si="20"/>
        <v>0.77899324152493388</v>
      </c>
      <c r="Y241" s="184">
        <v>4.1300000000000003E-2</v>
      </c>
      <c r="Z241" s="253">
        <v>7.5</v>
      </c>
      <c r="AA241" s="149">
        <f t="shared" si="21"/>
        <v>-1.5451245732604826E-2</v>
      </c>
      <c r="AB241" s="149"/>
      <c r="AD241" s="101">
        <v>243353</v>
      </c>
      <c r="AE241" s="101">
        <v>240024</v>
      </c>
      <c r="AF241" s="101">
        <f t="shared" si="22"/>
        <v>3329</v>
      </c>
      <c r="AG241" s="101">
        <v>259526</v>
      </c>
      <c r="AH241" s="101">
        <v>263536</v>
      </c>
      <c r="AI241" s="101">
        <f t="shared" si="23"/>
        <v>-4010</v>
      </c>
    </row>
    <row r="242" spans="2:35" x14ac:dyDescent="0.25">
      <c r="B242" t="s">
        <v>383</v>
      </c>
      <c r="C242" s="101">
        <v>198878000</v>
      </c>
      <c r="D242" s="101">
        <f t="shared" si="18"/>
        <v>182602779</v>
      </c>
      <c r="E242" s="101">
        <v>0</v>
      </c>
      <c r="F242" s="101">
        <v>0</v>
      </c>
      <c r="G242" s="101">
        <v>15176264</v>
      </c>
      <c r="H242" s="101">
        <v>1098957</v>
      </c>
      <c r="I242" s="101">
        <v>36429000</v>
      </c>
      <c r="K242" s="101">
        <v>3647000</v>
      </c>
      <c r="L242" s="101">
        <f t="shared" si="19"/>
        <v>3753000</v>
      </c>
      <c r="M242" s="101">
        <v>242707000</v>
      </c>
      <c r="N242" s="101">
        <v>217</v>
      </c>
      <c r="O242" s="101">
        <v>2341</v>
      </c>
      <c r="P242" s="101">
        <v>635</v>
      </c>
      <c r="Q242" s="101">
        <v>0</v>
      </c>
      <c r="R242" s="101">
        <v>335393</v>
      </c>
      <c r="S242" s="101">
        <v>336441</v>
      </c>
      <c r="T242" s="101">
        <v>266077</v>
      </c>
      <c r="U242" s="101">
        <v>253483</v>
      </c>
      <c r="V242" s="101">
        <v>279473</v>
      </c>
      <c r="W242" s="101">
        <v>260515</v>
      </c>
      <c r="X242" s="149">
        <f t="shared" si="20"/>
        <v>0.72364956931122593</v>
      </c>
      <c r="Y242" s="184">
        <v>3.4700000000000002E-2</v>
      </c>
      <c r="Z242" s="253">
        <v>8.5</v>
      </c>
      <c r="AA242" s="149">
        <f t="shared" si="21"/>
        <v>-3.1246925248887124E-3</v>
      </c>
      <c r="AB242" s="149"/>
      <c r="AD242" s="101">
        <v>305205</v>
      </c>
      <c r="AE242" s="101">
        <v>311503</v>
      </c>
      <c r="AF242" s="101">
        <f t="shared" si="22"/>
        <v>-6298</v>
      </c>
      <c r="AG242" s="101">
        <v>335393</v>
      </c>
      <c r="AH242" s="101">
        <v>336441</v>
      </c>
      <c r="AI242" s="101">
        <f t="shared" si="23"/>
        <v>-1048</v>
      </c>
    </row>
    <row r="243" spans="2:35" x14ac:dyDescent="0.25">
      <c r="B243" t="s">
        <v>314</v>
      </c>
      <c r="C243" s="101">
        <v>2355868000</v>
      </c>
      <c r="D243" s="101">
        <f t="shared" si="18"/>
        <v>2100329677</v>
      </c>
      <c r="E243" s="101">
        <v>0</v>
      </c>
      <c r="F243" s="101">
        <v>119828910</v>
      </c>
      <c r="G243" s="101">
        <v>52317826</v>
      </c>
      <c r="H243" s="101">
        <v>83391587</v>
      </c>
      <c r="I243" s="101">
        <v>557466000</v>
      </c>
      <c r="K243" s="101">
        <v>93097000</v>
      </c>
      <c r="L243" s="101">
        <f t="shared" si="19"/>
        <v>250260000</v>
      </c>
      <c r="M243" s="101">
        <v>3256691000</v>
      </c>
      <c r="N243" s="101">
        <v>46473</v>
      </c>
      <c r="O243" s="101">
        <v>86717</v>
      </c>
      <c r="P243" s="101">
        <v>88557</v>
      </c>
      <c r="Q243" s="101">
        <v>85882</v>
      </c>
      <c r="R243" s="101">
        <v>4734597</v>
      </c>
      <c r="S243" s="101">
        <v>4795374</v>
      </c>
      <c r="T243" s="101">
        <v>3576929</v>
      </c>
      <c r="U243" s="101">
        <v>3623954</v>
      </c>
      <c r="V243" s="101">
        <v>4179295</v>
      </c>
      <c r="W243" s="101">
        <v>4084614</v>
      </c>
      <c r="X243" s="149">
        <f t="shared" si="20"/>
        <v>0.68784967337241165</v>
      </c>
      <c r="Y243" s="184">
        <v>4.2700000000000002E-2</v>
      </c>
      <c r="Z243" s="253">
        <v>7.5</v>
      </c>
      <c r="AA243" s="149">
        <f t="shared" si="21"/>
        <v>-1.2836784207821701E-2</v>
      </c>
      <c r="AB243" s="149"/>
      <c r="AD243" s="101">
        <v>4407846</v>
      </c>
      <c r="AE243" s="101">
        <v>4425355</v>
      </c>
      <c r="AF243" s="101">
        <f t="shared" si="22"/>
        <v>-17509</v>
      </c>
      <c r="AG243" s="101">
        <v>4734597</v>
      </c>
      <c r="AH243" s="101">
        <v>4795374</v>
      </c>
      <c r="AI243" s="101">
        <f t="shared" si="23"/>
        <v>-60777</v>
      </c>
    </row>
    <row r="244" spans="2:35" x14ac:dyDescent="0.25">
      <c r="B244" t="s">
        <v>200</v>
      </c>
      <c r="C244" s="101">
        <v>3973000</v>
      </c>
      <c r="D244" s="101">
        <f t="shared" si="18"/>
        <v>3735682</v>
      </c>
      <c r="E244" s="101">
        <v>0</v>
      </c>
      <c r="F244" s="101">
        <v>0</v>
      </c>
      <c r="G244" s="101">
        <v>79825</v>
      </c>
      <c r="H244" s="101">
        <v>157493</v>
      </c>
      <c r="I244" s="101">
        <v>91000</v>
      </c>
      <c r="K244" s="101">
        <v>64000</v>
      </c>
      <c r="L244" s="101">
        <f t="shared" si="19"/>
        <v>4677000</v>
      </c>
      <c r="M244" s="101">
        <v>8805000</v>
      </c>
      <c r="N244" s="101">
        <v>12</v>
      </c>
      <c r="O244" s="101">
        <v>64</v>
      </c>
      <c r="P244" s="101">
        <v>0</v>
      </c>
      <c r="Q244" s="101">
        <v>0</v>
      </c>
      <c r="R244" s="101">
        <v>10240</v>
      </c>
      <c r="S244" s="101">
        <v>10636</v>
      </c>
      <c r="T244" s="101">
        <v>4262</v>
      </c>
      <c r="U244" s="101">
        <v>4548</v>
      </c>
      <c r="V244" s="101">
        <v>4775</v>
      </c>
      <c r="W244" s="101">
        <v>4935</v>
      </c>
      <c r="X244" s="149">
        <f t="shared" si="20"/>
        <v>0.85986328125</v>
      </c>
      <c r="Y244" s="184">
        <v>5.5300000000000002E-2</v>
      </c>
      <c r="Z244" s="253">
        <v>5</v>
      </c>
      <c r="AA244" s="149">
        <f t="shared" si="21"/>
        <v>-3.8671875000000001E-2</v>
      </c>
      <c r="AB244" s="149"/>
      <c r="AD244" s="101">
        <v>9545</v>
      </c>
      <c r="AE244" s="101">
        <v>9680</v>
      </c>
      <c r="AF244" s="101">
        <f t="shared" si="22"/>
        <v>-135</v>
      </c>
      <c r="AG244" s="101">
        <v>10240</v>
      </c>
      <c r="AH244" s="101">
        <v>10636</v>
      </c>
      <c r="AI244" s="101">
        <f t="shared" si="23"/>
        <v>-396</v>
      </c>
    </row>
    <row r="245" spans="2:35" x14ac:dyDescent="0.25">
      <c r="B245" t="s">
        <v>384</v>
      </c>
      <c r="C245" s="101">
        <v>53641000</v>
      </c>
      <c r="D245" s="101">
        <f t="shared" si="18"/>
        <v>46780419</v>
      </c>
      <c r="E245" s="101">
        <v>0</v>
      </c>
      <c r="F245" s="101">
        <v>0</v>
      </c>
      <c r="G245" s="101">
        <v>6515344</v>
      </c>
      <c r="H245" s="101">
        <v>345237</v>
      </c>
      <c r="I245" s="101">
        <v>6081000</v>
      </c>
      <c r="K245" s="101">
        <v>719000</v>
      </c>
      <c r="L245" s="101">
        <f t="shared" si="19"/>
        <v>1999000</v>
      </c>
      <c r="M245" s="101">
        <v>62440000</v>
      </c>
      <c r="N245" s="101">
        <v>41</v>
      </c>
      <c r="O245" s="101">
        <v>867</v>
      </c>
      <c r="P245" s="101">
        <v>38</v>
      </c>
      <c r="Q245" s="101">
        <v>2127</v>
      </c>
      <c r="R245" s="101">
        <v>78383</v>
      </c>
      <c r="S245" s="101">
        <v>79756</v>
      </c>
      <c r="T245" s="101">
        <v>69827</v>
      </c>
      <c r="U245" s="101">
        <v>71257</v>
      </c>
      <c r="V245" s="101">
        <v>69591</v>
      </c>
      <c r="W245" s="101">
        <v>67834</v>
      </c>
      <c r="X245" s="149">
        <f t="shared" si="20"/>
        <v>0.79660130385415207</v>
      </c>
      <c r="Y245" s="184">
        <v>4.3799999999999999E-2</v>
      </c>
      <c r="Z245" s="253">
        <v>7</v>
      </c>
      <c r="AA245" s="149">
        <f t="shared" si="21"/>
        <v>-1.7516553334268912E-2</v>
      </c>
      <c r="AB245" s="149"/>
      <c r="AD245" s="101">
        <v>73651</v>
      </c>
      <c r="AE245" s="101">
        <v>73844</v>
      </c>
      <c r="AF245" s="101">
        <f t="shared" si="22"/>
        <v>-193</v>
      </c>
      <c r="AG245" s="101">
        <v>78383</v>
      </c>
      <c r="AH245" s="101">
        <v>79756</v>
      </c>
      <c r="AI245" s="101">
        <f t="shared" si="23"/>
        <v>-1373</v>
      </c>
    </row>
    <row r="246" spans="2:35" x14ac:dyDescent="0.25">
      <c r="B246" t="s">
        <v>269</v>
      </c>
      <c r="C246" s="101">
        <v>99431000</v>
      </c>
      <c r="D246" s="101">
        <f t="shared" si="18"/>
        <v>93635519</v>
      </c>
      <c r="E246" s="101">
        <v>0</v>
      </c>
      <c r="F246" s="101">
        <v>0</v>
      </c>
      <c r="G246" s="101">
        <v>5029226</v>
      </c>
      <c r="H246" s="101">
        <v>766255</v>
      </c>
      <c r="I246" s="101">
        <v>9604000</v>
      </c>
      <c r="K246" s="101">
        <v>595000</v>
      </c>
      <c r="L246" s="101">
        <f t="shared" si="19"/>
        <v>3129000</v>
      </c>
      <c r="M246" s="101">
        <v>112759000</v>
      </c>
      <c r="N246" s="101">
        <v>340</v>
      </c>
      <c r="O246" s="101">
        <v>754</v>
      </c>
      <c r="P246" s="101">
        <v>0</v>
      </c>
      <c r="Q246" s="101">
        <v>568</v>
      </c>
      <c r="R246" s="101">
        <v>156268</v>
      </c>
      <c r="S246" s="101">
        <v>151384</v>
      </c>
      <c r="T246" s="101">
        <v>124787</v>
      </c>
      <c r="U246" s="101">
        <v>128298</v>
      </c>
      <c r="V246" s="101">
        <v>147267</v>
      </c>
      <c r="W246" s="101">
        <v>145295</v>
      </c>
      <c r="X246" s="149">
        <f t="shared" si="20"/>
        <v>0.72157447462052371</v>
      </c>
      <c r="Y246" s="184">
        <v>4.0099999999999997E-2</v>
      </c>
      <c r="Z246" s="253">
        <v>8.5</v>
      </c>
      <c r="AA246" s="149">
        <f t="shared" si="21"/>
        <v>3.1253999539253077E-2</v>
      </c>
      <c r="AB246" s="149"/>
      <c r="AD246" s="101">
        <v>153195</v>
      </c>
      <c r="AE246" s="101">
        <v>150700</v>
      </c>
      <c r="AF246" s="101">
        <f t="shared" si="22"/>
        <v>2495</v>
      </c>
      <c r="AG246" s="101">
        <v>156268</v>
      </c>
      <c r="AH246" s="101">
        <v>151384</v>
      </c>
      <c r="AI246" s="101">
        <f t="shared" si="23"/>
        <v>4884</v>
      </c>
    </row>
    <row r="247" spans="2:35" x14ac:dyDescent="0.25">
      <c r="B247" t="s">
        <v>201</v>
      </c>
      <c r="C247" s="101">
        <v>18724000</v>
      </c>
      <c r="D247" s="101">
        <f t="shared" si="18"/>
        <v>18269384</v>
      </c>
      <c r="E247" s="101">
        <v>0</v>
      </c>
      <c r="F247" s="101">
        <v>0</v>
      </c>
      <c r="G247" s="101">
        <v>227026</v>
      </c>
      <c r="H247" s="101">
        <v>227590</v>
      </c>
      <c r="I247" s="101">
        <v>1332000</v>
      </c>
      <c r="K247" s="101">
        <v>188000</v>
      </c>
      <c r="L247" s="101">
        <f t="shared" si="19"/>
        <v>2215000</v>
      </c>
      <c r="M247" s="101">
        <v>22459000</v>
      </c>
      <c r="N247" s="101">
        <v>34</v>
      </c>
      <c r="O247" s="101">
        <v>145</v>
      </c>
      <c r="P247" s="101">
        <v>7</v>
      </c>
      <c r="Q247" s="101">
        <v>5137</v>
      </c>
      <c r="R247" s="101">
        <v>34284</v>
      </c>
      <c r="S247" s="101">
        <v>34016</v>
      </c>
      <c r="T247" s="101">
        <v>23305</v>
      </c>
      <c r="U247" s="101">
        <v>23739</v>
      </c>
      <c r="V247" s="101">
        <v>24903</v>
      </c>
      <c r="W247" s="101">
        <v>26126</v>
      </c>
      <c r="X247" s="149">
        <f t="shared" si="20"/>
        <v>0.65508692101271726</v>
      </c>
      <c r="Y247" s="184">
        <v>6.54E-2</v>
      </c>
      <c r="Z247" s="253">
        <v>7</v>
      </c>
      <c r="AA247" s="149">
        <f t="shared" si="21"/>
        <v>7.8170575195426438E-3</v>
      </c>
      <c r="AB247" s="149"/>
      <c r="AD247" s="101">
        <v>28238</v>
      </c>
      <c r="AE247" s="101">
        <v>28353</v>
      </c>
      <c r="AF247" s="101">
        <f t="shared" si="22"/>
        <v>-115</v>
      </c>
      <c r="AG247" s="101">
        <v>34284</v>
      </c>
      <c r="AH247" s="101">
        <v>34016</v>
      </c>
      <c r="AI247" s="101">
        <f t="shared" si="23"/>
        <v>268</v>
      </c>
    </row>
    <row r="248" spans="2:35" x14ac:dyDescent="0.25">
      <c r="B248" t="s">
        <v>315</v>
      </c>
      <c r="C248" s="101">
        <v>209146000</v>
      </c>
      <c r="D248" s="101">
        <f t="shared" si="18"/>
        <v>197737650</v>
      </c>
      <c r="E248" s="101">
        <v>0</v>
      </c>
      <c r="F248" s="101">
        <v>0</v>
      </c>
      <c r="G248" s="101">
        <v>9826970</v>
      </c>
      <c r="H248" s="101">
        <v>1581380</v>
      </c>
      <c r="I248" s="101">
        <v>42326000</v>
      </c>
      <c r="K248" s="101">
        <v>7891000</v>
      </c>
      <c r="L248" s="101">
        <f t="shared" si="19"/>
        <v>7434000</v>
      </c>
      <c r="M248" s="101">
        <v>266797000</v>
      </c>
      <c r="N248" s="101">
        <v>10240</v>
      </c>
      <c r="O248" s="101">
        <v>5843</v>
      </c>
      <c r="P248" s="101">
        <v>0</v>
      </c>
      <c r="Q248" s="101">
        <v>27286</v>
      </c>
      <c r="R248" s="101">
        <v>390198</v>
      </c>
      <c r="S248" s="101">
        <v>393268</v>
      </c>
      <c r="T248" s="101">
        <v>322326</v>
      </c>
      <c r="U248" s="101">
        <v>327705</v>
      </c>
      <c r="V248" s="101">
        <v>354123</v>
      </c>
      <c r="W248" s="101">
        <v>356405</v>
      </c>
      <c r="X248" s="149">
        <f t="shared" si="20"/>
        <v>0.68374773832772084</v>
      </c>
      <c r="Y248" s="184">
        <v>4.2200000000000001E-2</v>
      </c>
      <c r="Z248" s="253">
        <v>5</v>
      </c>
      <c r="AA248" s="149">
        <f t="shared" si="21"/>
        <v>-7.8678004500279345E-3</v>
      </c>
      <c r="AB248" s="149"/>
      <c r="AD248" s="101">
        <v>372427</v>
      </c>
      <c r="AE248" s="101">
        <v>374477</v>
      </c>
      <c r="AF248" s="101">
        <f t="shared" si="22"/>
        <v>-2050</v>
      </c>
      <c r="AG248" s="101">
        <v>390198</v>
      </c>
      <c r="AH248" s="101">
        <v>393268</v>
      </c>
      <c r="AI248" s="101">
        <f t="shared" si="23"/>
        <v>-3070</v>
      </c>
    </row>
    <row r="249" spans="2:35" x14ac:dyDescent="0.25">
      <c r="B249" t="s">
        <v>133</v>
      </c>
      <c r="C249" s="101">
        <v>4465000</v>
      </c>
      <c r="D249" s="101">
        <f t="shared" si="18"/>
        <v>4286258</v>
      </c>
      <c r="E249" s="101">
        <v>0</v>
      </c>
      <c r="F249" s="101">
        <v>0</v>
      </c>
      <c r="G249" s="101">
        <v>11297</v>
      </c>
      <c r="H249" s="101">
        <v>167445</v>
      </c>
      <c r="I249" s="101">
        <v>121000</v>
      </c>
      <c r="K249" s="101">
        <v>560000</v>
      </c>
      <c r="L249" s="101">
        <f t="shared" si="19"/>
        <v>0</v>
      </c>
      <c r="M249" s="101">
        <v>5146000</v>
      </c>
      <c r="N249" s="101">
        <v>123</v>
      </c>
      <c r="O249" s="101">
        <v>346</v>
      </c>
      <c r="P249" s="101">
        <v>20</v>
      </c>
      <c r="Q249" s="101">
        <v>0</v>
      </c>
      <c r="R249" s="101">
        <v>12876</v>
      </c>
      <c r="S249" s="101">
        <v>13202</v>
      </c>
      <c r="T249" s="101">
        <v>8113</v>
      </c>
      <c r="U249" s="101">
        <v>7981</v>
      </c>
      <c r="V249" s="101">
        <v>9265</v>
      </c>
      <c r="W249" s="101">
        <v>8925</v>
      </c>
      <c r="X249" s="149">
        <f t="shared" si="20"/>
        <v>0.39965827896862377</v>
      </c>
      <c r="Y249" s="184">
        <v>1.0999999999999999E-2</v>
      </c>
      <c r="Z249" s="253">
        <v>8</v>
      </c>
      <c r="AA249" s="149">
        <f t="shared" si="21"/>
        <v>-2.5318421870146008E-2</v>
      </c>
      <c r="AB249" s="149"/>
      <c r="AD249" s="101">
        <v>9946</v>
      </c>
      <c r="AE249" s="101">
        <v>10069</v>
      </c>
      <c r="AF249" s="101">
        <f t="shared" si="22"/>
        <v>-123</v>
      </c>
      <c r="AG249" s="101">
        <v>12876</v>
      </c>
      <c r="AH249" s="101">
        <v>13202</v>
      </c>
      <c r="AI249" s="101">
        <f t="shared" si="23"/>
        <v>-326</v>
      </c>
    </row>
    <row r="250" spans="2:35" x14ac:dyDescent="0.25">
      <c r="B250" t="s">
        <v>335</v>
      </c>
      <c r="C250" s="101">
        <v>77745000</v>
      </c>
      <c r="D250" s="101">
        <f t="shared" si="18"/>
        <v>72516620</v>
      </c>
      <c r="E250" s="101">
        <v>0</v>
      </c>
      <c r="F250" s="101">
        <v>0</v>
      </c>
      <c r="G250" s="101">
        <v>4478144</v>
      </c>
      <c r="H250" s="101">
        <v>750236</v>
      </c>
      <c r="I250" s="101">
        <v>7780000</v>
      </c>
      <c r="K250" s="101">
        <v>517000</v>
      </c>
      <c r="L250" s="101">
        <f t="shared" si="19"/>
        <v>1695000</v>
      </c>
      <c r="M250" s="101">
        <v>87737000</v>
      </c>
      <c r="N250" s="101">
        <v>1217</v>
      </c>
      <c r="O250" s="101">
        <v>1103</v>
      </c>
      <c r="P250" s="101">
        <v>460</v>
      </c>
      <c r="Q250" s="101">
        <v>5068</v>
      </c>
      <c r="R250" s="101">
        <v>164190</v>
      </c>
      <c r="S250" s="101">
        <v>157989</v>
      </c>
      <c r="T250" s="101">
        <v>121305</v>
      </c>
      <c r="U250" s="101">
        <v>122438</v>
      </c>
      <c r="V250" s="101">
        <v>139092</v>
      </c>
      <c r="W250" s="101">
        <v>137845</v>
      </c>
      <c r="X250" s="149">
        <f t="shared" si="20"/>
        <v>0.53436262866191608</v>
      </c>
      <c r="Y250" s="184">
        <v>3.3399999999999999E-2</v>
      </c>
      <c r="Z250" s="253">
        <v>8.5</v>
      </c>
      <c r="AA250" s="149">
        <f t="shared" si="21"/>
        <v>3.7767220902612829E-2</v>
      </c>
      <c r="AB250" s="149"/>
      <c r="AD250" s="101">
        <v>138069</v>
      </c>
      <c r="AE250" s="101">
        <v>139666</v>
      </c>
      <c r="AF250" s="101">
        <f t="shared" si="22"/>
        <v>-1597</v>
      </c>
      <c r="AG250" s="101">
        <v>164190</v>
      </c>
      <c r="AH250" s="101">
        <v>157989</v>
      </c>
      <c r="AI250" s="101">
        <f t="shared" si="23"/>
        <v>6201</v>
      </c>
    </row>
    <row r="251" spans="2:35" x14ac:dyDescent="0.25">
      <c r="B251" t="s">
        <v>441</v>
      </c>
      <c r="C251" s="101">
        <v>1861381000</v>
      </c>
      <c r="D251" s="101">
        <f t="shared" si="18"/>
        <v>1671722021</v>
      </c>
      <c r="E251" s="101">
        <v>0</v>
      </c>
      <c r="F251" s="101">
        <v>83684360</v>
      </c>
      <c r="G251" s="101">
        <v>42426496</v>
      </c>
      <c r="H251" s="101">
        <v>63548123</v>
      </c>
      <c r="I251" s="101">
        <v>378355000</v>
      </c>
      <c r="K251" s="101">
        <v>48139000</v>
      </c>
      <c r="L251" s="101">
        <f t="shared" si="19"/>
        <v>66556000</v>
      </c>
      <c r="M251" s="101">
        <v>2354431000</v>
      </c>
      <c r="N251" s="101">
        <v>18799</v>
      </c>
      <c r="O251" s="101">
        <v>41168</v>
      </c>
      <c r="P251" s="101">
        <v>8544</v>
      </c>
      <c r="Q251" s="101">
        <v>56162</v>
      </c>
      <c r="R251" s="101">
        <v>3157487</v>
      </c>
      <c r="S251" s="101">
        <v>3315648</v>
      </c>
      <c r="T251" s="101">
        <v>2529529</v>
      </c>
      <c r="U251" s="101">
        <v>2736623</v>
      </c>
      <c r="V251" s="101">
        <v>2837656</v>
      </c>
      <c r="W251" s="101">
        <v>2954450</v>
      </c>
      <c r="X251" s="149">
        <f t="shared" si="20"/>
        <v>0.74566609458724609</v>
      </c>
      <c r="Y251" s="184">
        <v>5.9900000000000002E-2</v>
      </c>
      <c r="Z251" s="253">
        <v>6.5</v>
      </c>
      <c r="AA251" s="149">
        <f t="shared" si="21"/>
        <v>-5.0090784221756099E-2</v>
      </c>
      <c r="AB251" s="149"/>
      <c r="AD251" s="101">
        <v>2984957</v>
      </c>
      <c r="AE251" s="101">
        <v>3132702</v>
      </c>
      <c r="AF251" s="101">
        <f t="shared" si="22"/>
        <v>-147745</v>
      </c>
      <c r="AG251" s="101">
        <v>3157487</v>
      </c>
      <c r="AH251" s="101">
        <v>3315648</v>
      </c>
      <c r="AI251" s="101">
        <f t="shared" si="23"/>
        <v>-158161</v>
      </c>
    </row>
    <row r="252" spans="2:35" x14ac:dyDescent="0.25">
      <c r="B252" t="s">
        <v>476</v>
      </c>
      <c r="C252" s="101">
        <v>424899000</v>
      </c>
      <c r="D252" s="101">
        <f t="shared" si="18"/>
        <v>348759605</v>
      </c>
      <c r="E252" s="101">
        <v>0</v>
      </c>
      <c r="F252" s="101">
        <v>34073771</v>
      </c>
      <c r="G252" s="101">
        <v>24130308</v>
      </c>
      <c r="H252" s="101">
        <v>17935316</v>
      </c>
      <c r="I252" s="101">
        <v>72257000</v>
      </c>
      <c r="K252" s="101">
        <v>9734000</v>
      </c>
      <c r="L252" s="101">
        <f t="shared" si="19"/>
        <v>19674000</v>
      </c>
      <c r="M252" s="101">
        <v>526564000</v>
      </c>
      <c r="N252" s="101">
        <v>3315</v>
      </c>
      <c r="O252" s="101">
        <v>15688</v>
      </c>
      <c r="P252" s="101">
        <v>3132</v>
      </c>
      <c r="Q252" s="101">
        <v>57757</v>
      </c>
      <c r="R252" s="101">
        <v>862891</v>
      </c>
      <c r="S252" s="101">
        <v>870666</v>
      </c>
      <c r="T252" s="101">
        <v>695433</v>
      </c>
      <c r="U252" s="101">
        <v>708831</v>
      </c>
      <c r="V252" s="101">
        <v>765253</v>
      </c>
      <c r="W252" s="101">
        <v>786339</v>
      </c>
      <c r="X252" s="149">
        <f t="shared" si="20"/>
        <v>0.61023234684334404</v>
      </c>
      <c r="Y252" s="184">
        <v>4.99E-2</v>
      </c>
      <c r="Z252" s="253">
        <v>7.5</v>
      </c>
      <c r="AA252" s="149">
        <f t="shared" si="21"/>
        <v>-9.0104080353138466E-3</v>
      </c>
      <c r="AB252" s="149"/>
      <c r="AD252" s="101">
        <v>817765</v>
      </c>
      <c r="AE252" s="101">
        <v>819716</v>
      </c>
      <c r="AF252" s="101">
        <f t="shared" si="22"/>
        <v>-1951</v>
      </c>
      <c r="AG252" s="101">
        <v>862891</v>
      </c>
      <c r="AH252" s="101">
        <v>870666</v>
      </c>
      <c r="AI252" s="101">
        <f t="shared" si="23"/>
        <v>-7775</v>
      </c>
    </row>
    <row r="253" spans="2:35" x14ac:dyDescent="0.25">
      <c r="B253" t="s">
        <v>418</v>
      </c>
      <c r="C253" s="101">
        <v>23975000</v>
      </c>
      <c r="D253" s="101">
        <f t="shared" si="18"/>
        <v>21533889</v>
      </c>
      <c r="E253" s="101">
        <v>0</v>
      </c>
      <c r="F253" s="101">
        <v>0</v>
      </c>
      <c r="G253" s="101">
        <v>2203755</v>
      </c>
      <c r="H253" s="101">
        <v>237356</v>
      </c>
      <c r="I253" s="101">
        <v>2088000</v>
      </c>
      <c r="K253" s="101">
        <v>115000</v>
      </c>
      <c r="L253" s="101">
        <f t="shared" si="19"/>
        <v>425000</v>
      </c>
      <c r="M253" s="101">
        <v>26603000</v>
      </c>
      <c r="N253" s="101">
        <v>0</v>
      </c>
      <c r="O253" s="101">
        <v>284</v>
      </c>
      <c r="P253" s="101">
        <v>153</v>
      </c>
      <c r="Q253" s="101">
        <v>49</v>
      </c>
      <c r="R253" s="101">
        <v>33620</v>
      </c>
      <c r="S253" s="101">
        <v>34196</v>
      </c>
      <c r="T253" s="101">
        <v>26726</v>
      </c>
      <c r="U253" s="101">
        <v>26580</v>
      </c>
      <c r="V253" s="101">
        <v>28582</v>
      </c>
      <c r="W253" s="101">
        <v>29274</v>
      </c>
      <c r="X253" s="149">
        <f t="shared" si="20"/>
        <v>0.79128494943486016</v>
      </c>
      <c r="Y253" s="184">
        <v>6.8000000000000005E-2</v>
      </c>
      <c r="Z253" s="253">
        <v>8</v>
      </c>
      <c r="AA253" s="149">
        <f t="shared" si="21"/>
        <v>-1.7132659131469365E-2</v>
      </c>
      <c r="AB253" s="149"/>
      <c r="AD253" s="101">
        <v>32026</v>
      </c>
      <c r="AE253" s="101">
        <v>31966</v>
      </c>
      <c r="AF253" s="101">
        <f t="shared" si="22"/>
        <v>60</v>
      </c>
      <c r="AG253" s="101">
        <v>33620</v>
      </c>
      <c r="AH253" s="101">
        <v>34196</v>
      </c>
      <c r="AI253" s="101">
        <f t="shared" si="23"/>
        <v>-576</v>
      </c>
    </row>
    <row r="254" spans="2:35" x14ac:dyDescent="0.25">
      <c r="B254" t="s">
        <v>385</v>
      </c>
      <c r="C254" s="101">
        <v>53196000</v>
      </c>
      <c r="D254" s="101">
        <f t="shared" si="18"/>
        <v>48595001</v>
      </c>
      <c r="E254" s="101">
        <v>0</v>
      </c>
      <c r="F254" s="101">
        <v>0</v>
      </c>
      <c r="G254" s="101">
        <v>4291741</v>
      </c>
      <c r="H254" s="101">
        <v>309258</v>
      </c>
      <c r="I254" s="101">
        <v>3783000</v>
      </c>
      <c r="K254" s="101">
        <v>130000</v>
      </c>
      <c r="L254" s="101">
        <f t="shared" si="19"/>
        <v>1092000</v>
      </c>
      <c r="M254" s="101">
        <v>58201000</v>
      </c>
      <c r="N254" s="101">
        <v>32</v>
      </c>
      <c r="O254" s="101">
        <v>1409</v>
      </c>
      <c r="P254" s="101">
        <v>30</v>
      </c>
      <c r="Q254" s="101">
        <v>4234</v>
      </c>
      <c r="R254" s="101">
        <v>86342</v>
      </c>
      <c r="S254" s="101">
        <v>85460</v>
      </c>
      <c r="T254" s="101">
        <v>66651</v>
      </c>
      <c r="U254" s="101">
        <v>66855</v>
      </c>
      <c r="V254" s="101">
        <v>74542</v>
      </c>
      <c r="W254" s="101">
        <v>74411</v>
      </c>
      <c r="X254" s="149">
        <f t="shared" si="20"/>
        <v>0.67407518936322997</v>
      </c>
      <c r="Y254" s="184">
        <v>4.6800000000000001E-2</v>
      </c>
      <c r="Z254" s="253">
        <v>7.5</v>
      </c>
      <c r="AA254" s="149">
        <f t="shared" si="21"/>
        <v>1.0215190753051818E-2</v>
      </c>
      <c r="AB254" s="149"/>
      <c r="AD254" s="101">
        <v>82986</v>
      </c>
      <c r="AE254" s="101">
        <v>79921</v>
      </c>
      <c r="AF254" s="101">
        <f t="shared" si="22"/>
        <v>3065</v>
      </c>
      <c r="AG254" s="101">
        <v>86342</v>
      </c>
      <c r="AH254" s="101">
        <v>85460</v>
      </c>
      <c r="AI254" s="101">
        <f t="shared" si="23"/>
        <v>882</v>
      </c>
    </row>
    <row r="255" spans="2:35" x14ac:dyDescent="0.25">
      <c r="B255" t="s">
        <v>419</v>
      </c>
      <c r="C255" s="101">
        <v>240551000</v>
      </c>
      <c r="D255" s="101">
        <f t="shared" si="18"/>
        <v>225165209</v>
      </c>
      <c r="E255" s="101">
        <v>0</v>
      </c>
      <c r="F255" s="101">
        <v>0</v>
      </c>
      <c r="G255" s="101">
        <v>13905662</v>
      </c>
      <c r="H255" s="101">
        <v>1480129</v>
      </c>
      <c r="I255" s="101">
        <v>44750000</v>
      </c>
      <c r="K255" s="101">
        <v>2923000</v>
      </c>
      <c r="L255" s="101">
        <f t="shared" si="19"/>
        <v>18152000</v>
      </c>
      <c r="M255" s="101">
        <v>306376000</v>
      </c>
      <c r="N255" s="101">
        <v>1528</v>
      </c>
      <c r="O255" s="101">
        <v>7962</v>
      </c>
      <c r="P255" s="101">
        <v>950</v>
      </c>
      <c r="Q255" s="101">
        <v>11</v>
      </c>
      <c r="R255" s="101">
        <v>456415</v>
      </c>
      <c r="S255" s="101">
        <v>454608</v>
      </c>
      <c r="T255" s="101">
        <v>367317</v>
      </c>
      <c r="U255" s="101">
        <v>364208</v>
      </c>
      <c r="V255" s="101">
        <v>394816</v>
      </c>
      <c r="W255" s="101">
        <v>395063</v>
      </c>
      <c r="X255" s="149">
        <f t="shared" si="20"/>
        <v>0.67126628178302639</v>
      </c>
      <c r="Y255" s="184">
        <v>3.6600000000000001E-2</v>
      </c>
      <c r="Z255" s="253">
        <v>7</v>
      </c>
      <c r="AA255" s="149">
        <f t="shared" si="21"/>
        <v>3.9591161552534424E-3</v>
      </c>
      <c r="AB255" s="149"/>
      <c r="AD255" s="101">
        <v>418014</v>
      </c>
      <c r="AE255" s="101">
        <v>418307</v>
      </c>
      <c r="AF255" s="101">
        <f t="shared" si="22"/>
        <v>-293</v>
      </c>
      <c r="AG255" s="101">
        <v>456415</v>
      </c>
      <c r="AH255" s="101">
        <v>454608</v>
      </c>
      <c r="AI255" s="101">
        <f t="shared" si="23"/>
        <v>1807</v>
      </c>
    </row>
    <row r="256" spans="2:35" x14ac:dyDescent="0.25">
      <c r="B256" t="s">
        <v>316</v>
      </c>
      <c r="C256" s="101">
        <v>59933000</v>
      </c>
      <c r="D256" s="101">
        <f t="shared" si="18"/>
        <v>56892629</v>
      </c>
      <c r="E256" s="101">
        <v>0</v>
      </c>
      <c r="F256" s="101">
        <v>0</v>
      </c>
      <c r="G256" s="101">
        <v>2527376</v>
      </c>
      <c r="H256" s="101">
        <v>512995</v>
      </c>
      <c r="I256" s="101">
        <v>9298000</v>
      </c>
      <c r="K256" s="101">
        <v>1092000</v>
      </c>
      <c r="L256" s="101">
        <f t="shared" si="19"/>
        <v>9737000</v>
      </c>
      <c r="M256" s="101">
        <v>80060000</v>
      </c>
      <c r="N256" s="101">
        <v>111</v>
      </c>
      <c r="O256" s="101">
        <v>1278</v>
      </c>
      <c r="P256" s="101">
        <v>149</v>
      </c>
      <c r="Q256" s="101">
        <v>0</v>
      </c>
      <c r="R256" s="101">
        <v>97082</v>
      </c>
      <c r="S256" s="101">
        <v>97824</v>
      </c>
      <c r="T256" s="101">
        <v>73174</v>
      </c>
      <c r="U256" s="101">
        <v>75998</v>
      </c>
      <c r="V256" s="101">
        <v>81386</v>
      </c>
      <c r="W256" s="101">
        <v>67497</v>
      </c>
      <c r="X256" s="149">
        <f t="shared" si="20"/>
        <v>0.82466368636822485</v>
      </c>
      <c r="Y256" s="184">
        <v>-8.5000000000000006E-3</v>
      </c>
      <c r="Z256" s="253">
        <v>7</v>
      </c>
      <c r="AA256" s="149">
        <f t="shared" si="21"/>
        <v>-7.6430234234976619E-3</v>
      </c>
      <c r="AB256" s="149"/>
      <c r="AD256" s="101">
        <v>91336</v>
      </c>
      <c r="AE256" s="101">
        <v>92501</v>
      </c>
      <c r="AF256" s="101">
        <f t="shared" si="22"/>
        <v>-1165</v>
      </c>
      <c r="AG256" s="101">
        <v>97082</v>
      </c>
      <c r="AH256" s="101">
        <v>97824</v>
      </c>
      <c r="AI256" s="101">
        <f t="shared" si="23"/>
        <v>-742</v>
      </c>
    </row>
    <row r="257" spans="2:35" x14ac:dyDescent="0.25">
      <c r="B257" t="s">
        <v>336</v>
      </c>
      <c r="C257" s="101">
        <v>54256000</v>
      </c>
      <c r="D257" s="101">
        <f t="shared" si="18"/>
        <v>51582505</v>
      </c>
      <c r="E257" s="101">
        <v>0</v>
      </c>
      <c r="F257" s="101">
        <v>0</v>
      </c>
      <c r="G257" s="101">
        <v>2025652</v>
      </c>
      <c r="H257" s="101">
        <v>647843</v>
      </c>
      <c r="I257" s="101">
        <v>5061000</v>
      </c>
      <c r="K257" s="101">
        <v>708000</v>
      </c>
      <c r="L257" s="101">
        <f t="shared" si="19"/>
        <v>1480000</v>
      </c>
      <c r="M257" s="101">
        <v>61505000</v>
      </c>
      <c r="N257" s="101">
        <v>304</v>
      </c>
      <c r="O257" s="101">
        <v>967</v>
      </c>
      <c r="P257" s="101">
        <v>3070</v>
      </c>
      <c r="Q257" s="101">
        <v>106</v>
      </c>
      <c r="R257" s="101">
        <v>105525</v>
      </c>
      <c r="S257" s="101">
        <v>107983</v>
      </c>
      <c r="T257" s="101">
        <v>77206</v>
      </c>
      <c r="U257" s="101">
        <v>74739</v>
      </c>
      <c r="V257" s="101">
        <v>92988</v>
      </c>
      <c r="W257" s="101">
        <v>92000</v>
      </c>
      <c r="X257" s="149">
        <f t="shared" si="20"/>
        <v>0.58284766642975594</v>
      </c>
      <c r="Y257" s="184">
        <v>1.8800000000000001E-2</v>
      </c>
      <c r="Z257" s="253">
        <v>10</v>
      </c>
      <c r="AA257" s="149">
        <f t="shared" si="21"/>
        <v>-2.3293058516939115E-2</v>
      </c>
      <c r="AB257" s="149"/>
      <c r="AD257" s="101">
        <v>102920</v>
      </c>
      <c r="AE257" s="101">
        <v>97304</v>
      </c>
      <c r="AF257" s="101">
        <f t="shared" si="22"/>
        <v>5616</v>
      </c>
      <c r="AG257" s="101">
        <v>105525</v>
      </c>
      <c r="AH257" s="101">
        <v>107983</v>
      </c>
      <c r="AI257" s="101">
        <f t="shared" si="23"/>
        <v>-2458</v>
      </c>
    </row>
    <row r="258" spans="2:35" x14ac:dyDescent="0.25">
      <c r="B258" t="s">
        <v>134</v>
      </c>
      <c r="C258" s="101">
        <v>157326000</v>
      </c>
      <c r="D258" s="101">
        <f t="shared" si="18"/>
        <v>144459251</v>
      </c>
      <c r="E258" s="101">
        <v>0</v>
      </c>
      <c r="F258" s="101">
        <v>0</v>
      </c>
      <c r="G258" s="101">
        <v>11881901</v>
      </c>
      <c r="H258" s="101">
        <v>984848</v>
      </c>
      <c r="I258" s="101">
        <v>28971000</v>
      </c>
      <c r="K258" s="101">
        <v>2162000</v>
      </c>
      <c r="L258" s="101">
        <f t="shared" si="19"/>
        <v>13316000</v>
      </c>
      <c r="M258" s="101">
        <v>201775000</v>
      </c>
      <c r="N258" s="101">
        <v>269</v>
      </c>
      <c r="O258" s="101">
        <v>2180</v>
      </c>
      <c r="P258" s="101">
        <v>485</v>
      </c>
      <c r="Q258" s="101">
        <v>2380</v>
      </c>
      <c r="R258" s="101">
        <v>254607</v>
      </c>
      <c r="S258" s="101">
        <v>259784</v>
      </c>
      <c r="T258" s="101">
        <v>197127</v>
      </c>
      <c r="U258" s="101">
        <v>199506</v>
      </c>
      <c r="V258" s="101">
        <v>206125</v>
      </c>
      <c r="W258" s="101">
        <v>213451</v>
      </c>
      <c r="X258" s="149">
        <f t="shared" si="20"/>
        <v>0.79249588581617947</v>
      </c>
      <c r="Y258" s="184">
        <v>0.06</v>
      </c>
      <c r="Z258" s="253">
        <v>5.5</v>
      </c>
      <c r="AA258" s="149">
        <f t="shared" si="21"/>
        <v>-2.0333297984737261E-2</v>
      </c>
      <c r="AB258" s="149"/>
      <c r="AD258" s="101">
        <v>228510</v>
      </c>
      <c r="AE258" s="101">
        <v>237758</v>
      </c>
      <c r="AF258" s="101">
        <f t="shared" si="22"/>
        <v>-9248</v>
      </c>
      <c r="AG258" s="101">
        <v>254607</v>
      </c>
      <c r="AH258" s="101">
        <v>259784</v>
      </c>
      <c r="AI258" s="101">
        <f t="shared" si="23"/>
        <v>-5177</v>
      </c>
    </row>
    <row r="259" spans="2:35" x14ac:dyDescent="0.25">
      <c r="B259" t="s">
        <v>227</v>
      </c>
      <c r="C259" s="101">
        <v>88049000</v>
      </c>
      <c r="D259" s="101">
        <f t="shared" ref="D259:D322" si="24">SUM(C259,-F259,-G259,-H259)</f>
        <v>84299252</v>
      </c>
      <c r="E259" s="101">
        <v>0</v>
      </c>
      <c r="F259" s="101">
        <v>0</v>
      </c>
      <c r="G259" s="101">
        <v>3127652</v>
      </c>
      <c r="H259" s="101">
        <v>622096</v>
      </c>
      <c r="I259" s="101">
        <v>11563000</v>
      </c>
      <c r="K259" s="101">
        <v>1576000</v>
      </c>
      <c r="L259" s="101">
        <f t="shared" ref="L259:L322" si="25">SUM(M259,-C259,-I259,-J259,-K259)</f>
        <v>1865000</v>
      </c>
      <c r="M259" s="101">
        <v>103053000</v>
      </c>
      <c r="N259" s="101">
        <v>154</v>
      </c>
      <c r="O259" s="101">
        <v>4034</v>
      </c>
      <c r="P259" s="101">
        <v>340</v>
      </c>
      <c r="Q259" s="101">
        <v>7850</v>
      </c>
      <c r="R259" s="101">
        <v>153083</v>
      </c>
      <c r="S259" s="101">
        <v>154831</v>
      </c>
      <c r="T259" s="101">
        <v>141152</v>
      </c>
      <c r="U259" s="101">
        <v>141821</v>
      </c>
      <c r="V259" s="101">
        <v>144490</v>
      </c>
      <c r="W259" s="101">
        <v>145598</v>
      </c>
      <c r="X259" s="149">
        <f t="shared" ref="X259:X301" si="26">M259/(R259*1000)</f>
        <v>0.67318382838068236</v>
      </c>
      <c r="Y259" s="184">
        <v>4.5999999999999999E-2</v>
      </c>
      <c r="Z259" s="253">
        <v>8</v>
      </c>
      <c r="AA259" s="149">
        <f t="shared" ref="AA259:AA322" si="27">SUM(R259,-S259)/R259</f>
        <v>-1.141864217450664E-2</v>
      </c>
      <c r="AB259" s="149"/>
      <c r="AD259" s="101">
        <v>149003</v>
      </c>
      <c r="AE259" s="101">
        <v>150582</v>
      </c>
      <c r="AF259" s="101">
        <f t="shared" ref="AF259:AF322" si="28">SUM(AD259,-AE259)</f>
        <v>-1579</v>
      </c>
      <c r="AG259" s="101">
        <v>153083</v>
      </c>
      <c r="AH259" s="101">
        <v>154831</v>
      </c>
      <c r="AI259" s="101">
        <f t="shared" ref="AI259:AI322" si="29">SUM(AG259,-AH259)</f>
        <v>-1748</v>
      </c>
    </row>
    <row r="260" spans="2:35" x14ac:dyDescent="0.25">
      <c r="B260" t="s">
        <v>386</v>
      </c>
      <c r="C260" s="101">
        <v>38646000</v>
      </c>
      <c r="D260" s="101">
        <f t="shared" si="24"/>
        <v>36590835</v>
      </c>
      <c r="E260" s="101">
        <v>0</v>
      </c>
      <c r="F260" s="101">
        <v>0</v>
      </c>
      <c r="G260" s="101">
        <v>1762850</v>
      </c>
      <c r="H260" s="101">
        <v>292315</v>
      </c>
      <c r="I260" s="101">
        <v>3544000</v>
      </c>
      <c r="K260" s="101">
        <v>265000</v>
      </c>
      <c r="L260" s="101">
        <f t="shared" si="25"/>
        <v>527000</v>
      </c>
      <c r="M260" s="101">
        <v>42982000</v>
      </c>
      <c r="N260" s="101">
        <v>186</v>
      </c>
      <c r="O260" s="101">
        <v>774</v>
      </c>
      <c r="P260" s="101">
        <v>39</v>
      </c>
      <c r="Q260" s="101">
        <v>3924</v>
      </c>
      <c r="R260" s="101">
        <v>60449</v>
      </c>
      <c r="S260" s="101">
        <v>63965</v>
      </c>
      <c r="T260" s="101">
        <v>49530</v>
      </c>
      <c r="U260" s="101">
        <v>50735</v>
      </c>
      <c r="V260" s="101">
        <v>54615</v>
      </c>
      <c r="W260" s="101">
        <v>55308</v>
      </c>
      <c r="X260" s="149">
        <f t="shared" si="26"/>
        <v>0.71104567486641634</v>
      </c>
      <c r="Y260" s="184">
        <v>5.7299999999999997E-2</v>
      </c>
      <c r="Z260" s="253">
        <v>7</v>
      </c>
      <c r="AA260" s="149">
        <f t="shared" si="27"/>
        <v>-5.8164733907922379E-2</v>
      </c>
      <c r="AB260" s="149"/>
      <c r="AD260" s="101">
        <v>58150</v>
      </c>
      <c r="AE260" s="101">
        <v>59458</v>
      </c>
      <c r="AF260" s="101">
        <f t="shared" si="28"/>
        <v>-1308</v>
      </c>
      <c r="AG260" s="101">
        <v>60449</v>
      </c>
      <c r="AH260" s="101">
        <v>63965</v>
      </c>
      <c r="AI260" s="101">
        <f t="shared" si="29"/>
        <v>-3516</v>
      </c>
    </row>
    <row r="261" spans="2:35" x14ac:dyDescent="0.25">
      <c r="B261" t="s">
        <v>387</v>
      </c>
      <c r="C261" s="101">
        <v>30141000</v>
      </c>
      <c r="D261" s="101">
        <f t="shared" si="24"/>
        <v>29054161</v>
      </c>
      <c r="E261" s="101">
        <v>0</v>
      </c>
      <c r="F261" s="101">
        <v>0</v>
      </c>
      <c r="G261" s="101">
        <v>795236</v>
      </c>
      <c r="H261" s="101">
        <v>291603</v>
      </c>
      <c r="I261" s="101">
        <v>3240000</v>
      </c>
      <c r="K261" s="101">
        <v>0</v>
      </c>
      <c r="L261" s="101">
        <f t="shared" si="25"/>
        <v>813000</v>
      </c>
      <c r="M261" s="101">
        <v>34194000</v>
      </c>
      <c r="N261" s="101">
        <v>196</v>
      </c>
      <c r="O261" s="101">
        <v>962</v>
      </c>
      <c r="P261" s="101">
        <v>56</v>
      </c>
      <c r="Q261" s="101">
        <v>3785</v>
      </c>
      <c r="R261" s="101">
        <v>52464</v>
      </c>
      <c r="S261" s="101">
        <v>54159</v>
      </c>
      <c r="T261" s="101">
        <v>42251</v>
      </c>
      <c r="U261" s="101">
        <v>43038</v>
      </c>
      <c r="V261" s="101">
        <v>45441</v>
      </c>
      <c r="W261" s="101">
        <v>46355</v>
      </c>
      <c r="X261" s="149">
        <f t="shared" si="26"/>
        <v>0.65176120768526991</v>
      </c>
      <c r="Y261" s="184">
        <v>5.2699999999999997E-2</v>
      </c>
      <c r="Z261" s="253">
        <v>6.5</v>
      </c>
      <c r="AA261" s="149">
        <f t="shared" si="27"/>
        <v>-3.2307868252516012E-2</v>
      </c>
      <c r="AB261" s="149"/>
      <c r="AD261" s="101">
        <v>48108</v>
      </c>
      <c r="AE261" s="101">
        <v>48713</v>
      </c>
      <c r="AF261" s="101">
        <f t="shared" si="28"/>
        <v>-605</v>
      </c>
      <c r="AG261" s="101">
        <v>52464</v>
      </c>
      <c r="AH261" s="101">
        <v>54159</v>
      </c>
      <c r="AI261" s="101">
        <f t="shared" si="29"/>
        <v>-1695</v>
      </c>
    </row>
    <row r="262" spans="2:35" x14ac:dyDescent="0.25">
      <c r="B262" t="s">
        <v>123</v>
      </c>
      <c r="C262" s="101">
        <v>106403000</v>
      </c>
      <c r="D262" s="101">
        <f t="shared" si="24"/>
        <v>87145875</v>
      </c>
      <c r="E262" s="101">
        <v>0</v>
      </c>
      <c r="F262" s="101">
        <v>0</v>
      </c>
      <c r="G262" s="101">
        <v>18596780</v>
      </c>
      <c r="H262" s="101">
        <v>660345</v>
      </c>
      <c r="I262" s="101">
        <v>15520000</v>
      </c>
      <c r="K262" s="101">
        <v>1376000</v>
      </c>
      <c r="L262" s="101">
        <f t="shared" si="25"/>
        <v>1954000</v>
      </c>
      <c r="M262" s="101">
        <v>125253000</v>
      </c>
      <c r="N262" s="101">
        <v>35</v>
      </c>
      <c r="O262" s="101">
        <v>352</v>
      </c>
      <c r="P262" s="101">
        <v>460</v>
      </c>
      <c r="Q262" s="101">
        <v>654</v>
      </c>
      <c r="R262" s="101">
        <v>152567</v>
      </c>
      <c r="S262" s="101">
        <v>154223</v>
      </c>
      <c r="T262" s="101">
        <v>120376</v>
      </c>
      <c r="U262" s="101">
        <v>123626</v>
      </c>
      <c r="V262" s="101">
        <v>132074</v>
      </c>
      <c r="W262" s="101">
        <v>129881</v>
      </c>
      <c r="X262" s="149">
        <f t="shared" si="26"/>
        <v>0.8209704588803608</v>
      </c>
      <c r="Y262" s="184">
        <v>5.8500000000000003E-2</v>
      </c>
      <c r="Z262" s="253">
        <v>5.5</v>
      </c>
      <c r="AA262" s="149">
        <f t="shared" si="27"/>
        <v>-1.0854247642019572E-2</v>
      </c>
      <c r="AB262" s="149"/>
      <c r="AD262" s="101">
        <v>143829</v>
      </c>
      <c r="AE262" s="101">
        <v>141478</v>
      </c>
      <c r="AF262" s="101">
        <f t="shared" si="28"/>
        <v>2351</v>
      </c>
      <c r="AG262" s="101">
        <v>152567</v>
      </c>
      <c r="AH262" s="101">
        <v>154223</v>
      </c>
      <c r="AI262" s="101">
        <f t="shared" si="29"/>
        <v>-1656</v>
      </c>
    </row>
    <row r="263" spans="2:35" x14ac:dyDescent="0.25">
      <c r="B263" t="s">
        <v>156</v>
      </c>
      <c r="C263" s="101">
        <v>33416000</v>
      </c>
      <c r="D263" s="101">
        <f t="shared" si="24"/>
        <v>31864382</v>
      </c>
      <c r="E263" s="101">
        <v>0</v>
      </c>
      <c r="F263" s="101">
        <v>0</v>
      </c>
      <c r="G263" s="101">
        <v>1214159</v>
      </c>
      <c r="H263" s="101">
        <v>337459</v>
      </c>
      <c r="I263" s="101">
        <v>2148000</v>
      </c>
      <c r="K263" s="101">
        <v>416000</v>
      </c>
      <c r="L263" s="101">
        <f t="shared" si="25"/>
        <v>6751000</v>
      </c>
      <c r="M263" s="101">
        <v>42731000</v>
      </c>
      <c r="N263" s="101">
        <v>42</v>
      </c>
      <c r="O263" s="101">
        <v>246</v>
      </c>
      <c r="P263" s="101">
        <v>352</v>
      </c>
      <c r="Q263" s="101">
        <v>2271</v>
      </c>
      <c r="R263" s="101">
        <v>59323</v>
      </c>
      <c r="S263" s="101">
        <v>62852</v>
      </c>
      <c r="T263" s="101">
        <v>41558</v>
      </c>
      <c r="U263" s="101">
        <v>43957</v>
      </c>
      <c r="V263" s="101">
        <v>52880</v>
      </c>
      <c r="W263" s="101">
        <v>55739</v>
      </c>
      <c r="X263" s="149">
        <f t="shared" si="26"/>
        <v>0.72031084065202367</v>
      </c>
      <c r="Y263" s="184">
        <v>6.08E-2</v>
      </c>
      <c r="Z263" s="253">
        <v>7</v>
      </c>
      <c r="AA263" s="149">
        <f t="shared" si="27"/>
        <v>-5.9487888340104177E-2</v>
      </c>
      <c r="AB263" s="149"/>
      <c r="AD263" s="101">
        <v>57335</v>
      </c>
      <c r="AE263" s="101">
        <v>60647</v>
      </c>
      <c r="AF263" s="101">
        <f t="shared" si="28"/>
        <v>-3312</v>
      </c>
      <c r="AG263" s="101">
        <v>59323</v>
      </c>
      <c r="AH263" s="101">
        <v>62852</v>
      </c>
      <c r="AI263" s="101">
        <f t="shared" si="29"/>
        <v>-3529</v>
      </c>
    </row>
    <row r="264" spans="2:35" x14ac:dyDescent="0.25">
      <c r="B264" t="s">
        <v>270</v>
      </c>
      <c r="C264" s="101">
        <v>48948000</v>
      </c>
      <c r="D264" s="101">
        <f t="shared" si="24"/>
        <v>46408785</v>
      </c>
      <c r="E264" s="101">
        <v>0</v>
      </c>
      <c r="F264" s="101">
        <v>0</v>
      </c>
      <c r="G264" s="101">
        <v>2210941</v>
      </c>
      <c r="H264" s="101">
        <v>328274</v>
      </c>
      <c r="I264" s="101">
        <v>4300000</v>
      </c>
      <c r="K264" s="101">
        <v>0</v>
      </c>
      <c r="L264" s="101">
        <f t="shared" si="25"/>
        <v>757000</v>
      </c>
      <c r="M264" s="101">
        <v>54005000</v>
      </c>
      <c r="N264" s="101">
        <v>43</v>
      </c>
      <c r="O264" s="101">
        <v>780</v>
      </c>
      <c r="P264" s="101">
        <v>227</v>
      </c>
      <c r="Q264" s="101">
        <v>0</v>
      </c>
      <c r="R264" s="101">
        <v>69993</v>
      </c>
      <c r="S264" s="101">
        <v>71977</v>
      </c>
      <c r="T264" s="101">
        <v>55053</v>
      </c>
      <c r="U264" s="101">
        <v>55586</v>
      </c>
      <c r="V264" s="101">
        <v>60358</v>
      </c>
      <c r="W264" s="101">
        <v>57805</v>
      </c>
      <c r="X264" s="149">
        <f t="shared" si="26"/>
        <v>0.77157715771577162</v>
      </c>
      <c r="Y264" s="184">
        <v>4.0599999999999997E-2</v>
      </c>
      <c r="Z264" s="253">
        <v>7</v>
      </c>
      <c r="AA264" s="149">
        <f t="shared" si="27"/>
        <v>-2.8345691712028345E-2</v>
      </c>
      <c r="AB264" s="149"/>
      <c r="AD264" s="101">
        <v>65825</v>
      </c>
      <c r="AE264" s="101">
        <v>66352</v>
      </c>
      <c r="AF264" s="101">
        <f t="shared" si="28"/>
        <v>-527</v>
      </c>
      <c r="AG264" s="101">
        <v>69993</v>
      </c>
      <c r="AH264" s="101">
        <v>71977</v>
      </c>
      <c r="AI264" s="101">
        <f t="shared" si="29"/>
        <v>-1984</v>
      </c>
    </row>
    <row r="265" spans="2:35" x14ac:dyDescent="0.25">
      <c r="B265" t="s">
        <v>388</v>
      </c>
      <c r="C265" s="101">
        <v>52653000</v>
      </c>
      <c r="D265" s="101">
        <f t="shared" si="24"/>
        <v>49520392</v>
      </c>
      <c r="E265" s="101">
        <v>0</v>
      </c>
      <c r="F265" s="101">
        <v>0</v>
      </c>
      <c r="G265" s="101">
        <v>2792076</v>
      </c>
      <c r="H265" s="101">
        <v>340532</v>
      </c>
      <c r="I265" s="101">
        <v>6034000</v>
      </c>
      <c r="K265" s="101">
        <v>397000</v>
      </c>
      <c r="L265" s="101">
        <f t="shared" si="25"/>
        <v>90000</v>
      </c>
      <c r="M265" s="101">
        <v>59174000</v>
      </c>
      <c r="N265" s="101">
        <v>127</v>
      </c>
      <c r="O265" s="101">
        <v>431</v>
      </c>
      <c r="P265" s="101">
        <v>26</v>
      </c>
      <c r="Q265" s="101">
        <v>1910</v>
      </c>
      <c r="R265" s="101">
        <v>78334</v>
      </c>
      <c r="S265" s="101">
        <v>79314</v>
      </c>
      <c r="T265" s="101">
        <v>67689</v>
      </c>
      <c r="U265" s="101">
        <v>69420</v>
      </c>
      <c r="V265" s="101">
        <v>69507</v>
      </c>
      <c r="W265" s="101">
        <v>70508</v>
      </c>
      <c r="X265" s="149">
        <f t="shared" si="26"/>
        <v>0.75540633696734494</v>
      </c>
      <c r="Y265" s="184">
        <v>0.06</v>
      </c>
      <c r="Z265" s="253">
        <v>7</v>
      </c>
      <c r="AA265" s="149">
        <f t="shared" si="27"/>
        <v>-1.2510531825261061E-2</v>
      </c>
      <c r="AB265" s="149"/>
      <c r="AD265" s="101">
        <v>74401</v>
      </c>
      <c r="AE265" s="101">
        <v>75249</v>
      </c>
      <c r="AF265" s="101">
        <f t="shared" si="28"/>
        <v>-848</v>
      </c>
      <c r="AG265" s="101">
        <v>78334</v>
      </c>
      <c r="AH265" s="101">
        <v>79314</v>
      </c>
      <c r="AI265" s="101">
        <f t="shared" si="29"/>
        <v>-980</v>
      </c>
    </row>
    <row r="266" spans="2:35" x14ac:dyDescent="0.25">
      <c r="B266" t="s">
        <v>157</v>
      </c>
      <c r="C266" s="101">
        <v>109794000</v>
      </c>
      <c r="D266" s="101">
        <f t="shared" si="24"/>
        <v>102311362</v>
      </c>
      <c r="E266" s="101">
        <v>0</v>
      </c>
      <c r="F266" s="101">
        <v>0</v>
      </c>
      <c r="G266" s="101">
        <v>6814075</v>
      </c>
      <c r="H266" s="101">
        <v>668563</v>
      </c>
      <c r="I266" s="101">
        <v>14532000</v>
      </c>
      <c r="K266" s="101">
        <v>727000</v>
      </c>
      <c r="L266" s="101">
        <f t="shared" si="25"/>
        <v>5551000</v>
      </c>
      <c r="M266" s="101">
        <v>130604000</v>
      </c>
      <c r="N266" s="101">
        <v>82</v>
      </c>
      <c r="O266" s="101">
        <v>1271</v>
      </c>
      <c r="P266" s="101">
        <v>1858</v>
      </c>
      <c r="Q266" s="101">
        <v>3254</v>
      </c>
      <c r="R266" s="101">
        <v>172507</v>
      </c>
      <c r="S266" s="101">
        <v>175765</v>
      </c>
      <c r="T266" s="101">
        <v>134900</v>
      </c>
      <c r="U266" s="101">
        <v>137176</v>
      </c>
      <c r="V266" s="101">
        <v>141796</v>
      </c>
      <c r="W266" s="101">
        <v>145626</v>
      </c>
      <c r="X266" s="149">
        <f t="shared" si="26"/>
        <v>0.75709391502953505</v>
      </c>
      <c r="Y266" s="184">
        <v>5.7099999999999998E-2</v>
      </c>
      <c r="Z266" s="253">
        <v>7</v>
      </c>
      <c r="AA266" s="149">
        <f t="shared" si="27"/>
        <v>-1.8886190125618089E-2</v>
      </c>
      <c r="AB266" s="149"/>
      <c r="AD266" s="101">
        <v>153391</v>
      </c>
      <c r="AE266" s="101">
        <v>154773</v>
      </c>
      <c r="AF266" s="101">
        <f t="shared" si="28"/>
        <v>-1382</v>
      </c>
      <c r="AG266" s="101">
        <v>172507</v>
      </c>
      <c r="AH266" s="101">
        <v>175765</v>
      </c>
      <c r="AI266" s="101">
        <f t="shared" si="29"/>
        <v>-3258</v>
      </c>
    </row>
    <row r="267" spans="2:35" x14ac:dyDescent="0.25">
      <c r="B267" t="s">
        <v>727</v>
      </c>
      <c r="C267" s="101">
        <v>53662000</v>
      </c>
      <c r="D267" s="101">
        <f t="shared" si="24"/>
        <v>50578191</v>
      </c>
      <c r="E267" s="101">
        <v>0</v>
      </c>
      <c r="F267" s="101">
        <v>0</v>
      </c>
      <c r="G267" s="101">
        <v>2644396</v>
      </c>
      <c r="H267" s="101">
        <v>439413</v>
      </c>
      <c r="I267" s="101">
        <v>6079000</v>
      </c>
      <c r="K267" s="101">
        <v>268000</v>
      </c>
      <c r="L267" s="101">
        <f t="shared" si="25"/>
        <v>3032000</v>
      </c>
      <c r="M267" s="101">
        <v>63041000</v>
      </c>
      <c r="N267" s="101">
        <v>73</v>
      </c>
      <c r="O267" s="101">
        <v>836</v>
      </c>
      <c r="P267" s="101">
        <v>274</v>
      </c>
      <c r="Q267" s="101">
        <v>2396</v>
      </c>
      <c r="R267" s="101">
        <v>84226</v>
      </c>
      <c r="S267" s="101">
        <v>85318</v>
      </c>
      <c r="T267" s="101">
        <v>63911</v>
      </c>
      <c r="U267" s="101">
        <v>65805</v>
      </c>
      <c r="V267" s="101">
        <v>77640</v>
      </c>
      <c r="W267" s="101">
        <v>77443</v>
      </c>
      <c r="X267" s="149">
        <f t="shared" si="26"/>
        <v>0.7484743428395032</v>
      </c>
      <c r="Y267" s="184">
        <v>4.3400000000000001E-2</v>
      </c>
      <c r="Z267" s="253">
        <v>5</v>
      </c>
      <c r="AA267" s="149">
        <f t="shared" si="27"/>
        <v>-1.2965117659630043E-2</v>
      </c>
      <c r="AB267" s="149"/>
      <c r="AD267" s="101">
        <v>83657</v>
      </c>
      <c r="AE267" s="101">
        <v>82395</v>
      </c>
      <c r="AF267" s="101">
        <f t="shared" si="28"/>
        <v>1262</v>
      </c>
      <c r="AG267" s="101">
        <v>84226</v>
      </c>
      <c r="AH267" s="101">
        <v>85318</v>
      </c>
      <c r="AI267" s="101">
        <f t="shared" si="29"/>
        <v>-1092</v>
      </c>
    </row>
    <row r="268" spans="2:35" x14ac:dyDescent="0.25">
      <c r="B268" t="s">
        <v>228</v>
      </c>
      <c r="C268" s="101">
        <v>117739000</v>
      </c>
      <c r="D268" s="101">
        <f t="shared" si="24"/>
        <v>113728149</v>
      </c>
      <c r="E268" s="101">
        <v>0</v>
      </c>
      <c r="F268" s="101">
        <v>0</v>
      </c>
      <c r="G268" s="101">
        <v>3236550</v>
      </c>
      <c r="H268" s="101">
        <v>774301</v>
      </c>
      <c r="I268" s="101">
        <v>11438000</v>
      </c>
      <c r="K268" s="101">
        <v>1024000</v>
      </c>
      <c r="L268" s="101">
        <f t="shared" si="25"/>
        <v>2960000</v>
      </c>
      <c r="M268" s="101">
        <v>133161000</v>
      </c>
      <c r="N268" s="101">
        <v>114</v>
      </c>
      <c r="O268" s="101">
        <v>2486</v>
      </c>
      <c r="P268" s="101">
        <v>50</v>
      </c>
      <c r="Q268" s="101">
        <v>3796</v>
      </c>
      <c r="R268" s="101">
        <v>186978</v>
      </c>
      <c r="S268" s="101">
        <v>187579</v>
      </c>
      <c r="T268" s="101">
        <v>145459</v>
      </c>
      <c r="U268" s="101">
        <v>145885</v>
      </c>
      <c r="V268" s="101">
        <v>155451</v>
      </c>
      <c r="W268" s="101">
        <v>155560</v>
      </c>
      <c r="X268" s="149">
        <f t="shared" si="26"/>
        <v>0.71217469434906777</v>
      </c>
      <c r="Y268" s="184">
        <v>4.0599999999999997E-2</v>
      </c>
      <c r="Z268" s="253">
        <v>7.5</v>
      </c>
      <c r="AA268" s="149">
        <f t="shared" si="27"/>
        <v>-3.2142818941265816E-3</v>
      </c>
      <c r="AB268" s="149"/>
      <c r="AD268" s="101">
        <v>178575</v>
      </c>
      <c r="AE268" s="101">
        <v>181231</v>
      </c>
      <c r="AF268" s="101">
        <f t="shared" si="28"/>
        <v>-2656</v>
      </c>
      <c r="AG268" s="101">
        <v>186978</v>
      </c>
      <c r="AH268" s="101">
        <v>187579</v>
      </c>
      <c r="AI268" s="101">
        <f t="shared" si="29"/>
        <v>-601</v>
      </c>
    </row>
    <row r="269" spans="2:35" x14ac:dyDescent="0.25">
      <c r="B269" t="s">
        <v>438</v>
      </c>
      <c r="C269" s="101">
        <v>230777000</v>
      </c>
      <c r="D269" s="101">
        <f t="shared" si="24"/>
        <v>213273103</v>
      </c>
      <c r="E269" s="101">
        <v>0</v>
      </c>
      <c r="F269" s="101">
        <v>0</v>
      </c>
      <c r="G269" s="101">
        <v>16021855</v>
      </c>
      <c r="H269" s="101">
        <v>1482042</v>
      </c>
      <c r="I269" s="101">
        <v>35366000</v>
      </c>
      <c r="K269" s="101">
        <v>2174000</v>
      </c>
      <c r="L269" s="101">
        <f t="shared" si="25"/>
        <v>16425000</v>
      </c>
      <c r="M269" s="101">
        <v>284742000</v>
      </c>
      <c r="N269" s="101">
        <v>431</v>
      </c>
      <c r="O269" s="101">
        <v>3477</v>
      </c>
      <c r="P269" s="101">
        <v>987</v>
      </c>
      <c r="Q269" s="101">
        <v>0</v>
      </c>
      <c r="R269" s="101">
        <v>363224</v>
      </c>
      <c r="S269" s="101">
        <v>362126</v>
      </c>
      <c r="T269" s="101">
        <v>283890</v>
      </c>
      <c r="U269" s="101">
        <v>284209</v>
      </c>
      <c r="V269" s="101">
        <v>302024</v>
      </c>
      <c r="W269" s="101">
        <v>302561</v>
      </c>
      <c r="X269" s="149">
        <f t="shared" si="26"/>
        <v>0.78392947602581331</v>
      </c>
      <c r="Y269" s="184">
        <v>4.7300000000000002E-2</v>
      </c>
      <c r="Z269" s="253">
        <v>7.5</v>
      </c>
      <c r="AA269" s="149">
        <f t="shared" si="27"/>
        <v>3.0229280003523998E-3</v>
      </c>
      <c r="AB269" s="149"/>
      <c r="AD269" s="101">
        <v>325744</v>
      </c>
      <c r="AE269" s="101">
        <v>324262</v>
      </c>
      <c r="AF269" s="101">
        <f t="shared" si="28"/>
        <v>1482</v>
      </c>
      <c r="AG269" s="101">
        <v>363224</v>
      </c>
      <c r="AH269" s="101">
        <v>362126</v>
      </c>
      <c r="AI269" s="101">
        <f t="shared" si="29"/>
        <v>1098</v>
      </c>
    </row>
    <row r="270" spans="2:35" x14ac:dyDescent="0.25">
      <c r="B270" t="s">
        <v>337</v>
      </c>
      <c r="C270" s="101">
        <v>139349000</v>
      </c>
      <c r="D270" s="101">
        <f t="shared" si="24"/>
        <v>128391122</v>
      </c>
      <c r="E270" s="101">
        <v>0</v>
      </c>
      <c r="F270" s="101">
        <v>0</v>
      </c>
      <c r="G270" s="101">
        <v>9290955</v>
      </c>
      <c r="H270" s="101">
        <v>1666923</v>
      </c>
      <c r="I270" s="101">
        <v>19174000</v>
      </c>
      <c r="K270" s="101">
        <v>2777000</v>
      </c>
      <c r="L270" s="101">
        <f t="shared" si="25"/>
        <v>4099000</v>
      </c>
      <c r="M270" s="101">
        <v>165399000</v>
      </c>
      <c r="N270" s="101">
        <v>48</v>
      </c>
      <c r="O270" s="101">
        <v>3358</v>
      </c>
      <c r="P270" s="101">
        <v>858</v>
      </c>
      <c r="Q270" s="101">
        <v>1285</v>
      </c>
      <c r="R270" s="101">
        <v>242743</v>
      </c>
      <c r="S270" s="101">
        <v>229915</v>
      </c>
      <c r="T270" s="101">
        <v>175775</v>
      </c>
      <c r="U270" s="101">
        <v>170601</v>
      </c>
      <c r="V270" s="101">
        <v>190522</v>
      </c>
      <c r="W270" s="101">
        <v>185000</v>
      </c>
      <c r="X270" s="149">
        <f t="shared" si="26"/>
        <v>0.68137495210984456</v>
      </c>
      <c r="Y270" s="184">
        <v>3.6299999999999999E-2</v>
      </c>
      <c r="Z270" s="253">
        <v>9</v>
      </c>
      <c r="AA270" s="149">
        <f t="shared" si="27"/>
        <v>5.2846014097213928E-2</v>
      </c>
      <c r="AB270" s="149"/>
      <c r="AD270" s="101">
        <v>223966</v>
      </c>
      <c r="AE270" s="101">
        <v>215132</v>
      </c>
      <c r="AF270" s="101">
        <f t="shared" si="28"/>
        <v>8834</v>
      </c>
      <c r="AG270" s="101">
        <v>242743</v>
      </c>
      <c r="AH270" s="101">
        <v>229915</v>
      </c>
      <c r="AI270" s="101">
        <f t="shared" si="29"/>
        <v>12828</v>
      </c>
    </row>
    <row r="271" spans="2:35" x14ac:dyDescent="0.25">
      <c r="B271" t="s">
        <v>135</v>
      </c>
      <c r="C271" s="101">
        <v>13523000</v>
      </c>
      <c r="D271" s="101">
        <f t="shared" si="24"/>
        <v>13105044</v>
      </c>
      <c r="E271" s="101">
        <v>0</v>
      </c>
      <c r="F271" s="101">
        <v>0</v>
      </c>
      <c r="G271" s="101">
        <v>226289</v>
      </c>
      <c r="H271" s="101">
        <v>191667</v>
      </c>
      <c r="I271" s="101">
        <v>392000</v>
      </c>
      <c r="K271" s="101">
        <v>3507000</v>
      </c>
      <c r="L271" s="101">
        <f t="shared" si="25"/>
        <v>272000</v>
      </c>
      <c r="M271" s="101">
        <v>17694000</v>
      </c>
      <c r="N271" s="101">
        <v>153</v>
      </c>
      <c r="O271" s="101">
        <v>607</v>
      </c>
      <c r="P271" s="101">
        <v>6</v>
      </c>
      <c r="Q271" s="101">
        <v>0</v>
      </c>
      <c r="R271" s="101">
        <v>30997</v>
      </c>
      <c r="S271" s="101">
        <v>31534</v>
      </c>
      <c r="T271" s="101">
        <v>24365</v>
      </c>
      <c r="U271" s="101">
        <v>24640</v>
      </c>
      <c r="V271" s="101">
        <v>26574</v>
      </c>
      <c r="W271" s="101">
        <v>26661</v>
      </c>
      <c r="X271" s="149">
        <f t="shared" si="26"/>
        <v>0.57082943510662321</v>
      </c>
      <c r="Y271" s="184">
        <v>4.4900000000000002E-2</v>
      </c>
      <c r="Z271" s="253">
        <v>8</v>
      </c>
      <c r="AA271" s="149">
        <f t="shared" si="27"/>
        <v>-1.7324257186179307E-2</v>
      </c>
      <c r="AB271" s="149"/>
      <c r="AD271" s="101">
        <v>29543</v>
      </c>
      <c r="AE271" s="101">
        <v>30046</v>
      </c>
      <c r="AF271" s="101">
        <f t="shared" si="28"/>
        <v>-503</v>
      </c>
      <c r="AG271" s="101">
        <v>30997</v>
      </c>
      <c r="AH271" s="101">
        <v>31534</v>
      </c>
      <c r="AI271" s="101">
        <f t="shared" si="29"/>
        <v>-537</v>
      </c>
    </row>
    <row r="272" spans="2:35" x14ac:dyDescent="0.25">
      <c r="B272" t="s">
        <v>271</v>
      </c>
      <c r="C272" s="101">
        <v>37343000</v>
      </c>
      <c r="D272" s="101">
        <f t="shared" si="24"/>
        <v>34446252</v>
      </c>
      <c r="E272" s="101">
        <v>0</v>
      </c>
      <c r="F272" s="101">
        <v>0</v>
      </c>
      <c r="G272" s="101">
        <v>2527083</v>
      </c>
      <c r="H272" s="101">
        <v>369665</v>
      </c>
      <c r="I272" s="101">
        <v>2289000</v>
      </c>
      <c r="K272" s="101">
        <v>20000</v>
      </c>
      <c r="L272" s="101">
        <f t="shared" si="25"/>
        <v>2176000</v>
      </c>
      <c r="M272" s="101">
        <v>41828000</v>
      </c>
      <c r="N272" s="101">
        <v>361</v>
      </c>
      <c r="O272" s="101">
        <v>1211</v>
      </c>
      <c r="P272" s="101">
        <v>62</v>
      </c>
      <c r="Q272" s="101">
        <v>0</v>
      </c>
      <c r="R272" s="101">
        <v>76081</v>
      </c>
      <c r="S272" s="101">
        <v>80431</v>
      </c>
      <c r="T272" s="101">
        <v>59846</v>
      </c>
      <c r="U272" s="101">
        <v>58790</v>
      </c>
      <c r="V272" s="101">
        <v>64794</v>
      </c>
      <c r="W272" s="101">
        <v>66096</v>
      </c>
      <c r="X272" s="149">
        <f t="shared" si="26"/>
        <v>0.54978246868469127</v>
      </c>
      <c r="Y272" s="184">
        <v>2.64E-2</v>
      </c>
      <c r="Z272" s="253">
        <v>8</v>
      </c>
      <c r="AA272" s="149">
        <f t="shared" si="27"/>
        <v>-5.7175904627962307E-2</v>
      </c>
      <c r="AB272" s="149"/>
      <c r="AD272" s="101">
        <v>66836</v>
      </c>
      <c r="AE272" s="101">
        <v>69526</v>
      </c>
      <c r="AF272" s="101">
        <f t="shared" si="28"/>
        <v>-2690</v>
      </c>
      <c r="AG272" s="101">
        <v>76081</v>
      </c>
      <c r="AH272" s="101">
        <v>80431</v>
      </c>
      <c r="AI272" s="101">
        <f t="shared" si="29"/>
        <v>-4350</v>
      </c>
    </row>
    <row r="273" spans="2:35" x14ac:dyDescent="0.25">
      <c r="B273" t="s">
        <v>317</v>
      </c>
      <c r="C273" s="101">
        <v>65255000</v>
      </c>
      <c r="D273" s="101">
        <f t="shared" si="24"/>
        <v>61616044</v>
      </c>
      <c r="E273" s="101">
        <v>0</v>
      </c>
      <c r="F273" s="101">
        <v>0</v>
      </c>
      <c r="G273" s="101">
        <v>3216174</v>
      </c>
      <c r="H273" s="101">
        <v>422782</v>
      </c>
      <c r="I273" s="101">
        <v>7025000</v>
      </c>
      <c r="K273" s="101">
        <v>292000</v>
      </c>
      <c r="L273" s="101">
        <f t="shared" si="25"/>
        <v>1801000</v>
      </c>
      <c r="M273" s="101">
        <v>74373000</v>
      </c>
      <c r="N273" s="101">
        <v>171</v>
      </c>
      <c r="O273" s="101">
        <v>1510</v>
      </c>
      <c r="P273" s="101">
        <v>773</v>
      </c>
      <c r="Q273" s="101">
        <v>236</v>
      </c>
      <c r="R273" s="101">
        <v>103354</v>
      </c>
      <c r="S273" s="101">
        <v>104453</v>
      </c>
      <c r="T273" s="101">
        <v>85819</v>
      </c>
      <c r="U273" s="101">
        <v>85732</v>
      </c>
      <c r="V273" s="101">
        <v>88654</v>
      </c>
      <c r="W273" s="101">
        <v>88744</v>
      </c>
      <c r="X273" s="149">
        <f t="shared" si="26"/>
        <v>0.71959479071927546</v>
      </c>
      <c r="Y273" s="184">
        <v>5.2299999999999999E-2</v>
      </c>
      <c r="Z273" s="253">
        <v>6.5</v>
      </c>
      <c r="AA273" s="149">
        <f t="shared" si="27"/>
        <v>-1.0633357199527836E-2</v>
      </c>
      <c r="AB273" s="149"/>
      <c r="AD273" s="101">
        <v>95483</v>
      </c>
      <c r="AE273" s="101">
        <v>97257</v>
      </c>
      <c r="AF273" s="101">
        <f t="shared" si="28"/>
        <v>-1774</v>
      </c>
      <c r="AG273" s="101">
        <v>103354</v>
      </c>
      <c r="AH273" s="101">
        <v>104453</v>
      </c>
      <c r="AI273" s="101">
        <f t="shared" si="29"/>
        <v>-1099</v>
      </c>
    </row>
    <row r="274" spans="2:35" x14ac:dyDescent="0.25">
      <c r="B274" t="s">
        <v>338</v>
      </c>
      <c r="C274" s="101">
        <v>56826000</v>
      </c>
      <c r="D274" s="101">
        <f t="shared" si="24"/>
        <v>54011435</v>
      </c>
      <c r="E274" s="101">
        <v>0</v>
      </c>
      <c r="F274" s="101">
        <v>0</v>
      </c>
      <c r="G274" s="101">
        <v>2315511</v>
      </c>
      <c r="H274" s="101">
        <v>499054</v>
      </c>
      <c r="I274" s="101">
        <v>5573000</v>
      </c>
      <c r="K274" s="101">
        <v>1012000</v>
      </c>
      <c r="L274" s="101">
        <f t="shared" si="25"/>
        <v>7301000</v>
      </c>
      <c r="M274" s="101">
        <v>70712000</v>
      </c>
      <c r="N274" s="101">
        <v>1335</v>
      </c>
      <c r="O274" s="101">
        <v>556</v>
      </c>
      <c r="P274" s="101">
        <v>290</v>
      </c>
      <c r="Q274" s="101">
        <v>5885</v>
      </c>
      <c r="R274" s="101">
        <v>96804</v>
      </c>
      <c r="S274" s="101">
        <v>97150</v>
      </c>
      <c r="T274" s="101">
        <v>72395</v>
      </c>
      <c r="U274" s="101">
        <v>72271</v>
      </c>
      <c r="V274" s="101">
        <v>79892</v>
      </c>
      <c r="W274" s="101">
        <v>79549</v>
      </c>
      <c r="X274" s="149">
        <f t="shared" si="26"/>
        <v>0.73046568323622996</v>
      </c>
      <c r="Y274" s="184">
        <v>4.53E-2</v>
      </c>
      <c r="Z274" s="253">
        <v>8.5</v>
      </c>
      <c r="AA274" s="149">
        <f t="shared" si="27"/>
        <v>-3.5742324697326557E-3</v>
      </c>
      <c r="AB274" s="149"/>
      <c r="AD274" s="101">
        <v>82740</v>
      </c>
      <c r="AE274" s="101">
        <v>82953</v>
      </c>
      <c r="AF274" s="101">
        <f t="shared" si="28"/>
        <v>-213</v>
      </c>
      <c r="AG274" s="101">
        <v>96804</v>
      </c>
      <c r="AH274" s="101">
        <v>97150</v>
      </c>
      <c r="AI274" s="101">
        <f t="shared" si="29"/>
        <v>-346</v>
      </c>
    </row>
    <row r="275" spans="2:35" x14ac:dyDescent="0.25">
      <c r="B275" t="s">
        <v>202</v>
      </c>
      <c r="C275" s="101">
        <v>110590000</v>
      </c>
      <c r="D275" s="101">
        <f t="shared" si="24"/>
        <v>100482958</v>
      </c>
      <c r="E275" s="101">
        <v>0</v>
      </c>
      <c r="F275" s="101">
        <v>0</v>
      </c>
      <c r="G275" s="101">
        <v>8764652</v>
      </c>
      <c r="H275" s="101">
        <v>1342390</v>
      </c>
      <c r="I275" s="101">
        <v>22189000</v>
      </c>
      <c r="K275" s="101">
        <v>4921000</v>
      </c>
      <c r="L275" s="101">
        <f t="shared" si="25"/>
        <v>5642000</v>
      </c>
      <c r="M275" s="101">
        <v>143342000</v>
      </c>
      <c r="N275" s="101">
        <v>200</v>
      </c>
      <c r="O275" s="101">
        <v>2574</v>
      </c>
      <c r="P275" s="101">
        <v>84</v>
      </c>
      <c r="Q275" s="101">
        <v>0</v>
      </c>
      <c r="R275" s="101">
        <v>183102</v>
      </c>
      <c r="S275" s="101">
        <v>183408</v>
      </c>
      <c r="T275" s="101">
        <v>147693</v>
      </c>
      <c r="U275" s="101">
        <v>146994</v>
      </c>
      <c r="V275" s="101">
        <v>155785</v>
      </c>
      <c r="W275" s="101">
        <v>157204</v>
      </c>
      <c r="X275" s="149">
        <f t="shared" si="26"/>
        <v>0.78285327303907115</v>
      </c>
      <c r="Y275" s="184">
        <v>5.4899999999999997E-2</v>
      </c>
      <c r="Z275" s="253">
        <v>7.5</v>
      </c>
      <c r="AA275" s="149">
        <f t="shared" si="27"/>
        <v>-1.671199659206344E-3</v>
      </c>
      <c r="AB275" s="149"/>
      <c r="AD275" s="101">
        <v>170064</v>
      </c>
      <c r="AE275" s="101">
        <v>169739</v>
      </c>
      <c r="AF275" s="101">
        <f t="shared" si="28"/>
        <v>325</v>
      </c>
      <c r="AG275" s="101">
        <v>183102</v>
      </c>
      <c r="AH275" s="101">
        <v>183408</v>
      </c>
      <c r="AI275" s="101">
        <f t="shared" si="29"/>
        <v>-306</v>
      </c>
    </row>
    <row r="276" spans="2:35" x14ac:dyDescent="0.25">
      <c r="B276" t="s">
        <v>389</v>
      </c>
      <c r="C276" s="101">
        <v>673570000</v>
      </c>
      <c r="D276" s="101">
        <f t="shared" si="24"/>
        <v>552556972</v>
      </c>
      <c r="E276" s="101">
        <v>0</v>
      </c>
      <c r="F276" s="101">
        <v>67521560</v>
      </c>
      <c r="G276" s="101">
        <v>30277541</v>
      </c>
      <c r="H276" s="101">
        <v>23213927</v>
      </c>
      <c r="I276" s="101">
        <v>116259000</v>
      </c>
      <c r="K276" s="101">
        <v>14666000</v>
      </c>
      <c r="L276" s="101">
        <f t="shared" si="25"/>
        <v>60188000</v>
      </c>
      <c r="M276" s="101">
        <v>864683000</v>
      </c>
      <c r="N276" s="101">
        <v>2380</v>
      </c>
      <c r="O276" s="101">
        <v>21915</v>
      </c>
      <c r="P276" s="101">
        <v>28222</v>
      </c>
      <c r="Q276" s="101">
        <v>33488</v>
      </c>
      <c r="R276" s="101">
        <v>1145777</v>
      </c>
      <c r="S276" s="101">
        <v>1190506</v>
      </c>
      <c r="T276" s="101">
        <v>881325</v>
      </c>
      <c r="U276" s="101">
        <v>913208</v>
      </c>
      <c r="V276" s="101">
        <v>976520</v>
      </c>
      <c r="W276" s="101">
        <v>986174</v>
      </c>
      <c r="X276" s="149">
        <f t="shared" si="26"/>
        <v>0.75466953866240982</v>
      </c>
      <c r="Y276" s="184">
        <v>5.7799999999999997E-2</v>
      </c>
      <c r="Z276" s="253">
        <v>6.5</v>
      </c>
      <c r="AA276" s="149">
        <f t="shared" si="27"/>
        <v>-3.903813743861153E-2</v>
      </c>
      <c r="AB276" s="149"/>
      <c r="AD276" s="101">
        <v>1022428</v>
      </c>
      <c r="AE276" s="101">
        <v>1074635</v>
      </c>
      <c r="AF276" s="101">
        <f t="shared" si="28"/>
        <v>-52207</v>
      </c>
      <c r="AG276" s="101">
        <v>1145777</v>
      </c>
      <c r="AH276" s="101">
        <v>1190506</v>
      </c>
      <c r="AI276" s="101">
        <f t="shared" si="29"/>
        <v>-44729</v>
      </c>
    </row>
    <row r="277" spans="2:35" ht="13.25" customHeight="1" x14ac:dyDescent="0.25">
      <c r="B277" t="s">
        <v>158</v>
      </c>
      <c r="C277" s="101">
        <v>38923000</v>
      </c>
      <c r="D277" s="101">
        <f t="shared" si="24"/>
        <v>36299878</v>
      </c>
      <c r="E277" s="101">
        <v>0</v>
      </c>
      <c r="F277" s="101">
        <v>0</v>
      </c>
      <c r="G277" s="101">
        <v>2298299</v>
      </c>
      <c r="H277" s="101">
        <v>324823</v>
      </c>
      <c r="I277" s="101">
        <v>2816000</v>
      </c>
      <c r="K277" s="101">
        <v>64000</v>
      </c>
      <c r="L277" s="101">
        <f t="shared" si="25"/>
        <v>1226000</v>
      </c>
      <c r="M277" s="101">
        <v>43029000</v>
      </c>
      <c r="N277" s="101">
        <v>16</v>
      </c>
      <c r="O277" s="101">
        <v>308</v>
      </c>
      <c r="P277" s="101">
        <v>893</v>
      </c>
      <c r="Q277" s="101">
        <v>1088</v>
      </c>
      <c r="R277" s="101">
        <v>56948</v>
      </c>
      <c r="S277" s="101">
        <v>60376</v>
      </c>
      <c r="T277" s="101">
        <v>43762</v>
      </c>
      <c r="U277" s="101">
        <v>44361</v>
      </c>
      <c r="V277" s="101">
        <v>50664</v>
      </c>
      <c r="W277" s="101">
        <v>53537</v>
      </c>
      <c r="X277" s="149">
        <f t="shared" si="26"/>
        <v>0.75558404158179393</v>
      </c>
      <c r="Y277" s="184">
        <v>6.5000000000000002E-2</v>
      </c>
      <c r="Z277" s="253">
        <v>6</v>
      </c>
      <c r="AA277" s="149">
        <f t="shared" si="27"/>
        <v>-6.0195265856570909E-2</v>
      </c>
      <c r="AB277" s="149"/>
      <c r="AD277" s="101">
        <v>55748</v>
      </c>
      <c r="AE277" s="101">
        <v>60949</v>
      </c>
      <c r="AF277" s="101">
        <f t="shared" si="28"/>
        <v>-5201</v>
      </c>
      <c r="AG277" s="101">
        <v>56948</v>
      </c>
      <c r="AH277" s="101">
        <v>60376</v>
      </c>
      <c r="AI277" s="101">
        <f t="shared" si="29"/>
        <v>-3428</v>
      </c>
    </row>
    <row r="278" spans="2:35" ht="13.25" customHeight="1" x14ac:dyDescent="0.25">
      <c r="B278" t="s">
        <v>159</v>
      </c>
      <c r="C278" s="101">
        <v>76275000</v>
      </c>
      <c r="D278" s="101">
        <f t="shared" si="24"/>
        <v>69242022</v>
      </c>
      <c r="E278" s="101">
        <v>0</v>
      </c>
      <c r="F278" s="101">
        <v>0</v>
      </c>
      <c r="G278" s="101">
        <v>6569419</v>
      </c>
      <c r="H278" s="101">
        <v>463559</v>
      </c>
      <c r="I278" s="101">
        <v>8944000</v>
      </c>
      <c r="K278" s="101">
        <v>938000</v>
      </c>
      <c r="L278" s="101">
        <f t="shared" si="25"/>
        <v>786000</v>
      </c>
      <c r="M278" s="101">
        <v>86943000</v>
      </c>
      <c r="N278" s="101">
        <v>59</v>
      </c>
      <c r="O278" s="101">
        <v>852</v>
      </c>
      <c r="P278" s="101">
        <v>1957</v>
      </c>
      <c r="Q278" s="101">
        <v>2574</v>
      </c>
      <c r="R278" s="101">
        <v>149761</v>
      </c>
      <c r="S278" s="101">
        <v>152684</v>
      </c>
      <c r="T278" s="101">
        <v>96796</v>
      </c>
      <c r="U278" s="101">
        <v>98515</v>
      </c>
      <c r="V278" s="101">
        <v>106147</v>
      </c>
      <c r="W278" s="101">
        <v>103017</v>
      </c>
      <c r="X278" s="149">
        <f t="shared" si="26"/>
        <v>0.58054500170271295</v>
      </c>
      <c r="Y278" s="184">
        <v>4.8899999999999999E-2</v>
      </c>
      <c r="Z278" s="253">
        <v>6</v>
      </c>
      <c r="AA278" s="149">
        <f t="shared" si="27"/>
        <v>-1.951776497218902E-2</v>
      </c>
      <c r="AB278" s="149"/>
      <c r="AD278" s="101">
        <v>110638</v>
      </c>
      <c r="AE278" s="101">
        <v>110191</v>
      </c>
      <c r="AF278" s="101">
        <f t="shared" si="28"/>
        <v>447</v>
      </c>
      <c r="AG278" s="101">
        <v>149761</v>
      </c>
      <c r="AH278" s="101">
        <v>152684</v>
      </c>
      <c r="AI278" s="101">
        <f t="shared" si="29"/>
        <v>-2923</v>
      </c>
    </row>
    <row r="279" spans="2:35" x14ac:dyDescent="0.25">
      <c r="B279" t="s">
        <v>113</v>
      </c>
      <c r="C279" s="101">
        <v>64381000</v>
      </c>
      <c r="D279" s="101">
        <f t="shared" si="24"/>
        <v>63730027</v>
      </c>
      <c r="E279" s="101">
        <v>0</v>
      </c>
      <c r="F279" s="101">
        <v>0</v>
      </c>
      <c r="G279" s="101">
        <v>207221</v>
      </c>
      <c r="H279" s="101">
        <v>443752</v>
      </c>
      <c r="I279" s="101">
        <v>7541000</v>
      </c>
      <c r="K279" s="101">
        <v>124000</v>
      </c>
      <c r="L279" s="101">
        <f t="shared" si="25"/>
        <v>5325000</v>
      </c>
      <c r="M279" s="101">
        <v>77371000</v>
      </c>
      <c r="N279" s="101">
        <v>123</v>
      </c>
      <c r="O279" s="101">
        <v>801</v>
      </c>
      <c r="P279" s="101">
        <v>275</v>
      </c>
      <c r="Q279" s="101">
        <v>3132</v>
      </c>
      <c r="R279" s="101">
        <v>104044</v>
      </c>
      <c r="S279" s="101">
        <v>108181</v>
      </c>
      <c r="T279" s="101">
        <v>85164</v>
      </c>
      <c r="U279" s="101">
        <v>85295</v>
      </c>
      <c r="V279" s="101">
        <v>92826</v>
      </c>
      <c r="W279" s="101">
        <v>89203</v>
      </c>
      <c r="X279" s="149">
        <f t="shared" si="26"/>
        <v>0.74363730729306832</v>
      </c>
      <c r="Y279" s="184">
        <v>3.9800000000000002E-2</v>
      </c>
      <c r="Z279" s="253">
        <v>7</v>
      </c>
      <c r="AA279" s="149">
        <f t="shared" si="27"/>
        <v>-3.9762023759178811E-2</v>
      </c>
      <c r="AB279" s="149"/>
      <c r="AD279" s="101">
        <v>96160</v>
      </c>
      <c r="AE279" s="101">
        <v>97520</v>
      </c>
      <c r="AF279" s="101">
        <f t="shared" si="28"/>
        <v>-1360</v>
      </c>
      <c r="AG279" s="101">
        <v>104044</v>
      </c>
      <c r="AH279" s="101">
        <v>108181</v>
      </c>
      <c r="AI279" s="101">
        <f t="shared" si="29"/>
        <v>-4137</v>
      </c>
    </row>
    <row r="280" spans="2:35" x14ac:dyDescent="0.25">
      <c r="B280" t="s">
        <v>136</v>
      </c>
      <c r="C280" s="101">
        <v>73553000</v>
      </c>
      <c r="D280" s="101">
        <f t="shared" si="24"/>
        <v>69229991</v>
      </c>
      <c r="E280" s="101">
        <v>0</v>
      </c>
      <c r="F280" s="101">
        <v>0</v>
      </c>
      <c r="G280" s="101">
        <v>3665141</v>
      </c>
      <c r="H280" s="101">
        <v>657868</v>
      </c>
      <c r="I280" s="101">
        <v>9361000</v>
      </c>
      <c r="K280" s="101">
        <v>1024000</v>
      </c>
      <c r="L280" s="101">
        <f t="shared" si="25"/>
        <v>1878000</v>
      </c>
      <c r="M280" s="101">
        <v>85816000</v>
      </c>
      <c r="N280" s="101">
        <v>199</v>
      </c>
      <c r="O280" s="101">
        <v>774</v>
      </c>
      <c r="P280" s="101">
        <v>149</v>
      </c>
      <c r="Q280" s="101">
        <v>0</v>
      </c>
      <c r="R280" s="101">
        <v>107660</v>
      </c>
      <c r="S280" s="101">
        <v>108706</v>
      </c>
      <c r="T280" s="101">
        <v>87399</v>
      </c>
      <c r="U280" s="101">
        <v>89110</v>
      </c>
      <c r="V280" s="101">
        <v>93145</v>
      </c>
      <c r="W280" s="101">
        <v>95887</v>
      </c>
      <c r="X280" s="149">
        <f t="shared" si="26"/>
        <v>0.79710198773917884</v>
      </c>
      <c r="Y280" s="184">
        <v>5.8599999999999999E-2</v>
      </c>
      <c r="Z280" s="253">
        <v>6</v>
      </c>
      <c r="AA280" s="149">
        <f t="shared" si="27"/>
        <v>-9.7157718744194689E-3</v>
      </c>
      <c r="AB280" s="149"/>
      <c r="AD280" s="101">
        <v>100200</v>
      </c>
      <c r="AE280" s="101">
        <v>102483</v>
      </c>
      <c r="AF280" s="101">
        <f t="shared" si="28"/>
        <v>-2283</v>
      </c>
      <c r="AG280" s="101">
        <v>107660</v>
      </c>
      <c r="AH280" s="101">
        <v>108706</v>
      </c>
      <c r="AI280" s="101">
        <f t="shared" si="29"/>
        <v>-1046</v>
      </c>
    </row>
    <row r="281" spans="2:35" x14ac:dyDescent="0.25">
      <c r="B281" t="s">
        <v>272</v>
      </c>
      <c r="C281" s="101">
        <v>22389000</v>
      </c>
      <c r="D281" s="101">
        <f t="shared" si="24"/>
        <v>21242996</v>
      </c>
      <c r="E281" s="101">
        <v>0</v>
      </c>
      <c r="F281" s="101">
        <v>0</v>
      </c>
      <c r="G281" s="101">
        <v>889327</v>
      </c>
      <c r="H281" s="101">
        <v>256677</v>
      </c>
      <c r="I281" s="101">
        <v>2600000</v>
      </c>
      <c r="K281" s="101">
        <v>73000</v>
      </c>
      <c r="L281" s="101">
        <f t="shared" si="25"/>
        <v>368000</v>
      </c>
      <c r="M281" s="101">
        <v>25430000</v>
      </c>
      <c r="N281" s="101">
        <v>23</v>
      </c>
      <c r="O281" s="101">
        <v>588</v>
      </c>
      <c r="P281" s="101">
        <v>17</v>
      </c>
      <c r="Q281" s="101">
        <v>29</v>
      </c>
      <c r="R281" s="101">
        <v>34713</v>
      </c>
      <c r="S281" s="101">
        <v>34928</v>
      </c>
      <c r="T281" s="101">
        <v>27034</v>
      </c>
      <c r="U281" s="101">
        <v>27246</v>
      </c>
      <c r="V281" s="101">
        <v>28492</v>
      </c>
      <c r="W281" s="101">
        <v>28225</v>
      </c>
      <c r="X281" s="149">
        <f t="shared" si="26"/>
        <v>0.732578572868954</v>
      </c>
      <c r="Y281" s="184">
        <v>5.21E-2</v>
      </c>
      <c r="Z281" s="253">
        <v>5</v>
      </c>
      <c r="AA281" s="149">
        <f t="shared" si="27"/>
        <v>-6.1936450321205313E-3</v>
      </c>
      <c r="AB281" s="149"/>
      <c r="AD281" s="101">
        <v>32618</v>
      </c>
      <c r="AE281" s="101">
        <v>32489</v>
      </c>
      <c r="AF281" s="101">
        <f t="shared" si="28"/>
        <v>129</v>
      </c>
      <c r="AG281" s="101">
        <v>34713</v>
      </c>
      <c r="AH281" s="101">
        <v>34928</v>
      </c>
      <c r="AI281" s="101">
        <f t="shared" si="29"/>
        <v>-215</v>
      </c>
    </row>
    <row r="282" spans="2:35" x14ac:dyDescent="0.25">
      <c r="B282" t="s">
        <v>273</v>
      </c>
      <c r="C282" s="101">
        <v>60162000</v>
      </c>
      <c r="D282" s="101">
        <f t="shared" si="24"/>
        <v>58398316</v>
      </c>
      <c r="E282" s="101">
        <v>0</v>
      </c>
      <c r="F282" s="101">
        <v>0</v>
      </c>
      <c r="G282" s="101">
        <v>1316744</v>
      </c>
      <c r="H282" s="101">
        <v>446940</v>
      </c>
      <c r="I282" s="101">
        <v>7698000</v>
      </c>
      <c r="K282" s="101">
        <v>634000</v>
      </c>
      <c r="L282" s="101">
        <f t="shared" si="25"/>
        <v>4060000</v>
      </c>
      <c r="M282" s="101">
        <v>72554000</v>
      </c>
      <c r="N282" s="101">
        <v>35</v>
      </c>
      <c r="O282" s="101">
        <v>1238</v>
      </c>
      <c r="P282" s="101">
        <v>140</v>
      </c>
      <c r="Q282" s="101">
        <v>2579</v>
      </c>
      <c r="R282" s="101">
        <v>102968</v>
      </c>
      <c r="S282" s="101">
        <v>100975</v>
      </c>
      <c r="T282" s="101">
        <v>76928</v>
      </c>
      <c r="U282" s="101">
        <v>79453</v>
      </c>
      <c r="V282" s="101">
        <v>81075</v>
      </c>
      <c r="W282" s="101">
        <v>83033</v>
      </c>
      <c r="X282" s="149">
        <f t="shared" si="26"/>
        <v>0.70462668013363372</v>
      </c>
      <c r="Y282" s="184">
        <v>4.8599999999999997E-2</v>
      </c>
      <c r="Z282" s="253">
        <v>8</v>
      </c>
      <c r="AA282" s="149">
        <f t="shared" si="27"/>
        <v>1.9355527931007692E-2</v>
      </c>
      <c r="AB282" s="149"/>
      <c r="AD282" s="101">
        <v>90857</v>
      </c>
      <c r="AE282" s="101">
        <v>94591</v>
      </c>
      <c r="AF282" s="101">
        <f t="shared" si="28"/>
        <v>-3734</v>
      </c>
      <c r="AG282" s="101">
        <v>102968</v>
      </c>
      <c r="AH282" s="101">
        <v>100975</v>
      </c>
      <c r="AI282" s="101">
        <f t="shared" si="29"/>
        <v>1993</v>
      </c>
    </row>
    <row r="283" spans="2:35" x14ac:dyDescent="0.25">
      <c r="B283" t="s">
        <v>431</v>
      </c>
      <c r="C283" s="101">
        <v>40398000</v>
      </c>
      <c r="D283" s="101">
        <f t="shared" si="24"/>
        <v>38293834</v>
      </c>
      <c r="E283" s="101">
        <v>0</v>
      </c>
      <c r="F283" s="101">
        <v>0</v>
      </c>
      <c r="G283" s="101">
        <v>1784528</v>
      </c>
      <c r="H283" s="101">
        <v>319638</v>
      </c>
      <c r="I283" s="101">
        <v>2709000</v>
      </c>
      <c r="K283" s="101">
        <v>1370000</v>
      </c>
      <c r="L283" s="101">
        <f t="shared" si="25"/>
        <v>1397000</v>
      </c>
      <c r="M283" s="101">
        <v>45874000</v>
      </c>
      <c r="N283" s="101">
        <v>26</v>
      </c>
      <c r="O283" s="101">
        <v>656</v>
      </c>
      <c r="P283" s="101">
        <v>109</v>
      </c>
      <c r="Q283" s="101">
        <v>4839</v>
      </c>
      <c r="R283" s="101">
        <v>76713</v>
      </c>
      <c r="S283" s="101">
        <v>79480</v>
      </c>
      <c r="T283" s="101">
        <v>67723</v>
      </c>
      <c r="U283" s="101">
        <v>65616</v>
      </c>
      <c r="V283" s="101">
        <v>75075</v>
      </c>
      <c r="W283" s="101">
        <v>74264</v>
      </c>
      <c r="X283" s="149">
        <f t="shared" si="26"/>
        <v>0.59799512468551619</v>
      </c>
      <c r="Y283" s="184">
        <v>4.2500000000000003E-2</v>
      </c>
      <c r="Z283" s="253">
        <v>8.5</v>
      </c>
      <c r="AA283" s="149">
        <f t="shared" si="27"/>
        <v>-3.6069505820395503E-2</v>
      </c>
      <c r="AB283" s="149"/>
      <c r="AD283" s="101">
        <v>83036</v>
      </c>
      <c r="AE283" s="101">
        <v>83785</v>
      </c>
      <c r="AF283" s="101">
        <f t="shared" si="28"/>
        <v>-749</v>
      </c>
      <c r="AG283" s="101">
        <v>76713</v>
      </c>
      <c r="AH283" s="101">
        <v>79480</v>
      </c>
      <c r="AI283" s="101">
        <f t="shared" si="29"/>
        <v>-2767</v>
      </c>
    </row>
    <row r="284" spans="2:35" x14ac:dyDescent="0.25">
      <c r="B284" t="s">
        <v>728</v>
      </c>
      <c r="C284" s="101">
        <v>1068142000</v>
      </c>
      <c r="D284" s="101">
        <f t="shared" si="24"/>
        <v>896935677</v>
      </c>
      <c r="E284" s="101">
        <v>0</v>
      </c>
      <c r="F284" s="101">
        <v>100576127</v>
      </c>
      <c r="G284" s="101">
        <v>18675331</v>
      </c>
      <c r="H284" s="101">
        <v>51954865</v>
      </c>
      <c r="I284" s="101">
        <v>159641000</v>
      </c>
      <c r="K284" s="101">
        <v>19031000</v>
      </c>
      <c r="L284" s="101">
        <f t="shared" si="25"/>
        <v>30750000</v>
      </c>
      <c r="M284" s="101">
        <v>1277564000</v>
      </c>
      <c r="N284" s="101">
        <v>2811</v>
      </c>
      <c r="O284" s="101">
        <v>36012</v>
      </c>
      <c r="P284" s="101">
        <v>1046</v>
      </c>
      <c r="Q284" s="101">
        <v>185286</v>
      </c>
      <c r="R284" s="101">
        <v>2044932</v>
      </c>
      <c r="S284" s="101">
        <v>2084930</v>
      </c>
      <c r="T284" s="101">
        <v>1480690</v>
      </c>
      <c r="U284" s="101">
        <v>1507648</v>
      </c>
      <c r="V284" s="101">
        <v>1694646</v>
      </c>
      <c r="W284" s="101">
        <v>1717990</v>
      </c>
      <c r="X284" s="149">
        <f t="shared" si="26"/>
        <v>0.62474644633660192</v>
      </c>
      <c r="Y284" s="184">
        <v>5.1700000000000003E-2</v>
      </c>
      <c r="Z284" s="253">
        <v>8.5</v>
      </c>
      <c r="AA284" s="149">
        <f t="shared" si="27"/>
        <v>-1.9559574597101517E-2</v>
      </c>
      <c r="AB284" s="149"/>
      <c r="AD284" s="101">
        <v>1963086</v>
      </c>
      <c r="AE284" s="101">
        <v>2018261</v>
      </c>
      <c r="AF284" s="101">
        <f t="shared" si="28"/>
        <v>-55175</v>
      </c>
      <c r="AG284" s="101">
        <v>2044932</v>
      </c>
      <c r="AH284" s="101">
        <v>2084930</v>
      </c>
      <c r="AI284" s="101">
        <f t="shared" si="29"/>
        <v>-39998</v>
      </c>
    </row>
    <row r="285" spans="2:35" x14ac:dyDescent="0.25">
      <c r="B285" t="s">
        <v>230</v>
      </c>
      <c r="C285" s="101">
        <v>91522000</v>
      </c>
      <c r="D285" s="101">
        <f t="shared" si="24"/>
        <v>89290510</v>
      </c>
      <c r="E285" s="101">
        <v>0</v>
      </c>
      <c r="F285" s="101">
        <v>0</v>
      </c>
      <c r="G285" s="101">
        <v>1568382</v>
      </c>
      <c r="H285" s="101">
        <v>663108</v>
      </c>
      <c r="I285" s="101">
        <v>11325000</v>
      </c>
      <c r="K285" s="101">
        <v>374000</v>
      </c>
      <c r="L285" s="101">
        <f t="shared" si="25"/>
        <v>5187000</v>
      </c>
      <c r="M285" s="101">
        <v>108408000</v>
      </c>
      <c r="N285" s="101">
        <v>234</v>
      </c>
      <c r="O285" s="101">
        <v>2121</v>
      </c>
      <c r="P285" s="101">
        <v>251</v>
      </c>
      <c r="Q285" s="101">
        <v>4850</v>
      </c>
      <c r="R285" s="101">
        <v>160804</v>
      </c>
      <c r="S285" s="101">
        <v>156901</v>
      </c>
      <c r="T285" s="101">
        <v>133306</v>
      </c>
      <c r="U285" s="101">
        <v>128742</v>
      </c>
      <c r="V285" s="101">
        <v>136442</v>
      </c>
      <c r="W285" s="101">
        <v>135671</v>
      </c>
      <c r="X285" s="149">
        <f t="shared" si="26"/>
        <v>0.67416233427029182</v>
      </c>
      <c r="Y285" s="184">
        <v>3.9399999999999998E-2</v>
      </c>
      <c r="Z285" s="253">
        <v>8.5</v>
      </c>
      <c r="AA285" s="149">
        <f t="shared" si="27"/>
        <v>2.4271784283973037E-2</v>
      </c>
      <c r="AB285" s="149"/>
      <c r="AD285" s="101">
        <v>155245</v>
      </c>
      <c r="AE285" s="101">
        <v>150841</v>
      </c>
      <c r="AF285" s="101">
        <f t="shared" si="28"/>
        <v>4404</v>
      </c>
      <c r="AG285" s="101">
        <v>160804</v>
      </c>
      <c r="AH285" s="101">
        <v>156901</v>
      </c>
      <c r="AI285" s="101">
        <f t="shared" si="29"/>
        <v>3903</v>
      </c>
    </row>
    <row r="286" spans="2:35" x14ac:dyDescent="0.25">
      <c r="B286" t="s">
        <v>421</v>
      </c>
      <c r="C286" s="101">
        <v>26000000</v>
      </c>
      <c r="D286" s="101">
        <f t="shared" si="24"/>
        <v>24134292</v>
      </c>
      <c r="E286" s="101">
        <v>0</v>
      </c>
      <c r="F286" s="101">
        <v>0</v>
      </c>
      <c r="G286" s="101">
        <v>1599278</v>
      </c>
      <c r="H286" s="101">
        <v>266430</v>
      </c>
      <c r="I286" s="101">
        <v>4778000</v>
      </c>
      <c r="K286" s="101">
        <v>211000</v>
      </c>
      <c r="L286" s="101">
        <f t="shared" si="25"/>
        <v>2222000</v>
      </c>
      <c r="M286" s="101">
        <v>33211000</v>
      </c>
      <c r="N286" s="101">
        <v>21</v>
      </c>
      <c r="O286" s="101">
        <v>275</v>
      </c>
      <c r="P286" s="101">
        <v>0</v>
      </c>
      <c r="Q286" s="101">
        <v>0</v>
      </c>
      <c r="R286" s="101">
        <v>44047</v>
      </c>
      <c r="S286" s="101">
        <v>43905</v>
      </c>
      <c r="T286" s="101">
        <v>33912</v>
      </c>
      <c r="U286" s="101">
        <v>33911</v>
      </c>
      <c r="V286" s="101">
        <v>38246</v>
      </c>
      <c r="W286" s="101">
        <v>38094</v>
      </c>
      <c r="X286" s="149">
        <f t="shared" si="26"/>
        <v>0.75399005607646374</v>
      </c>
      <c r="Y286" s="184">
        <v>6.9900000000000004E-2</v>
      </c>
      <c r="Z286" s="253">
        <v>6.5</v>
      </c>
      <c r="AA286" s="149">
        <f t="shared" si="27"/>
        <v>3.2238290916520988E-3</v>
      </c>
      <c r="AB286" s="149"/>
      <c r="AD286" s="101">
        <v>41359</v>
      </c>
      <c r="AE286" s="101">
        <v>41637</v>
      </c>
      <c r="AF286" s="101">
        <f t="shared" si="28"/>
        <v>-278</v>
      </c>
      <c r="AG286" s="101">
        <v>44047</v>
      </c>
      <c r="AH286" s="101">
        <v>43905</v>
      </c>
      <c r="AI286" s="101">
        <f t="shared" si="29"/>
        <v>142</v>
      </c>
    </row>
    <row r="287" spans="2:35" x14ac:dyDescent="0.25">
      <c r="B287" t="s">
        <v>422</v>
      </c>
      <c r="C287" s="101">
        <v>36200000</v>
      </c>
      <c r="D287" s="101">
        <f t="shared" si="24"/>
        <v>34372064</v>
      </c>
      <c r="E287" s="101">
        <v>0</v>
      </c>
      <c r="F287" s="101">
        <v>0</v>
      </c>
      <c r="G287" s="101">
        <v>1537322</v>
      </c>
      <c r="H287" s="101">
        <v>290614</v>
      </c>
      <c r="I287" s="101">
        <v>4552000</v>
      </c>
      <c r="K287" s="101">
        <v>331000</v>
      </c>
      <c r="L287" s="101">
        <f t="shared" si="25"/>
        <v>2744000</v>
      </c>
      <c r="M287" s="101">
        <v>43827000</v>
      </c>
      <c r="N287" s="101">
        <v>58</v>
      </c>
      <c r="O287" s="101">
        <v>558</v>
      </c>
      <c r="P287" s="101">
        <v>248</v>
      </c>
      <c r="Q287" s="101">
        <v>0</v>
      </c>
      <c r="R287" s="101">
        <v>68242</v>
      </c>
      <c r="S287" s="101">
        <v>69351</v>
      </c>
      <c r="T287" s="101">
        <v>54520</v>
      </c>
      <c r="U287" s="101">
        <v>54545</v>
      </c>
      <c r="V287" s="101">
        <v>58688</v>
      </c>
      <c r="W287" s="101">
        <v>58207</v>
      </c>
      <c r="X287" s="149">
        <f t="shared" si="26"/>
        <v>0.64222912575833069</v>
      </c>
      <c r="Y287" s="184">
        <v>2.9000000000000001E-2</v>
      </c>
      <c r="Z287" s="253">
        <v>7.5</v>
      </c>
      <c r="AA287" s="149">
        <f t="shared" si="27"/>
        <v>-1.625098912693063E-2</v>
      </c>
      <c r="AB287" s="149"/>
      <c r="AD287" s="101">
        <v>65730</v>
      </c>
      <c r="AE287" s="101">
        <v>64872</v>
      </c>
      <c r="AF287" s="101">
        <f t="shared" si="28"/>
        <v>858</v>
      </c>
      <c r="AG287" s="101">
        <v>68242</v>
      </c>
      <c r="AH287" s="101">
        <v>69351</v>
      </c>
      <c r="AI287" s="101">
        <f t="shared" si="29"/>
        <v>-1109</v>
      </c>
    </row>
    <row r="288" spans="2:35" x14ac:dyDescent="0.25">
      <c r="B288" t="s">
        <v>391</v>
      </c>
      <c r="C288" s="101">
        <v>69492000</v>
      </c>
      <c r="D288" s="101">
        <f t="shared" si="24"/>
        <v>65322093</v>
      </c>
      <c r="E288" s="101">
        <v>0</v>
      </c>
      <c r="F288" s="101">
        <v>0</v>
      </c>
      <c r="G288" s="101">
        <v>3805216</v>
      </c>
      <c r="H288" s="101">
        <v>364691</v>
      </c>
      <c r="I288" s="101">
        <v>9522000</v>
      </c>
      <c r="K288" s="101">
        <v>422000</v>
      </c>
      <c r="L288" s="101">
        <f t="shared" si="25"/>
        <v>1035000</v>
      </c>
      <c r="M288" s="101">
        <v>80471000</v>
      </c>
      <c r="N288" s="101">
        <v>255</v>
      </c>
      <c r="O288" s="101">
        <v>1840</v>
      </c>
      <c r="P288" s="101">
        <v>30</v>
      </c>
      <c r="Q288" s="101">
        <v>1875</v>
      </c>
      <c r="R288" s="101">
        <v>108596</v>
      </c>
      <c r="S288" s="101">
        <v>109643</v>
      </c>
      <c r="T288" s="101">
        <v>87202</v>
      </c>
      <c r="U288" s="101">
        <v>85844</v>
      </c>
      <c r="V288" s="101">
        <v>94753</v>
      </c>
      <c r="W288" s="101">
        <v>92694</v>
      </c>
      <c r="X288" s="149">
        <f t="shared" si="26"/>
        <v>0.74101256031529705</v>
      </c>
      <c r="Y288" s="184">
        <v>4.0099999999999997E-2</v>
      </c>
      <c r="Z288" s="253">
        <v>9</v>
      </c>
      <c r="AA288" s="149">
        <f t="shared" si="27"/>
        <v>-9.6412390879958738E-3</v>
      </c>
      <c r="AB288" s="149"/>
      <c r="AD288" s="101">
        <v>103420</v>
      </c>
      <c r="AE288" s="101">
        <v>102383</v>
      </c>
      <c r="AF288" s="101">
        <f t="shared" si="28"/>
        <v>1037</v>
      </c>
      <c r="AG288" s="101">
        <v>108596</v>
      </c>
      <c r="AH288" s="101">
        <v>109643</v>
      </c>
      <c r="AI288" s="101">
        <f t="shared" si="29"/>
        <v>-1047</v>
      </c>
    </row>
    <row r="289" spans="2:35" x14ac:dyDescent="0.25">
      <c r="B289" t="s">
        <v>124</v>
      </c>
      <c r="C289" s="101">
        <v>83021000</v>
      </c>
      <c r="D289" s="101">
        <f t="shared" si="24"/>
        <v>72474025</v>
      </c>
      <c r="E289" s="101">
        <v>0</v>
      </c>
      <c r="F289" s="101">
        <v>0</v>
      </c>
      <c r="G289" s="101">
        <v>9905729</v>
      </c>
      <c r="H289" s="101">
        <v>641246</v>
      </c>
      <c r="I289" s="101">
        <v>14383000</v>
      </c>
      <c r="K289" s="101">
        <v>2067000</v>
      </c>
      <c r="L289" s="101">
        <f t="shared" si="25"/>
        <v>1724000</v>
      </c>
      <c r="M289" s="101">
        <v>101195000</v>
      </c>
      <c r="N289" s="101">
        <v>27</v>
      </c>
      <c r="O289" s="101">
        <v>796</v>
      </c>
      <c r="P289" s="101">
        <v>322</v>
      </c>
      <c r="Q289" s="101">
        <v>1986</v>
      </c>
      <c r="R289" s="101">
        <v>136030</v>
      </c>
      <c r="S289" s="101">
        <v>135499</v>
      </c>
      <c r="T289" s="101">
        <v>112724</v>
      </c>
      <c r="U289" s="101">
        <v>109548</v>
      </c>
      <c r="V289" s="101">
        <v>122187</v>
      </c>
      <c r="W289" s="101">
        <v>121657</v>
      </c>
      <c r="X289" s="149">
        <f t="shared" si="26"/>
        <v>0.74391678306255971</v>
      </c>
      <c r="Y289" s="184">
        <v>5.62E-2</v>
      </c>
      <c r="Z289" s="253">
        <v>8.5</v>
      </c>
      <c r="AA289" s="149">
        <f t="shared" si="27"/>
        <v>3.9035506873483792E-3</v>
      </c>
      <c r="AB289" s="149"/>
      <c r="AD289" s="101">
        <v>128475</v>
      </c>
      <c r="AE289" s="101">
        <v>128679</v>
      </c>
      <c r="AF289" s="101">
        <f t="shared" si="28"/>
        <v>-204</v>
      </c>
      <c r="AG289" s="101">
        <v>136030</v>
      </c>
      <c r="AH289" s="101">
        <v>135499</v>
      </c>
      <c r="AI289" s="101">
        <f t="shared" si="29"/>
        <v>531</v>
      </c>
    </row>
    <row r="290" spans="2:35" x14ac:dyDescent="0.25">
      <c r="B290" t="s">
        <v>231</v>
      </c>
      <c r="C290" s="101">
        <v>155730000</v>
      </c>
      <c r="D290" s="101">
        <f t="shared" si="24"/>
        <v>147312110</v>
      </c>
      <c r="E290" s="101">
        <v>0</v>
      </c>
      <c r="F290" s="101">
        <v>0</v>
      </c>
      <c r="G290" s="101">
        <v>7564340</v>
      </c>
      <c r="H290" s="101">
        <v>853550</v>
      </c>
      <c r="I290" s="101">
        <v>22632000</v>
      </c>
      <c r="K290" s="101">
        <v>1614000</v>
      </c>
      <c r="L290" s="101">
        <f t="shared" si="25"/>
        <v>3948000</v>
      </c>
      <c r="M290" s="101">
        <v>183924000</v>
      </c>
      <c r="N290" s="101">
        <v>261</v>
      </c>
      <c r="O290" s="101">
        <v>8476</v>
      </c>
      <c r="P290" s="101">
        <v>0</v>
      </c>
      <c r="Q290" s="101">
        <v>8063</v>
      </c>
      <c r="R290" s="101">
        <v>249440</v>
      </c>
      <c r="S290" s="101">
        <v>253946</v>
      </c>
      <c r="T290" s="101">
        <v>199763</v>
      </c>
      <c r="U290" s="101">
        <v>199138</v>
      </c>
      <c r="V290" s="101">
        <v>221795</v>
      </c>
      <c r="W290" s="101">
        <v>223913</v>
      </c>
      <c r="X290" s="149">
        <f t="shared" si="26"/>
        <v>0.73734765875561259</v>
      </c>
      <c r="Y290" s="184">
        <v>4.87E-2</v>
      </c>
      <c r="Z290" s="253">
        <v>8.5</v>
      </c>
      <c r="AA290" s="149">
        <f t="shared" si="27"/>
        <v>-1.8064464400256573E-2</v>
      </c>
      <c r="AB290" s="149"/>
      <c r="AD290" s="101">
        <v>232916</v>
      </c>
      <c r="AE290" s="101">
        <v>235316</v>
      </c>
      <c r="AF290" s="101">
        <f t="shared" si="28"/>
        <v>-2400</v>
      </c>
      <c r="AG290" s="101">
        <v>249440</v>
      </c>
      <c r="AH290" s="101">
        <v>253946</v>
      </c>
      <c r="AI290" s="101">
        <f t="shared" si="29"/>
        <v>-4506</v>
      </c>
    </row>
    <row r="291" spans="2:35" x14ac:dyDescent="0.25">
      <c r="B291" t="s">
        <v>339</v>
      </c>
      <c r="C291" s="101">
        <v>40027000</v>
      </c>
      <c r="D291" s="101">
        <f t="shared" si="24"/>
        <v>38296274</v>
      </c>
      <c r="E291" s="101">
        <v>0</v>
      </c>
      <c r="F291" s="101">
        <v>0</v>
      </c>
      <c r="G291" s="101">
        <v>1283230</v>
      </c>
      <c r="H291" s="101">
        <v>447496</v>
      </c>
      <c r="I291" s="101">
        <v>2993000</v>
      </c>
      <c r="K291" s="101">
        <v>68000</v>
      </c>
      <c r="L291" s="101">
        <f t="shared" si="25"/>
        <v>512000</v>
      </c>
      <c r="M291" s="101">
        <v>43600000</v>
      </c>
      <c r="N291" s="101">
        <v>391</v>
      </c>
      <c r="O291" s="101">
        <v>660</v>
      </c>
      <c r="P291" s="101">
        <v>319</v>
      </c>
      <c r="Q291" s="101">
        <v>6156</v>
      </c>
      <c r="R291" s="101">
        <v>90875</v>
      </c>
      <c r="S291" s="101">
        <v>93177</v>
      </c>
      <c r="T291" s="101">
        <v>74464</v>
      </c>
      <c r="U291" s="101">
        <v>74027</v>
      </c>
      <c r="V291" s="101">
        <v>79158</v>
      </c>
      <c r="W291" s="101">
        <v>80347</v>
      </c>
      <c r="X291" s="149">
        <f t="shared" si="26"/>
        <v>0.47977991746905091</v>
      </c>
      <c r="Y291" s="184">
        <v>3.0800000000000001E-2</v>
      </c>
      <c r="Z291" s="253">
        <v>10</v>
      </c>
      <c r="AA291" s="149">
        <f t="shared" si="27"/>
        <v>-2.533149931224209E-2</v>
      </c>
      <c r="AB291" s="149"/>
      <c r="AD291" s="101">
        <v>87803</v>
      </c>
      <c r="AE291" s="101">
        <v>87354</v>
      </c>
      <c r="AF291" s="101">
        <f t="shared" si="28"/>
        <v>449</v>
      </c>
      <c r="AG291" s="101">
        <v>90875</v>
      </c>
      <c r="AH291" s="101">
        <v>93177</v>
      </c>
      <c r="AI291" s="101">
        <f t="shared" si="29"/>
        <v>-2302</v>
      </c>
    </row>
    <row r="292" spans="2:35" x14ac:dyDescent="0.25">
      <c r="B292" t="s">
        <v>392</v>
      </c>
      <c r="C292" s="101">
        <v>88909000</v>
      </c>
      <c r="D292" s="101">
        <f t="shared" si="24"/>
        <v>84099232</v>
      </c>
      <c r="E292" s="101">
        <v>0</v>
      </c>
      <c r="F292" s="101">
        <v>0</v>
      </c>
      <c r="G292" s="101">
        <v>4248244</v>
      </c>
      <c r="H292" s="101">
        <v>561524</v>
      </c>
      <c r="I292" s="101">
        <v>9825000</v>
      </c>
      <c r="K292" s="101">
        <v>387000</v>
      </c>
      <c r="L292" s="101">
        <f t="shared" si="25"/>
        <v>2206000</v>
      </c>
      <c r="M292" s="101">
        <v>101327000</v>
      </c>
      <c r="N292" s="101">
        <v>125</v>
      </c>
      <c r="O292" s="101">
        <v>3027</v>
      </c>
      <c r="P292" s="101">
        <v>75</v>
      </c>
      <c r="Q292" s="101">
        <v>13294</v>
      </c>
      <c r="R292" s="101">
        <v>171026</v>
      </c>
      <c r="S292" s="101">
        <v>170650</v>
      </c>
      <c r="T292" s="101">
        <v>139641</v>
      </c>
      <c r="U292" s="101">
        <v>136603</v>
      </c>
      <c r="V292" s="101">
        <v>166821</v>
      </c>
      <c r="W292" s="101">
        <v>163048</v>
      </c>
      <c r="X292" s="149">
        <f t="shared" si="26"/>
        <v>0.59246547308596353</v>
      </c>
      <c r="Y292" s="184">
        <v>4.02E-2</v>
      </c>
      <c r="Z292" s="253">
        <v>10</v>
      </c>
      <c r="AA292" s="149">
        <f t="shared" si="27"/>
        <v>2.198496135090571E-3</v>
      </c>
      <c r="AB292" s="149"/>
      <c r="AD292" s="101">
        <v>163927</v>
      </c>
      <c r="AE292" s="101">
        <v>159791</v>
      </c>
      <c r="AF292" s="101">
        <f t="shared" si="28"/>
        <v>4136</v>
      </c>
      <c r="AG292" s="101">
        <v>171026</v>
      </c>
      <c r="AH292" s="101">
        <v>170650</v>
      </c>
      <c r="AI292" s="101">
        <f t="shared" si="29"/>
        <v>376</v>
      </c>
    </row>
    <row r="293" spans="2:35" x14ac:dyDescent="0.25">
      <c r="B293" t="s">
        <v>274</v>
      </c>
      <c r="C293" s="101">
        <v>147831000</v>
      </c>
      <c r="D293" s="101">
        <f t="shared" si="24"/>
        <v>141046486</v>
      </c>
      <c r="E293" s="101">
        <v>0</v>
      </c>
      <c r="F293" s="101">
        <v>0</v>
      </c>
      <c r="G293" s="101">
        <v>5764708</v>
      </c>
      <c r="H293" s="101">
        <v>1019806</v>
      </c>
      <c r="I293" s="101">
        <v>26553000</v>
      </c>
      <c r="K293" s="101">
        <v>1624000</v>
      </c>
      <c r="L293" s="101">
        <f t="shared" si="25"/>
        <v>7489000</v>
      </c>
      <c r="M293" s="101">
        <v>183497000</v>
      </c>
      <c r="N293" s="101">
        <v>870</v>
      </c>
      <c r="O293" s="101">
        <v>7285</v>
      </c>
      <c r="P293" s="101">
        <v>876</v>
      </c>
      <c r="Q293" s="101">
        <v>10575</v>
      </c>
      <c r="R293" s="101">
        <v>254811</v>
      </c>
      <c r="S293" s="101">
        <v>263278</v>
      </c>
      <c r="T293" s="101">
        <v>193717</v>
      </c>
      <c r="U293" s="101">
        <v>196342</v>
      </c>
      <c r="V293" s="101">
        <v>214618</v>
      </c>
      <c r="W293" s="101">
        <v>215051</v>
      </c>
      <c r="X293" s="149">
        <f t="shared" si="26"/>
        <v>0.7201298217109936</v>
      </c>
      <c r="Y293" s="184">
        <v>3.8600000000000002E-2</v>
      </c>
      <c r="Z293" s="253">
        <v>7.5</v>
      </c>
      <c r="AA293" s="149">
        <f t="shared" si="27"/>
        <v>-3.3228549787881999E-2</v>
      </c>
      <c r="AB293" s="149"/>
      <c r="AD293" s="101">
        <v>229535</v>
      </c>
      <c r="AE293" s="101">
        <v>235863</v>
      </c>
      <c r="AF293" s="101">
        <f t="shared" si="28"/>
        <v>-6328</v>
      </c>
      <c r="AG293" s="101">
        <v>254811</v>
      </c>
      <c r="AH293" s="101">
        <v>263278</v>
      </c>
      <c r="AI293" s="101">
        <f t="shared" si="29"/>
        <v>-8467</v>
      </c>
    </row>
    <row r="294" spans="2:35" x14ac:dyDescent="0.25">
      <c r="B294" t="s">
        <v>423</v>
      </c>
      <c r="C294" s="101">
        <v>330736000</v>
      </c>
      <c r="D294" s="101">
        <f t="shared" si="24"/>
        <v>244933551</v>
      </c>
      <c r="E294" s="101">
        <v>0</v>
      </c>
      <c r="F294" s="101">
        <v>52591593</v>
      </c>
      <c r="G294" s="101">
        <v>14628329</v>
      </c>
      <c r="H294" s="101">
        <v>18582527</v>
      </c>
      <c r="I294" s="101">
        <v>49266000</v>
      </c>
      <c r="K294" s="101">
        <v>6336000</v>
      </c>
      <c r="L294" s="101">
        <f t="shared" si="25"/>
        <v>25041000</v>
      </c>
      <c r="M294" s="101">
        <v>411379000</v>
      </c>
      <c r="N294" s="101">
        <v>1376</v>
      </c>
      <c r="O294" s="101">
        <v>4354</v>
      </c>
      <c r="P294" s="101">
        <v>699</v>
      </c>
      <c r="Q294" s="101">
        <v>53479</v>
      </c>
      <c r="R294" s="101">
        <v>593253</v>
      </c>
      <c r="S294" s="101">
        <v>601964</v>
      </c>
      <c r="T294" s="101">
        <v>454028</v>
      </c>
      <c r="U294" s="101">
        <v>450845</v>
      </c>
      <c r="V294" s="101">
        <v>497914</v>
      </c>
      <c r="W294" s="101">
        <v>501159</v>
      </c>
      <c r="X294" s="149">
        <f t="shared" si="26"/>
        <v>0.693429278907987</v>
      </c>
      <c r="Y294" s="184">
        <v>6.7299999999999999E-2</v>
      </c>
      <c r="Z294" s="253">
        <v>8</v>
      </c>
      <c r="AA294" s="149">
        <f t="shared" si="27"/>
        <v>-1.4683448714123654E-2</v>
      </c>
      <c r="AB294" s="149"/>
      <c r="AD294" s="101">
        <v>553483</v>
      </c>
      <c r="AE294" s="101">
        <v>553883</v>
      </c>
      <c r="AF294" s="101">
        <f t="shared" si="28"/>
        <v>-400</v>
      </c>
      <c r="AG294" s="101">
        <v>593253</v>
      </c>
      <c r="AH294" s="101">
        <v>601964</v>
      </c>
      <c r="AI294" s="101">
        <f t="shared" si="29"/>
        <v>-8711</v>
      </c>
    </row>
    <row r="295" spans="2:35" x14ac:dyDescent="0.25">
      <c r="B295" t="s">
        <v>424</v>
      </c>
      <c r="C295" s="101">
        <v>108276000</v>
      </c>
      <c r="D295" s="101">
        <f t="shared" si="24"/>
        <v>96933990</v>
      </c>
      <c r="E295" s="101">
        <v>0</v>
      </c>
      <c r="F295" s="101">
        <v>0</v>
      </c>
      <c r="G295" s="101">
        <v>10456652</v>
      </c>
      <c r="H295" s="101">
        <v>885358</v>
      </c>
      <c r="I295" s="101">
        <v>14717000</v>
      </c>
      <c r="K295" s="101">
        <v>1558000</v>
      </c>
      <c r="L295" s="101">
        <f t="shared" si="25"/>
        <v>2182000</v>
      </c>
      <c r="M295" s="101">
        <v>126733000</v>
      </c>
      <c r="N295" s="101">
        <v>445</v>
      </c>
      <c r="O295" s="101">
        <v>706</v>
      </c>
      <c r="P295" s="101">
        <v>359</v>
      </c>
      <c r="Q295" s="101">
        <v>0</v>
      </c>
      <c r="R295" s="101">
        <v>167264</v>
      </c>
      <c r="S295" s="101">
        <v>169464</v>
      </c>
      <c r="T295" s="101">
        <v>128496</v>
      </c>
      <c r="U295" s="101">
        <v>130590</v>
      </c>
      <c r="V295" s="101">
        <v>146934</v>
      </c>
      <c r="W295" s="101">
        <v>150962</v>
      </c>
      <c r="X295" s="149">
        <f t="shared" si="26"/>
        <v>0.75768246604170653</v>
      </c>
      <c r="Y295" s="184">
        <v>5.79E-2</v>
      </c>
      <c r="Z295" s="253">
        <v>5</v>
      </c>
      <c r="AA295" s="149">
        <f t="shared" si="27"/>
        <v>-1.3152860149225176E-2</v>
      </c>
      <c r="AB295" s="149"/>
      <c r="AD295" s="101">
        <v>158654</v>
      </c>
      <c r="AE295" s="101">
        <v>166358</v>
      </c>
      <c r="AF295" s="101">
        <f t="shared" si="28"/>
        <v>-7704</v>
      </c>
      <c r="AG295" s="101">
        <v>167264</v>
      </c>
      <c r="AH295" s="101">
        <v>169464</v>
      </c>
      <c r="AI295" s="101">
        <f t="shared" si="29"/>
        <v>-2200</v>
      </c>
    </row>
    <row r="296" spans="2:35" x14ac:dyDescent="0.25">
      <c r="B296" s="164" t="s">
        <v>598</v>
      </c>
      <c r="C296" s="101">
        <v>119543077.04471263</v>
      </c>
      <c r="D296" s="101">
        <f t="shared" si="24"/>
        <v>114852385.04471263</v>
      </c>
      <c r="E296" s="101">
        <v>0</v>
      </c>
      <c r="F296" s="101">
        <v>0</v>
      </c>
      <c r="G296" s="101">
        <v>3782322</v>
      </c>
      <c r="H296" s="101">
        <v>908370</v>
      </c>
      <c r="I296" s="187">
        <v>10000000</v>
      </c>
      <c r="K296" s="101">
        <v>0</v>
      </c>
      <c r="L296" s="101">
        <f t="shared" si="25"/>
        <v>10456922.955287367</v>
      </c>
      <c r="M296" s="187">
        <v>140000000</v>
      </c>
      <c r="N296" s="101">
        <v>0</v>
      </c>
      <c r="O296" s="101">
        <v>0</v>
      </c>
      <c r="P296" s="101">
        <v>408</v>
      </c>
      <c r="Q296" s="101">
        <v>0</v>
      </c>
      <c r="R296" s="187">
        <v>189699</v>
      </c>
      <c r="S296" s="187">
        <f>SUM(R296,-1/78*R296)</f>
        <v>187266.96153846153</v>
      </c>
      <c r="T296" s="101">
        <v>171431</v>
      </c>
      <c r="U296" s="101">
        <v>167632</v>
      </c>
      <c r="V296" s="101">
        <v>177539</v>
      </c>
      <c r="W296" s="101">
        <v>182132</v>
      </c>
      <c r="X296" s="149">
        <f t="shared" si="26"/>
        <v>0.73801127048640214</v>
      </c>
      <c r="Y296" s="184">
        <v>5.2299999999999999E-2</v>
      </c>
      <c r="Z296" s="253">
        <v>8</v>
      </c>
      <c r="AA296" s="149">
        <f t="shared" si="27"/>
        <v>1.2820512820512856E-2</v>
      </c>
      <c r="AB296" s="149"/>
      <c r="AD296" s="101">
        <v>177539</v>
      </c>
      <c r="AE296" s="101">
        <v>182132</v>
      </c>
      <c r="AF296" s="101">
        <f t="shared" si="28"/>
        <v>-4593</v>
      </c>
      <c r="AG296" s="101">
        <v>0</v>
      </c>
      <c r="AH296" s="101">
        <v>0</v>
      </c>
      <c r="AI296" s="101">
        <f t="shared" si="29"/>
        <v>0</v>
      </c>
    </row>
    <row r="297" spans="2:35" x14ac:dyDescent="0.25">
      <c r="B297" t="s">
        <v>318</v>
      </c>
      <c r="C297" s="101">
        <v>214879000</v>
      </c>
      <c r="D297" s="101">
        <f t="shared" si="24"/>
        <v>183950448</v>
      </c>
      <c r="E297" s="101">
        <v>0</v>
      </c>
      <c r="F297" s="101">
        <v>14487650</v>
      </c>
      <c r="G297" s="101">
        <v>9631311</v>
      </c>
      <c r="H297" s="101">
        <v>6809591</v>
      </c>
      <c r="I297" s="101">
        <v>51476000</v>
      </c>
      <c r="K297" s="101">
        <v>4103000</v>
      </c>
      <c r="L297" s="101">
        <f t="shared" si="25"/>
        <v>31420000</v>
      </c>
      <c r="M297" s="101">
        <v>301878000</v>
      </c>
      <c r="N297" s="101">
        <v>4582</v>
      </c>
      <c r="O297" s="101">
        <v>3689</v>
      </c>
      <c r="P297" s="101">
        <v>1397</v>
      </c>
      <c r="Q297" s="101">
        <v>10031</v>
      </c>
      <c r="R297" s="101">
        <v>385429</v>
      </c>
      <c r="S297" s="101">
        <v>389176</v>
      </c>
      <c r="T297" s="101">
        <v>280262</v>
      </c>
      <c r="U297" s="101">
        <v>277765</v>
      </c>
      <c r="V297" s="101">
        <v>313799</v>
      </c>
      <c r="W297" s="101">
        <v>314456</v>
      </c>
      <c r="X297" s="149">
        <f t="shared" si="26"/>
        <v>0.78322596379618559</v>
      </c>
      <c r="Y297" s="184">
        <v>7.3400000000000007E-2</v>
      </c>
      <c r="Z297" s="253">
        <v>7</v>
      </c>
      <c r="AA297" s="149">
        <f t="shared" si="27"/>
        <v>-9.7216348536306296E-3</v>
      </c>
      <c r="AB297" s="149"/>
      <c r="AD297" s="101">
        <v>402081</v>
      </c>
      <c r="AE297" s="101">
        <v>414727</v>
      </c>
      <c r="AF297" s="101">
        <f t="shared" si="28"/>
        <v>-12646</v>
      </c>
      <c r="AG297" s="101">
        <v>385429</v>
      </c>
      <c r="AH297" s="101">
        <v>389176</v>
      </c>
      <c r="AI297" s="101">
        <f t="shared" si="29"/>
        <v>-3747</v>
      </c>
    </row>
    <row r="298" spans="2:35" x14ac:dyDescent="0.25">
      <c r="B298" t="s">
        <v>137</v>
      </c>
      <c r="C298" s="101">
        <v>5278000</v>
      </c>
      <c r="D298" s="101">
        <f t="shared" si="24"/>
        <v>5099201</v>
      </c>
      <c r="E298" s="101">
        <v>0</v>
      </c>
      <c r="F298" s="101">
        <v>0</v>
      </c>
      <c r="G298" s="101">
        <v>11297</v>
      </c>
      <c r="H298" s="101">
        <v>167502</v>
      </c>
      <c r="I298" s="101">
        <v>100000</v>
      </c>
      <c r="K298" s="101">
        <v>0</v>
      </c>
      <c r="L298" s="101">
        <f t="shared" si="25"/>
        <v>321000</v>
      </c>
      <c r="M298" s="101">
        <v>5699000</v>
      </c>
      <c r="N298" s="101">
        <v>49</v>
      </c>
      <c r="O298" s="101">
        <v>1027</v>
      </c>
      <c r="P298" s="101">
        <v>4</v>
      </c>
      <c r="Q298" s="101">
        <v>0</v>
      </c>
      <c r="R298" s="101">
        <v>11260</v>
      </c>
      <c r="S298" s="101">
        <v>10952</v>
      </c>
      <c r="T298" s="101">
        <v>8824</v>
      </c>
      <c r="U298" s="101">
        <v>9236</v>
      </c>
      <c r="V298" s="101">
        <v>9699</v>
      </c>
      <c r="W298" s="101">
        <v>9551</v>
      </c>
      <c r="X298" s="149">
        <f t="shared" si="26"/>
        <v>0.50612788632326822</v>
      </c>
      <c r="Y298" s="184">
        <v>-4.0000000000000001E-3</v>
      </c>
      <c r="Z298" s="253">
        <v>6</v>
      </c>
      <c r="AA298" s="149">
        <f t="shared" si="27"/>
        <v>2.7353463587921848E-2</v>
      </c>
      <c r="AB298" s="149"/>
      <c r="AD298" s="101">
        <v>10230</v>
      </c>
      <c r="AE298" s="101">
        <v>10416</v>
      </c>
      <c r="AF298" s="101">
        <f t="shared" si="28"/>
        <v>-186</v>
      </c>
      <c r="AG298" s="101">
        <v>11260</v>
      </c>
      <c r="AH298" s="101">
        <v>10952</v>
      </c>
      <c r="AI298" s="101">
        <f t="shared" si="29"/>
        <v>308</v>
      </c>
    </row>
    <row r="299" spans="2:35" x14ac:dyDescent="0.25">
      <c r="B299" t="s">
        <v>340</v>
      </c>
      <c r="C299" s="101">
        <v>187062000</v>
      </c>
      <c r="D299" s="101">
        <f t="shared" si="24"/>
        <v>125424134</v>
      </c>
      <c r="E299" s="101">
        <v>0</v>
      </c>
      <c r="F299" s="101">
        <v>40487660</v>
      </c>
      <c r="G299" s="101">
        <v>7866053</v>
      </c>
      <c r="H299" s="101">
        <v>13284153</v>
      </c>
      <c r="I299" s="101">
        <v>28958000</v>
      </c>
      <c r="K299" s="101">
        <v>1521000</v>
      </c>
      <c r="L299" s="101">
        <f t="shared" si="25"/>
        <v>7599000</v>
      </c>
      <c r="M299" s="101">
        <v>225140000</v>
      </c>
      <c r="N299" s="101">
        <v>391</v>
      </c>
      <c r="O299" s="101">
        <v>1690</v>
      </c>
      <c r="P299" s="101">
        <v>5814</v>
      </c>
      <c r="Q299" s="101">
        <v>16734</v>
      </c>
      <c r="R299" s="101">
        <v>309052</v>
      </c>
      <c r="S299" s="101">
        <v>297731</v>
      </c>
      <c r="T299" s="101">
        <v>255303</v>
      </c>
      <c r="U299" s="101">
        <v>258787</v>
      </c>
      <c r="V299" s="101">
        <v>266258</v>
      </c>
      <c r="W299" s="101">
        <v>259339</v>
      </c>
      <c r="X299" s="149">
        <f t="shared" si="26"/>
        <v>0.72848582115631022</v>
      </c>
      <c r="Y299" s="184">
        <v>6.9900000000000004E-2</v>
      </c>
      <c r="Z299" s="253">
        <v>5</v>
      </c>
      <c r="AA299" s="149">
        <f t="shared" si="27"/>
        <v>3.6631375949678371E-2</v>
      </c>
      <c r="AB299" s="149"/>
      <c r="AD299" s="101">
        <v>309092</v>
      </c>
      <c r="AE299" s="101">
        <v>280839</v>
      </c>
      <c r="AF299" s="101">
        <f t="shared" si="28"/>
        <v>28253</v>
      </c>
      <c r="AG299" s="101">
        <v>309052</v>
      </c>
      <c r="AH299" s="101">
        <v>297731</v>
      </c>
      <c r="AI299" s="101">
        <f t="shared" si="29"/>
        <v>11321</v>
      </c>
    </row>
    <row r="300" spans="2:35" x14ac:dyDescent="0.25">
      <c r="B300" t="s">
        <v>425</v>
      </c>
      <c r="C300" s="101">
        <v>24743000</v>
      </c>
      <c r="D300" s="101">
        <f t="shared" si="24"/>
        <v>23546175</v>
      </c>
      <c r="E300" s="101">
        <v>0</v>
      </c>
      <c r="F300" s="101">
        <v>0</v>
      </c>
      <c r="G300" s="101">
        <v>947569</v>
      </c>
      <c r="H300" s="101">
        <v>249256</v>
      </c>
      <c r="I300" s="101">
        <v>2001000</v>
      </c>
      <c r="K300" s="101">
        <v>64000</v>
      </c>
      <c r="L300" s="101">
        <f t="shared" si="25"/>
        <v>328000</v>
      </c>
      <c r="M300" s="101">
        <v>27136000</v>
      </c>
      <c r="N300" s="101">
        <v>53</v>
      </c>
      <c r="O300" s="101">
        <v>385</v>
      </c>
      <c r="P300" s="101">
        <v>166</v>
      </c>
      <c r="Q300" s="101">
        <v>0</v>
      </c>
      <c r="R300" s="101">
        <v>36255</v>
      </c>
      <c r="S300" s="101">
        <v>37530</v>
      </c>
      <c r="T300" s="101">
        <v>28051</v>
      </c>
      <c r="U300" s="101">
        <v>28329</v>
      </c>
      <c r="V300" s="101">
        <v>30845</v>
      </c>
      <c r="W300" s="101">
        <v>32536</v>
      </c>
      <c r="X300" s="149">
        <f t="shared" si="26"/>
        <v>0.74847607226589441</v>
      </c>
      <c r="Y300" s="184">
        <v>6.4600000000000005E-2</v>
      </c>
      <c r="Z300" s="253">
        <v>6.5</v>
      </c>
      <c r="AA300" s="149">
        <f t="shared" si="27"/>
        <v>-3.5167563094745551E-2</v>
      </c>
      <c r="AB300" s="149"/>
      <c r="AD300" s="101">
        <v>33966</v>
      </c>
      <c r="AE300" s="101">
        <v>34938</v>
      </c>
      <c r="AF300" s="101">
        <f t="shared" si="28"/>
        <v>-972</v>
      </c>
      <c r="AG300" s="101">
        <v>36255</v>
      </c>
      <c r="AH300" s="101">
        <v>37530</v>
      </c>
      <c r="AI300" s="101">
        <f t="shared" si="29"/>
        <v>-1275</v>
      </c>
    </row>
    <row r="301" spans="2:35" x14ac:dyDescent="0.25">
      <c r="B301" t="s">
        <v>827</v>
      </c>
      <c r="C301" s="101">
        <v>140227000</v>
      </c>
      <c r="D301" s="101">
        <f t="shared" si="24"/>
        <v>138879603</v>
      </c>
      <c r="E301" s="101">
        <v>0</v>
      </c>
      <c r="F301" s="101">
        <v>0</v>
      </c>
      <c r="G301" s="101">
        <v>320251</v>
      </c>
      <c r="H301" s="101">
        <v>1027146</v>
      </c>
      <c r="I301" s="101">
        <v>18503000</v>
      </c>
      <c r="K301" s="101">
        <v>2221000</v>
      </c>
      <c r="L301" s="101">
        <f t="shared" si="25"/>
        <v>7785000</v>
      </c>
      <c r="M301" s="101">
        <v>168736000</v>
      </c>
      <c r="N301" s="101">
        <v>277</v>
      </c>
      <c r="O301" s="101">
        <v>14688</v>
      </c>
      <c r="P301" s="101">
        <v>0</v>
      </c>
      <c r="Q301" s="101">
        <v>1403</v>
      </c>
      <c r="R301" s="101">
        <v>245814</v>
      </c>
      <c r="S301" s="101">
        <v>252568</v>
      </c>
      <c r="T301" s="101">
        <v>210135</v>
      </c>
      <c r="U301" s="101">
        <v>210135</v>
      </c>
      <c r="V301" s="101">
        <v>210135</v>
      </c>
      <c r="W301" s="101">
        <v>210135</v>
      </c>
      <c r="X301" s="149">
        <f t="shared" si="26"/>
        <v>0.68643771306760393</v>
      </c>
      <c r="Y301" s="184">
        <v>3.2300000000000002E-2</v>
      </c>
      <c r="Z301" s="253">
        <v>9</v>
      </c>
      <c r="AA301" s="149">
        <f t="shared" si="27"/>
        <v>-2.7476059134142077E-2</v>
      </c>
      <c r="AB301" s="149"/>
      <c r="AD301" s="101">
        <v>270661</v>
      </c>
      <c r="AE301" s="101">
        <v>274102</v>
      </c>
      <c r="AF301" s="101">
        <f t="shared" si="28"/>
        <v>-3441</v>
      </c>
      <c r="AG301" s="101">
        <v>245814</v>
      </c>
      <c r="AH301" s="101">
        <v>252568</v>
      </c>
      <c r="AI301" s="101">
        <f t="shared" si="29"/>
        <v>-6754</v>
      </c>
    </row>
    <row r="302" spans="2:35" x14ac:dyDescent="0.25">
      <c r="B302" t="s">
        <v>319</v>
      </c>
      <c r="C302" s="101">
        <v>44817000</v>
      </c>
      <c r="D302" s="101">
        <f t="shared" si="24"/>
        <v>44362309</v>
      </c>
      <c r="E302" s="101">
        <v>0</v>
      </c>
      <c r="F302" s="101">
        <v>0</v>
      </c>
      <c r="G302" s="101">
        <v>121103</v>
      </c>
      <c r="H302" s="101">
        <v>333588</v>
      </c>
      <c r="I302" s="101">
        <v>5344000</v>
      </c>
      <c r="K302" s="101">
        <v>241000</v>
      </c>
      <c r="L302" s="101">
        <f t="shared" si="25"/>
        <v>5627000</v>
      </c>
      <c r="M302" s="101">
        <v>56029000</v>
      </c>
      <c r="N302" s="101">
        <v>31</v>
      </c>
      <c r="O302" s="101">
        <v>1612</v>
      </c>
      <c r="P302" s="101">
        <v>511</v>
      </c>
      <c r="Q302" s="101">
        <v>4713</v>
      </c>
      <c r="R302" s="101">
        <v>82754</v>
      </c>
      <c r="S302" s="101">
        <v>83605</v>
      </c>
      <c r="T302" s="101">
        <v>61946</v>
      </c>
      <c r="U302" s="101">
        <v>63241</v>
      </c>
      <c r="V302" s="101">
        <v>71604</v>
      </c>
      <c r="W302" s="101">
        <v>71833</v>
      </c>
      <c r="X302" s="149">
        <f t="shared" ref="X302:X312" si="30">M301/(R301*1000)</f>
        <v>0.68643771306760393</v>
      </c>
      <c r="Y302" s="184">
        <v>4.7100000000000003E-2</v>
      </c>
      <c r="Z302" s="253">
        <v>7</v>
      </c>
      <c r="AA302" s="149">
        <f t="shared" si="27"/>
        <v>-1.028349082823791E-2</v>
      </c>
      <c r="AB302" s="149"/>
      <c r="AD302" s="101">
        <v>80498</v>
      </c>
      <c r="AE302" s="101">
        <v>80842</v>
      </c>
      <c r="AF302" s="101">
        <f t="shared" si="28"/>
        <v>-344</v>
      </c>
      <c r="AG302" s="101">
        <v>82754</v>
      </c>
      <c r="AH302" s="101">
        <v>83605</v>
      </c>
      <c r="AI302" s="101">
        <f t="shared" si="29"/>
        <v>-851</v>
      </c>
    </row>
    <row r="303" spans="2:35" x14ac:dyDescent="0.25">
      <c r="B303" t="s">
        <v>203</v>
      </c>
      <c r="C303" s="101">
        <v>49586000</v>
      </c>
      <c r="D303" s="101">
        <f t="shared" si="24"/>
        <v>46818688</v>
      </c>
      <c r="E303" s="101">
        <v>0</v>
      </c>
      <c r="F303" s="101">
        <v>0</v>
      </c>
      <c r="G303" s="101">
        <v>2418872</v>
      </c>
      <c r="H303" s="101">
        <v>348440</v>
      </c>
      <c r="I303" s="101">
        <v>3756000</v>
      </c>
      <c r="K303" s="101">
        <v>80000</v>
      </c>
      <c r="L303" s="101">
        <f t="shared" si="25"/>
        <v>875000</v>
      </c>
      <c r="M303" s="101">
        <v>54297000</v>
      </c>
      <c r="N303" s="101">
        <v>11</v>
      </c>
      <c r="O303" s="101">
        <v>445</v>
      </c>
      <c r="P303" s="101">
        <v>0</v>
      </c>
      <c r="Q303" s="101">
        <v>15081</v>
      </c>
      <c r="R303" s="101">
        <v>88800</v>
      </c>
      <c r="S303" s="101">
        <v>89391</v>
      </c>
      <c r="T303" s="101">
        <v>63823</v>
      </c>
      <c r="U303" s="101">
        <v>63703</v>
      </c>
      <c r="V303" s="101">
        <v>66692</v>
      </c>
      <c r="W303" s="101">
        <v>67604</v>
      </c>
      <c r="X303" s="149">
        <f t="shared" si="30"/>
        <v>0.67705488556444404</v>
      </c>
      <c r="Y303" s="184">
        <v>4.53E-2</v>
      </c>
      <c r="Z303" s="253">
        <v>7.5</v>
      </c>
      <c r="AA303" s="149">
        <f t="shared" si="27"/>
        <v>-6.6554054054054051E-3</v>
      </c>
      <c r="AB303" s="149"/>
      <c r="AD303" s="101">
        <v>77386</v>
      </c>
      <c r="AE303" s="101">
        <v>78260</v>
      </c>
      <c r="AF303" s="101">
        <f t="shared" si="28"/>
        <v>-874</v>
      </c>
      <c r="AG303" s="101">
        <v>88800</v>
      </c>
      <c r="AH303" s="101">
        <v>89391</v>
      </c>
      <c r="AI303" s="101">
        <f t="shared" si="29"/>
        <v>-591</v>
      </c>
    </row>
    <row r="304" spans="2:35" x14ac:dyDescent="0.25">
      <c r="B304" t="s">
        <v>393</v>
      </c>
      <c r="C304" s="101">
        <v>63397000</v>
      </c>
      <c r="D304" s="101">
        <f t="shared" si="24"/>
        <v>58203338</v>
      </c>
      <c r="E304" s="101">
        <v>0</v>
      </c>
      <c r="F304" s="101">
        <v>0</v>
      </c>
      <c r="G304" s="101">
        <v>4878146</v>
      </c>
      <c r="H304" s="101">
        <v>315516</v>
      </c>
      <c r="I304" s="101">
        <v>6135000</v>
      </c>
      <c r="K304" s="101">
        <v>203000</v>
      </c>
      <c r="L304" s="101">
        <f t="shared" si="25"/>
        <v>9887000</v>
      </c>
      <c r="M304" s="101">
        <v>79622000</v>
      </c>
      <c r="N304" s="101">
        <v>292</v>
      </c>
      <c r="O304" s="101">
        <v>1268</v>
      </c>
      <c r="P304" s="101">
        <v>36</v>
      </c>
      <c r="Q304" s="101">
        <v>336</v>
      </c>
      <c r="R304" s="101">
        <v>118324</v>
      </c>
      <c r="S304" s="101">
        <v>107545</v>
      </c>
      <c r="T304" s="101">
        <v>77937</v>
      </c>
      <c r="U304" s="101">
        <v>84133</v>
      </c>
      <c r="V304" s="101">
        <v>88159</v>
      </c>
      <c r="W304" s="101">
        <v>95837</v>
      </c>
      <c r="X304" s="149">
        <f t="shared" si="30"/>
        <v>0.61145270270270269</v>
      </c>
      <c r="Y304" s="184">
        <v>4.7600000000000003E-2</v>
      </c>
      <c r="Z304" s="253">
        <v>6</v>
      </c>
      <c r="AA304" s="149">
        <f t="shared" si="27"/>
        <v>9.1097325986274971E-2</v>
      </c>
      <c r="AB304" s="149"/>
      <c r="AD304" s="101">
        <v>104038</v>
      </c>
      <c r="AE304" s="101">
        <v>109546</v>
      </c>
      <c r="AF304" s="101">
        <f t="shared" si="28"/>
        <v>-5508</v>
      </c>
      <c r="AG304" s="101">
        <v>118324</v>
      </c>
      <c r="AH304" s="101">
        <v>107545</v>
      </c>
      <c r="AI304" s="101">
        <f t="shared" si="29"/>
        <v>10779</v>
      </c>
    </row>
    <row r="305" spans="2:35" x14ac:dyDescent="0.25">
      <c r="B305" t="s">
        <v>599</v>
      </c>
      <c r="C305" s="101">
        <v>112607000</v>
      </c>
      <c r="D305" s="101">
        <f t="shared" si="24"/>
        <v>105864967</v>
      </c>
      <c r="E305" s="101">
        <v>0</v>
      </c>
      <c r="F305" s="101">
        <v>0</v>
      </c>
      <c r="G305" s="101">
        <v>5923663</v>
      </c>
      <c r="H305" s="101">
        <v>818370</v>
      </c>
      <c r="I305" s="101">
        <v>16327000</v>
      </c>
      <c r="K305" s="101">
        <v>1077000</v>
      </c>
      <c r="L305" s="101">
        <f t="shared" si="25"/>
        <v>2348000</v>
      </c>
      <c r="M305" s="101">
        <v>132359000</v>
      </c>
      <c r="N305" s="101">
        <v>492</v>
      </c>
      <c r="O305" s="101">
        <v>669</v>
      </c>
      <c r="P305" s="101">
        <v>284</v>
      </c>
      <c r="Q305" s="101">
        <v>278</v>
      </c>
      <c r="R305" s="101">
        <v>166612</v>
      </c>
      <c r="S305" s="101">
        <v>163933</v>
      </c>
      <c r="T305" s="101">
        <v>131740</v>
      </c>
      <c r="U305" s="101">
        <v>132098</v>
      </c>
      <c r="V305" s="101">
        <v>143693</v>
      </c>
      <c r="W305" s="101">
        <v>144179</v>
      </c>
      <c r="X305" s="149">
        <f t="shared" si="30"/>
        <v>0.67291504682059433</v>
      </c>
      <c r="Y305" s="184">
        <v>6.6699999999999995E-2</v>
      </c>
      <c r="Z305" s="253">
        <v>7</v>
      </c>
      <c r="AA305" s="149">
        <f t="shared" si="27"/>
        <v>1.6079274001872614E-2</v>
      </c>
      <c r="AB305" s="149"/>
      <c r="AD305" s="101">
        <v>153604</v>
      </c>
      <c r="AE305" s="101">
        <v>149501</v>
      </c>
      <c r="AF305" s="101">
        <f t="shared" si="28"/>
        <v>4103</v>
      </c>
      <c r="AG305" s="101">
        <v>166612</v>
      </c>
      <c r="AH305" s="101">
        <v>163933</v>
      </c>
      <c r="AI305" s="101">
        <f t="shared" si="29"/>
        <v>2679</v>
      </c>
    </row>
    <row r="306" spans="2:35" x14ac:dyDescent="0.25">
      <c r="B306" t="s">
        <v>394</v>
      </c>
      <c r="C306" s="101">
        <v>29970000</v>
      </c>
      <c r="D306" s="101">
        <f t="shared" si="24"/>
        <v>28400203</v>
      </c>
      <c r="E306" s="101">
        <v>0</v>
      </c>
      <c r="F306" s="101">
        <v>0</v>
      </c>
      <c r="G306" s="101">
        <v>1303686</v>
      </c>
      <c r="H306" s="101">
        <v>266111</v>
      </c>
      <c r="I306" s="101">
        <v>3238000</v>
      </c>
      <c r="K306" s="101">
        <v>64000</v>
      </c>
      <c r="L306" s="101">
        <f t="shared" si="25"/>
        <v>979000</v>
      </c>
      <c r="M306" s="101">
        <v>34251000</v>
      </c>
      <c r="N306" s="101">
        <v>21</v>
      </c>
      <c r="O306" s="101">
        <v>1285</v>
      </c>
      <c r="P306" s="101">
        <v>14</v>
      </c>
      <c r="Q306" s="101">
        <v>661</v>
      </c>
      <c r="R306" s="101">
        <v>48265</v>
      </c>
      <c r="S306" s="101">
        <v>48637</v>
      </c>
      <c r="T306" s="101">
        <v>37069</v>
      </c>
      <c r="U306" s="101">
        <v>36596</v>
      </c>
      <c r="V306" s="101">
        <v>40733</v>
      </c>
      <c r="W306" s="101">
        <v>41051</v>
      </c>
      <c r="X306" s="149">
        <f t="shared" si="30"/>
        <v>0.7944145679782969</v>
      </c>
      <c r="Y306" s="184">
        <v>3.3399999999999999E-2</v>
      </c>
      <c r="Z306" s="253">
        <v>7.5</v>
      </c>
      <c r="AA306" s="149">
        <f t="shared" si="27"/>
        <v>-7.7074484616181495E-3</v>
      </c>
      <c r="AB306" s="149"/>
      <c r="AD306" s="101">
        <v>44985</v>
      </c>
      <c r="AE306" s="101">
        <v>45094</v>
      </c>
      <c r="AF306" s="101">
        <f t="shared" si="28"/>
        <v>-109</v>
      </c>
      <c r="AG306" s="101">
        <v>48265</v>
      </c>
      <c r="AH306" s="101">
        <v>48637</v>
      </c>
      <c r="AI306" s="101">
        <f t="shared" si="29"/>
        <v>-372</v>
      </c>
    </row>
    <row r="307" spans="2:35" x14ac:dyDescent="0.25">
      <c r="B307" t="s">
        <v>395</v>
      </c>
      <c r="C307" s="101">
        <v>112468000</v>
      </c>
      <c r="D307" s="101">
        <f t="shared" si="24"/>
        <v>105730618</v>
      </c>
      <c r="E307" s="101">
        <v>0</v>
      </c>
      <c r="F307" s="101">
        <v>0</v>
      </c>
      <c r="G307" s="101">
        <v>5826832</v>
      </c>
      <c r="H307" s="101">
        <v>910550</v>
      </c>
      <c r="I307" s="101">
        <v>14668000</v>
      </c>
      <c r="K307" s="101">
        <v>1365000</v>
      </c>
      <c r="L307" s="101">
        <f t="shared" si="25"/>
        <v>2284000</v>
      </c>
      <c r="M307" s="101">
        <v>130785000</v>
      </c>
      <c r="N307" s="101">
        <v>748</v>
      </c>
      <c r="O307" s="101">
        <v>4442</v>
      </c>
      <c r="P307" s="101">
        <v>52</v>
      </c>
      <c r="Q307" s="101">
        <v>5333</v>
      </c>
      <c r="R307" s="101">
        <v>209979</v>
      </c>
      <c r="S307" s="101">
        <v>214639</v>
      </c>
      <c r="T307" s="101">
        <v>162234</v>
      </c>
      <c r="U307" s="101">
        <v>166320</v>
      </c>
      <c r="V307" s="101">
        <v>169734</v>
      </c>
      <c r="W307" s="101">
        <v>174795</v>
      </c>
      <c r="X307" s="149">
        <f t="shared" si="30"/>
        <v>0.70964467005076137</v>
      </c>
      <c r="Y307" s="184">
        <v>5.2299999999999999E-2</v>
      </c>
      <c r="Z307" s="253">
        <v>7.5</v>
      </c>
      <c r="AA307" s="149">
        <f t="shared" si="27"/>
        <v>-2.2192695460022192E-2</v>
      </c>
      <c r="AB307" s="149"/>
      <c r="AD307" s="101">
        <v>185574</v>
      </c>
      <c r="AE307" s="101">
        <v>189014</v>
      </c>
      <c r="AF307" s="101">
        <f t="shared" si="28"/>
        <v>-3440</v>
      </c>
      <c r="AG307" s="101">
        <v>209979</v>
      </c>
      <c r="AH307" s="101">
        <v>214639</v>
      </c>
      <c r="AI307" s="101">
        <f t="shared" si="29"/>
        <v>-4660</v>
      </c>
    </row>
    <row r="308" spans="2:35" x14ac:dyDescent="0.25">
      <c r="B308" t="s">
        <v>320</v>
      </c>
      <c r="C308" s="101">
        <v>65406000</v>
      </c>
      <c r="D308" s="101">
        <f t="shared" si="24"/>
        <v>62647918</v>
      </c>
      <c r="E308" s="101">
        <v>0</v>
      </c>
      <c r="F308" s="101">
        <v>0</v>
      </c>
      <c r="G308" s="101">
        <v>2373911</v>
      </c>
      <c r="H308" s="101">
        <v>384171</v>
      </c>
      <c r="I308" s="101">
        <v>6688000</v>
      </c>
      <c r="K308" s="101">
        <v>674000</v>
      </c>
      <c r="L308" s="101">
        <f t="shared" si="25"/>
        <v>4157000</v>
      </c>
      <c r="M308" s="101">
        <v>76925000</v>
      </c>
      <c r="N308" s="101">
        <v>37</v>
      </c>
      <c r="O308" s="101">
        <v>168</v>
      </c>
      <c r="P308" s="101">
        <v>46</v>
      </c>
      <c r="Q308" s="101">
        <v>18118</v>
      </c>
      <c r="R308" s="101">
        <v>129448</v>
      </c>
      <c r="S308" s="101">
        <v>127793</v>
      </c>
      <c r="T308" s="101">
        <v>97186</v>
      </c>
      <c r="U308" s="101">
        <v>96536</v>
      </c>
      <c r="V308" s="101">
        <v>101466</v>
      </c>
      <c r="W308" s="101">
        <v>98724</v>
      </c>
      <c r="X308" s="149">
        <f t="shared" si="30"/>
        <v>0.62284799908562283</v>
      </c>
      <c r="Y308" s="184">
        <v>2.3900000000000001E-2</v>
      </c>
      <c r="Z308" s="253">
        <v>9</v>
      </c>
      <c r="AA308" s="149">
        <f t="shared" si="27"/>
        <v>1.278505654780298E-2</v>
      </c>
      <c r="AB308" s="149"/>
      <c r="AD308" s="101">
        <v>106395</v>
      </c>
      <c r="AE308" s="101">
        <v>103484</v>
      </c>
      <c r="AF308" s="101">
        <f t="shared" si="28"/>
        <v>2911</v>
      </c>
      <c r="AG308" s="101">
        <v>129448</v>
      </c>
      <c r="AH308" s="101">
        <v>127793</v>
      </c>
      <c r="AI308" s="101">
        <f t="shared" si="29"/>
        <v>1655</v>
      </c>
    </row>
    <row r="309" spans="2:35" x14ac:dyDescent="0.25">
      <c r="B309" t="s">
        <v>204</v>
      </c>
      <c r="C309" s="101">
        <v>82185000</v>
      </c>
      <c r="D309" s="101">
        <f t="shared" si="24"/>
        <v>78029978</v>
      </c>
      <c r="E309" s="101">
        <v>0</v>
      </c>
      <c r="F309" s="101">
        <v>0</v>
      </c>
      <c r="G309" s="101">
        <v>3658918</v>
      </c>
      <c r="H309" s="101">
        <v>496104</v>
      </c>
      <c r="I309" s="101">
        <v>14817000</v>
      </c>
      <c r="K309" s="101">
        <v>740000</v>
      </c>
      <c r="L309" s="101">
        <f t="shared" si="25"/>
        <v>4161000</v>
      </c>
      <c r="M309" s="101">
        <v>101903000</v>
      </c>
      <c r="N309" s="101">
        <v>236</v>
      </c>
      <c r="O309" s="101">
        <v>2440</v>
      </c>
      <c r="P309" s="101">
        <v>143</v>
      </c>
      <c r="Q309" s="101">
        <v>23</v>
      </c>
      <c r="R309" s="101">
        <v>143148</v>
      </c>
      <c r="S309" s="101">
        <v>143838</v>
      </c>
      <c r="T309" s="101">
        <v>111064</v>
      </c>
      <c r="U309" s="101">
        <v>112244</v>
      </c>
      <c r="V309" s="101">
        <v>118770</v>
      </c>
      <c r="W309" s="101">
        <v>118172</v>
      </c>
      <c r="X309" s="149">
        <f t="shared" si="30"/>
        <v>0.59425406340770037</v>
      </c>
      <c r="Y309" s="184">
        <v>5.6500000000000002E-2</v>
      </c>
      <c r="Z309" s="253">
        <v>6</v>
      </c>
      <c r="AA309" s="149">
        <f t="shared" si="27"/>
        <v>-4.8201861010981643E-3</v>
      </c>
      <c r="AB309" s="149"/>
      <c r="AD309" s="101">
        <v>128961</v>
      </c>
      <c r="AE309" s="101">
        <v>129687</v>
      </c>
      <c r="AF309" s="101">
        <f t="shared" si="28"/>
        <v>-726</v>
      </c>
      <c r="AG309" s="101">
        <v>143148</v>
      </c>
      <c r="AH309" s="101">
        <v>143838</v>
      </c>
      <c r="AI309" s="101">
        <f t="shared" si="29"/>
        <v>-690</v>
      </c>
    </row>
    <row r="310" spans="2:35" x14ac:dyDescent="0.25">
      <c r="B310" t="s">
        <v>321</v>
      </c>
      <c r="C310" s="101">
        <v>44773000</v>
      </c>
      <c r="D310" s="101">
        <f t="shared" si="24"/>
        <v>43194102</v>
      </c>
      <c r="E310" s="101">
        <v>0</v>
      </c>
      <c r="F310" s="101">
        <v>0</v>
      </c>
      <c r="G310" s="101">
        <v>1150158</v>
      </c>
      <c r="H310" s="101">
        <v>428740</v>
      </c>
      <c r="I310" s="101">
        <v>6372000</v>
      </c>
      <c r="K310" s="101">
        <v>401000</v>
      </c>
      <c r="L310" s="101">
        <f t="shared" si="25"/>
        <v>3630000</v>
      </c>
      <c r="M310" s="101">
        <v>55176000</v>
      </c>
      <c r="N310" s="101">
        <v>225</v>
      </c>
      <c r="O310" s="101">
        <v>994</v>
      </c>
      <c r="P310" s="101">
        <v>730</v>
      </c>
      <c r="Q310" s="101">
        <v>0</v>
      </c>
      <c r="R310" s="101">
        <v>91448</v>
      </c>
      <c r="S310" s="101">
        <v>93250</v>
      </c>
      <c r="T310" s="101">
        <v>67643</v>
      </c>
      <c r="U310" s="101">
        <v>68233</v>
      </c>
      <c r="V310" s="101">
        <v>79349</v>
      </c>
      <c r="W310" s="101">
        <v>79449</v>
      </c>
      <c r="X310" s="149">
        <f t="shared" si="30"/>
        <v>0.71187162936261772</v>
      </c>
      <c r="Y310" s="184">
        <v>5.7799999999999997E-2</v>
      </c>
      <c r="Z310" s="253">
        <v>7.5</v>
      </c>
      <c r="AA310" s="149">
        <f t="shared" si="27"/>
        <v>-1.970518764762488E-2</v>
      </c>
      <c r="AB310" s="149"/>
      <c r="AD310" s="101">
        <v>85973</v>
      </c>
      <c r="AE310" s="101">
        <v>88216</v>
      </c>
      <c r="AF310" s="101">
        <f t="shared" si="28"/>
        <v>-2243</v>
      </c>
      <c r="AG310" s="101">
        <v>91448</v>
      </c>
      <c r="AH310" s="101">
        <v>93250</v>
      </c>
      <c r="AI310" s="101">
        <f t="shared" si="29"/>
        <v>-1802</v>
      </c>
    </row>
    <row r="311" spans="2:35" x14ac:dyDescent="0.25">
      <c r="B311" t="s">
        <v>275</v>
      </c>
      <c r="C311" s="101">
        <v>32697000</v>
      </c>
      <c r="D311" s="101">
        <f t="shared" si="24"/>
        <v>31795789</v>
      </c>
      <c r="E311" s="101">
        <v>0</v>
      </c>
      <c r="F311" s="101">
        <v>0</v>
      </c>
      <c r="G311" s="101">
        <v>556202</v>
      </c>
      <c r="H311" s="101">
        <v>345009</v>
      </c>
      <c r="I311" s="101">
        <v>2530000</v>
      </c>
      <c r="K311" s="101">
        <v>0</v>
      </c>
      <c r="L311" s="101">
        <f t="shared" si="25"/>
        <v>1214000</v>
      </c>
      <c r="M311" s="101">
        <v>36441000</v>
      </c>
      <c r="N311" s="101">
        <v>268</v>
      </c>
      <c r="O311" s="101">
        <v>522</v>
      </c>
      <c r="P311" s="101">
        <v>140</v>
      </c>
      <c r="Q311" s="101">
        <v>0</v>
      </c>
      <c r="R311" s="101">
        <v>51147</v>
      </c>
      <c r="S311" s="101">
        <v>52341</v>
      </c>
      <c r="T311" s="101">
        <v>41810</v>
      </c>
      <c r="U311" s="101">
        <v>39556</v>
      </c>
      <c r="V311" s="101">
        <v>42569</v>
      </c>
      <c r="W311" s="101">
        <v>43125</v>
      </c>
      <c r="X311" s="149">
        <f t="shared" si="30"/>
        <v>0.60335928615169276</v>
      </c>
      <c r="Y311" s="184">
        <v>2.76E-2</v>
      </c>
      <c r="Z311" s="253">
        <v>9.5</v>
      </c>
      <c r="AA311" s="149">
        <f t="shared" si="27"/>
        <v>-2.3344477681975482E-2</v>
      </c>
      <c r="AB311" s="149"/>
      <c r="AD311" s="101">
        <v>49809</v>
      </c>
      <c r="AE311" s="101">
        <v>48037</v>
      </c>
      <c r="AF311" s="101">
        <f t="shared" si="28"/>
        <v>1772</v>
      </c>
      <c r="AG311" s="101">
        <v>51147</v>
      </c>
      <c r="AH311" s="101">
        <v>52341</v>
      </c>
      <c r="AI311" s="101">
        <f t="shared" si="29"/>
        <v>-1194</v>
      </c>
    </row>
    <row r="312" spans="2:35" x14ac:dyDescent="0.25">
      <c r="B312" t="s">
        <v>426</v>
      </c>
      <c r="C312" s="101">
        <v>124301000</v>
      </c>
      <c r="D312" s="101">
        <f t="shared" si="24"/>
        <v>115495084</v>
      </c>
      <c r="E312" s="101">
        <v>0</v>
      </c>
      <c r="F312" s="101">
        <v>0</v>
      </c>
      <c r="G312" s="101">
        <v>8025138</v>
      </c>
      <c r="H312" s="101">
        <v>780778</v>
      </c>
      <c r="I312" s="101">
        <v>15876000</v>
      </c>
      <c r="K312" s="101">
        <v>1338000</v>
      </c>
      <c r="L312" s="101">
        <f t="shared" si="25"/>
        <v>2022000</v>
      </c>
      <c r="M312" s="101">
        <v>143537000</v>
      </c>
      <c r="N312" s="101">
        <v>108</v>
      </c>
      <c r="O312" s="101">
        <v>1701</v>
      </c>
      <c r="P312" s="101">
        <v>150</v>
      </c>
      <c r="Q312" s="101">
        <v>1526</v>
      </c>
      <c r="R312" s="101">
        <v>200611</v>
      </c>
      <c r="S312" s="101">
        <v>200270</v>
      </c>
      <c r="T312" s="101">
        <v>159455</v>
      </c>
      <c r="U312" s="101">
        <v>162077</v>
      </c>
      <c r="V312" s="101">
        <v>175689</v>
      </c>
      <c r="W312" s="101">
        <v>177195</v>
      </c>
      <c r="X312" s="149">
        <f t="shared" si="30"/>
        <v>0.71247580503255326</v>
      </c>
      <c r="Y312" s="184">
        <v>6.08E-2</v>
      </c>
      <c r="Z312" s="253">
        <v>6</v>
      </c>
      <c r="AA312" s="149">
        <f t="shared" si="27"/>
        <v>1.69980708934206E-3</v>
      </c>
      <c r="AB312" s="149"/>
      <c r="AD312" s="101">
        <v>195614</v>
      </c>
      <c r="AE312" s="101">
        <v>196144</v>
      </c>
      <c r="AF312" s="101">
        <f t="shared" si="28"/>
        <v>-530</v>
      </c>
      <c r="AG312" s="101">
        <v>200611</v>
      </c>
      <c r="AH312" s="101">
        <v>200270</v>
      </c>
      <c r="AI312" s="101">
        <f t="shared" si="29"/>
        <v>341</v>
      </c>
    </row>
    <row r="313" spans="2:35" x14ac:dyDescent="0.25">
      <c r="B313" t="s">
        <v>828</v>
      </c>
      <c r="C313" s="101">
        <v>95389000</v>
      </c>
      <c r="D313" s="101">
        <f t="shared" si="24"/>
        <v>91465813</v>
      </c>
      <c r="E313" s="101">
        <v>0</v>
      </c>
      <c r="F313" s="101">
        <v>0</v>
      </c>
      <c r="G313" s="101">
        <v>3303138</v>
      </c>
      <c r="H313" s="101">
        <v>620049</v>
      </c>
      <c r="I313" s="101">
        <v>9829000</v>
      </c>
      <c r="K313" s="101">
        <v>837000</v>
      </c>
      <c r="L313" s="101">
        <f t="shared" si="25"/>
        <v>1972000</v>
      </c>
      <c r="M313" s="101">
        <v>108027000</v>
      </c>
      <c r="N313" s="101">
        <v>99</v>
      </c>
      <c r="O313" s="101">
        <v>1857</v>
      </c>
      <c r="P313" s="101">
        <v>321</v>
      </c>
      <c r="Q313" s="101">
        <v>12874</v>
      </c>
      <c r="R313" s="101">
        <v>166260</v>
      </c>
      <c r="S313" s="101">
        <v>170690</v>
      </c>
      <c r="T313" s="101">
        <v>131348</v>
      </c>
      <c r="U313" s="101">
        <v>133515</v>
      </c>
      <c r="V313" s="101">
        <v>140717</v>
      </c>
      <c r="W313" s="101">
        <v>140281</v>
      </c>
      <c r="X313" s="149">
        <f t="shared" ref="X313:X344" si="31">M313/(R313*1000)</f>
        <v>0.64974738361602313</v>
      </c>
      <c r="Y313" s="184">
        <v>5.0599999999999999E-2</v>
      </c>
      <c r="Z313" s="253">
        <v>7</v>
      </c>
      <c r="AA313" s="149">
        <f t="shared" si="27"/>
        <v>-2.6645013833754359E-2</v>
      </c>
      <c r="AB313" s="149"/>
      <c r="AD313" s="101">
        <v>159683</v>
      </c>
      <c r="AE313" s="101">
        <v>161891</v>
      </c>
      <c r="AF313" s="101">
        <f t="shared" si="28"/>
        <v>-2208</v>
      </c>
      <c r="AG313" s="101">
        <v>166260</v>
      </c>
      <c r="AH313" s="101">
        <v>170690</v>
      </c>
      <c r="AI313" s="101">
        <f t="shared" si="29"/>
        <v>-4430</v>
      </c>
    </row>
    <row r="314" spans="2:35" x14ac:dyDescent="0.25">
      <c r="B314" t="s">
        <v>205</v>
      </c>
      <c r="C314" s="101">
        <v>38987000</v>
      </c>
      <c r="D314" s="101">
        <f t="shared" si="24"/>
        <v>37388701</v>
      </c>
      <c r="E314" s="101">
        <v>0</v>
      </c>
      <c r="F314" s="101">
        <v>0</v>
      </c>
      <c r="G314" s="101">
        <v>1191134</v>
      </c>
      <c r="H314" s="101">
        <v>407165</v>
      </c>
      <c r="I314" s="101">
        <v>3768000</v>
      </c>
      <c r="K314" s="101">
        <v>35000</v>
      </c>
      <c r="L314" s="101">
        <f t="shared" si="25"/>
        <v>547000</v>
      </c>
      <c r="M314" s="101">
        <v>43337000</v>
      </c>
      <c r="N314" s="101">
        <v>56</v>
      </c>
      <c r="O314" s="101">
        <v>70</v>
      </c>
      <c r="P314" s="101">
        <v>0</v>
      </c>
      <c r="Q314" s="101">
        <v>139</v>
      </c>
      <c r="R314" s="101">
        <v>57469</v>
      </c>
      <c r="S314" s="101">
        <v>57884</v>
      </c>
      <c r="T314" s="101">
        <v>46232</v>
      </c>
      <c r="U314" s="101">
        <v>45640</v>
      </c>
      <c r="V314" s="101">
        <v>47815</v>
      </c>
      <c r="W314" s="101">
        <v>49206</v>
      </c>
      <c r="X314" s="149">
        <f t="shared" si="31"/>
        <v>0.75409351128434465</v>
      </c>
      <c r="Y314" s="184">
        <v>5.3400000000000003E-2</v>
      </c>
      <c r="Z314" s="253">
        <v>8.5</v>
      </c>
      <c r="AA314" s="149">
        <f t="shared" si="27"/>
        <v>-7.2212845186100331E-3</v>
      </c>
      <c r="AB314" s="149"/>
      <c r="AD314" s="101">
        <v>54178</v>
      </c>
      <c r="AE314" s="101">
        <v>53947</v>
      </c>
      <c r="AF314" s="101">
        <f t="shared" si="28"/>
        <v>231</v>
      </c>
      <c r="AG314" s="101">
        <v>57469</v>
      </c>
      <c r="AH314" s="101">
        <v>57884</v>
      </c>
      <c r="AI314" s="101">
        <f t="shared" si="29"/>
        <v>-415</v>
      </c>
    </row>
    <row r="315" spans="2:35" x14ac:dyDescent="0.25">
      <c r="B315" t="s">
        <v>601</v>
      </c>
      <c r="C315" s="101">
        <v>140904000</v>
      </c>
      <c r="D315" s="101">
        <f t="shared" si="24"/>
        <v>131157855</v>
      </c>
      <c r="E315" s="101">
        <v>0</v>
      </c>
      <c r="F315" s="101">
        <v>0</v>
      </c>
      <c r="G315" s="101">
        <v>8792127</v>
      </c>
      <c r="H315" s="101">
        <v>954018</v>
      </c>
      <c r="I315" s="101">
        <v>15400000</v>
      </c>
      <c r="K315" s="101">
        <v>468000</v>
      </c>
      <c r="L315" s="101">
        <f t="shared" si="25"/>
        <v>3970000</v>
      </c>
      <c r="M315" s="101">
        <v>160742000</v>
      </c>
      <c r="N315" s="101">
        <v>128</v>
      </c>
      <c r="O315" s="101">
        <v>2030</v>
      </c>
      <c r="P315" s="101">
        <v>191</v>
      </c>
      <c r="Q315" s="101">
        <v>0</v>
      </c>
      <c r="R315" s="101">
        <v>213885</v>
      </c>
      <c r="S315" s="101">
        <v>218573</v>
      </c>
      <c r="T315" s="101">
        <v>176353</v>
      </c>
      <c r="U315" s="101">
        <v>174356</v>
      </c>
      <c r="V315" s="101">
        <v>189093</v>
      </c>
      <c r="W315" s="101">
        <v>188373</v>
      </c>
      <c r="X315" s="149">
        <f t="shared" si="31"/>
        <v>0.75153470322837035</v>
      </c>
      <c r="Y315" s="184">
        <v>4.2799999999999998E-2</v>
      </c>
      <c r="Z315" s="253">
        <v>8</v>
      </c>
      <c r="AA315" s="149">
        <f t="shared" si="27"/>
        <v>-2.1918320592841947E-2</v>
      </c>
      <c r="AB315" s="149"/>
      <c r="AD315" s="101">
        <v>204100</v>
      </c>
      <c r="AE315" s="101">
        <v>205486</v>
      </c>
      <c r="AF315" s="101">
        <f t="shared" si="28"/>
        <v>-1386</v>
      </c>
      <c r="AG315" s="101">
        <v>213885</v>
      </c>
      <c r="AH315" s="101">
        <v>218573</v>
      </c>
      <c r="AI315" s="101">
        <f t="shared" si="29"/>
        <v>-4688</v>
      </c>
    </row>
    <row r="316" spans="2:35" x14ac:dyDescent="0.25">
      <c r="B316" t="s">
        <v>114</v>
      </c>
      <c r="C316" s="101">
        <v>46062000</v>
      </c>
      <c r="D316" s="101">
        <f t="shared" si="24"/>
        <v>42688027</v>
      </c>
      <c r="E316" s="101">
        <v>0</v>
      </c>
      <c r="F316" s="101">
        <v>0</v>
      </c>
      <c r="G316" s="101">
        <v>3038596</v>
      </c>
      <c r="H316" s="101">
        <v>335377</v>
      </c>
      <c r="I316" s="101">
        <v>3546000</v>
      </c>
      <c r="K316" s="101">
        <v>135000</v>
      </c>
      <c r="L316" s="101">
        <f t="shared" si="25"/>
        <v>401000</v>
      </c>
      <c r="M316" s="101">
        <v>50144000</v>
      </c>
      <c r="N316" s="101">
        <v>45</v>
      </c>
      <c r="O316" s="101">
        <v>263</v>
      </c>
      <c r="P316" s="101">
        <v>932</v>
      </c>
      <c r="Q316" s="101">
        <v>940</v>
      </c>
      <c r="R316" s="101">
        <v>66339</v>
      </c>
      <c r="S316" s="101">
        <v>66875</v>
      </c>
      <c r="T316" s="101">
        <v>56770</v>
      </c>
      <c r="U316" s="101">
        <v>57043</v>
      </c>
      <c r="V316" s="101">
        <v>60843</v>
      </c>
      <c r="W316" s="101">
        <v>61070</v>
      </c>
      <c r="X316" s="149">
        <f t="shared" si="31"/>
        <v>0.75587512624549658</v>
      </c>
      <c r="Y316" s="184">
        <v>4.5699999999999998E-2</v>
      </c>
      <c r="Z316" s="253">
        <v>7.5</v>
      </c>
      <c r="AA316" s="149">
        <f t="shared" si="27"/>
        <v>-8.0797117834154868E-3</v>
      </c>
      <c r="AB316" s="149"/>
      <c r="AD316" s="101">
        <v>64310</v>
      </c>
      <c r="AE316" s="101">
        <v>64560</v>
      </c>
      <c r="AF316" s="101">
        <f t="shared" si="28"/>
        <v>-250</v>
      </c>
      <c r="AG316" s="101">
        <v>66339</v>
      </c>
      <c r="AH316" s="101">
        <v>66875</v>
      </c>
      <c r="AI316" s="101">
        <f t="shared" si="29"/>
        <v>-536</v>
      </c>
    </row>
    <row r="317" spans="2:35" x14ac:dyDescent="0.25">
      <c r="B317" t="s">
        <v>206</v>
      </c>
      <c r="C317" s="101">
        <v>35236000</v>
      </c>
      <c r="D317" s="101">
        <f t="shared" si="24"/>
        <v>31906574</v>
      </c>
      <c r="E317" s="101">
        <v>0</v>
      </c>
      <c r="F317" s="101">
        <v>0</v>
      </c>
      <c r="G317" s="101">
        <v>3003428</v>
      </c>
      <c r="H317" s="101">
        <v>325998</v>
      </c>
      <c r="I317" s="101">
        <v>4747000</v>
      </c>
      <c r="K317" s="101">
        <v>542000</v>
      </c>
      <c r="L317" s="101">
        <f t="shared" si="25"/>
        <v>388000</v>
      </c>
      <c r="M317" s="101">
        <v>40913000</v>
      </c>
      <c r="N317" s="101">
        <v>20</v>
      </c>
      <c r="O317" s="101">
        <v>650</v>
      </c>
      <c r="P317" s="101">
        <v>104</v>
      </c>
      <c r="Q317" s="101">
        <v>173</v>
      </c>
      <c r="R317" s="101">
        <v>52178</v>
      </c>
      <c r="S317" s="101">
        <v>51607</v>
      </c>
      <c r="T317" s="101">
        <v>41222</v>
      </c>
      <c r="U317" s="101">
        <v>40859</v>
      </c>
      <c r="V317" s="101">
        <v>43995</v>
      </c>
      <c r="W317" s="101">
        <v>45635</v>
      </c>
      <c r="X317" s="149">
        <f t="shared" si="31"/>
        <v>0.78410441182107404</v>
      </c>
      <c r="Y317" s="184">
        <v>6.4100000000000004E-2</v>
      </c>
      <c r="Z317" s="253">
        <v>8</v>
      </c>
      <c r="AA317" s="149">
        <f t="shared" si="27"/>
        <v>1.0943309440760473E-2</v>
      </c>
      <c r="AB317" s="149"/>
      <c r="AD317" s="101">
        <v>47638</v>
      </c>
      <c r="AE317" s="101">
        <v>46305</v>
      </c>
      <c r="AF317" s="101">
        <f t="shared" si="28"/>
        <v>1333</v>
      </c>
      <c r="AG317" s="101">
        <v>52178</v>
      </c>
      <c r="AH317" s="101">
        <v>51607</v>
      </c>
      <c r="AI317" s="101">
        <f t="shared" si="29"/>
        <v>571</v>
      </c>
    </row>
    <row r="318" spans="2:35" x14ac:dyDescent="0.25">
      <c r="B318" t="s">
        <v>602</v>
      </c>
      <c r="C318" s="101">
        <v>77931000</v>
      </c>
      <c r="D318" s="101">
        <f t="shared" si="24"/>
        <v>65453426</v>
      </c>
      <c r="E318" s="101">
        <v>0</v>
      </c>
      <c r="F318" s="101">
        <v>0</v>
      </c>
      <c r="G318" s="101">
        <v>9069112</v>
      </c>
      <c r="H318" s="101">
        <v>3408462</v>
      </c>
      <c r="I318" s="101">
        <v>8225000</v>
      </c>
      <c r="K318" s="101">
        <v>8057000</v>
      </c>
      <c r="L318" s="101">
        <f t="shared" si="25"/>
        <v>12785000</v>
      </c>
      <c r="M318" s="101">
        <v>106998000</v>
      </c>
      <c r="N318" s="101">
        <v>18</v>
      </c>
      <c r="O318" s="101">
        <v>537</v>
      </c>
      <c r="P318" s="101">
        <v>214</v>
      </c>
      <c r="Q318" s="101">
        <v>0</v>
      </c>
      <c r="R318" s="101">
        <v>133240</v>
      </c>
      <c r="S318" s="101">
        <v>136808</v>
      </c>
      <c r="T318" s="101">
        <v>93663</v>
      </c>
      <c r="U318" s="101">
        <v>94654</v>
      </c>
      <c r="V318" s="101">
        <v>102165</v>
      </c>
      <c r="W318" s="101">
        <v>104733</v>
      </c>
      <c r="X318" s="149">
        <f t="shared" si="31"/>
        <v>0.80304713299309516</v>
      </c>
      <c r="Y318" s="184">
        <v>7.8600000000000003E-2</v>
      </c>
      <c r="Z318" s="253">
        <v>5</v>
      </c>
      <c r="AA318" s="149">
        <f t="shared" si="27"/>
        <v>-2.677874512158511E-2</v>
      </c>
      <c r="AB318" s="149"/>
      <c r="AD318" s="101">
        <v>120166</v>
      </c>
      <c r="AE318" s="101">
        <v>119038</v>
      </c>
      <c r="AF318" s="101">
        <f t="shared" si="28"/>
        <v>1128</v>
      </c>
      <c r="AG318" s="101">
        <v>133240</v>
      </c>
      <c r="AH318" s="101">
        <v>136808</v>
      </c>
      <c r="AI318" s="101">
        <f t="shared" si="29"/>
        <v>-3568</v>
      </c>
    </row>
    <row r="319" spans="2:35" x14ac:dyDescent="0.25">
      <c r="B319" t="s">
        <v>322</v>
      </c>
      <c r="C319" s="101">
        <v>215203000</v>
      </c>
      <c r="D319" s="101">
        <f t="shared" si="24"/>
        <v>206359489</v>
      </c>
      <c r="E319" s="101">
        <v>0</v>
      </c>
      <c r="F319" s="101">
        <v>0</v>
      </c>
      <c r="G319" s="101">
        <v>7493534</v>
      </c>
      <c r="H319" s="101">
        <v>1349977</v>
      </c>
      <c r="I319" s="101">
        <v>24372000</v>
      </c>
      <c r="K319" s="101">
        <v>0</v>
      </c>
      <c r="L319" s="101">
        <f t="shared" si="25"/>
        <v>2685000</v>
      </c>
      <c r="M319" s="101">
        <v>242260000</v>
      </c>
      <c r="N319" s="101">
        <v>71</v>
      </c>
      <c r="O319" s="101">
        <v>5556</v>
      </c>
      <c r="P319" s="101">
        <v>10688</v>
      </c>
      <c r="Q319" s="101">
        <v>25727</v>
      </c>
      <c r="R319" s="101">
        <v>373794</v>
      </c>
      <c r="S319" s="101">
        <v>382630</v>
      </c>
      <c r="T319" s="101">
        <v>327096</v>
      </c>
      <c r="U319" s="101">
        <v>334054</v>
      </c>
      <c r="V319" s="101">
        <v>351502</v>
      </c>
      <c r="W319" s="101">
        <v>355119</v>
      </c>
      <c r="X319" s="149">
        <f t="shared" si="31"/>
        <v>0.64811099161570274</v>
      </c>
      <c r="Y319" s="184">
        <v>3.4799999999999998E-2</v>
      </c>
      <c r="Z319" s="253">
        <v>8</v>
      </c>
      <c r="AA319" s="149">
        <f t="shared" si="27"/>
        <v>-2.3638688689492073E-2</v>
      </c>
      <c r="AB319" s="149"/>
      <c r="AD319" s="101">
        <v>372520</v>
      </c>
      <c r="AE319" s="101">
        <v>373023</v>
      </c>
      <c r="AF319" s="101">
        <f t="shared" si="28"/>
        <v>-503</v>
      </c>
      <c r="AG319" s="101">
        <v>373794</v>
      </c>
      <c r="AH319" s="101">
        <v>382630</v>
      </c>
      <c r="AI319" s="101">
        <f t="shared" si="29"/>
        <v>-8836</v>
      </c>
    </row>
    <row r="320" spans="2:35" x14ac:dyDescent="0.25">
      <c r="B320" t="s">
        <v>138</v>
      </c>
      <c r="C320" s="101">
        <v>67436000</v>
      </c>
      <c r="D320" s="101">
        <f t="shared" si="24"/>
        <v>61972823</v>
      </c>
      <c r="E320" s="101">
        <v>0</v>
      </c>
      <c r="F320" s="101">
        <v>0</v>
      </c>
      <c r="G320" s="101">
        <v>4978550</v>
      </c>
      <c r="H320" s="101">
        <v>484627</v>
      </c>
      <c r="I320" s="101">
        <v>8112000</v>
      </c>
      <c r="K320" s="101">
        <v>434000</v>
      </c>
      <c r="L320" s="101">
        <f t="shared" si="25"/>
        <v>3623000</v>
      </c>
      <c r="M320" s="101">
        <v>79605000</v>
      </c>
      <c r="N320" s="101">
        <v>0</v>
      </c>
      <c r="O320" s="101">
        <v>370</v>
      </c>
      <c r="P320" s="101">
        <v>112</v>
      </c>
      <c r="Q320" s="101">
        <v>0</v>
      </c>
      <c r="R320" s="101">
        <v>104191</v>
      </c>
      <c r="S320" s="101">
        <v>104886</v>
      </c>
      <c r="T320" s="101">
        <v>82286</v>
      </c>
      <c r="U320" s="101">
        <v>82836</v>
      </c>
      <c r="V320" s="101">
        <v>90309</v>
      </c>
      <c r="W320" s="101">
        <v>90316</v>
      </c>
      <c r="X320" s="149">
        <f t="shared" si="31"/>
        <v>0.76402952270349644</v>
      </c>
      <c r="Y320" s="184">
        <v>4.2799999999999998E-2</v>
      </c>
      <c r="Z320" s="253">
        <v>7.5</v>
      </c>
      <c r="AA320" s="149">
        <f t="shared" si="27"/>
        <v>-6.6704417847990713E-3</v>
      </c>
      <c r="AB320" s="149"/>
      <c r="AD320" s="101">
        <v>104528</v>
      </c>
      <c r="AE320" s="101">
        <v>104713</v>
      </c>
      <c r="AF320" s="101">
        <f t="shared" si="28"/>
        <v>-185</v>
      </c>
      <c r="AG320" s="101">
        <v>104191</v>
      </c>
      <c r="AH320" s="101">
        <v>104886</v>
      </c>
      <c r="AI320" s="101">
        <f t="shared" si="29"/>
        <v>-695</v>
      </c>
    </row>
    <row r="321" spans="2:35" x14ac:dyDescent="0.25">
      <c r="B321" t="s">
        <v>160</v>
      </c>
      <c r="C321" s="101">
        <v>46724000</v>
      </c>
      <c r="D321" s="101">
        <f t="shared" si="24"/>
        <v>44192639</v>
      </c>
      <c r="E321" s="101">
        <v>0</v>
      </c>
      <c r="F321" s="101">
        <v>0</v>
      </c>
      <c r="G321" s="101">
        <v>2183947</v>
      </c>
      <c r="H321" s="101">
        <v>347414</v>
      </c>
      <c r="I321" s="101">
        <v>3988000</v>
      </c>
      <c r="K321" s="101">
        <v>83000</v>
      </c>
      <c r="L321" s="101">
        <f t="shared" si="25"/>
        <v>242000</v>
      </c>
      <c r="M321" s="101">
        <v>51037000</v>
      </c>
      <c r="N321" s="101">
        <v>4</v>
      </c>
      <c r="O321" s="101">
        <v>849</v>
      </c>
      <c r="P321" s="101">
        <v>1051</v>
      </c>
      <c r="Q321" s="101">
        <v>10649</v>
      </c>
      <c r="R321" s="101">
        <v>83803</v>
      </c>
      <c r="S321" s="101">
        <v>83579</v>
      </c>
      <c r="T321" s="101">
        <v>61817</v>
      </c>
      <c r="U321" s="101">
        <v>61556</v>
      </c>
      <c r="V321" s="101">
        <v>68953</v>
      </c>
      <c r="W321" s="101">
        <v>70538</v>
      </c>
      <c r="X321" s="149">
        <f t="shared" si="31"/>
        <v>0.60901161056286768</v>
      </c>
      <c r="Y321" s="184">
        <v>5.7299999999999997E-2</v>
      </c>
      <c r="Z321" s="253">
        <v>9.5</v>
      </c>
      <c r="AA321" s="149">
        <f t="shared" si="27"/>
        <v>2.6729353364438029E-3</v>
      </c>
      <c r="AB321" s="149"/>
      <c r="AD321" s="101">
        <v>78769</v>
      </c>
      <c r="AE321" s="101">
        <v>79336</v>
      </c>
      <c r="AF321" s="101">
        <f t="shared" si="28"/>
        <v>-567</v>
      </c>
      <c r="AG321" s="101">
        <v>83803</v>
      </c>
      <c r="AH321" s="101">
        <v>83579</v>
      </c>
      <c r="AI321" s="101">
        <f t="shared" si="29"/>
        <v>224</v>
      </c>
    </row>
    <row r="322" spans="2:35" x14ac:dyDescent="0.25">
      <c r="B322" t="s">
        <v>207</v>
      </c>
      <c r="C322" s="101">
        <v>87980000</v>
      </c>
      <c r="D322" s="101">
        <f t="shared" si="24"/>
        <v>83223932</v>
      </c>
      <c r="E322" s="101">
        <v>0</v>
      </c>
      <c r="F322" s="101">
        <v>0</v>
      </c>
      <c r="G322" s="101">
        <v>4178626</v>
      </c>
      <c r="H322" s="101">
        <v>577442</v>
      </c>
      <c r="I322" s="101">
        <v>12482000</v>
      </c>
      <c r="K322" s="101">
        <v>495000</v>
      </c>
      <c r="L322" s="101">
        <f t="shared" si="25"/>
        <v>3091000</v>
      </c>
      <c r="M322" s="101">
        <v>104048000</v>
      </c>
      <c r="N322" s="101">
        <v>38</v>
      </c>
      <c r="O322" s="101">
        <v>3251</v>
      </c>
      <c r="P322" s="101">
        <v>93</v>
      </c>
      <c r="Q322" s="101">
        <v>0</v>
      </c>
      <c r="R322" s="101">
        <v>136099</v>
      </c>
      <c r="S322" s="101">
        <v>139453</v>
      </c>
      <c r="T322" s="101">
        <v>107597</v>
      </c>
      <c r="U322" s="101">
        <v>105733</v>
      </c>
      <c r="V322" s="101">
        <v>115183</v>
      </c>
      <c r="W322" s="101">
        <v>117113</v>
      </c>
      <c r="X322" s="149">
        <f t="shared" si="31"/>
        <v>0.76450231081786058</v>
      </c>
      <c r="Y322" s="184">
        <v>6.2300000000000001E-2</v>
      </c>
      <c r="Z322" s="253">
        <v>9</v>
      </c>
      <c r="AA322" s="149">
        <f t="shared" si="27"/>
        <v>-2.4643825450591114E-2</v>
      </c>
      <c r="AB322" s="149"/>
      <c r="AD322" s="101">
        <v>127420</v>
      </c>
      <c r="AE322" s="101">
        <v>120000</v>
      </c>
      <c r="AF322" s="101">
        <f t="shared" si="28"/>
        <v>7420</v>
      </c>
      <c r="AG322" s="101">
        <v>136099</v>
      </c>
      <c r="AH322" s="101">
        <v>139453</v>
      </c>
      <c r="AI322" s="101">
        <f t="shared" si="29"/>
        <v>-3354</v>
      </c>
    </row>
    <row r="323" spans="2:35" x14ac:dyDescent="0.25">
      <c r="B323" t="s">
        <v>277</v>
      </c>
      <c r="C323" s="101">
        <v>39754000</v>
      </c>
      <c r="D323" s="101">
        <f t="shared" ref="D323:D343" si="32">SUM(C323,-F323,-G323,-H323)</f>
        <v>38837955</v>
      </c>
      <c r="E323" s="101">
        <v>0</v>
      </c>
      <c r="F323" s="101">
        <v>0</v>
      </c>
      <c r="G323" s="101">
        <v>569408</v>
      </c>
      <c r="H323" s="101">
        <v>346637</v>
      </c>
      <c r="I323" s="101">
        <v>3500000</v>
      </c>
      <c r="K323" s="101">
        <v>177000</v>
      </c>
      <c r="L323" s="101">
        <f t="shared" ref="L323:L344" si="33">SUM(M323,-C323,-I323,-J323,-K323)</f>
        <v>330000</v>
      </c>
      <c r="M323" s="101">
        <v>43761000</v>
      </c>
      <c r="N323" s="101">
        <v>29</v>
      </c>
      <c r="O323" s="101">
        <v>682</v>
      </c>
      <c r="P323" s="101">
        <v>40</v>
      </c>
      <c r="Q323" s="101">
        <v>0</v>
      </c>
      <c r="R323" s="101">
        <v>67654</v>
      </c>
      <c r="S323" s="101">
        <v>67792</v>
      </c>
      <c r="T323" s="101">
        <v>54811</v>
      </c>
      <c r="U323" s="101">
        <v>55335</v>
      </c>
      <c r="V323" s="101">
        <v>59067</v>
      </c>
      <c r="W323" s="101">
        <v>62200</v>
      </c>
      <c r="X323" s="149">
        <f t="shared" si="31"/>
        <v>0.64683536819700238</v>
      </c>
      <c r="Y323" s="184">
        <v>5.1900000000000002E-2</v>
      </c>
      <c r="Z323" s="253">
        <v>6.5</v>
      </c>
      <c r="AA323" s="149">
        <f t="shared" ref="AA323:AA344" si="34">SUM(R323,-S323)/R323</f>
        <v>-2.0397906997368966E-3</v>
      </c>
      <c r="AB323" s="149"/>
      <c r="AD323" s="101">
        <v>67573</v>
      </c>
      <c r="AE323" s="101">
        <v>67616</v>
      </c>
      <c r="AF323" s="101">
        <f t="shared" ref="AF323:AF343" si="35">SUM(AD323,-AE323)</f>
        <v>-43</v>
      </c>
      <c r="AG323" s="101">
        <v>67654</v>
      </c>
      <c r="AH323" s="101">
        <v>67792</v>
      </c>
      <c r="AI323" s="101">
        <f t="shared" ref="AI323:AI344" si="36">SUM(AG323,-AH323)</f>
        <v>-138</v>
      </c>
    </row>
    <row r="324" spans="2:35" x14ac:dyDescent="0.25">
      <c r="B324" t="s">
        <v>232</v>
      </c>
      <c r="C324" s="101">
        <v>42347000</v>
      </c>
      <c r="D324" s="101">
        <f t="shared" si="32"/>
        <v>40810408</v>
      </c>
      <c r="E324" s="101">
        <v>0</v>
      </c>
      <c r="F324" s="101">
        <v>0</v>
      </c>
      <c r="G324" s="101">
        <v>1201333</v>
      </c>
      <c r="H324" s="101">
        <v>335259</v>
      </c>
      <c r="I324" s="101">
        <v>4474000</v>
      </c>
      <c r="K324" s="101">
        <v>134000</v>
      </c>
      <c r="L324" s="101">
        <f t="shared" si="33"/>
        <v>1922000</v>
      </c>
      <c r="M324" s="101">
        <v>48877000</v>
      </c>
      <c r="N324" s="101">
        <v>50</v>
      </c>
      <c r="O324" s="101">
        <v>735</v>
      </c>
      <c r="P324" s="101">
        <v>120</v>
      </c>
      <c r="Q324" s="101">
        <v>779</v>
      </c>
      <c r="R324" s="101">
        <v>66958</v>
      </c>
      <c r="S324" s="101">
        <v>67437</v>
      </c>
      <c r="T324" s="101">
        <v>56379</v>
      </c>
      <c r="U324" s="101">
        <v>57667</v>
      </c>
      <c r="V324" s="101">
        <v>60635</v>
      </c>
      <c r="W324" s="101">
        <v>60764</v>
      </c>
      <c r="X324" s="149">
        <f t="shared" si="31"/>
        <v>0.72996505271961531</v>
      </c>
      <c r="Y324" s="184">
        <v>4.9799999999999997E-2</v>
      </c>
      <c r="Z324" s="253">
        <v>8.5</v>
      </c>
      <c r="AA324" s="149">
        <f t="shared" si="34"/>
        <v>-7.1537381642223482E-3</v>
      </c>
      <c r="AB324" s="149"/>
      <c r="AD324" s="101">
        <v>65338</v>
      </c>
      <c r="AE324" s="101">
        <v>64878</v>
      </c>
      <c r="AF324" s="101">
        <f t="shared" si="35"/>
        <v>460</v>
      </c>
      <c r="AG324" s="101">
        <v>66958</v>
      </c>
      <c r="AH324" s="101">
        <v>67437</v>
      </c>
      <c r="AI324" s="101">
        <f t="shared" si="36"/>
        <v>-479</v>
      </c>
    </row>
    <row r="325" spans="2:35" x14ac:dyDescent="0.25">
      <c r="B325" t="s">
        <v>208</v>
      </c>
      <c r="C325" s="101">
        <v>73000000</v>
      </c>
      <c r="D325" s="101">
        <f t="shared" si="32"/>
        <v>66130179</v>
      </c>
      <c r="E325" s="101">
        <v>0</v>
      </c>
      <c r="F325" s="101">
        <v>0</v>
      </c>
      <c r="G325" s="101">
        <v>6237281</v>
      </c>
      <c r="H325" s="101">
        <v>632540</v>
      </c>
      <c r="I325" s="101">
        <v>9723000</v>
      </c>
      <c r="K325" s="101">
        <v>1095000</v>
      </c>
      <c r="L325" s="101">
        <f t="shared" si="33"/>
        <v>1399000</v>
      </c>
      <c r="M325" s="101">
        <v>85217000</v>
      </c>
      <c r="N325" s="101">
        <v>62</v>
      </c>
      <c r="O325" s="101">
        <v>749</v>
      </c>
      <c r="P325" s="101">
        <v>490</v>
      </c>
      <c r="Q325" s="101">
        <v>99</v>
      </c>
      <c r="R325" s="101">
        <v>124343</v>
      </c>
      <c r="S325" s="101">
        <v>127568</v>
      </c>
      <c r="T325" s="101">
        <v>93087</v>
      </c>
      <c r="U325" s="101">
        <v>93251</v>
      </c>
      <c r="V325" s="101">
        <v>96028</v>
      </c>
      <c r="W325" s="101">
        <v>96824</v>
      </c>
      <c r="X325" s="149">
        <f t="shared" si="31"/>
        <v>0.68533813724938275</v>
      </c>
      <c r="Y325" s="184">
        <v>3.78E-2</v>
      </c>
      <c r="Z325" s="253">
        <v>7.5</v>
      </c>
      <c r="AA325" s="149">
        <f t="shared" si="34"/>
        <v>-2.5936321304777913E-2</v>
      </c>
      <c r="AB325" s="149"/>
      <c r="AD325" s="101">
        <v>108076</v>
      </c>
      <c r="AE325" s="101">
        <v>108092</v>
      </c>
      <c r="AF325" s="101">
        <f t="shared" si="35"/>
        <v>-16</v>
      </c>
      <c r="AG325" s="101">
        <v>124343</v>
      </c>
      <c r="AH325" s="101">
        <v>127568</v>
      </c>
      <c r="AI325" s="101">
        <f t="shared" si="36"/>
        <v>-3225</v>
      </c>
    </row>
    <row r="326" spans="2:35" x14ac:dyDescent="0.25">
      <c r="B326" t="s">
        <v>396</v>
      </c>
      <c r="C326" s="101">
        <v>43704000</v>
      </c>
      <c r="D326" s="101">
        <f t="shared" si="32"/>
        <v>40903146</v>
      </c>
      <c r="E326" s="101">
        <v>0</v>
      </c>
      <c r="F326" s="101">
        <v>0</v>
      </c>
      <c r="G326" s="101">
        <v>2448657</v>
      </c>
      <c r="H326" s="101">
        <v>352197</v>
      </c>
      <c r="I326" s="101">
        <v>4496000</v>
      </c>
      <c r="K326" s="101">
        <v>449000</v>
      </c>
      <c r="L326" s="101">
        <f t="shared" si="33"/>
        <v>790000</v>
      </c>
      <c r="M326" s="101">
        <v>49439000</v>
      </c>
      <c r="N326" s="101">
        <v>24</v>
      </c>
      <c r="O326" s="101">
        <v>244</v>
      </c>
      <c r="P326" s="101">
        <v>61</v>
      </c>
      <c r="Q326" s="101">
        <v>1803</v>
      </c>
      <c r="R326" s="101">
        <v>67169</v>
      </c>
      <c r="S326" s="101">
        <v>66696</v>
      </c>
      <c r="T326" s="101">
        <v>53086</v>
      </c>
      <c r="U326" s="101">
        <v>52451</v>
      </c>
      <c r="V326" s="101">
        <v>58838</v>
      </c>
      <c r="W326" s="101">
        <v>58590</v>
      </c>
      <c r="X326" s="149">
        <f t="shared" si="31"/>
        <v>0.73603894653783741</v>
      </c>
      <c r="Y326" s="184">
        <v>6.0299999999999999E-2</v>
      </c>
      <c r="Z326" s="253">
        <v>9</v>
      </c>
      <c r="AA326" s="149">
        <f t="shared" si="34"/>
        <v>7.0419389897125161E-3</v>
      </c>
      <c r="AB326" s="149"/>
      <c r="AD326" s="101">
        <v>64115</v>
      </c>
      <c r="AE326" s="101">
        <v>61451</v>
      </c>
      <c r="AF326" s="101">
        <f t="shared" si="35"/>
        <v>2664</v>
      </c>
      <c r="AG326" s="101">
        <v>67169</v>
      </c>
      <c r="AH326" s="101">
        <v>66696</v>
      </c>
      <c r="AI326" s="101">
        <f t="shared" si="36"/>
        <v>473</v>
      </c>
    </row>
    <row r="327" spans="2:35" x14ac:dyDescent="0.25">
      <c r="B327" t="s">
        <v>233</v>
      </c>
      <c r="C327" s="101">
        <v>108785000</v>
      </c>
      <c r="D327" s="101">
        <f t="shared" si="32"/>
        <v>102299912</v>
      </c>
      <c r="E327" s="101">
        <v>0</v>
      </c>
      <c r="F327" s="101">
        <v>0</v>
      </c>
      <c r="G327" s="101">
        <v>5856121</v>
      </c>
      <c r="H327" s="101">
        <v>628967</v>
      </c>
      <c r="I327" s="101">
        <v>11036000</v>
      </c>
      <c r="K327" s="101">
        <v>791000</v>
      </c>
      <c r="L327" s="101">
        <f t="shared" si="33"/>
        <v>2214000</v>
      </c>
      <c r="M327" s="101">
        <v>122826000</v>
      </c>
      <c r="N327" s="101">
        <v>240</v>
      </c>
      <c r="O327" s="101">
        <v>2960</v>
      </c>
      <c r="P327" s="101">
        <v>156</v>
      </c>
      <c r="Q327" s="101">
        <v>7141</v>
      </c>
      <c r="R327" s="101">
        <v>191203</v>
      </c>
      <c r="S327" s="101">
        <v>193130</v>
      </c>
      <c r="T327" s="101">
        <v>156521</v>
      </c>
      <c r="U327" s="101">
        <v>155470</v>
      </c>
      <c r="V327" s="101">
        <v>166027</v>
      </c>
      <c r="W327" s="101">
        <v>162058</v>
      </c>
      <c r="X327" s="149">
        <f t="shared" si="31"/>
        <v>0.64238531822199441</v>
      </c>
      <c r="Y327" s="184">
        <v>2.4230000000000002E-2</v>
      </c>
      <c r="Z327" s="253">
        <v>6.5</v>
      </c>
      <c r="AA327" s="149">
        <f t="shared" si="34"/>
        <v>-1.0078293750621067E-2</v>
      </c>
      <c r="AB327" s="149"/>
      <c r="AD327" s="101">
        <v>181687</v>
      </c>
      <c r="AE327" s="101">
        <v>181198</v>
      </c>
      <c r="AF327" s="101">
        <f t="shared" si="35"/>
        <v>489</v>
      </c>
      <c r="AG327" s="101">
        <v>191203</v>
      </c>
      <c r="AH327" s="101">
        <v>193130</v>
      </c>
      <c r="AI327" s="101">
        <f t="shared" si="36"/>
        <v>-1927</v>
      </c>
    </row>
    <row r="328" spans="2:35" x14ac:dyDescent="0.25">
      <c r="B328" t="s">
        <v>278</v>
      </c>
      <c r="C328" s="101">
        <v>31961000</v>
      </c>
      <c r="D328" s="101">
        <f t="shared" si="32"/>
        <v>31492224</v>
      </c>
      <c r="E328" s="101">
        <v>0</v>
      </c>
      <c r="F328" s="101">
        <v>0</v>
      </c>
      <c r="G328" s="101">
        <v>96883</v>
      </c>
      <c r="H328" s="101">
        <v>371893</v>
      </c>
      <c r="I328" s="101">
        <v>3434000</v>
      </c>
      <c r="K328" s="101">
        <v>248000</v>
      </c>
      <c r="L328" s="101">
        <f t="shared" si="33"/>
        <v>1555000</v>
      </c>
      <c r="M328" s="101">
        <v>37198000</v>
      </c>
      <c r="N328" s="101">
        <v>58</v>
      </c>
      <c r="O328" s="101">
        <v>1337</v>
      </c>
      <c r="P328" s="101">
        <v>170</v>
      </c>
      <c r="Q328" s="101">
        <v>0</v>
      </c>
      <c r="R328" s="101">
        <v>50458</v>
      </c>
      <c r="S328" s="101">
        <v>53383</v>
      </c>
      <c r="T328" s="101">
        <v>39609</v>
      </c>
      <c r="U328" s="101">
        <v>39539</v>
      </c>
      <c r="V328" s="101">
        <v>45134</v>
      </c>
      <c r="W328" s="101">
        <v>42844</v>
      </c>
      <c r="X328" s="149">
        <f t="shared" si="31"/>
        <v>0.73720718221094772</v>
      </c>
      <c r="Y328" s="184">
        <v>3.8399999999999997E-2</v>
      </c>
      <c r="Z328" s="253">
        <v>9.5</v>
      </c>
      <c r="AA328" s="149">
        <f t="shared" si="34"/>
        <v>-5.796900392405565E-2</v>
      </c>
      <c r="AB328" s="149"/>
      <c r="AD328" s="101">
        <v>48709</v>
      </c>
      <c r="AE328" s="101">
        <v>47561</v>
      </c>
      <c r="AF328" s="101">
        <f t="shared" si="35"/>
        <v>1148</v>
      </c>
      <c r="AG328" s="101">
        <v>50458</v>
      </c>
      <c r="AH328" s="101">
        <v>53383</v>
      </c>
      <c r="AI328" s="101">
        <f t="shared" si="36"/>
        <v>-2925</v>
      </c>
    </row>
    <row r="329" spans="2:35" x14ac:dyDescent="0.25">
      <c r="B329" t="s">
        <v>234</v>
      </c>
      <c r="C329" s="101">
        <v>24282000</v>
      </c>
      <c r="D329" s="101">
        <f t="shared" si="32"/>
        <v>23526022</v>
      </c>
      <c r="E329" s="101">
        <v>0</v>
      </c>
      <c r="F329" s="101">
        <v>0</v>
      </c>
      <c r="G329" s="101">
        <v>477592</v>
      </c>
      <c r="H329" s="101">
        <v>278386</v>
      </c>
      <c r="I329" s="101">
        <v>1890000</v>
      </c>
      <c r="K329" s="101">
        <v>117000</v>
      </c>
      <c r="L329" s="101">
        <f t="shared" si="33"/>
        <v>4990000</v>
      </c>
      <c r="M329" s="101">
        <v>31279000</v>
      </c>
      <c r="N329" s="101">
        <v>8</v>
      </c>
      <c r="O329" s="101">
        <v>383</v>
      </c>
      <c r="P329" s="101">
        <v>47</v>
      </c>
      <c r="Q329" s="101">
        <v>7493</v>
      </c>
      <c r="R329" s="101">
        <v>47920</v>
      </c>
      <c r="S329" s="101">
        <v>46268</v>
      </c>
      <c r="T329" s="101">
        <v>34776</v>
      </c>
      <c r="U329" s="101">
        <v>34320</v>
      </c>
      <c r="V329" s="101">
        <v>35174</v>
      </c>
      <c r="W329" s="101">
        <v>38207</v>
      </c>
      <c r="X329" s="149">
        <f t="shared" si="31"/>
        <v>0.65273372287145237</v>
      </c>
      <c r="Y329" s="184">
        <v>9.2200000000000004E-2</v>
      </c>
      <c r="Z329" s="253">
        <v>7</v>
      </c>
      <c r="AA329" s="149">
        <f t="shared" si="34"/>
        <v>3.447412353923205E-2</v>
      </c>
      <c r="AB329" s="149"/>
      <c r="AD329" s="101">
        <v>45081</v>
      </c>
      <c r="AE329" s="101">
        <v>43702</v>
      </c>
      <c r="AF329" s="101">
        <f t="shared" si="35"/>
        <v>1379</v>
      </c>
      <c r="AG329" s="101">
        <v>47920</v>
      </c>
      <c r="AH329" s="101">
        <v>46268</v>
      </c>
      <c r="AI329" s="101">
        <f t="shared" si="36"/>
        <v>1652</v>
      </c>
    </row>
    <row r="330" spans="2:35" x14ac:dyDescent="0.25">
      <c r="B330" t="s">
        <v>279</v>
      </c>
      <c r="C330" s="101">
        <v>412411000</v>
      </c>
      <c r="D330" s="101">
        <f t="shared" si="32"/>
        <v>378635273</v>
      </c>
      <c r="E330" s="101">
        <v>0</v>
      </c>
      <c r="F330" s="101">
        <v>13070769</v>
      </c>
      <c r="G330" s="101">
        <v>9568235</v>
      </c>
      <c r="H330" s="101">
        <v>11136723</v>
      </c>
      <c r="I330" s="101">
        <v>62926000</v>
      </c>
      <c r="K330" s="101">
        <v>15045000</v>
      </c>
      <c r="L330" s="101">
        <f t="shared" si="33"/>
        <v>29055000</v>
      </c>
      <c r="M330" s="101">
        <v>519437000</v>
      </c>
      <c r="N330" s="101">
        <v>4145</v>
      </c>
      <c r="O330" s="101">
        <v>8055</v>
      </c>
      <c r="P330" s="101">
        <v>2161</v>
      </c>
      <c r="Q330" s="101">
        <v>40473</v>
      </c>
      <c r="R330" s="101">
        <v>732529</v>
      </c>
      <c r="S330" s="101">
        <v>741143</v>
      </c>
      <c r="T330" s="101">
        <v>573096</v>
      </c>
      <c r="U330" s="101">
        <v>566411</v>
      </c>
      <c r="V330" s="101">
        <v>650772</v>
      </c>
      <c r="W330" s="101">
        <v>647824</v>
      </c>
      <c r="X330" s="149">
        <f t="shared" si="31"/>
        <v>0.70910093661820894</v>
      </c>
      <c r="Y330" s="184">
        <v>4.7199999999999999E-2</v>
      </c>
      <c r="Z330" s="253">
        <v>6.5</v>
      </c>
      <c r="AA330" s="149">
        <f t="shared" si="34"/>
        <v>-1.1759261408080772E-2</v>
      </c>
      <c r="AB330" s="149"/>
      <c r="AD330" s="101">
        <v>694884</v>
      </c>
      <c r="AE330" s="101">
        <v>695519</v>
      </c>
      <c r="AF330" s="101">
        <f t="shared" si="35"/>
        <v>-635</v>
      </c>
      <c r="AG330" s="101">
        <v>732529</v>
      </c>
      <c r="AH330" s="101">
        <v>741143</v>
      </c>
      <c r="AI330" s="101">
        <f t="shared" si="36"/>
        <v>-8614</v>
      </c>
    </row>
    <row r="331" spans="2:35" x14ac:dyDescent="0.25">
      <c r="B331" t="s">
        <v>209</v>
      </c>
      <c r="C331" s="101">
        <v>62067000</v>
      </c>
      <c r="D331" s="101">
        <f t="shared" si="32"/>
        <v>58523935</v>
      </c>
      <c r="E331" s="101">
        <v>0</v>
      </c>
      <c r="F331" s="101">
        <v>0</v>
      </c>
      <c r="G331" s="101">
        <v>2977316</v>
      </c>
      <c r="H331" s="101">
        <v>565749</v>
      </c>
      <c r="I331" s="101">
        <v>6334000</v>
      </c>
      <c r="K331" s="101">
        <v>0</v>
      </c>
      <c r="L331" s="101">
        <f t="shared" si="33"/>
        <v>1022000</v>
      </c>
      <c r="M331" s="101">
        <v>69423000</v>
      </c>
      <c r="N331" s="101">
        <v>89</v>
      </c>
      <c r="O331" s="101">
        <v>1277</v>
      </c>
      <c r="P331" s="101">
        <v>7</v>
      </c>
      <c r="Q331" s="101">
        <v>2829</v>
      </c>
      <c r="R331" s="101">
        <v>103957</v>
      </c>
      <c r="S331" s="101">
        <v>104307</v>
      </c>
      <c r="T331" s="101">
        <v>87674</v>
      </c>
      <c r="U331" s="101">
        <v>85121</v>
      </c>
      <c r="V331" s="101">
        <v>94643</v>
      </c>
      <c r="W331" s="101">
        <v>91052</v>
      </c>
      <c r="X331" s="149">
        <f t="shared" si="31"/>
        <v>0.66780495781909832</v>
      </c>
      <c r="Y331" s="184">
        <v>3.5499999999999997E-2</v>
      </c>
      <c r="Z331" s="253">
        <v>9.5</v>
      </c>
      <c r="AA331" s="149">
        <f t="shared" si="34"/>
        <v>-3.3667766480371692E-3</v>
      </c>
      <c r="AB331" s="149"/>
      <c r="AD331" s="101">
        <v>95772</v>
      </c>
      <c r="AE331" s="101">
        <v>93688</v>
      </c>
      <c r="AF331" s="101">
        <f t="shared" si="35"/>
        <v>2084</v>
      </c>
      <c r="AG331" s="101">
        <v>103957</v>
      </c>
      <c r="AH331" s="101">
        <v>104307</v>
      </c>
      <c r="AI331" s="101">
        <f t="shared" si="36"/>
        <v>-350</v>
      </c>
    </row>
    <row r="332" spans="2:35" x14ac:dyDescent="0.25">
      <c r="B332" t="s">
        <v>280</v>
      </c>
      <c r="C332" s="101">
        <v>35782000</v>
      </c>
      <c r="D332" s="101">
        <f t="shared" si="32"/>
        <v>34677960</v>
      </c>
      <c r="E332" s="101">
        <v>0</v>
      </c>
      <c r="F332" s="101">
        <v>0</v>
      </c>
      <c r="G332" s="101">
        <v>743846</v>
      </c>
      <c r="H332" s="101">
        <v>360194</v>
      </c>
      <c r="I332" s="101">
        <v>6483000</v>
      </c>
      <c r="K332" s="101">
        <v>252000</v>
      </c>
      <c r="L332" s="101">
        <f t="shared" si="33"/>
        <v>441000</v>
      </c>
      <c r="M332" s="101">
        <v>42958000</v>
      </c>
      <c r="N332" s="101">
        <v>953</v>
      </c>
      <c r="O332" s="101">
        <v>1444</v>
      </c>
      <c r="P332" s="101">
        <v>230</v>
      </c>
      <c r="Q332" s="101">
        <v>1022</v>
      </c>
      <c r="R332" s="101">
        <v>75540</v>
      </c>
      <c r="S332" s="101">
        <v>77412</v>
      </c>
      <c r="T332" s="101">
        <v>60489</v>
      </c>
      <c r="U332" s="101">
        <v>62034</v>
      </c>
      <c r="V332" s="101">
        <v>66183</v>
      </c>
      <c r="W332" s="101">
        <v>67633</v>
      </c>
      <c r="X332" s="149">
        <f t="shared" si="31"/>
        <v>0.56867884564469151</v>
      </c>
      <c r="Y332" s="184">
        <v>3.3099999999999997E-2</v>
      </c>
      <c r="Z332" s="253">
        <v>8.5</v>
      </c>
      <c r="AA332" s="149">
        <f t="shared" si="34"/>
        <v>-2.4781572676727561E-2</v>
      </c>
      <c r="AB332" s="149"/>
      <c r="AD332" s="101">
        <v>72584</v>
      </c>
      <c r="AE332" s="101">
        <v>71427</v>
      </c>
      <c r="AF332" s="101">
        <f t="shared" si="35"/>
        <v>1157</v>
      </c>
      <c r="AG332" s="101">
        <v>75540</v>
      </c>
      <c r="AH332" s="101">
        <v>77412</v>
      </c>
      <c r="AI332" s="101">
        <f t="shared" si="36"/>
        <v>-1872</v>
      </c>
    </row>
    <row r="333" spans="2:35" x14ac:dyDescent="0.25">
      <c r="B333" t="s">
        <v>432</v>
      </c>
      <c r="C333" s="101">
        <v>42428000</v>
      </c>
      <c r="D333" s="101">
        <f t="shared" si="32"/>
        <v>41521924</v>
      </c>
      <c r="E333" s="101">
        <v>0</v>
      </c>
      <c r="F333" s="101">
        <v>0</v>
      </c>
      <c r="G333" s="101">
        <v>478825</v>
      </c>
      <c r="H333" s="101">
        <v>427251</v>
      </c>
      <c r="I333" s="101">
        <v>5374000</v>
      </c>
      <c r="K333" s="101">
        <v>539000</v>
      </c>
      <c r="L333" s="101">
        <f t="shared" si="33"/>
        <v>2600000</v>
      </c>
      <c r="M333" s="101">
        <v>50941000</v>
      </c>
      <c r="N333" s="101">
        <v>123</v>
      </c>
      <c r="O333" s="101">
        <v>742</v>
      </c>
      <c r="P333" s="101">
        <v>140</v>
      </c>
      <c r="Q333" s="101">
        <v>7960</v>
      </c>
      <c r="R333" s="101">
        <v>91893</v>
      </c>
      <c r="S333" s="101">
        <v>93709</v>
      </c>
      <c r="T333" s="101">
        <v>66466</v>
      </c>
      <c r="U333" s="101">
        <v>65818</v>
      </c>
      <c r="V333" s="101">
        <v>75448</v>
      </c>
      <c r="W333" s="101">
        <v>76172</v>
      </c>
      <c r="X333" s="149">
        <f t="shared" si="31"/>
        <v>0.55435125635249693</v>
      </c>
      <c r="Y333" s="184">
        <v>4.87E-2</v>
      </c>
      <c r="Z333" s="253">
        <v>8.5</v>
      </c>
      <c r="AA333" s="149">
        <f t="shared" si="34"/>
        <v>-1.976211463332354E-2</v>
      </c>
      <c r="AB333" s="149"/>
      <c r="AD333" s="101">
        <v>84672</v>
      </c>
      <c r="AE333" s="101">
        <v>85492</v>
      </c>
      <c r="AF333" s="101">
        <f t="shared" si="35"/>
        <v>-820</v>
      </c>
      <c r="AG333" s="101">
        <v>91893</v>
      </c>
      <c r="AH333" s="101">
        <v>93709</v>
      </c>
      <c r="AI333" s="101">
        <f t="shared" si="36"/>
        <v>-1816</v>
      </c>
    </row>
    <row r="334" spans="2:35" x14ac:dyDescent="0.25">
      <c r="B334" t="s">
        <v>235</v>
      </c>
      <c r="C334" s="101">
        <v>140975000</v>
      </c>
      <c r="D334" s="101">
        <f t="shared" si="32"/>
        <v>134112290</v>
      </c>
      <c r="E334" s="101">
        <v>0</v>
      </c>
      <c r="F334" s="101">
        <v>0</v>
      </c>
      <c r="G334" s="101">
        <v>5838569</v>
      </c>
      <c r="H334" s="101">
        <v>1024141</v>
      </c>
      <c r="I334" s="101">
        <v>22463000</v>
      </c>
      <c r="K334" s="101">
        <v>16000</v>
      </c>
      <c r="L334" s="101">
        <f t="shared" si="33"/>
        <v>4407000</v>
      </c>
      <c r="M334" s="101">
        <v>167861000</v>
      </c>
      <c r="N334" s="101">
        <v>360</v>
      </c>
      <c r="O334" s="101">
        <v>3192</v>
      </c>
      <c r="P334" s="101">
        <v>201</v>
      </c>
      <c r="Q334" s="101">
        <v>0</v>
      </c>
      <c r="R334" s="101">
        <v>220495</v>
      </c>
      <c r="S334" s="101">
        <v>222819</v>
      </c>
      <c r="T334" s="101">
        <v>171645</v>
      </c>
      <c r="U334" s="101">
        <v>172036</v>
      </c>
      <c r="V334" s="101">
        <v>191035</v>
      </c>
      <c r="W334" s="101">
        <v>188742</v>
      </c>
      <c r="X334" s="149">
        <f t="shared" si="31"/>
        <v>0.76129163926619647</v>
      </c>
      <c r="Y334" s="184">
        <v>4.6800000000000001E-2</v>
      </c>
      <c r="Z334" s="253">
        <v>5.5</v>
      </c>
      <c r="AA334" s="149">
        <f t="shared" si="34"/>
        <v>-1.0539921540170978E-2</v>
      </c>
      <c r="AB334" s="149"/>
      <c r="AD334" s="101">
        <v>208464</v>
      </c>
      <c r="AE334" s="101">
        <v>204311</v>
      </c>
      <c r="AF334" s="101">
        <f t="shared" si="35"/>
        <v>4153</v>
      </c>
      <c r="AG334" s="101">
        <v>220495</v>
      </c>
      <c r="AH334" s="101">
        <v>222819</v>
      </c>
      <c r="AI334" s="101">
        <f t="shared" si="36"/>
        <v>-2324</v>
      </c>
    </row>
    <row r="335" spans="2:35" x14ac:dyDescent="0.25">
      <c r="B335" t="s">
        <v>210</v>
      </c>
      <c r="C335" s="101">
        <v>102188000</v>
      </c>
      <c r="D335" s="101">
        <f t="shared" si="32"/>
        <v>96611143</v>
      </c>
      <c r="E335" s="101">
        <v>0</v>
      </c>
      <c r="F335" s="101">
        <v>0</v>
      </c>
      <c r="G335" s="101">
        <v>4943167</v>
      </c>
      <c r="H335" s="101">
        <v>633690</v>
      </c>
      <c r="I335" s="101">
        <v>12634000</v>
      </c>
      <c r="K335" s="101">
        <v>1156000</v>
      </c>
      <c r="L335" s="101">
        <f t="shared" si="33"/>
        <v>2281000</v>
      </c>
      <c r="M335" s="101">
        <v>118259000</v>
      </c>
      <c r="N335" s="101">
        <v>118</v>
      </c>
      <c r="O335" s="101">
        <v>2083</v>
      </c>
      <c r="P335" s="101">
        <v>793</v>
      </c>
      <c r="Q335" s="101">
        <v>-1231</v>
      </c>
      <c r="R335" s="101">
        <v>177303</v>
      </c>
      <c r="S335" s="101">
        <v>181459</v>
      </c>
      <c r="T335" s="101">
        <v>151681</v>
      </c>
      <c r="U335" s="101">
        <v>154963</v>
      </c>
      <c r="V335" s="101">
        <v>155177</v>
      </c>
      <c r="W335" s="101">
        <v>165572</v>
      </c>
      <c r="X335" s="149">
        <f t="shared" si="31"/>
        <v>0.6669881502287045</v>
      </c>
      <c r="Y335" s="184">
        <v>6.3E-2</v>
      </c>
      <c r="Z335" s="253">
        <v>5.5</v>
      </c>
      <c r="AA335" s="149">
        <f t="shared" si="34"/>
        <v>-2.3440099716304858E-2</v>
      </c>
      <c r="AB335" s="149"/>
      <c r="AD335" s="101">
        <v>160033</v>
      </c>
      <c r="AE335" s="101">
        <v>163437</v>
      </c>
      <c r="AF335" s="101">
        <f t="shared" si="35"/>
        <v>-3404</v>
      </c>
      <c r="AG335" s="101">
        <v>177303</v>
      </c>
      <c r="AH335" s="101">
        <v>181459</v>
      </c>
      <c r="AI335" s="101">
        <f t="shared" si="36"/>
        <v>-4156</v>
      </c>
    </row>
    <row r="336" spans="2:35" x14ac:dyDescent="0.25">
      <c r="B336" t="s">
        <v>324</v>
      </c>
      <c r="C336" s="101">
        <v>297434000</v>
      </c>
      <c r="D336" s="101">
        <f t="shared" si="32"/>
        <v>286539032</v>
      </c>
      <c r="E336" s="101">
        <v>0</v>
      </c>
      <c r="F336" s="101">
        <v>0</v>
      </c>
      <c r="G336" s="101">
        <v>8507852</v>
      </c>
      <c r="H336" s="101">
        <v>2387116</v>
      </c>
      <c r="I336" s="101">
        <v>51651000</v>
      </c>
      <c r="K336" s="101">
        <v>6680000</v>
      </c>
      <c r="L336" s="101">
        <f t="shared" si="33"/>
        <v>10208000</v>
      </c>
      <c r="M336" s="101">
        <v>365973000</v>
      </c>
      <c r="N336" s="101">
        <v>2631</v>
      </c>
      <c r="O336" s="101">
        <v>11262</v>
      </c>
      <c r="P336" s="101">
        <v>270</v>
      </c>
      <c r="Q336" s="101">
        <v>11137</v>
      </c>
      <c r="R336" s="101">
        <v>497946</v>
      </c>
      <c r="S336" s="101">
        <v>548961</v>
      </c>
      <c r="T336" s="101">
        <v>403762</v>
      </c>
      <c r="U336" s="101">
        <v>405302</v>
      </c>
      <c r="V336" s="101">
        <v>433478</v>
      </c>
      <c r="W336" s="101">
        <v>435395</v>
      </c>
      <c r="X336" s="149">
        <f t="shared" si="31"/>
        <v>0.73496523719439455</v>
      </c>
      <c r="Y336" s="184">
        <v>5.16E-2</v>
      </c>
      <c r="Z336" s="253">
        <v>7</v>
      </c>
      <c r="AA336" s="149">
        <f t="shared" si="34"/>
        <v>-0.10245086816642769</v>
      </c>
      <c r="AB336" s="149"/>
      <c r="AD336" s="101">
        <v>471277</v>
      </c>
      <c r="AE336" s="101">
        <v>486762</v>
      </c>
      <c r="AF336" s="101">
        <f t="shared" si="35"/>
        <v>-15485</v>
      </c>
      <c r="AG336" s="101">
        <v>497946</v>
      </c>
      <c r="AH336" s="101">
        <v>548961</v>
      </c>
      <c r="AI336" s="101">
        <f t="shared" si="36"/>
        <v>-51015</v>
      </c>
    </row>
    <row r="337" spans="2:35" x14ac:dyDescent="0.25">
      <c r="B337" t="s">
        <v>325</v>
      </c>
      <c r="C337" s="101">
        <v>17974000</v>
      </c>
      <c r="D337" s="101">
        <f t="shared" si="32"/>
        <v>17688826</v>
      </c>
      <c r="E337" s="101">
        <v>0</v>
      </c>
      <c r="F337" s="101">
        <v>0</v>
      </c>
      <c r="G337" s="101">
        <v>29603</v>
      </c>
      <c r="H337" s="101">
        <v>255571</v>
      </c>
      <c r="I337" s="101">
        <v>849000</v>
      </c>
      <c r="K337" s="101">
        <v>76000</v>
      </c>
      <c r="L337" s="101">
        <f t="shared" si="33"/>
        <v>2147000</v>
      </c>
      <c r="M337" s="101">
        <v>21046000</v>
      </c>
      <c r="N337" s="101">
        <v>0</v>
      </c>
      <c r="O337" s="101">
        <v>217</v>
      </c>
      <c r="P337" s="101">
        <v>210</v>
      </c>
      <c r="Q337" s="101">
        <v>0</v>
      </c>
      <c r="R337" s="101">
        <v>31219</v>
      </c>
      <c r="S337" s="101">
        <v>31097</v>
      </c>
      <c r="T337" s="101">
        <v>23593</v>
      </c>
      <c r="U337" s="101">
        <v>24715</v>
      </c>
      <c r="V337" s="101">
        <v>24741</v>
      </c>
      <c r="W337" s="101">
        <v>26105</v>
      </c>
      <c r="X337" s="149">
        <f t="shared" si="31"/>
        <v>0.67414074762164067</v>
      </c>
      <c r="Y337" s="184">
        <v>5.1299999999999998E-2</v>
      </c>
      <c r="Z337" s="253">
        <v>5.5</v>
      </c>
      <c r="AA337" s="149">
        <f t="shared" si="34"/>
        <v>3.9078766136006922E-3</v>
      </c>
      <c r="AB337" s="149"/>
      <c r="AD337" s="101">
        <v>27550</v>
      </c>
      <c r="AE337" s="101">
        <v>28246</v>
      </c>
      <c r="AF337" s="101">
        <f t="shared" si="35"/>
        <v>-696</v>
      </c>
      <c r="AG337" s="101">
        <v>31219</v>
      </c>
      <c r="AH337" s="101">
        <v>31097</v>
      </c>
      <c r="AI337" s="101">
        <f t="shared" si="36"/>
        <v>122</v>
      </c>
    </row>
    <row r="338" spans="2:35" x14ac:dyDescent="0.25">
      <c r="B338" t="s">
        <v>326</v>
      </c>
      <c r="C338" s="101">
        <v>85545000</v>
      </c>
      <c r="D338" s="101">
        <f t="shared" si="32"/>
        <v>82661813</v>
      </c>
      <c r="E338" s="101">
        <v>0</v>
      </c>
      <c r="F338" s="101">
        <v>0</v>
      </c>
      <c r="G338" s="101">
        <v>2013135</v>
      </c>
      <c r="H338" s="101">
        <v>870052</v>
      </c>
      <c r="I338" s="101">
        <v>9456000</v>
      </c>
      <c r="K338" s="101">
        <v>503000</v>
      </c>
      <c r="L338" s="101">
        <f t="shared" si="33"/>
        <v>1739000</v>
      </c>
      <c r="M338" s="101">
        <v>97243000</v>
      </c>
      <c r="N338" s="101">
        <v>412</v>
      </c>
      <c r="O338" s="101">
        <v>3351</v>
      </c>
      <c r="P338" s="101">
        <v>230</v>
      </c>
      <c r="Q338" s="101">
        <v>143191</v>
      </c>
      <c r="R338" s="101">
        <v>281021</v>
      </c>
      <c r="S338" s="101">
        <v>280242</v>
      </c>
      <c r="T338" s="101">
        <v>124204</v>
      </c>
      <c r="U338" s="101">
        <v>126739</v>
      </c>
      <c r="V338" s="101">
        <v>134688</v>
      </c>
      <c r="W338" s="101">
        <v>136943</v>
      </c>
      <c r="X338" s="149">
        <f t="shared" si="31"/>
        <v>0.34603463798079148</v>
      </c>
      <c r="Y338" s="184">
        <v>5.16E-2</v>
      </c>
      <c r="Z338" s="253">
        <v>7</v>
      </c>
      <c r="AA338" s="149">
        <f t="shared" si="34"/>
        <v>2.7720348301372493E-3</v>
      </c>
      <c r="AB338" s="149"/>
      <c r="AD338" s="101">
        <v>146989</v>
      </c>
      <c r="AE338" s="101">
        <v>147939</v>
      </c>
      <c r="AF338" s="101">
        <f t="shared" si="35"/>
        <v>-950</v>
      </c>
      <c r="AG338" s="101">
        <v>281021</v>
      </c>
      <c r="AH338" s="101">
        <v>280242</v>
      </c>
      <c r="AI338" s="101">
        <f t="shared" si="36"/>
        <v>779</v>
      </c>
    </row>
    <row r="339" spans="2:35" x14ac:dyDescent="0.25">
      <c r="B339" t="s">
        <v>397</v>
      </c>
      <c r="C339" s="101">
        <v>42754000</v>
      </c>
      <c r="D339" s="101">
        <f t="shared" si="32"/>
        <v>40356147</v>
      </c>
      <c r="E339" s="101">
        <v>0</v>
      </c>
      <c r="F339" s="101">
        <v>0</v>
      </c>
      <c r="G339" s="101">
        <v>2061816</v>
      </c>
      <c r="H339" s="101">
        <v>336037</v>
      </c>
      <c r="I339" s="101">
        <v>3914000</v>
      </c>
      <c r="K339" s="101">
        <v>203000</v>
      </c>
      <c r="L339" s="101">
        <f t="shared" si="33"/>
        <v>3440000</v>
      </c>
      <c r="M339" s="101">
        <v>50311000</v>
      </c>
      <c r="N339" s="101">
        <v>29</v>
      </c>
      <c r="O339" s="101">
        <v>476</v>
      </c>
      <c r="P339" s="101">
        <v>195</v>
      </c>
      <c r="Q339" s="101">
        <v>0</v>
      </c>
      <c r="R339" s="101">
        <v>69440</v>
      </c>
      <c r="S339" s="101">
        <v>68432</v>
      </c>
      <c r="T339" s="101">
        <v>53388</v>
      </c>
      <c r="U339" s="101">
        <v>52600</v>
      </c>
      <c r="V339" s="101">
        <v>59035</v>
      </c>
      <c r="W339" s="101">
        <v>60306</v>
      </c>
      <c r="X339" s="149">
        <f t="shared" si="31"/>
        <v>0.72452476958525347</v>
      </c>
      <c r="Y339" s="184">
        <v>5.67E-2</v>
      </c>
      <c r="Z339" s="253">
        <v>7.5</v>
      </c>
      <c r="AA339" s="149">
        <f t="shared" si="34"/>
        <v>1.4516129032258065E-2</v>
      </c>
      <c r="AB339" s="149"/>
      <c r="AD339" s="101">
        <v>66572</v>
      </c>
      <c r="AE339" s="101">
        <v>66241</v>
      </c>
      <c r="AF339" s="101">
        <f t="shared" si="35"/>
        <v>331</v>
      </c>
      <c r="AG339" s="101">
        <v>69440</v>
      </c>
      <c r="AH339" s="101">
        <v>68432</v>
      </c>
      <c r="AI339" s="101">
        <f t="shared" si="36"/>
        <v>1008</v>
      </c>
    </row>
    <row r="340" spans="2:35" x14ac:dyDescent="0.25">
      <c r="B340" t="s">
        <v>211</v>
      </c>
      <c r="C340" s="101">
        <v>133744000</v>
      </c>
      <c r="D340" s="101">
        <f t="shared" si="32"/>
        <v>122409006</v>
      </c>
      <c r="E340" s="101">
        <v>0</v>
      </c>
      <c r="F340" s="101">
        <v>0</v>
      </c>
      <c r="G340" s="101">
        <v>10567003</v>
      </c>
      <c r="H340" s="101">
        <v>767991</v>
      </c>
      <c r="I340" s="101">
        <v>22757000</v>
      </c>
      <c r="K340" s="101">
        <v>1577000</v>
      </c>
      <c r="L340" s="101">
        <f t="shared" si="33"/>
        <v>1560000</v>
      </c>
      <c r="M340" s="101">
        <v>159638000</v>
      </c>
      <c r="N340" s="101">
        <v>922</v>
      </c>
      <c r="O340" s="101">
        <v>3349</v>
      </c>
      <c r="P340" s="101">
        <v>645</v>
      </c>
      <c r="Q340" s="101">
        <v>4298</v>
      </c>
      <c r="R340" s="101">
        <v>215010</v>
      </c>
      <c r="S340" s="101">
        <v>223725</v>
      </c>
      <c r="T340" s="101">
        <v>180866</v>
      </c>
      <c r="U340" s="101">
        <v>180483</v>
      </c>
      <c r="V340" s="101">
        <v>194935</v>
      </c>
      <c r="W340" s="101">
        <v>195692</v>
      </c>
      <c r="X340" s="149">
        <f t="shared" si="31"/>
        <v>0.7424677921957118</v>
      </c>
      <c r="Y340" s="184">
        <v>4.5199999999999997E-2</v>
      </c>
      <c r="Z340" s="253">
        <v>9</v>
      </c>
      <c r="AA340" s="149">
        <f t="shared" si="34"/>
        <v>-4.0532998465187667E-2</v>
      </c>
      <c r="AB340" s="149"/>
      <c r="AD340" s="101">
        <v>204747</v>
      </c>
      <c r="AE340" s="101">
        <v>203945</v>
      </c>
      <c r="AF340" s="101">
        <f t="shared" si="35"/>
        <v>802</v>
      </c>
      <c r="AG340" s="101">
        <v>215010</v>
      </c>
      <c r="AH340" s="101">
        <v>223725</v>
      </c>
      <c r="AI340" s="101">
        <f t="shared" si="36"/>
        <v>-8715</v>
      </c>
    </row>
    <row r="341" spans="2:35" x14ac:dyDescent="0.25">
      <c r="B341" t="s">
        <v>161</v>
      </c>
      <c r="C341" s="101">
        <v>45064000</v>
      </c>
      <c r="D341" s="101">
        <f t="shared" si="32"/>
        <v>43378071</v>
      </c>
      <c r="E341" s="101">
        <v>0</v>
      </c>
      <c r="F341" s="101">
        <v>0</v>
      </c>
      <c r="G341" s="101">
        <v>1076446</v>
      </c>
      <c r="H341" s="101">
        <v>609483</v>
      </c>
      <c r="I341" s="101">
        <v>4111000</v>
      </c>
      <c r="K341" s="101">
        <v>117000</v>
      </c>
      <c r="L341" s="101">
        <f t="shared" si="33"/>
        <v>1377000</v>
      </c>
      <c r="M341" s="101">
        <v>50669000</v>
      </c>
      <c r="N341" s="101">
        <v>418</v>
      </c>
      <c r="O341" s="101">
        <v>649</v>
      </c>
      <c r="P341" s="101">
        <v>325</v>
      </c>
      <c r="Q341" s="101">
        <v>2831</v>
      </c>
      <c r="R341" s="101">
        <v>78676</v>
      </c>
      <c r="S341" s="101">
        <v>79467</v>
      </c>
      <c r="T341" s="101">
        <v>61625</v>
      </c>
      <c r="U341" s="101">
        <v>59402</v>
      </c>
      <c r="V341" s="101">
        <v>65790</v>
      </c>
      <c r="W341" s="101">
        <v>68011</v>
      </c>
      <c r="X341" s="149">
        <f t="shared" si="31"/>
        <v>0.64402104835019569</v>
      </c>
      <c r="Y341" s="184">
        <v>4.5199999999999997E-2</v>
      </c>
      <c r="Z341" s="253">
        <v>9</v>
      </c>
      <c r="AA341" s="149">
        <f t="shared" si="34"/>
        <v>-1.0053891911129188E-2</v>
      </c>
      <c r="AB341" s="149"/>
      <c r="AD341" s="101">
        <v>74751</v>
      </c>
      <c r="AE341" s="101">
        <v>75257</v>
      </c>
      <c r="AF341" s="101">
        <f t="shared" si="35"/>
        <v>-506</v>
      </c>
      <c r="AG341" s="101">
        <v>78676</v>
      </c>
      <c r="AH341" s="101">
        <v>79467</v>
      </c>
      <c r="AI341" s="101">
        <f t="shared" si="36"/>
        <v>-791</v>
      </c>
    </row>
    <row r="342" spans="2:35" x14ac:dyDescent="0.25">
      <c r="B342" t="s">
        <v>327</v>
      </c>
      <c r="C342" s="101">
        <v>109161000</v>
      </c>
      <c r="D342" s="101">
        <f t="shared" si="32"/>
        <v>104666111</v>
      </c>
      <c r="E342" s="101">
        <v>0</v>
      </c>
      <c r="F342" s="101">
        <v>0</v>
      </c>
      <c r="G342" s="101">
        <v>3633969</v>
      </c>
      <c r="H342" s="101">
        <v>860920</v>
      </c>
      <c r="I342" s="101">
        <v>20310000</v>
      </c>
      <c r="K342" s="101">
        <v>450000</v>
      </c>
      <c r="L342" s="101">
        <f t="shared" si="33"/>
        <v>2423000</v>
      </c>
      <c r="M342" s="101">
        <v>132344000</v>
      </c>
      <c r="N342" s="101">
        <v>1153</v>
      </c>
      <c r="O342" s="101">
        <v>2172</v>
      </c>
      <c r="P342" s="101">
        <v>179</v>
      </c>
      <c r="Q342" s="101">
        <v>18735</v>
      </c>
      <c r="R342" s="101">
        <v>192121</v>
      </c>
      <c r="S342" s="101">
        <v>195464</v>
      </c>
      <c r="T342" s="101">
        <v>149355</v>
      </c>
      <c r="U342" s="101">
        <v>151155</v>
      </c>
      <c r="V342" s="101">
        <v>156126</v>
      </c>
      <c r="W342" s="101">
        <v>162626</v>
      </c>
      <c r="X342" s="149">
        <f t="shared" si="31"/>
        <v>0.68885754290264989</v>
      </c>
      <c r="Y342" s="184">
        <v>5.9400000000000001E-2</v>
      </c>
      <c r="Z342" s="253">
        <v>8</v>
      </c>
      <c r="AA342" s="149">
        <f t="shared" si="34"/>
        <v>-1.7400492398019999E-2</v>
      </c>
      <c r="AB342" s="149"/>
      <c r="AD342" s="101">
        <v>173233</v>
      </c>
      <c r="AE342" s="101">
        <v>178309</v>
      </c>
      <c r="AF342" s="101">
        <f t="shared" si="35"/>
        <v>-5076</v>
      </c>
      <c r="AG342" s="101">
        <v>192121</v>
      </c>
      <c r="AH342" s="101">
        <v>195464</v>
      </c>
      <c r="AI342" s="101">
        <f t="shared" si="36"/>
        <v>-3343</v>
      </c>
    </row>
    <row r="343" spans="2:35" x14ac:dyDescent="0.25">
      <c r="B343" t="s">
        <v>162</v>
      </c>
      <c r="C343" s="101">
        <v>427414000</v>
      </c>
      <c r="D343" s="101">
        <f t="shared" si="32"/>
        <v>318149497</v>
      </c>
      <c r="E343" s="101">
        <v>0</v>
      </c>
      <c r="F343" s="101">
        <v>73075428</v>
      </c>
      <c r="G343" s="101">
        <v>14274728</v>
      </c>
      <c r="H343" s="101">
        <v>21914347</v>
      </c>
      <c r="I343" s="101">
        <v>52809000</v>
      </c>
      <c r="K343" s="101">
        <v>6032000</v>
      </c>
      <c r="L343" s="101">
        <f t="shared" si="33"/>
        <v>6985000</v>
      </c>
      <c r="M343" s="101">
        <v>493240000</v>
      </c>
      <c r="N343" s="101">
        <v>992</v>
      </c>
      <c r="O343" s="101">
        <v>16166</v>
      </c>
      <c r="P343" s="101">
        <v>1214</v>
      </c>
      <c r="Q343" s="101">
        <v>115257</v>
      </c>
      <c r="R343" s="101">
        <v>768840</v>
      </c>
      <c r="S343" s="101">
        <v>759375</v>
      </c>
      <c r="T343" s="101">
        <v>606287</v>
      </c>
      <c r="U343" s="101">
        <v>610875</v>
      </c>
      <c r="V343" s="101">
        <v>657434</v>
      </c>
      <c r="W343" s="101">
        <v>660107</v>
      </c>
      <c r="X343" s="149">
        <f t="shared" si="31"/>
        <v>0.64153790125383692</v>
      </c>
      <c r="Y343" s="184">
        <v>6.25E-2</v>
      </c>
      <c r="Z343" s="253">
        <v>6.5</v>
      </c>
      <c r="AA343" s="149">
        <f t="shared" si="34"/>
        <v>1.2310753862962385E-2</v>
      </c>
      <c r="AB343" s="149"/>
      <c r="AD343" s="101">
        <v>724657</v>
      </c>
      <c r="AE343" s="101">
        <v>722960</v>
      </c>
      <c r="AF343" s="101">
        <f t="shared" si="35"/>
        <v>1697</v>
      </c>
      <c r="AG343" s="101">
        <v>768840</v>
      </c>
      <c r="AH343" s="101">
        <v>759375</v>
      </c>
      <c r="AI343" s="101">
        <f t="shared" si="36"/>
        <v>9465</v>
      </c>
    </row>
    <row r="344" spans="2:35" x14ac:dyDescent="0.25">
      <c r="B344" t="s">
        <v>440</v>
      </c>
      <c r="C344" s="101">
        <v>44387718000</v>
      </c>
      <c r="D344" s="101">
        <f>SUM(D2:D343)</f>
        <v>39930395633.731377</v>
      </c>
      <c r="E344" s="101">
        <f t="shared" ref="E344" si="37">SUM(E2:E343)</f>
        <v>0</v>
      </c>
      <c r="F344" s="101">
        <f>SUM(F2:F343)</f>
        <v>1745850000</v>
      </c>
      <c r="G344" s="101">
        <f>SUM(G2:G343)</f>
        <v>1959386008</v>
      </c>
      <c r="H344" s="101">
        <f>SUM(H2:H343)</f>
        <v>1036354990</v>
      </c>
      <c r="I344" s="101">
        <f>SUM(I2:I343)</f>
        <v>6956128000</v>
      </c>
      <c r="K344" s="101">
        <v>729235000</v>
      </c>
      <c r="L344" s="101">
        <f t="shared" si="33"/>
        <v>2262959000</v>
      </c>
      <c r="M344" s="101">
        <v>54336040000</v>
      </c>
      <c r="N344" s="101">
        <v>226872</v>
      </c>
      <c r="O344" s="101">
        <v>1179903</v>
      </c>
      <c r="P344" s="101">
        <f t="shared" ref="P344" si="38">SUM(P2:P343)</f>
        <v>349383</v>
      </c>
      <c r="Q344" s="101">
        <v>3404986</v>
      </c>
      <c r="R344" s="101">
        <v>78560379</v>
      </c>
      <c r="S344" s="101">
        <v>79513837</v>
      </c>
      <c r="T344" s="101">
        <f>SUM(T2:T343)</f>
        <v>62255962</v>
      </c>
      <c r="U344" s="101">
        <f>SUM(U2:U343)</f>
        <v>63078682</v>
      </c>
      <c r="V344" s="101">
        <v>67984000</v>
      </c>
      <c r="W344" s="101">
        <v>68356614</v>
      </c>
      <c r="X344" s="149">
        <f t="shared" si="31"/>
        <v>0.69164686692766597</v>
      </c>
      <c r="Y344" s="184">
        <v>5.0999999999999997E-2</v>
      </c>
      <c r="Z344" s="253">
        <v>7.5</v>
      </c>
      <c r="AA344" s="149">
        <f t="shared" si="34"/>
        <v>-1.2136626784858051E-2</v>
      </c>
      <c r="AB344" s="149"/>
      <c r="AD344" s="101">
        <v>73794617</v>
      </c>
      <c r="AE344" s="101">
        <v>74308152</v>
      </c>
      <c r="AF344" s="101">
        <f>SUM(AF2:AF343)</f>
        <v>-695667</v>
      </c>
      <c r="AG344" s="101">
        <v>78560379</v>
      </c>
      <c r="AH344" s="101">
        <v>79513837</v>
      </c>
      <c r="AI344" s="101">
        <f t="shared" si="36"/>
        <v>-953458</v>
      </c>
    </row>
    <row r="345" spans="2:35" x14ac:dyDescent="0.25">
      <c r="I345" s="101"/>
      <c r="L345" s="101"/>
    </row>
    <row r="346" spans="2:35" x14ac:dyDescent="0.25">
      <c r="I346" s="101"/>
      <c r="L346" s="101"/>
      <c r="Y346" s="102"/>
      <c r="Z346" s="102"/>
    </row>
    <row r="347" spans="2:35" x14ac:dyDescent="0.25">
      <c r="I347" s="101"/>
      <c r="L347" s="101"/>
    </row>
    <row r="348" spans="2:35" x14ac:dyDescent="0.25">
      <c r="I348" s="101"/>
      <c r="L348" s="101"/>
    </row>
    <row r="349" spans="2:35" x14ac:dyDescent="0.25">
      <c r="I349" s="101"/>
      <c r="L349" s="101"/>
    </row>
    <row r="350" spans="2:35" x14ac:dyDescent="0.25">
      <c r="I350" s="101"/>
      <c r="L350" s="101"/>
    </row>
    <row r="351" spans="2:35" x14ac:dyDescent="0.25">
      <c r="I351" s="101"/>
      <c r="L351" s="101"/>
    </row>
    <row r="352" spans="2:35" x14ac:dyDescent="0.25">
      <c r="I352" s="101"/>
      <c r="L352" s="101"/>
    </row>
    <row r="353" spans="9:12" x14ac:dyDescent="0.25">
      <c r="L353" s="101"/>
    </row>
    <row r="354" spans="9:12" x14ac:dyDescent="0.25">
      <c r="I354" s="101"/>
      <c r="L354" s="101"/>
    </row>
    <row r="357" spans="9:12" x14ac:dyDescent="0.25">
      <c r="J357" s="101"/>
    </row>
    <row r="358" spans="9:12" x14ac:dyDescent="0.25">
      <c r="I358" s="101"/>
    </row>
    <row r="359" spans="9:12" x14ac:dyDescent="0.25">
      <c r="I359" s="101"/>
    </row>
    <row r="360" spans="9:12" x14ac:dyDescent="0.25">
      <c r="I360" s="101"/>
    </row>
    <row r="363" spans="9:12" x14ac:dyDescent="0.25">
      <c r="I363" s="101"/>
    </row>
    <row r="364" spans="9:12" x14ac:dyDescent="0.25">
      <c r="L364" s="101"/>
    </row>
    <row r="365" spans="9:12" x14ac:dyDescent="0.25">
      <c r="I365" s="101"/>
      <c r="L365" s="101"/>
    </row>
    <row r="366" spans="9:12" x14ac:dyDescent="0.25">
      <c r="I366" s="101"/>
      <c r="L366" s="101"/>
    </row>
    <row r="367" spans="9:12" x14ac:dyDescent="0.25">
      <c r="L367" s="101"/>
    </row>
    <row r="368" spans="9:12" x14ac:dyDescent="0.25">
      <c r="I368" s="101"/>
      <c r="L368" s="101"/>
    </row>
    <row r="369" spans="9:12" x14ac:dyDescent="0.25">
      <c r="I369" s="101"/>
    </row>
    <row r="370" spans="9:12" x14ac:dyDescent="0.25">
      <c r="L370" s="101"/>
    </row>
    <row r="371" spans="9:12" x14ac:dyDescent="0.25">
      <c r="I371" s="101"/>
      <c r="L371" s="101"/>
    </row>
    <row r="372" spans="9:12" x14ac:dyDescent="0.25">
      <c r="I372" s="101"/>
    </row>
    <row r="373" spans="9:12" x14ac:dyDescent="0.25">
      <c r="L373" s="101"/>
    </row>
    <row r="374" spans="9:12" x14ac:dyDescent="0.25">
      <c r="I374" s="101"/>
      <c r="L374" s="101"/>
    </row>
    <row r="375" spans="9:12" x14ac:dyDescent="0.25">
      <c r="I375" s="101"/>
    </row>
  </sheetData>
  <sheetProtection algorithmName="SHA-512" hashValue="H2BWJPeqwpwugS96oKnS1d7CgBXYyehZMTzlwHyPEwetC4RInmRm1Jvt/JKxdQOXvDNonQnTPuW2zIHBJtyi3A==" saltValue="WeDvgtIin8y1QXCdbQUfeA==" spinCount="100000" sheet="1" objects="1" scenarios="1"/>
  <sortState xmlns:xlrd2="http://schemas.microsoft.com/office/spreadsheetml/2017/richdata2" ref="AB2:AC343">
    <sortCondition ref="AB2:AB343"/>
  </sortState>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ABF2-861E-43C5-A6AE-FEDE3D4CCB1C}">
  <sheetPr codeName="Blad9"/>
  <dimension ref="A1:S390"/>
  <sheetViews>
    <sheetView zoomScaleNormal="100" workbookViewId="0">
      <pane xSplit="1" ySplit="1" topLeftCell="B53" activePane="bottomRight" state="frozen"/>
      <selection pane="topRight" activeCell="B1" sqref="B1"/>
      <selection pane="bottomLeft" activeCell="A2" sqref="A2"/>
      <selection pane="bottomRight" activeCell="Q62" sqref="Q62"/>
    </sheetView>
  </sheetViews>
  <sheetFormatPr defaultRowHeight="12.5" x14ac:dyDescent="0.25"/>
  <cols>
    <col min="1" max="1" width="28.08984375" bestFit="1" customWidth="1"/>
    <col min="2" max="2" width="15.7265625" bestFit="1" customWidth="1"/>
    <col min="3" max="3" width="18.1796875" bestFit="1" customWidth="1"/>
    <col min="4" max="4" width="12.453125" bestFit="1" customWidth="1"/>
    <col min="5" max="5" width="17.81640625" bestFit="1" customWidth="1"/>
    <col min="6" max="6" width="20.7265625" bestFit="1" customWidth="1"/>
    <col min="7" max="7" width="26.6328125" bestFit="1" customWidth="1"/>
    <col min="8" max="8" width="32.54296875" bestFit="1" customWidth="1"/>
    <col min="9" max="9" width="9.54296875" customWidth="1"/>
    <col min="10" max="10" width="23.453125" bestFit="1" customWidth="1"/>
    <col min="11" max="11" width="24.81640625" bestFit="1" customWidth="1"/>
    <col min="12" max="12" width="23" bestFit="1" customWidth="1"/>
    <col min="13" max="13" width="28.6328125" bestFit="1" customWidth="1"/>
    <col min="14" max="14" width="29.453125" bestFit="1" customWidth="1"/>
    <col min="15" max="15" width="15.54296875" bestFit="1" customWidth="1"/>
    <col min="16" max="16" width="25.1796875" bestFit="1" customWidth="1"/>
    <col min="17" max="17" width="18.36328125" bestFit="1" customWidth="1"/>
    <col min="18" max="18" width="15" bestFit="1" customWidth="1"/>
    <col min="19" max="19" width="25.1796875" bestFit="1" customWidth="1"/>
    <col min="20" max="20" width="20.6328125" bestFit="1" customWidth="1"/>
    <col min="22" max="22" width="20.7265625" bestFit="1" customWidth="1"/>
    <col min="23" max="23" width="16.08984375" bestFit="1" customWidth="1"/>
    <col min="24" max="24" width="9.7265625" bestFit="1" customWidth="1"/>
    <col min="25" max="25" width="14" bestFit="1" customWidth="1"/>
    <col min="26" max="26" width="8.90625" customWidth="1"/>
    <col min="27" max="27" width="9.7265625" bestFit="1" customWidth="1"/>
    <col min="29" max="29" width="11.81640625" bestFit="1" customWidth="1"/>
    <col min="31" max="31" width="20.7265625" bestFit="1" customWidth="1"/>
    <col min="32" max="32" width="9.81640625" bestFit="1" customWidth="1"/>
  </cols>
  <sheetData>
    <row r="1" spans="1:19" x14ac:dyDescent="0.25">
      <c r="A1" t="s">
        <v>526</v>
      </c>
      <c r="B1" t="s">
        <v>733</v>
      </c>
      <c r="C1" t="s">
        <v>734</v>
      </c>
      <c r="D1" t="s">
        <v>736</v>
      </c>
      <c r="E1" t="s">
        <v>735</v>
      </c>
      <c r="F1" t="s">
        <v>783</v>
      </c>
      <c r="G1" t="s">
        <v>737</v>
      </c>
      <c r="H1" t="s">
        <v>738</v>
      </c>
      <c r="I1" t="s">
        <v>636</v>
      </c>
      <c r="J1" t="s">
        <v>637</v>
      </c>
      <c r="K1" t="s">
        <v>739</v>
      </c>
      <c r="L1" t="s">
        <v>787</v>
      </c>
      <c r="M1" t="s">
        <v>784</v>
      </c>
      <c r="N1" t="s">
        <v>785</v>
      </c>
      <c r="O1" t="s">
        <v>786</v>
      </c>
      <c r="P1" t="s">
        <v>788</v>
      </c>
      <c r="Q1" t="s">
        <v>789</v>
      </c>
      <c r="R1" t="s">
        <v>821</v>
      </c>
      <c r="S1" t="s">
        <v>822</v>
      </c>
    </row>
    <row r="2" spans="1:19" x14ac:dyDescent="0.25">
      <c r="A2" t="s">
        <v>104</v>
      </c>
      <c r="B2">
        <v>38969590.509533629</v>
      </c>
      <c r="C2">
        <v>35704535.509533629</v>
      </c>
      <c r="D2">
        <v>2067610</v>
      </c>
      <c r="E2">
        <v>0</v>
      </c>
      <c r="F2">
        <v>157010</v>
      </c>
      <c r="G2">
        <v>1040435</v>
      </c>
      <c r="H2">
        <v>7869</v>
      </c>
      <c r="K2">
        <v>271409.49046637118</v>
      </c>
      <c r="L2">
        <f>SUM(B2,H2*1000,K2)</f>
        <v>47110000</v>
      </c>
      <c r="M2">
        <v>63282</v>
      </c>
      <c r="N2">
        <v>65186</v>
      </c>
      <c r="O2">
        <v>-1904</v>
      </c>
      <c r="P2" s="149">
        <f>L2/(M2*1000)</f>
        <v>0.74444549792990111</v>
      </c>
      <c r="Q2">
        <v>258</v>
      </c>
      <c r="R2">
        <v>35</v>
      </c>
      <c r="S2" s="149">
        <v>5.0700000000000002E-2</v>
      </c>
    </row>
    <row r="3" spans="1:19" x14ac:dyDescent="0.25">
      <c r="A3" t="s">
        <v>236</v>
      </c>
      <c r="B3">
        <v>37018592.670011163</v>
      </c>
      <c r="C3">
        <v>34542858.670011163</v>
      </c>
      <c r="D3">
        <v>569236</v>
      </c>
      <c r="E3">
        <v>0</v>
      </c>
      <c r="F3">
        <v>1116642</v>
      </c>
      <c r="G3">
        <v>789856</v>
      </c>
      <c r="H3">
        <v>8154</v>
      </c>
      <c r="K3">
        <v>828407.32998883724</v>
      </c>
      <c r="L3">
        <f>SUM(B3,H3*1000,K3)</f>
        <v>46001000</v>
      </c>
      <c r="M3">
        <v>108385</v>
      </c>
      <c r="N3">
        <v>110480</v>
      </c>
      <c r="O3">
        <v>-2095</v>
      </c>
      <c r="P3" s="149">
        <f t="shared" ref="P3:P61" si="0">L3/(M3*1000)</f>
        <v>0.42442219864372377</v>
      </c>
      <c r="Q3">
        <v>2929</v>
      </c>
      <c r="R3">
        <v>2243</v>
      </c>
      <c r="S3" s="149">
        <v>4.02E-2</v>
      </c>
    </row>
    <row r="4" spans="1:19" x14ac:dyDescent="0.25">
      <c r="A4" t="s">
        <v>163</v>
      </c>
      <c r="B4">
        <v>46191196.831982434</v>
      </c>
      <c r="C4">
        <v>37981397.831982434</v>
      </c>
      <c r="D4">
        <v>816519</v>
      </c>
      <c r="E4">
        <v>0</v>
      </c>
      <c r="F4">
        <v>6699375</v>
      </c>
      <c r="G4">
        <v>693905</v>
      </c>
      <c r="H4">
        <v>6721</v>
      </c>
      <c r="K4">
        <v>422803.1680175662</v>
      </c>
      <c r="L4">
        <f t="shared" ref="L4:L62" si="1">SUM(B4,H4*1000,K4)</f>
        <v>53335000</v>
      </c>
      <c r="M4">
        <v>63650</v>
      </c>
      <c r="N4">
        <v>64141</v>
      </c>
      <c r="O4">
        <v>-491</v>
      </c>
      <c r="P4" s="149">
        <f t="shared" si="0"/>
        <v>0.83794186959937156</v>
      </c>
      <c r="Q4">
        <v>362</v>
      </c>
      <c r="R4">
        <v>69</v>
      </c>
      <c r="S4" s="149">
        <v>5.5399999999999998E-2</v>
      </c>
    </row>
    <row r="5" spans="1:19" x14ac:dyDescent="0.25">
      <c r="A5" t="s">
        <v>125</v>
      </c>
      <c r="B5">
        <v>52005238.496840909</v>
      </c>
      <c r="C5">
        <v>44202911.496840909</v>
      </c>
      <c r="D5">
        <v>1376205</v>
      </c>
      <c r="E5">
        <v>0</v>
      </c>
      <c r="F5">
        <v>5179812</v>
      </c>
      <c r="G5">
        <v>1246310</v>
      </c>
      <c r="H5">
        <v>12586</v>
      </c>
      <c r="K5">
        <v>798761.50315909088</v>
      </c>
      <c r="L5">
        <f t="shared" si="1"/>
        <v>65390000</v>
      </c>
      <c r="M5">
        <v>83306</v>
      </c>
      <c r="N5">
        <v>84690</v>
      </c>
      <c r="O5">
        <v>-1384</v>
      </c>
      <c r="P5" s="149">
        <f t="shared" si="0"/>
        <v>0.78493745948671168</v>
      </c>
      <c r="Q5">
        <v>2137</v>
      </c>
      <c r="R5">
        <v>1755</v>
      </c>
      <c r="S5" s="149">
        <v>4.7399999999999998E-2</v>
      </c>
    </row>
    <row r="6" spans="1:19" x14ac:dyDescent="0.25">
      <c r="A6" t="s">
        <v>281</v>
      </c>
      <c r="B6">
        <v>31078450.270781487</v>
      </c>
      <c r="C6">
        <v>28090433.270781487</v>
      </c>
      <c r="D6">
        <v>710217</v>
      </c>
      <c r="E6">
        <v>0</v>
      </c>
      <c r="F6">
        <v>1609090</v>
      </c>
      <c r="G6">
        <v>668710</v>
      </c>
      <c r="H6">
        <v>6413</v>
      </c>
      <c r="K6">
        <v>358549.72921851277</v>
      </c>
      <c r="L6">
        <f t="shared" si="1"/>
        <v>37850000</v>
      </c>
      <c r="M6">
        <v>53626</v>
      </c>
      <c r="N6">
        <v>55202</v>
      </c>
      <c r="O6">
        <v>-1576</v>
      </c>
      <c r="P6" s="149">
        <f t="shared" si="0"/>
        <v>0.70581434378846086</v>
      </c>
      <c r="Q6">
        <v>1512</v>
      </c>
      <c r="R6">
        <v>642</v>
      </c>
      <c r="S6" s="149">
        <v>4.5100000000000001E-2</v>
      </c>
    </row>
    <row r="7" spans="1:19" x14ac:dyDescent="0.25">
      <c r="A7" t="s">
        <v>282</v>
      </c>
      <c r="B7">
        <v>29565522.555506781</v>
      </c>
      <c r="C7">
        <v>28343696.555506781</v>
      </c>
      <c r="D7">
        <v>376081</v>
      </c>
      <c r="E7">
        <v>0</v>
      </c>
      <c r="F7">
        <v>298600</v>
      </c>
      <c r="G7">
        <v>547145</v>
      </c>
      <c r="H7">
        <v>8166</v>
      </c>
      <c r="K7">
        <v>483477.44449321926</v>
      </c>
      <c r="L7">
        <f t="shared" si="1"/>
        <v>38215000</v>
      </c>
      <c r="M7">
        <v>58529</v>
      </c>
      <c r="N7">
        <v>59526</v>
      </c>
      <c r="O7">
        <v>-997</v>
      </c>
      <c r="P7" s="149">
        <f t="shared" si="0"/>
        <v>0.6529241914264724</v>
      </c>
      <c r="Q7">
        <v>905</v>
      </c>
      <c r="R7">
        <v>164</v>
      </c>
      <c r="S7" s="149">
        <v>4.3799999999999999E-2</v>
      </c>
    </row>
    <row r="8" spans="1:19" x14ac:dyDescent="0.25">
      <c r="A8" t="s">
        <v>237</v>
      </c>
      <c r="B8">
        <v>232133427.89372554</v>
      </c>
      <c r="C8">
        <v>171419798.89372554</v>
      </c>
      <c r="D8">
        <v>4533826</v>
      </c>
      <c r="E8">
        <v>24782760</v>
      </c>
      <c r="F8">
        <v>13414657</v>
      </c>
      <c r="G8">
        <v>17982386</v>
      </c>
      <c r="H8">
        <v>57603</v>
      </c>
      <c r="K8">
        <v>7365572.1062744558</v>
      </c>
      <c r="L8">
        <f t="shared" si="1"/>
        <v>297102000</v>
      </c>
      <c r="M8">
        <v>392539</v>
      </c>
      <c r="N8">
        <v>398704</v>
      </c>
      <c r="O8">
        <v>-6165</v>
      </c>
      <c r="P8" s="149">
        <f t="shared" si="0"/>
        <v>0.75687256552852078</v>
      </c>
      <c r="Q8">
        <v>17542</v>
      </c>
      <c r="R8">
        <v>5939</v>
      </c>
      <c r="S8" s="149">
        <v>3.9800000000000002E-2</v>
      </c>
    </row>
    <row r="9" spans="1:19" x14ac:dyDescent="0.25">
      <c r="A9" t="s">
        <v>139</v>
      </c>
      <c r="B9">
        <v>178218587.18371111</v>
      </c>
      <c r="C9">
        <v>133426224.18371111</v>
      </c>
      <c r="D9">
        <v>3753681</v>
      </c>
      <c r="E9">
        <v>18819245</v>
      </c>
      <c r="F9">
        <v>13769157</v>
      </c>
      <c r="G9">
        <v>8450280</v>
      </c>
      <c r="H9">
        <v>49487</v>
      </c>
      <c r="K9">
        <v>4083412.8162888885</v>
      </c>
      <c r="L9">
        <f t="shared" si="1"/>
        <v>231789000</v>
      </c>
      <c r="M9">
        <v>304951</v>
      </c>
      <c r="N9">
        <v>299987</v>
      </c>
      <c r="O9">
        <v>4964</v>
      </c>
      <c r="P9" s="149">
        <f t="shared" si="0"/>
        <v>0.76008604661076695</v>
      </c>
      <c r="Q9">
        <v>5842</v>
      </c>
      <c r="R9">
        <v>531</v>
      </c>
      <c r="S9" s="149">
        <v>3.5700000000000003E-2</v>
      </c>
    </row>
    <row r="10" spans="1:19" x14ac:dyDescent="0.25">
      <c r="A10" t="s">
        <v>427</v>
      </c>
      <c r="B10">
        <v>433918705.10207444</v>
      </c>
      <c r="C10">
        <v>324852321.10207444</v>
      </c>
      <c r="D10">
        <v>7017028</v>
      </c>
      <c r="E10">
        <v>52767258</v>
      </c>
      <c r="F10">
        <v>12161221</v>
      </c>
      <c r="G10">
        <v>37120877</v>
      </c>
      <c r="H10">
        <v>135198</v>
      </c>
      <c r="K10">
        <v>46161294.897925556</v>
      </c>
      <c r="L10">
        <f t="shared" si="1"/>
        <v>615278000</v>
      </c>
      <c r="M10">
        <v>881518</v>
      </c>
      <c r="N10">
        <v>929218</v>
      </c>
      <c r="O10">
        <v>-47700</v>
      </c>
      <c r="P10" s="149">
        <f t="shared" si="0"/>
        <v>0.69797553765209563</v>
      </c>
      <c r="Q10">
        <v>20927</v>
      </c>
      <c r="R10">
        <v>2967</v>
      </c>
      <c r="S10" s="149">
        <v>7.46E-2</v>
      </c>
    </row>
    <row r="11" spans="1:19" x14ac:dyDescent="0.25">
      <c r="A11" t="s">
        <v>283</v>
      </c>
      <c r="B11">
        <v>175566699.0934158</v>
      </c>
      <c r="C11">
        <v>151758778.0934158</v>
      </c>
      <c r="D11">
        <v>5494171</v>
      </c>
      <c r="E11">
        <v>0</v>
      </c>
      <c r="F11">
        <v>15369616</v>
      </c>
      <c r="G11">
        <v>2944134</v>
      </c>
      <c r="H11">
        <v>37156</v>
      </c>
      <c r="K11">
        <v>2532300.9065842032</v>
      </c>
      <c r="L11">
        <f t="shared" si="1"/>
        <v>215255000</v>
      </c>
      <c r="M11">
        <v>309162</v>
      </c>
      <c r="N11">
        <v>311025</v>
      </c>
      <c r="O11">
        <v>-1863</v>
      </c>
      <c r="P11" s="149">
        <f t="shared" si="0"/>
        <v>0.69625309708178884</v>
      </c>
      <c r="Q11">
        <v>10209</v>
      </c>
      <c r="R11">
        <v>5065</v>
      </c>
      <c r="S11" s="149">
        <v>4.9299999999999997E-2</v>
      </c>
    </row>
    <row r="12" spans="1:19" x14ac:dyDescent="0.25">
      <c r="A12" t="s">
        <v>341</v>
      </c>
      <c r="B12">
        <v>13648280.921907758</v>
      </c>
      <c r="C12">
        <v>12052702.921907758</v>
      </c>
      <c r="D12">
        <v>409420</v>
      </c>
      <c r="E12">
        <v>0</v>
      </c>
      <c r="F12">
        <v>605361</v>
      </c>
      <c r="G12">
        <v>580797</v>
      </c>
      <c r="H12">
        <v>2286</v>
      </c>
      <c r="K12">
        <v>201719.07809224166</v>
      </c>
      <c r="L12">
        <f t="shared" si="1"/>
        <v>16136000</v>
      </c>
      <c r="M12">
        <v>22150</v>
      </c>
      <c r="N12">
        <v>21632</v>
      </c>
      <c r="O12">
        <v>518</v>
      </c>
      <c r="P12" s="149">
        <f t="shared" si="0"/>
        <v>0.72848758465011287</v>
      </c>
      <c r="Q12">
        <v>232</v>
      </c>
      <c r="R12">
        <v>43</v>
      </c>
      <c r="S12" s="149">
        <v>4.8899999999999999E-2</v>
      </c>
    </row>
    <row r="13" spans="1:19" x14ac:dyDescent="0.25">
      <c r="A13" t="s">
        <v>591</v>
      </c>
      <c r="B13">
        <v>76523300.596989974</v>
      </c>
      <c r="C13">
        <v>69207132.596989974</v>
      </c>
      <c r="D13">
        <v>1772921</v>
      </c>
      <c r="E13">
        <v>0</v>
      </c>
      <c r="F13">
        <v>4022731</v>
      </c>
      <c r="G13">
        <v>1520516</v>
      </c>
      <c r="H13">
        <v>11968</v>
      </c>
      <c r="K13">
        <v>735699.40301002562</v>
      </c>
      <c r="L13">
        <f t="shared" si="1"/>
        <v>89227000</v>
      </c>
      <c r="M13">
        <v>124531</v>
      </c>
      <c r="N13">
        <v>125619</v>
      </c>
      <c r="O13">
        <v>-1088</v>
      </c>
      <c r="P13" s="149">
        <f t="shared" si="0"/>
        <v>0.71650432422449029</v>
      </c>
      <c r="Q13">
        <v>1819</v>
      </c>
      <c r="R13">
        <v>743</v>
      </c>
      <c r="S13" s="149">
        <v>4.0599999999999997E-2</v>
      </c>
    </row>
    <row r="14" spans="1:19" x14ac:dyDescent="0.25">
      <c r="A14" t="s">
        <v>126</v>
      </c>
      <c r="B14">
        <v>8512159.3253647126</v>
      </c>
      <c r="C14">
        <v>7302356.3253647126</v>
      </c>
      <c r="D14">
        <v>109364</v>
      </c>
      <c r="E14">
        <v>0</v>
      </c>
      <c r="F14">
        <v>226822</v>
      </c>
      <c r="G14">
        <v>873617</v>
      </c>
      <c r="H14">
        <v>1129</v>
      </c>
      <c r="K14">
        <v>3124840.6746352874</v>
      </c>
      <c r="L14">
        <f t="shared" si="1"/>
        <v>12766000</v>
      </c>
      <c r="M14">
        <v>22262</v>
      </c>
      <c r="N14">
        <v>23673</v>
      </c>
      <c r="O14">
        <v>-1411</v>
      </c>
      <c r="P14" s="149">
        <f t="shared" si="0"/>
        <v>0.57344353607043397</v>
      </c>
      <c r="Q14">
        <v>2011</v>
      </c>
      <c r="R14">
        <v>71</v>
      </c>
      <c r="S14" s="149">
        <v>2.4300000000000002E-2</v>
      </c>
    </row>
    <row r="15" spans="1:19" x14ac:dyDescent="0.25">
      <c r="A15" t="s">
        <v>212</v>
      </c>
      <c r="B15">
        <v>315900040.3971315</v>
      </c>
      <c r="C15">
        <v>230540862.3971315</v>
      </c>
      <c r="D15">
        <v>6703069</v>
      </c>
      <c r="E15">
        <v>38448080</v>
      </c>
      <c r="F15">
        <v>19533441</v>
      </c>
      <c r="G15">
        <v>20674588</v>
      </c>
      <c r="H15">
        <v>73420</v>
      </c>
      <c r="K15">
        <v>6929959.6028684974</v>
      </c>
      <c r="L15">
        <f t="shared" si="1"/>
        <v>396250000</v>
      </c>
      <c r="M15">
        <v>537625</v>
      </c>
      <c r="N15">
        <v>564688</v>
      </c>
      <c r="O15">
        <v>-27063</v>
      </c>
      <c r="P15" s="149">
        <f t="shared" si="0"/>
        <v>0.73703789816321785</v>
      </c>
      <c r="Q15">
        <v>12323</v>
      </c>
      <c r="R15">
        <v>2335</v>
      </c>
      <c r="S15" s="149">
        <v>5.6100000000000004E-2</v>
      </c>
    </row>
    <row r="16" spans="1:19" x14ac:dyDescent="0.25">
      <c r="A16" t="s">
        <v>238</v>
      </c>
      <c r="B16">
        <v>115261888.31029224</v>
      </c>
      <c r="C16">
        <v>108920483.31029224</v>
      </c>
      <c r="D16">
        <v>1350759</v>
      </c>
      <c r="E16">
        <v>0</v>
      </c>
      <c r="F16">
        <v>2567392</v>
      </c>
      <c r="G16">
        <v>2423254</v>
      </c>
      <c r="H16">
        <v>38952</v>
      </c>
      <c r="K16">
        <v>3950111.689707756</v>
      </c>
      <c r="L16">
        <f t="shared" si="1"/>
        <v>158164000</v>
      </c>
      <c r="M16">
        <v>253450</v>
      </c>
      <c r="N16">
        <v>262304</v>
      </c>
      <c r="O16">
        <v>-8854</v>
      </c>
      <c r="P16" s="149">
        <f t="shared" si="0"/>
        <v>0.624044190175577</v>
      </c>
      <c r="Q16">
        <v>6246</v>
      </c>
      <c r="R16">
        <v>1305</v>
      </c>
      <c r="S16" s="149">
        <v>4.4800000000000006E-2</v>
      </c>
    </row>
    <row r="17" spans="1:19" x14ac:dyDescent="0.25">
      <c r="A17" t="s">
        <v>239</v>
      </c>
      <c r="B17">
        <v>2421541235.151907</v>
      </c>
      <c r="C17">
        <v>1886585308.1519067</v>
      </c>
      <c r="D17">
        <v>32829706</v>
      </c>
      <c r="E17">
        <v>148094239</v>
      </c>
      <c r="F17">
        <v>84674422</v>
      </c>
      <c r="G17">
        <v>269357560</v>
      </c>
      <c r="H17">
        <v>989791</v>
      </c>
      <c r="K17">
        <v>155109764.84809303</v>
      </c>
      <c r="L17">
        <f t="shared" si="1"/>
        <v>3566442000</v>
      </c>
      <c r="M17">
        <v>5762273</v>
      </c>
      <c r="N17">
        <v>5929211</v>
      </c>
      <c r="O17">
        <v>-166938</v>
      </c>
      <c r="P17" s="149">
        <f t="shared" si="0"/>
        <v>0.61892971749169123</v>
      </c>
      <c r="Q17">
        <v>316402</v>
      </c>
      <c r="R17">
        <v>231331</v>
      </c>
      <c r="S17" s="149">
        <v>4.3499999999999997E-2</v>
      </c>
    </row>
    <row r="18" spans="1:19" x14ac:dyDescent="0.25">
      <c r="A18" t="s">
        <v>164</v>
      </c>
      <c r="B18">
        <v>356167329.92842841</v>
      </c>
      <c r="C18">
        <v>250457311.92842841</v>
      </c>
      <c r="D18">
        <v>10526783</v>
      </c>
      <c r="E18">
        <v>52738061</v>
      </c>
      <c r="F18">
        <v>23251484</v>
      </c>
      <c r="G18">
        <v>19193690</v>
      </c>
      <c r="H18">
        <v>71100</v>
      </c>
      <c r="K18">
        <v>20794670.071571589</v>
      </c>
      <c r="L18">
        <f t="shared" si="1"/>
        <v>448062000</v>
      </c>
      <c r="M18">
        <v>580638</v>
      </c>
      <c r="N18">
        <v>569736</v>
      </c>
      <c r="O18">
        <v>10902</v>
      </c>
      <c r="P18" s="149">
        <f t="shared" si="0"/>
        <v>0.77167185061949095</v>
      </c>
      <c r="Q18">
        <v>23256</v>
      </c>
      <c r="R18">
        <v>8865</v>
      </c>
      <c r="S18" s="149">
        <v>3.95E-2</v>
      </c>
    </row>
    <row r="19" spans="1:19" x14ac:dyDescent="0.25">
      <c r="A19" t="s">
        <v>165</v>
      </c>
      <c r="B19">
        <v>448449660.01053911</v>
      </c>
      <c r="C19">
        <v>298564202.01053911</v>
      </c>
      <c r="D19">
        <v>6468921</v>
      </c>
      <c r="E19">
        <v>80023973</v>
      </c>
      <c r="F19">
        <v>32136515</v>
      </c>
      <c r="G19">
        <v>31256049</v>
      </c>
      <c r="H19">
        <v>135697</v>
      </c>
      <c r="K19">
        <v>10478339.989460886</v>
      </c>
      <c r="L19">
        <f t="shared" si="1"/>
        <v>594625000</v>
      </c>
      <c r="M19">
        <v>721414</v>
      </c>
      <c r="N19">
        <v>732171</v>
      </c>
      <c r="O19">
        <v>-10757</v>
      </c>
      <c r="P19" s="149">
        <f t="shared" si="0"/>
        <v>0.82424932147144359</v>
      </c>
      <c r="Q19">
        <v>19846</v>
      </c>
      <c r="R19">
        <v>1473</v>
      </c>
      <c r="S19" s="149">
        <v>4.3400000000000001E-2</v>
      </c>
    </row>
    <row r="20" spans="1:19" x14ac:dyDescent="0.25">
      <c r="A20" t="s">
        <v>105</v>
      </c>
      <c r="B20">
        <v>196128077.59243485</v>
      </c>
      <c r="C20">
        <v>115231067.59243485</v>
      </c>
      <c r="D20">
        <v>5308129</v>
      </c>
      <c r="E20">
        <v>46284619</v>
      </c>
      <c r="F20">
        <v>20021857</v>
      </c>
      <c r="G20">
        <v>9282405</v>
      </c>
      <c r="H20">
        <v>36761</v>
      </c>
      <c r="K20">
        <v>12155922.407565147</v>
      </c>
      <c r="L20">
        <f t="shared" si="1"/>
        <v>245045000</v>
      </c>
      <c r="M20">
        <v>289945</v>
      </c>
      <c r="N20">
        <v>291914</v>
      </c>
      <c r="O20">
        <v>-1969</v>
      </c>
      <c r="P20" s="149">
        <f t="shared" si="0"/>
        <v>0.84514304437048404</v>
      </c>
      <c r="Q20">
        <v>10399</v>
      </c>
      <c r="R20">
        <v>89</v>
      </c>
      <c r="S20" s="149">
        <v>5.3699999999999998E-2</v>
      </c>
    </row>
    <row r="21" spans="1:19" x14ac:dyDescent="0.25">
      <c r="A21" t="s">
        <v>342</v>
      </c>
      <c r="B21">
        <v>24098444.977866594</v>
      </c>
      <c r="C21">
        <v>21198858.977866594</v>
      </c>
      <c r="D21">
        <v>462911</v>
      </c>
      <c r="E21">
        <v>0</v>
      </c>
      <c r="F21">
        <v>1878596</v>
      </c>
      <c r="G21">
        <v>558079</v>
      </c>
      <c r="H21">
        <v>7011</v>
      </c>
      <c r="K21">
        <v>282555.02213340625</v>
      </c>
      <c r="L21">
        <f t="shared" si="1"/>
        <v>31392000</v>
      </c>
      <c r="M21">
        <v>40973</v>
      </c>
      <c r="N21">
        <v>41575</v>
      </c>
      <c r="O21">
        <v>-602</v>
      </c>
      <c r="P21" s="149">
        <f t="shared" si="0"/>
        <v>0.76616308300588187</v>
      </c>
      <c r="Q21">
        <v>391</v>
      </c>
      <c r="R21">
        <v>132</v>
      </c>
      <c r="S21" s="149">
        <v>5.5E-2</v>
      </c>
    </row>
    <row r="22" spans="1:19" x14ac:dyDescent="0.25">
      <c r="A22" t="s">
        <v>343</v>
      </c>
      <c r="B22">
        <v>11345418.06512728</v>
      </c>
      <c r="C22">
        <v>10701589.06512728</v>
      </c>
      <c r="D22">
        <v>96463</v>
      </c>
      <c r="E22">
        <v>0</v>
      </c>
      <c r="F22">
        <v>30123</v>
      </c>
      <c r="G22">
        <v>517243</v>
      </c>
      <c r="H22">
        <v>1753</v>
      </c>
      <c r="K22">
        <v>169581.93487272039</v>
      </c>
      <c r="L22">
        <f t="shared" si="1"/>
        <v>13268000</v>
      </c>
      <c r="M22">
        <v>17984</v>
      </c>
      <c r="N22">
        <v>18451</v>
      </c>
      <c r="O22">
        <v>-467</v>
      </c>
      <c r="P22" s="149">
        <f t="shared" si="0"/>
        <v>0.73776690391459077</v>
      </c>
      <c r="Q22">
        <v>412</v>
      </c>
      <c r="R22">
        <v>9</v>
      </c>
      <c r="S22" s="149">
        <v>4.7800000000000002E-2</v>
      </c>
    </row>
    <row r="23" spans="1:19" x14ac:dyDescent="0.25">
      <c r="A23" t="s">
        <v>213</v>
      </c>
      <c r="B23">
        <v>36257157.564176239</v>
      </c>
      <c r="C23">
        <v>33634910.564176239</v>
      </c>
      <c r="D23">
        <v>916400</v>
      </c>
      <c r="E23">
        <v>0</v>
      </c>
      <c r="F23">
        <v>1067763</v>
      </c>
      <c r="G23">
        <v>638084</v>
      </c>
      <c r="H23">
        <v>11477</v>
      </c>
      <c r="K23">
        <v>319842.43582376093</v>
      </c>
      <c r="L23">
        <f t="shared" si="1"/>
        <v>48054000</v>
      </c>
      <c r="M23">
        <v>60045</v>
      </c>
      <c r="N23">
        <v>60715</v>
      </c>
      <c r="O23">
        <v>-670</v>
      </c>
      <c r="P23" s="149">
        <f t="shared" si="0"/>
        <v>0.8002997751686235</v>
      </c>
      <c r="Q23">
        <v>876</v>
      </c>
      <c r="R23">
        <v>64</v>
      </c>
      <c r="S23" s="149">
        <v>4.4999999999999998E-2</v>
      </c>
    </row>
    <row r="24" spans="1:19" x14ac:dyDescent="0.25">
      <c r="A24" t="s">
        <v>284</v>
      </c>
      <c r="B24">
        <v>62091362.669997282</v>
      </c>
      <c r="C24">
        <v>59626697.669997282</v>
      </c>
      <c r="D24">
        <v>1211053</v>
      </c>
      <c r="E24">
        <v>0</v>
      </c>
      <c r="F24">
        <v>214754</v>
      </c>
      <c r="G24">
        <v>1038858</v>
      </c>
      <c r="H24">
        <v>16151</v>
      </c>
      <c r="K24">
        <v>2834637.3300027177</v>
      </c>
      <c r="L24">
        <f t="shared" si="1"/>
        <v>81077000</v>
      </c>
      <c r="M24">
        <v>117875</v>
      </c>
      <c r="N24">
        <v>119620</v>
      </c>
      <c r="O24">
        <v>-1745</v>
      </c>
      <c r="P24" s="149">
        <f t="shared" si="0"/>
        <v>0.68782184517497347</v>
      </c>
      <c r="Q24">
        <v>5283</v>
      </c>
      <c r="R24">
        <v>1025</v>
      </c>
      <c r="S24" s="149">
        <v>3.7000000000000005E-2</v>
      </c>
    </row>
    <row r="25" spans="1:19" x14ac:dyDescent="0.25">
      <c r="A25" t="s">
        <v>166</v>
      </c>
      <c r="B25">
        <v>85843377.904628694</v>
      </c>
      <c r="C25">
        <v>72721025.904628694</v>
      </c>
      <c r="D25">
        <v>8478008</v>
      </c>
      <c r="E25">
        <v>0</v>
      </c>
      <c r="F25">
        <v>3016675</v>
      </c>
      <c r="G25">
        <v>1627669</v>
      </c>
      <c r="H25">
        <v>11878</v>
      </c>
      <c r="K25">
        <v>1287622.0953713059</v>
      </c>
      <c r="L25">
        <f t="shared" si="1"/>
        <v>99009000</v>
      </c>
      <c r="M25">
        <v>140533</v>
      </c>
      <c r="N25">
        <v>147476</v>
      </c>
      <c r="O25">
        <v>-6943</v>
      </c>
      <c r="P25" s="149">
        <f t="shared" si="0"/>
        <v>0.70452491585606225</v>
      </c>
      <c r="Q25">
        <v>8122</v>
      </c>
      <c r="R25">
        <v>3485</v>
      </c>
      <c r="S25" s="149">
        <v>4.4600000000000001E-2</v>
      </c>
    </row>
    <row r="26" spans="1:19" x14ac:dyDescent="0.25">
      <c r="A26" t="s">
        <v>826</v>
      </c>
      <c r="B26">
        <v>23162654.044313248</v>
      </c>
      <c r="C26">
        <v>20928367.044313248</v>
      </c>
      <c r="D26">
        <v>409305</v>
      </c>
      <c r="E26">
        <v>0</v>
      </c>
      <c r="F26">
        <v>1357270</v>
      </c>
      <c r="G26">
        <v>467712</v>
      </c>
      <c r="H26">
        <v>3636</v>
      </c>
      <c r="K26">
        <v>415345.95568675175</v>
      </c>
      <c r="L26">
        <f t="shared" si="1"/>
        <v>27214000</v>
      </c>
      <c r="M26">
        <v>39542</v>
      </c>
      <c r="N26">
        <v>41368</v>
      </c>
      <c r="O26">
        <v>-1826</v>
      </c>
      <c r="P26" s="149">
        <f t="shared" si="0"/>
        <v>0.68823023620454205</v>
      </c>
      <c r="Q26">
        <v>381</v>
      </c>
      <c r="R26">
        <v>10</v>
      </c>
      <c r="S26" s="149">
        <v>5.7599999999999998E-2</v>
      </c>
    </row>
    <row r="27" spans="1:19" x14ac:dyDescent="0.25">
      <c r="A27" t="s">
        <v>592</v>
      </c>
      <c r="B27">
        <v>55003690.627421528</v>
      </c>
      <c r="C27">
        <v>48230393.627421528</v>
      </c>
      <c r="D27">
        <v>648666</v>
      </c>
      <c r="E27">
        <v>0</v>
      </c>
      <c r="F27">
        <v>5206212</v>
      </c>
      <c r="G27">
        <v>918419</v>
      </c>
      <c r="H27">
        <v>12217</v>
      </c>
      <c r="K27">
        <v>1580309.3725784719</v>
      </c>
      <c r="L27">
        <f t="shared" si="1"/>
        <v>68801000</v>
      </c>
      <c r="M27">
        <v>85632</v>
      </c>
      <c r="N27">
        <v>89532</v>
      </c>
      <c r="O27">
        <v>-3900</v>
      </c>
      <c r="P27" s="149">
        <f t="shared" si="0"/>
        <v>0.80344964499252614</v>
      </c>
      <c r="Q27">
        <v>737</v>
      </c>
      <c r="R27">
        <v>15</v>
      </c>
      <c r="S27" s="149">
        <v>5.4800000000000001E-2</v>
      </c>
    </row>
    <row r="28" spans="1:19" x14ac:dyDescent="0.25">
      <c r="A28" t="s">
        <v>399</v>
      </c>
      <c r="B28">
        <v>21253045.662390511</v>
      </c>
      <c r="C28">
        <v>18706654.662390511</v>
      </c>
      <c r="D28">
        <v>262570</v>
      </c>
      <c r="E28">
        <v>0</v>
      </c>
      <c r="F28">
        <v>1654586</v>
      </c>
      <c r="G28">
        <v>629235</v>
      </c>
      <c r="H28">
        <v>4672</v>
      </c>
      <c r="K28">
        <v>697954.33760948852</v>
      </c>
      <c r="L28">
        <f t="shared" si="1"/>
        <v>26623000</v>
      </c>
      <c r="M28">
        <v>32483</v>
      </c>
      <c r="N28">
        <v>34455</v>
      </c>
      <c r="O28">
        <v>-1972</v>
      </c>
      <c r="P28" s="149">
        <f t="shared" si="0"/>
        <v>0.81959794353969773</v>
      </c>
      <c r="Q28">
        <v>275</v>
      </c>
      <c r="R28">
        <v>77</v>
      </c>
      <c r="S28" s="149">
        <v>5.91E-2</v>
      </c>
    </row>
    <row r="29" spans="1:19" x14ac:dyDescent="0.25">
      <c r="A29" t="s">
        <v>523</v>
      </c>
      <c r="B29">
        <v>56702911.678607173</v>
      </c>
      <c r="C29">
        <v>49279696.678607173</v>
      </c>
      <c r="D29">
        <v>1466555</v>
      </c>
      <c r="E29">
        <v>0</v>
      </c>
      <c r="F29">
        <v>4606055</v>
      </c>
      <c r="G29">
        <v>1350605</v>
      </c>
      <c r="H29">
        <v>14812</v>
      </c>
      <c r="K29">
        <v>735088.32139282674</v>
      </c>
      <c r="L29">
        <f t="shared" si="1"/>
        <v>72250000</v>
      </c>
      <c r="M29">
        <v>116931</v>
      </c>
      <c r="N29">
        <v>120809</v>
      </c>
      <c r="O29">
        <v>-3878</v>
      </c>
      <c r="P29" s="149">
        <f t="shared" si="0"/>
        <v>0.61788576168851717</v>
      </c>
      <c r="Q29">
        <v>654</v>
      </c>
      <c r="R29">
        <v>161</v>
      </c>
      <c r="S29" s="149">
        <v>4.6199999999999998E-2</v>
      </c>
    </row>
    <row r="30" spans="1:19" x14ac:dyDescent="0.25">
      <c r="A30" t="s">
        <v>344</v>
      </c>
      <c r="B30">
        <v>26385132.408090465</v>
      </c>
      <c r="C30">
        <v>22157012.408090465</v>
      </c>
      <c r="D30">
        <v>917387</v>
      </c>
      <c r="E30">
        <v>0</v>
      </c>
      <c r="F30">
        <v>2543081</v>
      </c>
      <c r="G30">
        <v>767652</v>
      </c>
      <c r="H30">
        <v>3633</v>
      </c>
      <c r="K30">
        <v>597867.59190953523</v>
      </c>
      <c r="L30">
        <f t="shared" si="1"/>
        <v>30616000</v>
      </c>
      <c r="M30">
        <v>48059</v>
      </c>
      <c r="N30">
        <v>48769</v>
      </c>
      <c r="O30">
        <v>-710</v>
      </c>
      <c r="P30" s="149">
        <f t="shared" si="0"/>
        <v>0.63705029234898769</v>
      </c>
      <c r="Q30">
        <v>1544</v>
      </c>
      <c r="R30">
        <v>1088</v>
      </c>
      <c r="S30" s="149">
        <v>4.8799999999999996E-2</v>
      </c>
    </row>
    <row r="31" spans="1:19" x14ac:dyDescent="0.25">
      <c r="A31" t="s">
        <v>434</v>
      </c>
      <c r="B31">
        <v>22379415.001256369</v>
      </c>
      <c r="C31">
        <v>18877495.001256369</v>
      </c>
      <c r="D31">
        <v>262409</v>
      </c>
      <c r="E31">
        <v>0</v>
      </c>
      <c r="F31">
        <v>2694918</v>
      </c>
      <c r="G31">
        <v>544593</v>
      </c>
      <c r="H31">
        <v>3866</v>
      </c>
      <c r="K31">
        <v>657584.99874363095</v>
      </c>
      <c r="L31">
        <f t="shared" si="1"/>
        <v>26903000</v>
      </c>
      <c r="M31">
        <v>37454</v>
      </c>
      <c r="N31">
        <v>38249</v>
      </c>
      <c r="O31">
        <v>-795</v>
      </c>
      <c r="P31" s="149">
        <f t="shared" si="0"/>
        <v>0.71829444118118224</v>
      </c>
      <c r="Q31">
        <v>571</v>
      </c>
      <c r="R31">
        <v>576</v>
      </c>
      <c r="S31" s="149">
        <v>4.6699999999999998E-2</v>
      </c>
    </row>
    <row r="32" spans="1:19" x14ac:dyDescent="0.25">
      <c r="A32" t="s">
        <v>435</v>
      </c>
      <c r="B32">
        <v>39682412.813379787</v>
      </c>
      <c r="C32">
        <v>35514773.813379787</v>
      </c>
      <c r="D32">
        <v>749409</v>
      </c>
      <c r="E32">
        <v>0</v>
      </c>
      <c r="F32">
        <v>1499587</v>
      </c>
      <c r="G32">
        <v>1918643</v>
      </c>
      <c r="H32">
        <v>10591</v>
      </c>
      <c r="K32">
        <v>184587.18662021309</v>
      </c>
      <c r="L32">
        <f t="shared" si="1"/>
        <v>50458000</v>
      </c>
      <c r="M32">
        <v>82284</v>
      </c>
      <c r="N32">
        <v>75480</v>
      </c>
      <c r="O32">
        <v>6804</v>
      </c>
      <c r="P32" s="149">
        <f t="shared" si="0"/>
        <v>0.61321763647853778</v>
      </c>
      <c r="Q32">
        <v>4147</v>
      </c>
      <c r="R32">
        <v>2288</v>
      </c>
      <c r="S32" s="149">
        <v>3.0999999999999999E-3</v>
      </c>
    </row>
    <row r="33" spans="1:19" x14ac:dyDescent="0.25">
      <c r="A33" t="s">
        <v>345</v>
      </c>
      <c r="B33">
        <v>146102441.10123789</v>
      </c>
      <c r="C33">
        <v>108740269.10123789</v>
      </c>
      <c r="D33">
        <v>2043731</v>
      </c>
      <c r="E33">
        <v>16710424</v>
      </c>
      <c r="F33">
        <v>12408291</v>
      </c>
      <c r="G33">
        <v>6199726</v>
      </c>
      <c r="H33">
        <v>38008</v>
      </c>
      <c r="K33">
        <v>3897558.8987621069</v>
      </c>
      <c r="L33">
        <f t="shared" si="1"/>
        <v>188008000</v>
      </c>
      <c r="M33">
        <v>298827</v>
      </c>
      <c r="N33">
        <v>298832</v>
      </c>
      <c r="O33">
        <v>-5</v>
      </c>
      <c r="P33" s="149">
        <f t="shared" si="0"/>
        <v>0.62915332282558134</v>
      </c>
      <c r="Q33">
        <v>5171</v>
      </c>
      <c r="R33">
        <v>33</v>
      </c>
      <c r="S33" s="149">
        <v>3.8599999999999995E-2</v>
      </c>
    </row>
    <row r="34" spans="1:19" x14ac:dyDescent="0.25">
      <c r="A34" t="s">
        <v>167</v>
      </c>
      <c r="B34">
        <v>70473154.770674855</v>
      </c>
      <c r="C34">
        <v>61134554.770674862</v>
      </c>
      <c r="D34">
        <v>1111191</v>
      </c>
      <c r="E34">
        <v>0</v>
      </c>
      <c r="F34">
        <v>6728842</v>
      </c>
      <c r="G34">
        <v>1498567</v>
      </c>
      <c r="H34">
        <v>16514</v>
      </c>
      <c r="K34">
        <v>380845.22932514548</v>
      </c>
      <c r="L34">
        <f t="shared" si="1"/>
        <v>87368000</v>
      </c>
      <c r="M34">
        <v>112976</v>
      </c>
      <c r="N34">
        <v>122659</v>
      </c>
      <c r="O34">
        <v>-9683</v>
      </c>
      <c r="P34" s="149">
        <f t="shared" si="0"/>
        <v>0.7733323891800028</v>
      </c>
      <c r="Q34">
        <v>363</v>
      </c>
      <c r="R34">
        <v>4</v>
      </c>
      <c r="S34" s="149">
        <v>5.9900000000000002E-2</v>
      </c>
    </row>
    <row r="35" spans="1:19" x14ac:dyDescent="0.25">
      <c r="A35" t="s">
        <v>346</v>
      </c>
      <c r="B35">
        <v>42959793.458199061</v>
      </c>
      <c r="C35">
        <v>36705782.458199061</v>
      </c>
      <c r="D35">
        <v>582284</v>
      </c>
      <c r="E35">
        <v>0</v>
      </c>
      <c r="F35">
        <v>4914475</v>
      </c>
      <c r="G35">
        <v>757252</v>
      </c>
      <c r="H35">
        <v>6579</v>
      </c>
      <c r="K35">
        <v>683206.54180093855</v>
      </c>
      <c r="L35">
        <f t="shared" si="1"/>
        <v>50222000</v>
      </c>
      <c r="M35">
        <v>85377</v>
      </c>
      <c r="N35">
        <v>85147</v>
      </c>
      <c r="O35">
        <v>230</v>
      </c>
      <c r="P35" s="149">
        <f t="shared" si="0"/>
        <v>0.58823805006032071</v>
      </c>
      <c r="Q35">
        <v>1261</v>
      </c>
      <c r="R35">
        <v>302</v>
      </c>
      <c r="S35" s="149">
        <v>5.6100000000000004E-2</v>
      </c>
    </row>
    <row r="36" spans="1:19" x14ac:dyDescent="0.25">
      <c r="A36" t="s">
        <v>347</v>
      </c>
      <c r="B36">
        <v>42327051.675600469</v>
      </c>
      <c r="C36">
        <v>37031707.675600469</v>
      </c>
      <c r="D36">
        <v>911042</v>
      </c>
      <c r="E36">
        <v>0</v>
      </c>
      <c r="F36">
        <v>3482377</v>
      </c>
      <c r="G36">
        <v>901925</v>
      </c>
      <c r="H36">
        <v>8574</v>
      </c>
      <c r="K36">
        <v>572948.32439953089</v>
      </c>
      <c r="L36">
        <f t="shared" si="1"/>
        <v>51474000</v>
      </c>
      <c r="M36">
        <v>81256</v>
      </c>
      <c r="N36">
        <v>83866</v>
      </c>
      <c r="O36">
        <v>-2610</v>
      </c>
      <c r="P36" s="149">
        <f t="shared" si="0"/>
        <v>0.63347937383085562</v>
      </c>
      <c r="Q36">
        <v>1831</v>
      </c>
      <c r="R36">
        <v>119</v>
      </c>
      <c r="S36" s="149">
        <v>5.4199999999999998E-2</v>
      </c>
    </row>
    <row r="37" spans="1:19" x14ac:dyDescent="0.25">
      <c r="A37" t="s">
        <v>168</v>
      </c>
      <c r="B37">
        <v>36049439.084546454</v>
      </c>
      <c r="C37">
        <v>31820375.084546454</v>
      </c>
      <c r="D37">
        <v>399525</v>
      </c>
      <c r="E37">
        <v>0</v>
      </c>
      <c r="F37">
        <v>3092091</v>
      </c>
      <c r="G37">
        <v>737448</v>
      </c>
      <c r="H37">
        <v>8137</v>
      </c>
      <c r="K37">
        <v>314560.91545354575</v>
      </c>
      <c r="L37">
        <f t="shared" si="1"/>
        <v>44501000</v>
      </c>
      <c r="M37">
        <v>66730</v>
      </c>
      <c r="N37">
        <v>64530</v>
      </c>
      <c r="O37">
        <v>2200</v>
      </c>
      <c r="P37" s="149">
        <f t="shared" si="0"/>
        <v>0.66688146261052006</v>
      </c>
      <c r="Q37">
        <v>1778</v>
      </c>
      <c r="R37">
        <v>936</v>
      </c>
      <c r="S37" s="149">
        <v>3.2099999999999997E-2</v>
      </c>
    </row>
    <row r="38" spans="1:19" x14ac:dyDescent="0.25">
      <c r="A38" t="s">
        <v>241</v>
      </c>
      <c r="B38">
        <v>70540049.9037624</v>
      </c>
      <c r="C38">
        <v>63191146.9037624</v>
      </c>
      <c r="D38">
        <v>851409</v>
      </c>
      <c r="E38">
        <v>0</v>
      </c>
      <c r="F38">
        <v>5135664</v>
      </c>
      <c r="G38">
        <v>1361830</v>
      </c>
      <c r="H38">
        <v>22578</v>
      </c>
      <c r="K38">
        <v>1817950.0962375998</v>
      </c>
      <c r="L38">
        <f t="shared" si="1"/>
        <v>94936000</v>
      </c>
      <c r="M38">
        <v>131945</v>
      </c>
      <c r="N38">
        <v>129236</v>
      </c>
      <c r="O38">
        <v>2709</v>
      </c>
      <c r="P38" s="149">
        <f t="shared" si="0"/>
        <v>0.71951191784455648</v>
      </c>
      <c r="Q38">
        <v>3326</v>
      </c>
      <c r="R38">
        <v>1971</v>
      </c>
      <c r="S38" s="149">
        <v>3.5200000000000002E-2</v>
      </c>
    </row>
    <row r="39" spans="1:19" x14ac:dyDescent="0.25">
      <c r="A39" t="s">
        <v>348</v>
      </c>
      <c r="B39">
        <v>32688706.645036276</v>
      </c>
      <c r="C39">
        <v>25774969.645036276</v>
      </c>
      <c r="D39">
        <v>446455</v>
      </c>
      <c r="E39">
        <v>0</v>
      </c>
      <c r="F39">
        <v>5649345</v>
      </c>
      <c r="G39">
        <v>817937</v>
      </c>
      <c r="H39">
        <v>6741</v>
      </c>
      <c r="K39">
        <v>918293.35496372357</v>
      </c>
      <c r="L39">
        <f t="shared" si="1"/>
        <v>40348000</v>
      </c>
      <c r="M39">
        <v>51692</v>
      </c>
      <c r="N39">
        <v>53123</v>
      </c>
      <c r="O39">
        <v>-1431</v>
      </c>
      <c r="P39" s="149">
        <f t="shared" si="0"/>
        <v>0.78054631277567132</v>
      </c>
      <c r="Q39">
        <v>869</v>
      </c>
      <c r="R39">
        <v>108</v>
      </c>
      <c r="S39" s="149">
        <v>4.7100000000000003E-2</v>
      </c>
    </row>
    <row r="40" spans="1:19" x14ac:dyDescent="0.25">
      <c r="A40" t="s">
        <v>242</v>
      </c>
      <c r="B40">
        <v>11840830.532880612</v>
      </c>
      <c r="C40">
        <v>11229217.532880612</v>
      </c>
      <c r="D40">
        <v>100488</v>
      </c>
      <c r="E40">
        <v>0</v>
      </c>
      <c r="F40">
        <v>150843</v>
      </c>
      <c r="G40">
        <v>360282</v>
      </c>
      <c r="H40">
        <v>3282</v>
      </c>
      <c r="K40">
        <v>85169.467119388282</v>
      </c>
      <c r="L40">
        <f t="shared" si="1"/>
        <v>15208000</v>
      </c>
      <c r="M40">
        <v>34367</v>
      </c>
      <c r="N40">
        <v>35331</v>
      </c>
      <c r="O40">
        <v>-964</v>
      </c>
      <c r="P40" s="149">
        <f t="shared" si="0"/>
        <v>0.44251753135275118</v>
      </c>
      <c r="Q40">
        <v>887</v>
      </c>
      <c r="R40">
        <v>778</v>
      </c>
      <c r="S40" s="149">
        <v>5.1499999999999997E-2</v>
      </c>
    </row>
    <row r="41" spans="1:19" x14ac:dyDescent="0.25">
      <c r="A41" t="s">
        <v>243</v>
      </c>
      <c r="B41">
        <v>23518997.971682794</v>
      </c>
      <c r="C41">
        <v>21318623.971682794</v>
      </c>
      <c r="D41">
        <v>314346</v>
      </c>
      <c r="E41">
        <v>0</v>
      </c>
      <c r="F41">
        <v>892599</v>
      </c>
      <c r="G41">
        <v>993429</v>
      </c>
      <c r="H41">
        <v>5591</v>
      </c>
      <c r="K41">
        <v>210002.02831720561</v>
      </c>
      <c r="L41">
        <f t="shared" si="1"/>
        <v>29320000</v>
      </c>
      <c r="M41">
        <v>53920</v>
      </c>
      <c r="N41">
        <v>54023</v>
      </c>
      <c r="O41">
        <v>-103</v>
      </c>
      <c r="P41" s="149">
        <f t="shared" si="0"/>
        <v>0.54376854599406532</v>
      </c>
      <c r="Q41">
        <v>2127</v>
      </c>
      <c r="R41">
        <v>1065</v>
      </c>
      <c r="S41" s="149">
        <v>3.32E-2</v>
      </c>
    </row>
    <row r="42" spans="1:19" x14ac:dyDescent="0.25">
      <c r="A42" t="s">
        <v>285</v>
      </c>
      <c r="B42">
        <v>44924642.83068192</v>
      </c>
      <c r="C42">
        <v>41291944.83068192</v>
      </c>
      <c r="D42">
        <v>1367348</v>
      </c>
      <c r="E42">
        <v>0</v>
      </c>
      <c r="F42">
        <v>1340591</v>
      </c>
      <c r="G42">
        <v>924759</v>
      </c>
      <c r="H42">
        <v>8000</v>
      </c>
      <c r="K42">
        <v>416357.16931807995</v>
      </c>
      <c r="L42">
        <f t="shared" si="1"/>
        <v>53341000</v>
      </c>
      <c r="M42">
        <v>86972</v>
      </c>
      <c r="N42">
        <v>87197</v>
      </c>
      <c r="O42">
        <v>-225</v>
      </c>
      <c r="P42" s="149">
        <f t="shared" si="0"/>
        <v>0.61331233040518784</v>
      </c>
      <c r="Q42">
        <v>2456</v>
      </c>
      <c r="R42">
        <v>1050</v>
      </c>
      <c r="S42" s="149">
        <v>3.1600000000000003E-2</v>
      </c>
    </row>
    <row r="43" spans="1:19" x14ac:dyDescent="0.25">
      <c r="A43" t="s">
        <v>349</v>
      </c>
      <c r="B43">
        <v>14735914.587815426</v>
      </c>
      <c r="C43">
        <v>12968871.587815426</v>
      </c>
      <c r="D43">
        <v>84499</v>
      </c>
      <c r="E43">
        <v>0</v>
      </c>
      <c r="F43">
        <v>1360643</v>
      </c>
      <c r="G43">
        <v>321901</v>
      </c>
      <c r="H43">
        <v>2054</v>
      </c>
      <c r="K43">
        <v>205085.41218457371</v>
      </c>
      <c r="L43">
        <f t="shared" si="1"/>
        <v>16995000</v>
      </c>
      <c r="M43">
        <v>31938</v>
      </c>
      <c r="N43">
        <v>31881</v>
      </c>
      <c r="O43">
        <v>57</v>
      </c>
      <c r="P43" s="149">
        <f t="shared" si="0"/>
        <v>0.53212474168701862</v>
      </c>
      <c r="Q43">
        <v>440</v>
      </c>
      <c r="R43">
        <v>24</v>
      </c>
      <c r="S43" s="149">
        <v>4.7E-2</v>
      </c>
    </row>
    <row r="44" spans="1:19" x14ac:dyDescent="0.25">
      <c r="A44" t="s">
        <v>106</v>
      </c>
      <c r="B44">
        <v>46655600.535146348</v>
      </c>
      <c r="C44">
        <v>38664742.535146348</v>
      </c>
      <c r="D44">
        <v>1801819</v>
      </c>
      <c r="E44">
        <v>0</v>
      </c>
      <c r="F44">
        <v>5133651</v>
      </c>
      <c r="G44">
        <v>1055388</v>
      </c>
      <c r="H44">
        <v>9498</v>
      </c>
      <c r="K44">
        <v>1449399.4648536518</v>
      </c>
      <c r="L44">
        <f t="shared" si="1"/>
        <v>57603000</v>
      </c>
      <c r="M44">
        <v>69704</v>
      </c>
      <c r="N44">
        <v>69220</v>
      </c>
      <c r="O44">
        <v>484</v>
      </c>
      <c r="P44" s="149">
        <f t="shared" si="0"/>
        <v>0.82639446803626759</v>
      </c>
      <c r="Q44">
        <v>379</v>
      </c>
      <c r="R44">
        <v>38</v>
      </c>
      <c r="S44" s="149">
        <v>4.1200000000000001E-2</v>
      </c>
    </row>
    <row r="45" spans="1:19" x14ac:dyDescent="0.25">
      <c r="A45" t="s">
        <v>140</v>
      </c>
      <c r="B45">
        <v>34332952.489207357</v>
      </c>
      <c r="C45">
        <v>29605665.489207353</v>
      </c>
      <c r="D45">
        <v>1127717</v>
      </c>
      <c r="E45">
        <v>0</v>
      </c>
      <c r="F45">
        <v>2869298</v>
      </c>
      <c r="G45">
        <v>730272</v>
      </c>
      <c r="H45">
        <v>7439</v>
      </c>
      <c r="K45">
        <v>696047.51079264283</v>
      </c>
      <c r="L45">
        <f t="shared" si="1"/>
        <v>42468000</v>
      </c>
      <c r="M45">
        <v>66017</v>
      </c>
      <c r="N45">
        <v>67364</v>
      </c>
      <c r="O45">
        <v>-1347</v>
      </c>
      <c r="P45" s="149">
        <f t="shared" si="0"/>
        <v>0.64328884984170742</v>
      </c>
      <c r="Q45">
        <v>836</v>
      </c>
      <c r="R45">
        <v>10</v>
      </c>
      <c r="S45" s="149">
        <v>4.4900000000000002E-2</v>
      </c>
    </row>
    <row r="46" spans="1:19" x14ac:dyDescent="0.25">
      <c r="A46" t="s">
        <v>328</v>
      </c>
      <c r="B46">
        <v>32442433.97493453</v>
      </c>
      <c r="C46">
        <v>28879753.97493453</v>
      </c>
      <c r="D46">
        <v>741701</v>
      </c>
      <c r="E46">
        <v>0</v>
      </c>
      <c r="F46">
        <v>1779897</v>
      </c>
      <c r="G46">
        <v>1041082</v>
      </c>
      <c r="H46">
        <v>4828</v>
      </c>
      <c r="K46">
        <v>209566.02506547049</v>
      </c>
      <c r="L46">
        <f t="shared" si="1"/>
        <v>37480000</v>
      </c>
      <c r="M46">
        <v>56154</v>
      </c>
      <c r="N46">
        <v>57798</v>
      </c>
      <c r="O46">
        <v>-1644</v>
      </c>
      <c r="P46" s="149">
        <f t="shared" si="0"/>
        <v>0.66745022616376393</v>
      </c>
      <c r="Q46">
        <v>1271</v>
      </c>
      <c r="R46">
        <v>1332</v>
      </c>
      <c r="S46" s="149">
        <v>5.5399999999999998E-2</v>
      </c>
    </row>
    <row r="47" spans="1:19" x14ac:dyDescent="0.25">
      <c r="A47" t="s">
        <v>351</v>
      </c>
      <c r="B47">
        <v>61040220.073024109</v>
      </c>
      <c r="C47">
        <v>45451367.76592426</v>
      </c>
      <c r="D47">
        <v>4773707.4111468978</v>
      </c>
      <c r="E47">
        <v>0</v>
      </c>
      <c r="F47" s="102">
        <v>9864950.1356952805</v>
      </c>
      <c r="G47" s="102">
        <v>950194.76025766705</v>
      </c>
      <c r="H47" s="102">
        <v>9988.0151239322222</v>
      </c>
      <c r="I47" s="102"/>
      <c r="J47" s="102"/>
      <c r="K47" s="102">
        <v>1614830.4801197115</v>
      </c>
      <c r="L47" s="102">
        <v>72643065.677076042</v>
      </c>
      <c r="M47" s="102">
        <v>98010.781683237641</v>
      </c>
      <c r="N47" s="102">
        <v>97973.300658171123</v>
      </c>
      <c r="O47" s="102">
        <v>37.481025066517759</v>
      </c>
      <c r="P47" s="149">
        <v>0.74117423031939622</v>
      </c>
      <c r="Q47" s="102">
        <v>1622.8176725948747</v>
      </c>
      <c r="R47">
        <v>38</v>
      </c>
      <c r="S47" s="149">
        <v>4.1200000000000001E-2</v>
      </c>
    </row>
    <row r="48" spans="1:19" x14ac:dyDescent="0.25">
      <c r="A48" t="s">
        <v>352</v>
      </c>
      <c r="B48">
        <v>367371219.79704005</v>
      </c>
      <c r="C48">
        <v>269606631.79704005</v>
      </c>
      <c r="D48">
        <v>6195947</v>
      </c>
      <c r="E48">
        <v>37662680</v>
      </c>
      <c r="F48">
        <v>26508444</v>
      </c>
      <c r="G48">
        <v>27397517</v>
      </c>
      <c r="H48">
        <v>97255</v>
      </c>
      <c r="K48">
        <v>14084780.202959955</v>
      </c>
      <c r="L48">
        <f t="shared" si="1"/>
        <v>478711000</v>
      </c>
      <c r="M48">
        <v>678709</v>
      </c>
      <c r="N48">
        <v>684848</v>
      </c>
      <c r="O48">
        <v>-6139</v>
      </c>
      <c r="P48" s="149">
        <f t="shared" si="0"/>
        <v>0.70532584657047426</v>
      </c>
      <c r="Q48">
        <v>9839</v>
      </c>
      <c r="R48">
        <v>1560</v>
      </c>
      <c r="S48" s="149">
        <v>4.0399999999999998E-2</v>
      </c>
    </row>
    <row r="49" spans="1:19" x14ac:dyDescent="0.25">
      <c r="A49" t="s">
        <v>169</v>
      </c>
      <c r="B49">
        <v>53815489.349316932</v>
      </c>
      <c r="C49">
        <v>46054071.349316932</v>
      </c>
      <c r="D49">
        <v>2346926</v>
      </c>
      <c r="E49">
        <v>0</v>
      </c>
      <c r="F49">
        <v>4462783</v>
      </c>
      <c r="G49">
        <v>951709</v>
      </c>
      <c r="H49">
        <v>9850</v>
      </c>
      <c r="K49">
        <v>839510.65068306774</v>
      </c>
      <c r="L49">
        <f t="shared" si="1"/>
        <v>64505000</v>
      </c>
      <c r="M49">
        <v>82486</v>
      </c>
      <c r="N49">
        <v>83677</v>
      </c>
      <c r="O49">
        <v>-1191</v>
      </c>
      <c r="P49" s="149">
        <f t="shared" si="0"/>
        <v>0.78201149285939431</v>
      </c>
      <c r="Q49">
        <v>716</v>
      </c>
      <c r="R49">
        <v>27</v>
      </c>
      <c r="S49" s="149">
        <v>5.1299999999999998E-2</v>
      </c>
    </row>
    <row r="50" spans="1:19" x14ac:dyDescent="0.25">
      <c r="A50" t="s">
        <v>170</v>
      </c>
      <c r="B50">
        <v>31581607.261586193</v>
      </c>
      <c r="C50">
        <v>28077381.261586193</v>
      </c>
      <c r="D50">
        <v>486059</v>
      </c>
      <c r="E50">
        <v>0</v>
      </c>
      <c r="F50">
        <v>2240442</v>
      </c>
      <c r="G50">
        <v>777725</v>
      </c>
      <c r="H50">
        <v>8437</v>
      </c>
      <c r="K50">
        <v>973392.738413807</v>
      </c>
      <c r="L50">
        <f t="shared" si="1"/>
        <v>40992000</v>
      </c>
      <c r="M50">
        <v>51756</v>
      </c>
      <c r="N50">
        <v>51788</v>
      </c>
      <c r="O50">
        <v>-32</v>
      </c>
      <c r="P50" s="149">
        <f t="shared" si="0"/>
        <v>0.79202411314630183</v>
      </c>
      <c r="Q50">
        <v>511</v>
      </c>
      <c r="R50">
        <v>17</v>
      </c>
      <c r="S50" s="149">
        <v>3.8800000000000001E-2</v>
      </c>
    </row>
    <row r="51" spans="1:19" x14ac:dyDescent="0.25">
      <c r="A51" t="s">
        <v>400</v>
      </c>
      <c r="B51">
        <v>61571603.821887575</v>
      </c>
      <c r="C51">
        <v>48699683.821887575</v>
      </c>
      <c r="D51">
        <v>952115</v>
      </c>
      <c r="E51">
        <v>0</v>
      </c>
      <c r="F51">
        <v>11009117</v>
      </c>
      <c r="G51">
        <v>910688</v>
      </c>
      <c r="H51">
        <v>14358</v>
      </c>
      <c r="K51">
        <v>3516396.1781124249</v>
      </c>
      <c r="L51">
        <f t="shared" si="1"/>
        <v>79446000</v>
      </c>
      <c r="M51">
        <v>100525</v>
      </c>
      <c r="N51">
        <v>105018</v>
      </c>
      <c r="O51">
        <v>-4493</v>
      </c>
      <c r="P51" s="149">
        <f t="shared" si="0"/>
        <v>0.79031086794329763</v>
      </c>
      <c r="Q51">
        <v>2279</v>
      </c>
      <c r="R51">
        <v>40</v>
      </c>
      <c r="S51" s="149">
        <v>5.74E-2</v>
      </c>
    </row>
    <row r="52" spans="1:19" x14ac:dyDescent="0.25">
      <c r="A52" t="s">
        <v>214</v>
      </c>
      <c r="B52">
        <v>17381734.824411627</v>
      </c>
      <c r="C52">
        <v>15798703.824411627</v>
      </c>
      <c r="D52">
        <v>701708</v>
      </c>
      <c r="E52">
        <v>0</v>
      </c>
      <c r="F52">
        <v>478506</v>
      </c>
      <c r="G52">
        <v>402817</v>
      </c>
      <c r="H52">
        <v>3637</v>
      </c>
      <c r="K52">
        <v>555265.17558837309</v>
      </c>
      <c r="L52">
        <f t="shared" si="1"/>
        <v>21574000</v>
      </c>
      <c r="M52">
        <v>31648</v>
      </c>
      <c r="N52">
        <v>32816</v>
      </c>
      <c r="O52">
        <v>-1168</v>
      </c>
      <c r="P52" s="149">
        <f t="shared" si="0"/>
        <v>0.6816860465116279</v>
      </c>
      <c r="Q52">
        <v>845</v>
      </c>
      <c r="R52">
        <v>1</v>
      </c>
      <c r="S52" s="149">
        <v>5.4100000000000002E-2</v>
      </c>
    </row>
    <row r="53" spans="1:19" x14ac:dyDescent="0.25">
      <c r="A53" t="s">
        <v>215</v>
      </c>
      <c r="B53">
        <v>25976561.788759217</v>
      </c>
      <c r="C53">
        <v>23891491.788759217</v>
      </c>
      <c r="D53">
        <v>401413</v>
      </c>
      <c r="E53">
        <v>0</v>
      </c>
      <c r="F53">
        <v>1070460</v>
      </c>
      <c r="G53">
        <v>613197</v>
      </c>
      <c r="H53">
        <v>4494</v>
      </c>
      <c r="K53">
        <v>473438.21124078333</v>
      </c>
      <c r="L53">
        <f t="shared" si="1"/>
        <v>30944000</v>
      </c>
      <c r="M53">
        <v>55685</v>
      </c>
      <c r="N53">
        <v>54421</v>
      </c>
      <c r="O53">
        <v>1264</v>
      </c>
      <c r="P53" s="149">
        <f t="shared" si="0"/>
        <v>0.55569722546466738</v>
      </c>
      <c r="Q53">
        <v>1905</v>
      </c>
      <c r="R53">
        <v>881</v>
      </c>
      <c r="S53" s="149">
        <v>4.2299999999999997E-2</v>
      </c>
    </row>
    <row r="54" spans="1:19" x14ac:dyDescent="0.25">
      <c r="A54" t="s">
        <v>171</v>
      </c>
      <c r="B54">
        <v>35071873.012865737</v>
      </c>
      <c r="C54">
        <v>31246412.012865733</v>
      </c>
      <c r="D54">
        <v>750713</v>
      </c>
      <c r="E54">
        <v>0</v>
      </c>
      <c r="F54">
        <v>2308518</v>
      </c>
      <c r="G54">
        <v>766230</v>
      </c>
      <c r="H54">
        <v>6357</v>
      </c>
      <c r="K54">
        <v>680126.98713426292</v>
      </c>
      <c r="L54">
        <f t="shared" si="1"/>
        <v>42109000</v>
      </c>
      <c r="M54">
        <v>62363</v>
      </c>
      <c r="N54">
        <v>62948</v>
      </c>
      <c r="O54">
        <v>-585</v>
      </c>
      <c r="P54" s="149">
        <f t="shared" si="0"/>
        <v>0.67522409120792781</v>
      </c>
      <c r="Q54">
        <v>1673</v>
      </c>
      <c r="R54">
        <v>1363</v>
      </c>
      <c r="S54" s="149">
        <v>5.0799999999999998E-2</v>
      </c>
    </row>
    <row r="55" spans="1:19" x14ac:dyDescent="0.25">
      <c r="A55" t="s">
        <v>287</v>
      </c>
      <c r="B55">
        <v>122153847.39267451</v>
      </c>
      <c r="C55">
        <v>110184199.39267451</v>
      </c>
      <c r="D55">
        <v>3375985</v>
      </c>
      <c r="E55">
        <v>0</v>
      </c>
      <c r="F55">
        <v>6759703</v>
      </c>
      <c r="G55">
        <v>1833960</v>
      </c>
      <c r="H55">
        <v>43306</v>
      </c>
      <c r="K55">
        <v>1121152.6073254943</v>
      </c>
      <c r="L55">
        <f t="shared" si="1"/>
        <v>166581000</v>
      </c>
      <c r="M55">
        <v>217048</v>
      </c>
      <c r="N55">
        <v>225861</v>
      </c>
      <c r="O55">
        <v>-8813</v>
      </c>
      <c r="P55" s="149">
        <f t="shared" si="0"/>
        <v>0.76748461169879478</v>
      </c>
      <c r="Q55">
        <v>6583</v>
      </c>
      <c r="R55">
        <v>95</v>
      </c>
      <c r="S55" s="149">
        <v>4.7500000000000001E-2</v>
      </c>
    </row>
    <row r="56" spans="1:19" x14ac:dyDescent="0.25">
      <c r="A56" t="s">
        <v>244</v>
      </c>
      <c r="B56">
        <v>43427760.930644371</v>
      </c>
      <c r="C56">
        <v>40892678.930644371</v>
      </c>
      <c r="D56">
        <v>602147</v>
      </c>
      <c r="E56">
        <v>0</v>
      </c>
      <c r="F56">
        <v>921210</v>
      </c>
      <c r="G56">
        <v>1011725</v>
      </c>
      <c r="H56">
        <v>9522</v>
      </c>
      <c r="K56">
        <v>218239.06935562938</v>
      </c>
      <c r="L56">
        <f t="shared" si="1"/>
        <v>53168000</v>
      </c>
      <c r="M56">
        <v>71399</v>
      </c>
      <c r="N56">
        <v>75903</v>
      </c>
      <c r="O56">
        <v>-4504</v>
      </c>
      <c r="P56" s="149">
        <f t="shared" si="0"/>
        <v>0.744660289359795</v>
      </c>
      <c r="Q56">
        <v>1985</v>
      </c>
      <c r="R56">
        <v>1105</v>
      </c>
      <c r="S56" s="149">
        <v>5.5399999999999998E-2</v>
      </c>
    </row>
    <row r="57" spans="1:19" x14ac:dyDescent="0.25">
      <c r="A57" t="s">
        <v>107</v>
      </c>
      <c r="B57">
        <v>62149258.277509794</v>
      </c>
      <c r="C57">
        <v>54961497.277509794</v>
      </c>
      <c r="D57">
        <v>1004767</v>
      </c>
      <c r="E57">
        <v>0</v>
      </c>
      <c r="F57">
        <v>4569062</v>
      </c>
      <c r="G57">
        <v>1613932</v>
      </c>
      <c r="H57">
        <v>14305</v>
      </c>
      <c r="K57">
        <v>998741.72249020636</v>
      </c>
      <c r="L57">
        <f t="shared" si="1"/>
        <v>77453000</v>
      </c>
      <c r="M57">
        <v>107588</v>
      </c>
      <c r="N57">
        <v>106859</v>
      </c>
      <c r="O57">
        <v>729</v>
      </c>
      <c r="P57" s="149">
        <f t="shared" si="0"/>
        <v>0.7199037067330929</v>
      </c>
      <c r="Q57">
        <v>1071</v>
      </c>
      <c r="R57">
        <v>204</v>
      </c>
      <c r="S57" s="149">
        <v>2.7E-2</v>
      </c>
    </row>
    <row r="58" spans="1:19" ht="12" customHeight="1" x14ac:dyDescent="0.25">
      <c r="A58" t="s">
        <v>353</v>
      </c>
      <c r="B58">
        <v>31978689.318216834</v>
      </c>
      <c r="C58">
        <v>26885187.318216834</v>
      </c>
      <c r="D58">
        <v>667851</v>
      </c>
      <c r="E58">
        <v>0</v>
      </c>
      <c r="F58">
        <v>2163789</v>
      </c>
      <c r="G58">
        <v>2261862</v>
      </c>
      <c r="H58">
        <v>5717</v>
      </c>
      <c r="K58">
        <v>356310.68178316578</v>
      </c>
      <c r="L58">
        <f t="shared" si="1"/>
        <v>38052000</v>
      </c>
      <c r="M58">
        <v>65459</v>
      </c>
      <c r="N58">
        <v>59119</v>
      </c>
      <c r="O58">
        <v>6340</v>
      </c>
      <c r="P58" s="149">
        <f t="shared" si="0"/>
        <v>0.58131043859515119</v>
      </c>
      <c r="Q58">
        <v>1085</v>
      </c>
      <c r="R58">
        <v>254</v>
      </c>
      <c r="S58" s="149">
        <v>6.4999999999999997E-3</v>
      </c>
    </row>
    <row r="59" spans="1:19" x14ac:dyDescent="0.25">
      <c r="A59" t="s">
        <v>172</v>
      </c>
      <c r="B59">
        <v>47235352.363928407</v>
      </c>
      <c r="C59">
        <v>42361852.363928407</v>
      </c>
      <c r="D59">
        <v>323283</v>
      </c>
      <c r="E59">
        <v>0</v>
      </c>
      <c r="F59">
        <v>3767033</v>
      </c>
      <c r="G59">
        <v>783184</v>
      </c>
      <c r="H59">
        <v>10993</v>
      </c>
      <c r="K59">
        <v>1252647.6360715926</v>
      </c>
      <c r="L59">
        <f t="shared" si="1"/>
        <v>59481000</v>
      </c>
      <c r="M59">
        <v>81020</v>
      </c>
      <c r="N59">
        <v>82342</v>
      </c>
      <c r="O59">
        <v>-1322</v>
      </c>
      <c r="P59" s="149">
        <f t="shared" si="0"/>
        <v>0.73415206121945198</v>
      </c>
      <c r="Q59">
        <v>3366</v>
      </c>
      <c r="R59">
        <v>2065</v>
      </c>
      <c r="S59" s="149">
        <v>4.36E-2</v>
      </c>
    </row>
    <row r="60" spans="1:19" x14ac:dyDescent="0.25">
      <c r="A60" t="s">
        <v>141</v>
      </c>
      <c r="B60">
        <v>38933053.923334382</v>
      </c>
      <c r="C60">
        <v>34352046.923334382</v>
      </c>
      <c r="D60">
        <v>771187</v>
      </c>
      <c r="E60">
        <v>0</v>
      </c>
      <c r="F60">
        <v>3239045</v>
      </c>
      <c r="G60">
        <v>570775</v>
      </c>
      <c r="H60">
        <v>5409</v>
      </c>
      <c r="K60">
        <v>545946.07666561753</v>
      </c>
      <c r="L60">
        <f t="shared" si="1"/>
        <v>44888000</v>
      </c>
      <c r="M60">
        <v>67799</v>
      </c>
      <c r="N60">
        <v>69616</v>
      </c>
      <c r="O60">
        <v>-1817</v>
      </c>
      <c r="P60" s="149">
        <f t="shared" si="0"/>
        <v>0.6620746618681691</v>
      </c>
      <c r="Q60">
        <v>460</v>
      </c>
      <c r="R60">
        <v>100</v>
      </c>
      <c r="S60" s="149">
        <v>5.62E-2</v>
      </c>
    </row>
    <row r="61" spans="1:19" x14ac:dyDescent="0.25">
      <c r="A61" t="s">
        <v>127</v>
      </c>
      <c r="B61">
        <v>36838785.157024369</v>
      </c>
      <c r="C61">
        <v>29681867.157024369</v>
      </c>
      <c r="D61">
        <v>911978</v>
      </c>
      <c r="E61">
        <v>0</v>
      </c>
      <c r="F61">
        <v>5605475</v>
      </c>
      <c r="G61">
        <v>639465</v>
      </c>
      <c r="H61">
        <v>8867</v>
      </c>
      <c r="K61">
        <v>1529214.8429756314</v>
      </c>
      <c r="L61">
        <f t="shared" si="1"/>
        <v>47235000</v>
      </c>
      <c r="M61">
        <v>52595</v>
      </c>
      <c r="N61">
        <v>52888</v>
      </c>
      <c r="O61">
        <v>-293</v>
      </c>
      <c r="P61" s="149">
        <f t="shared" si="0"/>
        <v>0.89808917197452232</v>
      </c>
      <c r="Q61">
        <v>301</v>
      </c>
      <c r="R61">
        <v>47</v>
      </c>
      <c r="S61" s="149">
        <v>5.0500000000000003E-2</v>
      </c>
    </row>
    <row r="62" spans="1:19" x14ac:dyDescent="0.25">
      <c r="A62" t="s">
        <v>216</v>
      </c>
      <c r="B62">
        <v>54157091.842368327</v>
      </c>
      <c r="C62">
        <v>51232928.842368327</v>
      </c>
      <c r="D62">
        <v>670218</v>
      </c>
      <c r="E62">
        <v>0</v>
      </c>
      <c r="F62">
        <v>1346494</v>
      </c>
      <c r="G62">
        <v>907451</v>
      </c>
      <c r="H62">
        <v>9269</v>
      </c>
      <c r="K62">
        <v>290908.15763167292</v>
      </c>
      <c r="L62">
        <f t="shared" si="1"/>
        <v>63717000</v>
      </c>
      <c r="M62">
        <v>107298</v>
      </c>
      <c r="N62">
        <v>108364</v>
      </c>
      <c r="O62">
        <v>-1066</v>
      </c>
      <c r="P62" s="149">
        <f t="shared" ref="P62:P123" si="2">L62/(M62*1000)</f>
        <v>0.59383213107420452</v>
      </c>
      <c r="Q62">
        <v>2081</v>
      </c>
      <c r="R62">
        <v>1025</v>
      </c>
      <c r="S62" s="149">
        <v>3.95E-2</v>
      </c>
    </row>
    <row r="63" spans="1:19" x14ac:dyDescent="0.25">
      <c r="A63" t="s">
        <v>525</v>
      </c>
      <c r="B63">
        <v>79343584.304911181</v>
      </c>
      <c r="C63">
        <v>72534855.304911181</v>
      </c>
      <c r="D63">
        <v>953205</v>
      </c>
      <c r="E63">
        <v>0</v>
      </c>
      <c r="F63">
        <v>3637201</v>
      </c>
      <c r="G63">
        <v>2218323</v>
      </c>
      <c r="H63">
        <v>20798</v>
      </c>
      <c r="K63">
        <v>758415.69508881867</v>
      </c>
      <c r="L63">
        <f t="shared" ref="L63:L124" si="3">SUM(B63,H63*1000,K63)</f>
        <v>100900000</v>
      </c>
      <c r="M63">
        <v>131223</v>
      </c>
      <c r="N63">
        <v>135225</v>
      </c>
      <c r="O63">
        <v>-4002</v>
      </c>
      <c r="P63" s="149">
        <f t="shared" si="2"/>
        <v>0.76892008260746969</v>
      </c>
      <c r="Q63">
        <v>2501</v>
      </c>
      <c r="R63">
        <v>909</v>
      </c>
      <c r="S63" s="149">
        <v>4.5199999999999997E-2</v>
      </c>
    </row>
    <row r="64" spans="1:19" x14ac:dyDescent="0.25">
      <c r="A64" t="s">
        <v>217</v>
      </c>
      <c r="B64">
        <v>54022545.376114249</v>
      </c>
      <c r="C64">
        <v>50281683.376114249</v>
      </c>
      <c r="D64">
        <v>816162</v>
      </c>
      <c r="E64">
        <v>0</v>
      </c>
      <c r="F64">
        <v>1773416</v>
      </c>
      <c r="G64">
        <v>1151284</v>
      </c>
      <c r="H64">
        <v>12950</v>
      </c>
      <c r="K64">
        <v>399454.62388575077</v>
      </c>
      <c r="L64">
        <f t="shared" si="3"/>
        <v>67372000</v>
      </c>
      <c r="M64">
        <v>91784</v>
      </c>
      <c r="N64">
        <v>95923</v>
      </c>
      <c r="O64">
        <v>-4139</v>
      </c>
      <c r="P64" s="149">
        <f t="shared" si="2"/>
        <v>0.7340277172491938</v>
      </c>
      <c r="Q64">
        <v>2961</v>
      </c>
      <c r="R64">
        <v>2336</v>
      </c>
      <c r="S64" s="149">
        <v>5.0999999999999997E-2</v>
      </c>
    </row>
    <row r="65" spans="1:19" x14ac:dyDescent="0.25">
      <c r="A65" t="s">
        <v>115</v>
      </c>
      <c r="B65">
        <v>34038482.864949659</v>
      </c>
      <c r="C65">
        <v>31455259.864949659</v>
      </c>
      <c r="D65">
        <v>482592</v>
      </c>
      <c r="E65">
        <v>0</v>
      </c>
      <c r="F65">
        <v>1262396</v>
      </c>
      <c r="G65">
        <v>838235</v>
      </c>
      <c r="H65">
        <v>5544</v>
      </c>
      <c r="K65">
        <v>512517.13505034149</v>
      </c>
      <c r="L65">
        <f t="shared" si="3"/>
        <v>40095000</v>
      </c>
      <c r="M65">
        <v>52620</v>
      </c>
      <c r="N65">
        <v>53458</v>
      </c>
      <c r="O65">
        <v>-838</v>
      </c>
      <c r="P65" s="149">
        <f t="shared" si="2"/>
        <v>0.76197263397947546</v>
      </c>
      <c r="Q65">
        <v>505</v>
      </c>
      <c r="R65">
        <v>37</v>
      </c>
      <c r="S65" s="149">
        <v>5.0299999999999997E-2</v>
      </c>
    </row>
    <row r="66" spans="1:19" x14ac:dyDescent="0.25">
      <c r="A66" t="s">
        <v>288</v>
      </c>
      <c r="B66">
        <v>213136986.40865636</v>
      </c>
      <c r="C66">
        <v>165675498.40865636</v>
      </c>
      <c r="D66">
        <v>2782054</v>
      </c>
      <c r="E66">
        <v>20945082</v>
      </c>
      <c r="F66">
        <v>13401201</v>
      </c>
      <c r="G66">
        <v>10333151</v>
      </c>
      <c r="H66">
        <v>69932</v>
      </c>
      <c r="K66">
        <v>4965013.5913436413</v>
      </c>
      <c r="L66">
        <f t="shared" si="3"/>
        <v>288034000</v>
      </c>
      <c r="M66">
        <v>383107</v>
      </c>
      <c r="N66">
        <v>391949</v>
      </c>
      <c r="O66">
        <v>-8842</v>
      </c>
      <c r="P66" s="149">
        <f t="shared" si="2"/>
        <v>0.75183695416685159</v>
      </c>
      <c r="Q66">
        <v>8134</v>
      </c>
      <c r="R66">
        <v>3307</v>
      </c>
      <c r="S66" s="149">
        <v>4.3299999999999998E-2</v>
      </c>
    </row>
    <row r="67" spans="1:19" x14ac:dyDescent="0.25">
      <c r="A67" t="s">
        <v>245</v>
      </c>
      <c r="B67">
        <v>124015404.8889281</v>
      </c>
      <c r="C67">
        <v>95499078.8889281</v>
      </c>
      <c r="D67">
        <v>3166613</v>
      </c>
      <c r="E67">
        <v>10879467</v>
      </c>
      <c r="F67">
        <v>7559034</v>
      </c>
      <c r="G67">
        <v>6911212</v>
      </c>
      <c r="H67">
        <v>29140</v>
      </c>
      <c r="K67">
        <v>2543595.1110718995</v>
      </c>
      <c r="L67">
        <f t="shared" si="3"/>
        <v>155699000</v>
      </c>
      <c r="M67">
        <v>196826</v>
      </c>
      <c r="N67">
        <v>203220</v>
      </c>
      <c r="O67">
        <v>-6394</v>
      </c>
      <c r="P67" s="149">
        <f t="shared" si="2"/>
        <v>0.79104894678548565</v>
      </c>
      <c r="Q67">
        <v>2696</v>
      </c>
      <c r="R67">
        <v>776</v>
      </c>
      <c r="S67" s="149">
        <v>5.2999999999999999E-2</v>
      </c>
    </row>
    <row r="68" spans="1:19" x14ac:dyDescent="0.25">
      <c r="A68" t="s">
        <v>355</v>
      </c>
      <c r="B68">
        <v>52120595.545600504</v>
      </c>
      <c r="C68">
        <v>44615413.545600504</v>
      </c>
      <c r="D68">
        <v>2051575</v>
      </c>
      <c r="E68">
        <v>0</v>
      </c>
      <c r="F68">
        <v>4649246</v>
      </c>
      <c r="G68">
        <v>804361</v>
      </c>
      <c r="H68">
        <v>6326</v>
      </c>
      <c r="K68">
        <v>7755404.4543994963</v>
      </c>
      <c r="L68">
        <f t="shared" si="3"/>
        <v>66202000</v>
      </c>
      <c r="M68">
        <v>99527</v>
      </c>
      <c r="N68">
        <v>101022</v>
      </c>
      <c r="O68">
        <v>-1495</v>
      </c>
      <c r="P68" s="149">
        <f t="shared" si="2"/>
        <v>0.66516623629768812</v>
      </c>
      <c r="Q68">
        <v>1072</v>
      </c>
      <c r="R68">
        <v>296</v>
      </c>
      <c r="S68" s="149">
        <v>4.5999999999999999E-2</v>
      </c>
    </row>
    <row r="69" spans="1:19" x14ac:dyDescent="0.25">
      <c r="A69" t="s">
        <v>142</v>
      </c>
      <c r="B69">
        <v>218097028.98705932</v>
      </c>
      <c r="C69">
        <v>163406691.98705932</v>
      </c>
      <c r="D69">
        <v>2740684</v>
      </c>
      <c r="E69">
        <v>22473684</v>
      </c>
      <c r="F69">
        <v>19366170</v>
      </c>
      <c r="G69">
        <v>10109799</v>
      </c>
      <c r="H69">
        <v>52215</v>
      </c>
      <c r="K69">
        <v>6247971.012940675</v>
      </c>
      <c r="L69">
        <f t="shared" si="3"/>
        <v>276560000</v>
      </c>
      <c r="M69">
        <v>355379</v>
      </c>
      <c r="N69">
        <v>357687</v>
      </c>
      <c r="O69">
        <v>-2308</v>
      </c>
      <c r="P69" s="149">
        <f t="shared" si="2"/>
        <v>0.77821143061351405</v>
      </c>
      <c r="Q69">
        <v>4071</v>
      </c>
      <c r="R69">
        <v>1533</v>
      </c>
      <c r="S69" s="149">
        <v>4.4400000000000002E-2</v>
      </c>
    </row>
    <row r="70" spans="1:19" x14ac:dyDescent="0.25">
      <c r="A70" t="s">
        <v>246</v>
      </c>
      <c r="B70">
        <v>44393713.76251293</v>
      </c>
      <c r="C70">
        <v>40487890.76251293</v>
      </c>
      <c r="D70">
        <v>726625</v>
      </c>
      <c r="E70">
        <v>0</v>
      </c>
      <c r="F70">
        <v>2094250</v>
      </c>
      <c r="G70">
        <v>1084948</v>
      </c>
      <c r="H70">
        <v>14485</v>
      </c>
      <c r="K70">
        <v>1416286.2374870703</v>
      </c>
      <c r="L70">
        <f t="shared" si="3"/>
        <v>60295000</v>
      </c>
      <c r="M70">
        <v>100196</v>
      </c>
      <c r="N70">
        <v>100769</v>
      </c>
      <c r="O70">
        <v>-573</v>
      </c>
      <c r="P70" s="149">
        <f t="shared" si="2"/>
        <v>0.60177052976166712</v>
      </c>
      <c r="Q70">
        <v>2599</v>
      </c>
      <c r="R70">
        <v>759</v>
      </c>
      <c r="S70" s="149">
        <v>3.8399999999999997E-2</v>
      </c>
    </row>
    <row r="71" spans="1:19" x14ac:dyDescent="0.25">
      <c r="A71" t="s">
        <v>772</v>
      </c>
      <c r="B71">
        <v>129773603.1879285</v>
      </c>
      <c r="C71">
        <v>114838422.1879285</v>
      </c>
      <c r="D71">
        <v>5940611</v>
      </c>
      <c r="E71">
        <v>0</v>
      </c>
      <c r="F71">
        <v>6553963</v>
      </c>
      <c r="G71">
        <v>2440607</v>
      </c>
      <c r="H71">
        <v>26857</v>
      </c>
      <c r="K71">
        <v>1970970.8523139358</v>
      </c>
      <c r="L71">
        <v>158601574.04024243</v>
      </c>
      <c r="M71">
        <v>236097</v>
      </c>
      <c r="N71">
        <v>248795</v>
      </c>
      <c r="O71">
        <v>-12698</v>
      </c>
      <c r="P71" s="149">
        <f t="shared" si="2"/>
        <v>0.67176446138766033</v>
      </c>
      <c r="Q71">
        <v>5758</v>
      </c>
      <c r="R71">
        <v>1932</v>
      </c>
      <c r="S71" s="149">
        <v>5.5E-2</v>
      </c>
    </row>
    <row r="72" spans="1:19" x14ac:dyDescent="0.25">
      <c r="A72" t="s">
        <v>143</v>
      </c>
      <c r="B72">
        <v>36068581.409031838</v>
      </c>
      <c r="C72">
        <v>31550410.409031834</v>
      </c>
      <c r="D72">
        <v>1366739</v>
      </c>
      <c r="E72">
        <v>0</v>
      </c>
      <c r="F72">
        <v>2479947</v>
      </c>
      <c r="G72">
        <v>671485</v>
      </c>
      <c r="H72">
        <v>6772</v>
      </c>
      <c r="K72">
        <v>1174418.5909681618</v>
      </c>
      <c r="L72">
        <f t="shared" si="3"/>
        <v>44015000</v>
      </c>
      <c r="M72">
        <v>61105</v>
      </c>
      <c r="N72">
        <v>62342</v>
      </c>
      <c r="O72">
        <v>-1237</v>
      </c>
      <c r="P72" s="149">
        <f t="shared" si="2"/>
        <v>0.72031748629408399</v>
      </c>
      <c r="Q72">
        <v>1025</v>
      </c>
      <c r="R72">
        <v>35</v>
      </c>
      <c r="S72" s="149">
        <v>5.4300000000000001E-2</v>
      </c>
    </row>
    <row r="73" spans="1:19" x14ac:dyDescent="0.25">
      <c r="A73" t="s">
        <v>173</v>
      </c>
      <c r="B73">
        <v>20761934.366713036</v>
      </c>
      <c r="C73">
        <v>18150604.366713036</v>
      </c>
      <c r="D73">
        <v>146999</v>
      </c>
      <c r="E73">
        <v>0</v>
      </c>
      <c r="F73">
        <v>1873833</v>
      </c>
      <c r="G73">
        <v>590498</v>
      </c>
      <c r="H73">
        <v>5740</v>
      </c>
      <c r="K73">
        <v>3758065.6332869641</v>
      </c>
      <c r="L73">
        <f t="shared" si="3"/>
        <v>30260000</v>
      </c>
      <c r="M73">
        <v>33948</v>
      </c>
      <c r="N73">
        <v>34595</v>
      </c>
      <c r="O73">
        <v>-647</v>
      </c>
      <c r="P73" s="149">
        <f t="shared" si="2"/>
        <v>0.89136326145870159</v>
      </c>
      <c r="Q73">
        <v>792</v>
      </c>
      <c r="R73">
        <v>653</v>
      </c>
      <c r="S73" s="149">
        <v>5.6300000000000003E-2</v>
      </c>
    </row>
    <row r="74" spans="1:19" x14ac:dyDescent="0.25">
      <c r="A74" t="s">
        <v>174</v>
      </c>
      <c r="B74">
        <v>155680925.45770273</v>
      </c>
      <c r="C74">
        <v>91457684.457702726</v>
      </c>
      <c r="D74">
        <v>2388231</v>
      </c>
      <c r="E74">
        <v>36337642</v>
      </c>
      <c r="F74">
        <v>9590761</v>
      </c>
      <c r="G74">
        <v>15906607</v>
      </c>
      <c r="H74">
        <v>26695</v>
      </c>
      <c r="K74">
        <v>4496074.5422972739</v>
      </c>
      <c r="L74">
        <f t="shared" si="3"/>
        <v>186872000</v>
      </c>
      <c r="M74">
        <v>231025</v>
      </c>
      <c r="N74">
        <v>230867</v>
      </c>
      <c r="O74">
        <v>158</v>
      </c>
      <c r="P74" s="149">
        <f t="shared" si="2"/>
        <v>0.80888215561086463</v>
      </c>
      <c r="Q74">
        <v>1789</v>
      </c>
      <c r="R74">
        <v>87</v>
      </c>
      <c r="S74" s="149">
        <v>5.16E-2</v>
      </c>
    </row>
    <row r="75" spans="1:19" x14ac:dyDescent="0.25">
      <c r="A75" t="s">
        <v>356</v>
      </c>
      <c r="B75">
        <v>35902915.16605489</v>
      </c>
      <c r="C75">
        <v>33237295.16605489</v>
      </c>
      <c r="D75">
        <v>377354</v>
      </c>
      <c r="E75">
        <v>0</v>
      </c>
      <c r="F75">
        <v>1724577</v>
      </c>
      <c r="G75">
        <v>563689</v>
      </c>
      <c r="H75">
        <v>7014</v>
      </c>
      <c r="K75">
        <v>540084.83394511044</v>
      </c>
      <c r="L75">
        <f t="shared" si="3"/>
        <v>43457000</v>
      </c>
      <c r="M75">
        <v>64186</v>
      </c>
      <c r="N75">
        <v>64588</v>
      </c>
      <c r="O75">
        <v>-402</v>
      </c>
      <c r="P75" s="149">
        <f t="shared" si="2"/>
        <v>0.67704795438257559</v>
      </c>
      <c r="Q75">
        <v>506</v>
      </c>
      <c r="R75">
        <v>132</v>
      </c>
      <c r="S75" s="149">
        <v>4.3999999999999997E-2</v>
      </c>
    </row>
    <row r="76" spans="1:19" x14ac:dyDescent="0.25">
      <c r="A76" t="s">
        <v>289</v>
      </c>
      <c r="B76">
        <v>308410940.20896304</v>
      </c>
      <c r="C76">
        <v>208937569.20896301</v>
      </c>
      <c r="D76">
        <v>6938470</v>
      </c>
      <c r="E76">
        <v>47262778</v>
      </c>
      <c r="F76">
        <v>22437724</v>
      </c>
      <c r="G76">
        <v>22834399</v>
      </c>
      <c r="H76">
        <v>72938</v>
      </c>
      <c r="K76">
        <v>10586059.791036963</v>
      </c>
      <c r="L76">
        <f t="shared" si="3"/>
        <v>391935000</v>
      </c>
      <c r="M76">
        <v>510346</v>
      </c>
      <c r="N76">
        <v>516175</v>
      </c>
      <c r="O76">
        <v>-5829</v>
      </c>
      <c r="P76" s="149">
        <f t="shared" si="2"/>
        <v>0.76797897896721046</v>
      </c>
      <c r="Q76">
        <v>19209</v>
      </c>
      <c r="R76">
        <v>11199</v>
      </c>
      <c r="S76" s="149">
        <v>5.33E-2</v>
      </c>
    </row>
    <row r="77" spans="1:19" x14ac:dyDescent="0.25">
      <c r="A77" t="s">
        <v>247</v>
      </c>
      <c r="B77">
        <v>26153906.846171748</v>
      </c>
      <c r="C77">
        <v>23766006.846171748</v>
      </c>
      <c r="D77">
        <v>536725</v>
      </c>
      <c r="E77">
        <v>0</v>
      </c>
      <c r="F77">
        <v>1311790</v>
      </c>
      <c r="G77">
        <v>539385</v>
      </c>
      <c r="H77">
        <v>4531</v>
      </c>
      <c r="K77">
        <v>370093.15382825211</v>
      </c>
      <c r="L77">
        <f t="shared" si="3"/>
        <v>31055000</v>
      </c>
      <c r="M77">
        <v>51553</v>
      </c>
      <c r="N77">
        <v>52361</v>
      </c>
      <c r="O77">
        <v>-808</v>
      </c>
      <c r="P77" s="149">
        <f t="shared" si="2"/>
        <v>0.60238977363102053</v>
      </c>
      <c r="Q77">
        <v>577</v>
      </c>
      <c r="R77">
        <v>26</v>
      </c>
      <c r="S77" s="149">
        <v>5.6300000000000003E-2</v>
      </c>
    </row>
    <row r="78" spans="1:19" x14ac:dyDescent="0.25">
      <c r="A78" t="s">
        <v>357</v>
      </c>
      <c r="B78">
        <v>34873302.658488199</v>
      </c>
      <c r="C78">
        <v>32024284.658488199</v>
      </c>
      <c r="D78">
        <v>543234</v>
      </c>
      <c r="E78">
        <v>0</v>
      </c>
      <c r="F78">
        <v>1654143</v>
      </c>
      <c r="G78">
        <v>651641</v>
      </c>
      <c r="H78">
        <v>5488</v>
      </c>
      <c r="K78">
        <v>2855697.3415118009</v>
      </c>
      <c r="L78">
        <f t="shared" si="3"/>
        <v>43217000</v>
      </c>
      <c r="M78">
        <v>55141</v>
      </c>
      <c r="N78">
        <v>56673</v>
      </c>
      <c r="O78">
        <v>-1532</v>
      </c>
      <c r="P78" s="149">
        <f t="shared" si="2"/>
        <v>0.78375437514734947</v>
      </c>
      <c r="Q78">
        <v>276</v>
      </c>
      <c r="R78">
        <v>240</v>
      </c>
      <c r="S78" s="149">
        <v>5.2499999999999998E-2</v>
      </c>
    </row>
    <row r="79" spans="1:19" x14ac:dyDescent="0.25">
      <c r="A79" t="s">
        <v>428</v>
      </c>
      <c r="B79">
        <v>64678317.941716127</v>
      </c>
      <c r="C79">
        <v>58459368.941716127</v>
      </c>
      <c r="D79">
        <v>2572953</v>
      </c>
      <c r="E79">
        <v>0</v>
      </c>
      <c r="F79">
        <v>1754152</v>
      </c>
      <c r="G79">
        <v>1891844</v>
      </c>
      <c r="H79">
        <v>14086</v>
      </c>
      <c r="K79">
        <v>1922682.0582838729</v>
      </c>
      <c r="L79">
        <f t="shared" si="3"/>
        <v>80687000</v>
      </c>
      <c r="M79">
        <v>103468</v>
      </c>
      <c r="N79">
        <v>110839</v>
      </c>
      <c r="O79">
        <v>-7371</v>
      </c>
      <c r="P79" s="149">
        <f t="shared" si="2"/>
        <v>0.77982564657671938</v>
      </c>
      <c r="Q79">
        <v>2584</v>
      </c>
      <c r="R79">
        <v>1727</v>
      </c>
      <c r="S79" s="149">
        <v>5.8500000000000003E-2</v>
      </c>
    </row>
    <row r="80" spans="1:19" x14ac:dyDescent="0.25">
      <c r="A80" t="s">
        <v>175</v>
      </c>
      <c r="B80">
        <v>29763511.651898567</v>
      </c>
      <c r="C80">
        <v>26606188.651898567</v>
      </c>
      <c r="D80">
        <v>245601</v>
      </c>
      <c r="E80">
        <v>0</v>
      </c>
      <c r="F80">
        <v>2284390</v>
      </c>
      <c r="G80">
        <v>627332</v>
      </c>
      <c r="H80">
        <v>7482</v>
      </c>
      <c r="K80">
        <v>498488.34810143337</v>
      </c>
      <c r="L80">
        <f t="shared" si="3"/>
        <v>37744000</v>
      </c>
      <c r="M80">
        <v>44568</v>
      </c>
      <c r="N80">
        <v>44154</v>
      </c>
      <c r="O80">
        <v>414</v>
      </c>
      <c r="P80" s="149">
        <f t="shared" si="2"/>
        <v>0.84688565787111825</v>
      </c>
      <c r="Q80">
        <v>550</v>
      </c>
      <c r="R80">
        <v>103</v>
      </c>
      <c r="S80" s="149">
        <v>4.4600000000000001E-2</v>
      </c>
    </row>
    <row r="81" spans="1:19" x14ac:dyDescent="0.25">
      <c r="A81" t="s">
        <v>176</v>
      </c>
      <c r="B81">
        <v>36284006.721692689</v>
      </c>
      <c r="C81">
        <v>32966427.721692689</v>
      </c>
      <c r="D81">
        <v>651730</v>
      </c>
      <c r="E81">
        <v>0</v>
      </c>
      <c r="F81">
        <v>1977376</v>
      </c>
      <c r="G81">
        <v>688473</v>
      </c>
      <c r="H81">
        <v>9960</v>
      </c>
      <c r="K81">
        <v>1494993.2783073112</v>
      </c>
      <c r="L81">
        <f t="shared" si="3"/>
        <v>47739000</v>
      </c>
      <c r="M81">
        <v>61671</v>
      </c>
      <c r="N81">
        <v>62704</v>
      </c>
      <c r="O81">
        <v>-1033</v>
      </c>
      <c r="P81" s="149">
        <f t="shared" si="2"/>
        <v>0.77409155032349075</v>
      </c>
      <c r="Q81">
        <v>1079</v>
      </c>
      <c r="R81">
        <v>312</v>
      </c>
      <c r="S81" s="149">
        <v>4.6399999999999997E-2</v>
      </c>
    </row>
    <row r="82" spans="1:19" x14ac:dyDescent="0.25">
      <c r="A82" t="s">
        <v>401</v>
      </c>
      <c r="B82">
        <v>52427775.920653902</v>
      </c>
      <c r="C82">
        <v>46171065.920653902</v>
      </c>
      <c r="D82">
        <v>942894</v>
      </c>
      <c r="E82">
        <v>0</v>
      </c>
      <c r="F82">
        <v>3873637</v>
      </c>
      <c r="G82">
        <v>1440179</v>
      </c>
      <c r="H82">
        <v>10361</v>
      </c>
      <c r="K82">
        <v>1387224.079346098</v>
      </c>
      <c r="L82">
        <f t="shared" si="3"/>
        <v>64176000</v>
      </c>
      <c r="M82">
        <v>75912</v>
      </c>
      <c r="N82">
        <v>76253</v>
      </c>
      <c r="O82">
        <v>-341</v>
      </c>
      <c r="P82" s="149">
        <f t="shared" si="2"/>
        <v>0.84539993676889025</v>
      </c>
      <c r="Q82">
        <v>941</v>
      </c>
      <c r="R82">
        <v>599</v>
      </c>
      <c r="S82" s="149">
        <v>4.6100000000000002E-2</v>
      </c>
    </row>
    <row r="83" spans="1:19" x14ac:dyDescent="0.25">
      <c r="A83" t="s">
        <v>248</v>
      </c>
      <c r="B83">
        <v>46499083.788572058</v>
      </c>
      <c r="C83">
        <v>42785913.788572058</v>
      </c>
      <c r="D83">
        <v>415602</v>
      </c>
      <c r="E83">
        <v>0</v>
      </c>
      <c r="F83">
        <v>2104834</v>
      </c>
      <c r="G83">
        <v>1192734</v>
      </c>
      <c r="H83">
        <v>8434</v>
      </c>
      <c r="K83">
        <v>1351916.2114279419</v>
      </c>
      <c r="L83">
        <f t="shared" si="3"/>
        <v>56285000</v>
      </c>
      <c r="M83">
        <v>80572</v>
      </c>
      <c r="N83">
        <v>86964</v>
      </c>
      <c r="O83">
        <v>-6392</v>
      </c>
      <c r="P83" s="149">
        <f t="shared" si="2"/>
        <v>0.69856774065432159</v>
      </c>
      <c r="Q83">
        <v>1801</v>
      </c>
      <c r="R83">
        <v>530</v>
      </c>
      <c r="S83" s="149">
        <v>5.2900000000000003E-2</v>
      </c>
    </row>
    <row r="84" spans="1:19" x14ac:dyDescent="0.25">
      <c r="A84" t="s">
        <v>177</v>
      </c>
      <c r="B84">
        <v>220080849.64314723</v>
      </c>
      <c r="C84">
        <v>159182229.64314723</v>
      </c>
      <c r="D84">
        <v>7114800</v>
      </c>
      <c r="E84">
        <v>23959527</v>
      </c>
      <c r="F84">
        <v>9995799</v>
      </c>
      <c r="G84">
        <v>19828494</v>
      </c>
      <c r="H84">
        <v>33855</v>
      </c>
      <c r="K84">
        <v>378150.35685276985</v>
      </c>
      <c r="L84">
        <f t="shared" si="3"/>
        <v>254314000</v>
      </c>
      <c r="M84">
        <v>381126</v>
      </c>
      <c r="N84">
        <v>373014</v>
      </c>
      <c r="O84">
        <v>8112</v>
      </c>
      <c r="P84" s="149">
        <f t="shared" si="2"/>
        <v>0.66727014163295073</v>
      </c>
      <c r="Q84">
        <v>13804</v>
      </c>
      <c r="R84">
        <v>7325</v>
      </c>
      <c r="S84" s="149">
        <v>4.2900000000000001E-2</v>
      </c>
    </row>
    <row r="85" spans="1:19" x14ac:dyDescent="0.25">
      <c r="A85" t="s">
        <v>218</v>
      </c>
      <c r="B85">
        <v>11084827.866867231</v>
      </c>
      <c r="C85">
        <v>10263111.866867231</v>
      </c>
      <c r="D85">
        <v>73282</v>
      </c>
      <c r="E85">
        <v>0</v>
      </c>
      <c r="F85">
        <v>340146</v>
      </c>
      <c r="G85">
        <v>408288</v>
      </c>
      <c r="H85">
        <v>2326</v>
      </c>
      <c r="K85">
        <v>94172.133132768795</v>
      </c>
      <c r="L85">
        <f t="shared" si="3"/>
        <v>13505000</v>
      </c>
      <c r="M85">
        <v>26981</v>
      </c>
      <c r="N85">
        <v>28479</v>
      </c>
      <c r="O85">
        <v>-1498</v>
      </c>
      <c r="P85" s="149">
        <f t="shared" si="2"/>
        <v>0.50053741521811645</v>
      </c>
      <c r="Q85">
        <v>1495</v>
      </c>
      <c r="R85">
        <v>608</v>
      </c>
      <c r="S85" s="149">
        <v>4.7500000000000001E-2</v>
      </c>
    </row>
    <row r="86" spans="1:19" x14ac:dyDescent="0.25">
      <c r="A86" t="s">
        <v>719</v>
      </c>
      <c r="B86">
        <v>105627561.5217604</v>
      </c>
      <c r="C86">
        <v>87135074.521760404</v>
      </c>
      <c r="D86">
        <v>2439226</v>
      </c>
      <c r="E86">
        <v>0</v>
      </c>
      <c r="F86">
        <v>10723982</v>
      </c>
      <c r="G86">
        <v>5329279</v>
      </c>
      <c r="H86">
        <v>26081</v>
      </c>
      <c r="K86">
        <v>22350438.478239588</v>
      </c>
      <c r="L86">
        <v>154059000</v>
      </c>
      <c r="M86">
        <v>232152</v>
      </c>
      <c r="N86">
        <v>179904</v>
      </c>
      <c r="O86">
        <v>52248</v>
      </c>
      <c r="P86" s="149">
        <f t="shared" si="2"/>
        <v>0.66361263310245011</v>
      </c>
      <c r="Q86">
        <v>2101</v>
      </c>
      <c r="R86">
        <v>0</v>
      </c>
      <c r="S86" s="149">
        <v>2.8400000000000002E-2</v>
      </c>
    </row>
    <row r="87" spans="1:19" x14ac:dyDescent="0.25">
      <c r="A87" t="s">
        <v>358</v>
      </c>
      <c r="B87">
        <v>28143137.129318669</v>
      </c>
      <c r="C87">
        <v>23635746.129318669</v>
      </c>
      <c r="D87">
        <v>852362</v>
      </c>
      <c r="E87">
        <v>0</v>
      </c>
      <c r="F87">
        <v>2995393</v>
      </c>
      <c r="G87">
        <v>659636</v>
      </c>
      <c r="H87">
        <v>3803</v>
      </c>
      <c r="K87">
        <v>272862.87068133056</v>
      </c>
      <c r="L87">
        <f t="shared" si="3"/>
        <v>32219000</v>
      </c>
      <c r="M87">
        <v>45403</v>
      </c>
      <c r="N87">
        <v>45123</v>
      </c>
      <c r="O87">
        <v>280</v>
      </c>
      <c r="P87" s="149">
        <f t="shared" si="2"/>
        <v>0.70962271215558448</v>
      </c>
      <c r="Q87">
        <v>1666</v>
      </c>
      <c r="R87">
        <v>378</v>
      </c>
      <c r="S87" s="149">
        <v>4.99E-2</v>
      </c>
    </row>
    <row r="88" spans="1:19" x14ac:dyDescent="0.25">
      <c r="A88" t="s">
        <v>402</v>
      </c>
      <c r="B88">
        <v>34288620.025918871</v>
      </c>
      <c r="C88">
        <v>29464778.025918875</v>
      </c>
      <c r="D88">
        <v>2001237</v>
      </c>
      <c r="E88">
        <v>0</v>
      </c>
      <c r="F88">
        <v>2202791</v>
      </c>
      <c r="G88">
        <v>619814</v>
      </c>
      <c r="H88">
        <v>3267</v>
      </c>
      <c r="K88">
        <v>5681379.9740811288</v>
      </c>
      <c r="L88">
        <f t="shared" si="3"/>
        <v>43237000</v>
      </c>
      <c r="M88">
        <v>58521</v>
      </c>
      <c r="N88">
        <v>58967</v>
      </c>
      <c r="O88">
        <v>-446</v>
      </c>
      <c r="P88" s="149">
        <f t="shared" si="2"/>
        <v>0.73882879650040156</v>
      </c>
      <c r="Q88">
        <v>1123</v>
      </c>
      <c r="R88">
        <v>32</v>
      </c>
      <c r="S88" s="149">
        <v>4.4699999999999997E-2</v>
      </c>
    </row>
    <row r="89" spans="1:19" x14ac:dyDescent="0.25">
      <c r="A89" t="s">
        <v>359</v>
      </c>
      <c r="B89">
        <v>544441749.37521076</v>
      </c>
      <c r="C89">
        <v>373080128.3752107</v>
      </c>
      <c r="D89">
        <v>11217666</v>
      </c>
      <c r="E89">
        <v>55424191</v>
      </c>
      <c r="F89">
        <v>38072718</v>
      </c>
      <c r="G89">
        <v>66647046</v>
      </c>
      <c r="H89">
        <v>139845</v>
      </c>
      <c r="K89">
        <v>34568250.624789238</v>
      </c>
      <c r="L89">
        <f t="shared" si="3"/>
        <v>718855000</v>
      </c>
      <c r="M89">
        <v>915847</v>
      </c>
      <c r="N89">
        <v>923733</v>
      </c>
      <c r="O89">
        <v>-7886</v>
      </c>
      <c r="P89" s="149">
        <f t="shared" si="2"/>
        <v>0.78490730438599465</v>
      </c>
      <c r="Q89">
        <v>28174</v>
      </c>
      <c r="R89">
        <v>4097</v>
      </c>
      <c r="S89" s="149">
        <v>4.4200000000000003E-2</v>
      </c>
    </row>
    <row r="90" spans="1:19" x14ac:dyDescent="0.25">
      <c r="A90" t="s">
        <v>178</v>
      </c>
      <c r="B90">
        <v>35745308.055290096</v>
      </c>
      <c r="C90">
        <v>30535086.055290096</v>
      </c>
      <c r="D90">
        <v>915236</v>
      </c>
      <c r="E90">
        <v>0</v>
      </c>
      <c r="F90">
        <v>3639913</v>
      </c>
      <c r="G90">
        <v>655073</v>
      </c>
      <c r="H90">
        <v>5246</v>
      </c>
      <c r="K90">
        <v>328691.94470990449</v>
      </c>
      <c r="L90">
        <f t="shared" si="3"/>
        <v>41320000</v>
      </c>
      <c r="M90">
        <v>54095</v>
      </c>
      <c r="N90">
        <v>55301</v>
      </c>
      <c r="O90">
        <v>-1206</v>
      </c>
      <c r="P90" s="149">
        <f t="shared" si="2"/>
        <v>0.76384139014696373</v>
      </c>
      <c r="Q90">
        <v>701</v>
      </c>
      <c r="R90">
        <v>1193</v>
      </c>
      <c r="S90" s="149">
        <v>5.2499999999999998E-2</v>
      </c>
    </row>
    <row r="91" spans="1:19" x14ac:dyDescent="0.25">
      <c r="A91" t="s">
        <v>108</v>
      </c>
      <c r="B91">
        <v>258343912.07667246</v>
      </c>
      <c r="C91">
        <v>182928690.07667246</v>
      </c>
      <c r="D91">
        <v>5655216</v>
      </c>
      <c r="E91">
        <v>24719540</v>
      </c>
      <c r="F91">
        <v>27637746</v>
      </c>
      <c r="G91">
        <v>17402720</v>
      </c>
      <c r="H91">
        <v>60669</v>
      </c>
      <c r="K91">
        <v>40486087.923327535</v>
      </c>
      <c r="L91">
        <f t="shared" si="3"/>
        <v>359499000</v>
      </c>
      <c r="M91">
        <v>424863</v>
      </c>
      <c r="N91">
        <v>421522</v>
      </c>
      <c r="O91">
        <v>3341</v>
      </c>
      <c r="P91" s="149">
        <f t="shared" si="2"/>
        <v>0.84615275983081606</v>
      </c>
      <c r="Q91">
        <v>6652</v>
      </c>
      <c r="R91">
        <v>841</v>
      </c>
      <c r="S91" s="149">
        <v>3.9199999999999999E-2</v>
      </c>
    </row>
    <row r="92" spans="1:19" x14ac:dyDescent="0.25">
      <c r="A92" t="s">
        <v>249</v>
      </c>
      <c r="B92">
        <v>34033423.976385579</v>
      </c>
      <c r="C92">
        <v>29909088.976385575</v>
      </c>
      <c r="D92">
        <v>1470665</v>
      </c>
      <c r="E92">
        <v>0</v>
      </c>
      <c r="F92">
        <v>1899578</v>
      </c>
      <c r="G92">
        <v>754092</v>
      </c>
      <c r="H92">
        <v>6978</v>
      </c>
      <c r="K92">
        <v>640576.02361442149</v>
      </c>
      <c r="L92">
        <f t="shared" si="3"/>
        <v>41652000</v>
      </c>
      <c r="M92">
        <v>53615</v>
      </c>
      <c r="N92">
        <v>55373</v>
      </c>
      <c r="O92">
        <v>-1758</v>
      </c>
      <c r="P92" s="149">
        <f t="shared" si="2"/>
        <v>0.77687214398955518</v>
      </c>
      <c r="Q92">
        <v>1005</v>
      </c>
      <c r="R92">
        <v>264</v>
      </c>
      <c r="S92" s="149">
        <v>4.9200000000000001E-2</v>
      </c>
    </row>
    <row r="93" spans="1:19" x14ac:dyDescent="0.25">
      <c r="A93" t="s">
        <v>144</v>
      </c>
      <c r="B93">
        <v>405752637.33088911</v>
      </c>
      <c r="C93">
        <v>284116837.33088911</v>
      </c>
      <c r="D93">
        <v>6526880</v>
      </c>
      <c r="E93">
        <v>51676031</v>
      </c>
      <c r="F93">
        <v>30750173</v>
      </c>
      <c r="G93">
        <v>32682716</v>
      </c>
      <c r="H93">
        <v>123556</v>
      </c>
      <c r="K93">
        <v>25397362.669110894</v>
      </c>
      <c r="L93">
        <f t="shared" si="3"/>
        <v>554706000</v>
      </c>
      <c r="M93">
        <v>710674</v>
      </c>
      <c r="N93">
        <v>722442</v>
      </c>
      <c r="O93">
        <v>-11768</v>
      </c>
      <c r="P93" s="149">
        <f t="shared" si="2"/>
        <v>0.78053509766784768</v>
      </c>
      <c r="Q93">
        <v>16273</v>
      </c>
      <c r="R93">
        <v>900</v>
      </c>
      <c r="S93" s="149">
        <v>4.6199999999999998E-2</v>
      </c>
    </row>
    <row r="94" spans="1:19" x14ac:dyDescent="0.25">
      <c r="A94" t="s">
        <v>179</v>
      </c>
      <c r="B94">
        <v>50988807.982407659</v>
      </c>
      <c r="C94">
        <v>44325867.982407659</v>
      </c>
      <c r="D94">
        <v>908429</v>
      </c>
      <c r="E94">
        <v>0</v>
      </c>
      <c r="F94">
        <v>4730666</v>
      </c>
      <c r="G94">
        <v>1023845</v>
      </c>
      <c r="H94">
        <v>6823</v>
      </c>
      <c r="K94">
        <v>1295192.0175923407</v>
      </c>
      <c r="L94">
        <f t="shared" si="3"/>
        <v>59107000</v>
      </c>
      <c r="M94">
        <v>80153</v>
      </c>
      <c r="N94">
        <v>78415</v>
      </c>
      <c r="O94">
        <v>1738</v>
      </c>
      <c r="P94" s="149">
        <f t="shared" si="2"/>
        <v>0.73742717053634921</v>
      </c>
      <c r="Q94">
        <v>3274</v>
      </c>
      <c r="R94">
        <v>2308</v>
      </c>
      <c r="S94" s="149">
        <v>4.19E-2</v>
      </c>
    </row>
    <row r="95" spans="1:19" x14ac:dyDescent="0.25">
      <c r="A95" t="s">
        <v>180</v>
      </c>
      <c r="B95">
        <v>48885018.926311024</v>
      </c>
      <c r="C95">
        <v>39133584.926311024</v>
      </c>
      <c r="D95">
        <v>5181569</v>
      </c>
      <c r="E95">
        <v>0</v>
      </c>
      <c r="F95">
        <v>3875435</v>
      </c>
      <c r="G95">
        <v>694430</v>
      </c>
      <c r="H95">
        <v>-64</v>
      </c>
      <c r="K95">
        <v>808981.07368897647</v>
      </c>
      <c r="L95">
        <f t="shared" si="3"/>
        <v>49630000</v>
      </c>
      <c r="M95">
        <v>76989</v>
      </c>
      <c r="N95">
        <v>78307</v>
      </c>
      <c r="O95">
        <v>-1318</v>
      </c>
      <c r="P95" s="149">
        <f t="shared" si="2"/>
        <v>0.6446375456234007</v>
      </c>
      <c r="Q95">
        <v>1997</v>
      </c>
      <c r="R95">
        <v>1711</v>
      </c>
      <c r="S95" s="149">
        <v>5.2499999999999998E-2</v>
      </c>
    </row>
    <row r="96" spans="1:19" x14ac:dyDescent="0.25">
      <c r="A96" t="s">
        <v>360</v>
      </c>
      <c r="B96">
        <v>69031900.784976274</v>
      </c>
      <c r="C96">
        <v>60334180.784976266</v>
      </c>
      <c r="D96">
        <v>934012</v>
      </c>
      <c r="E96">
        <v>0</v>
      </c>
      <c r="F96">
        <v>6426861</v>
      </c>
      <c r="G96">
        <v>1336847</v>
      </c>
      <c r="H96">
        <v>14740</v>
      </c>
      <c r="K96">
        <v>1741099.2150237262</v>
      </c>
      <c r="L96">
        <f t="shared" si="3"/>
        <v>85513000</v>
      </c>
      <c r="M96">
        <v>124064</v>
      </c>
      <c r="N96">
        <v>123472</v>
      </c>
      <c r="O96">
        <v>592</v>
      </c>
      <c r="P96" s="149">
        <f t="shared" si="2"/>
        <v>0.68926521795202478</v>
      </c>
      <c r="Q96">
        <v>2374</v>
      </c>
      <c r="R96">
        <v>271</v>
      </c>
      <c r="S96" s="149">
        <v>4.2099999999999999E-2</v>
      </c>
    </row>
    <row r="97" spans="1:19" x14ac:dyDescent="0.25">
      <c r="A97" t="s">
        <v>361</v>
      </c>
      <c r="B97">
        <v>32105163.450206909</v>
      </c>
      <c r="C97">
        <v>28614574.450206909</v>
      </c>
      <c r="D97">
        <v>434981</v>
      </c>
      <c r="E97">
        <v>0</v>
      </c>
      <c r="F97">
        <v>2198921</v>
      </c>
      <c r="G97">
        <v>856687</v>
      </c>
      <c r="H97">
        <v>6964</v>
      </c>
      <c r="K97">
        <v>401836.54979309067</v>
      </c>
      <c r="L97">
        <f t="shared" si="3"/>
        <v>39471000</v>
      </c>
      <c r="M97">
        <v>52336</v>
      </c>
      <c r="N97">
        <v>51882</v>
      </c>
      <c r="O97">
        <v>454</v>
      </c>
      <c r="P97" s="149">
        <f t="shared" si="2"/>
        <v>0.75418450015285843</v>
      </c>
      <c r="Q97">
        <v>1118</v>
      </c>
      <c r="R97">
        <v>741</v>
      </c>
      <c r="S97" s="149">
        <v>4.1099999999999998E-2</v>
      </c>
    </row>
    <row r="98" spans="1:19" x14ac:dyDescent="0.25">
      <c r="A98" t="s">
        <v>362</v>
      </c>
      <c r="B98">
        <v>56664361.713089086</v>
      </c>
      <c r="C98">
        <v>52567116.713089086</v>
      </c>
      <c r="D98">
        <v>1018378</v>
      </c>
      <c r="E98">
        <v>0</v>
      </c>
      <c r="F98">
        <v>1968186</v>
      </c>
      <c r="G98">
        <v>1110681</v>
      </c>
      <c r="H98">
        <v>16576</v>
      </c>
      <c r="K98">
        <v>1468638.2869109139</v>
      </c>
      <c r="L98">
        <f t="shared" si="3"/>
        <v>74709000</v>
      </c>
      <c r="M98">
        <v>113244</v>
      </c>
      <c r="N98">
        <v>114320</v>
      </c>
      <c r="O98">
        <v>-1076</v>
      </c>
      <c r="P98" s="149">
        <f t="shared" si="2"/>
        <v>0.65971707110310485</v>
      </c>
      <c r="Q98">
        <v>1972</v>
      </c>
      <c r="R98">
        <v>74</v>
      </c>
      <c r="S98" s="149">
        <v>4.6699999999999998E-2</v>
      </c>
    </row>
    <row r="99" spans="1:19" x14ac:dyDescent="0.25">
      <c r="A99" t="s">
        <v>363</v>
      </c>
      <c r="B99">
        <v>47111085.120912805</v>
      </c>
      <c r="C99">
        <v>40431989.120912805</v>
      </c>
      <c r="D99">
        <v>687893</v>
      </c>
      <c r="E99">
        <v>0</v>
      </c>
      <c r="F99">
        <v>5210959</v>
      </c>
      <c r="G99">
        <v>780244</v>
      </c>
      <c r="H99">
        <v>12323</v>
      </c>
      <c r="K99">
        <v>748914.8790871948</v>
      </c>
      <c r="L99">
        <f t="shared" si="3"/>
        <v>60183000</v>
      </c>
      <c r="M99">
        <v>76648</v>
      </c>
      <c r="N99">
        <v>75243</v>
      </c>
      <c r="O99">
        <v>1405</v>
      </c>
      <c r="P99" s="149">
        <f t="shared" si="2"/>
        <v>0.78518682809727591</v>
      </c>
      <c r="Q99">
        <v>644</v>
      </c>
      <c r="R99">
        <v>35</v>
      </c>
      <c r="S99" s="149">
        <v>3.85E-2</v>
      </c>
    </row>
    <row r="100" spans="1:19" x14ac:dyDescent="0.25">
      <c r="A100" t="s">
        <v>403</v>
      </c>
      <c r="B100">
        <v>32433522.24426901</v>
      </c>
      <c r="C100">
        <v>25569548.24426901</v>
      </c>
      <c r="D100">
        <v>266799</v>
      </c>
      <c r="E100">
        <v>0</v>
      </c>
      <c r="F100">
        <v>5706819</v>
      </c>
      <c r="G100">
        <v>890356</v>
      </c>
      <c r="H100">
        <v>5711</v>
      </c>
      <c r="K100">
        <v>778477.75573099032</v>
      </c>
      <c r="L100">
        <f t="shared" si="3"/>
        <v>38923000</v>
      </c>
      <c r="M100">
        <v>47970</v>
      </c>
      <c r="N100">
        <v>50706</v>
      </c>
      <c r="O100">
        <v>-2736</v>
      </c>
      <c r="P100" s="149">
        <f t="shared" si="2"/>
        <v>0.81140296018344804</v>
      </c>
      <c r="Q100">
        <v>276</v>
      </c>
      <c r="R100">
        <v>30</v>
      </c>
      <c r="S100" s="149">
        <v>5.7599999999999998E-2</v>
      </c>
    </row>
    <row r="101" spans="1:19" x14ac:dyDescent="0.25">
      <c r="A101" t="s">
        <v>364</v>
      </c>
      <c r="B101">
        <v>39363029.702179968</v>
      </c>
      <c r="C101">
        <v>34400656.702179968</v>
      </c>
      <c r="D101">
        <v>541027</v>
      </c>
      <c r="E101">
        <v>0</v>
      </c>
      <c r="F101">
        <v>2000838</v>
      </c>
      <c r="G101">
        <v>2420508</v>
      </c>
      <c r="H101">
        <v>8321</v>
      </c>
      <c r="K101">
        <v>904970.29782003164</v>
      </c>
      <c r="L101">
        <f t="shared" si="3"/>
        <v>48589000</v>
      </c>
      <c r="M101">
        <v>68912</v>
      </c>
      <c r="N101">
        <v>67486</v>
      </c>
      <c r="O101">
        <v>1426</v>
      </c>
      <c r="P101" s="149">
        <f t="shared" si="2"/>
        <v>0.70508764801485957</v>
      </c>
      <c r="Q101">
        <v>1239</v>
      </c>
      <c r="R101">
        <v>2</v>
      </c>
      <c r="S101" s="149">
        <v>3.9300000000000002E-2</v>
      </c>
    </row>
    <row r="102" spans="1:19" x14ac:dyDescent="0.25">
      <c r="A102" t="s">
        <v>290</v>
      </c>
      <c r="B102">
        <v>76649172.801838249</v>
      </c>
      <c r="C102">
        <v>67704944.801838249</v>
      </c>
      <c r="D102">
        <v>1211448</v>
      </c>
      <c r="E102">
        <v>0</v>
      </c>
      <c r="F102">
        <v>5731575</v>
      </c>
      <c r="G102">
        <v>2001205</v>
      </c>
      <c r="H102">
        <v>11944</v>
      </c>
      <c r="K102">
        <v>1124827.198161751</v>
      </c>
      <c r="L102">
        <f t="shared" si="3"/>
        <v>89718000</v>
      </c>
      <c r="M102">
        <v>126744</v>
      </c>
      <c r="N102">
        <v>130623</v>
      </c>
      <c r="O102">
        <v>-3879</v>
      </c>
      <c r="P102" s="149">
        <f t="shared" si="2"/>
        <v>0.70786782806286686</v>
      </c>
      <c r="Q102">
        <v>4169</v>
      </c>
      <c r="R102">
        <v>537</v>
      </c>
      <c r="S102" s="149">
        <v>4.7500000000000001E-2</v>
      </c>
    </row>
    <row r="103" spans="1:19" x14ac:dyDescent="0.25">
      <c r="A103" t="s">
        <v>329</v>
      </c>
      <c r="B103">
        <v>73512279.804947808</v>
      </c>
      <c r="C103">
        <v>62743750.804947808</v>
      </c>
      <c r="D103">
        <v>1052782</v>
      </c>
      <c r="E103">
        <v>0</v>
      </c>
      <c r="F103">
        <v>6351177</v>
      </c>
      <c r="G103">
        <v>3364570</v>
      </c>
      <c r="H103">
        <v>15574</v>
      </c>
      <c r="K103">
        <v>3458720.1950521916</v>
      </c>
      <c r="L103">
        <f t="shared" si="3"/>
        <v>92545000</v>
      </c>
      <c r="M103">
        <v>127848</v>
      </c>
      <c r="N103">
        <v>129212</v>
      </c>
      <c r="O103">
        <v>-1364</v>
      </c>
      <c r="P103" s="149">
        <f t="shared" si="2"/>
        <v>0.72386740504348912</v>
      </c>
      <c r="Q103">
        <v>4170</v>
      </c>
      <c r="R103">
        <v>2348</v>
      </c>
      <c r="S103" s="149">
        <v>3.6499999999999998E-2</v>
      </c>
    </row>
    <row r="104" spans="1:19" x14ac:dyDescent="0.25">
      <c r="A104" t="s">
        <v>365</v>
      </c>
      <c r="B104">
        <v>35851227.132424317</v>
      </c>
      <c r="C104">
        <v>30494763.132424317</v>
      </c>
      <c r="D104">
        <v>1753817</v>
      </c>
      <c r="E104">
        <v>0</v>
      </c>
      <c r="F104">
        <v>2974436</v>
      </c>
      <c r="G104">
        <v>628211</v>
      </c>
      <c r="H104">
        <v>6398</v>
      </c>
      <c r="K104">
        <v>444772.8675756827</v>
      </c>
      <c r="L104">
        <f t="shared" si="3"/>
        <v>42694000</v>
      </c>
      <c r="M104">
        <v>59678</v>
      </c>
      <c r="N104">
        <v>61074</v>
      </c>
      <c r="O104">
        <v>-1396</v>
      </c>
      <c r="P104" s="149">
        <f t="shared" si="2"/>
        <v>0.71540601226582656</v>
      </c>
      <c r="Q104">
        <v>562</v>
      </c>
      <c r="R104">
        <v>67</v>
      </c>
      <c r="S104" s="149">
        <v>5.1999999999999998E-2</v>
      </c>
    </row>
    <row r="105" spans="1:19" x14ac:dyDescent="0.25">
      <c r="A105" t="s">
        <v>486</v>
      </c>
      <c r="B105">
        <v>76947427.193616062</v>
      </c>
      <c r="C105">
        <v>71507902.193616062</v>
      </c>
      <c r="D105">
        <v>1684284</v>
      </c>
      <c r="E105">
        <v>0</v>
      </c>
      <c r="F105">
        <v>2168775</v>
      </c>
      <c r="G105">
        <v>1586466</v>
      </c>
      <c r="H105">
        <v>23054</v>
      </c>
      <c r="K105">
        <v>397572.8063839376</v>
      </c>
      <c r="L105">
        <f t="shared" si="3"/>
        <v>100399000</v>
      </c>
      <c r="M105">
        <v>136996</v>
      </c>
      <c r="N105">
        <v>142300</v>
      </c>
      <c r="O105">
        <v>-5304</v>
      </c>
      <c r="P105" s="149">
        <f t="shared" si="2"/>
        <v>0.73286081345440746</v>
      </c>
      <c r="Q105">
        <v>4237</v>
      </c>
      <c r="R105">
        <v>2513</v>
      </c>
      <c r="S105" s="149">
        <v>0.03</v>
      </c>
    </row>
    <row r="106" spans="1:19" x14ac:dyDescent="0.25">
      <c r="A106" t="s">
        <v>291</v>
      </c>
      <c r="B106">
        <v>73616739.593835443</v>
      </c>
      <c r="C106">
        <v>61875676.593835443</v>
      </c>
      <c r="D106">
        <v>627257</v>
      </c>
      <c r="E106">
        <v>0</v>
      </c>
      <c r="F106">
        <v>8271589</v>
      </c>
      <c r="G106">
        <v>2842217</v>
      </c>
      <c r="H106">
        <v>18631</v>
      </c>
      <c r="K106">
        <v>2736260.4061645567</v>
      </c>
      <c r="L106">
        <f t="shared" si="3"/>
        <v>94984000</v>
      </c>
      <c r="M106">
        <v>139521</v>
      </c>
      <c r="N106">
        <v>140197</v>
      </c>
      <c r="O106">
        <v>-676</v>
      </c>
      <c r="P106" s="149">
        <f t="shared" si="2"/>
        <v>0.68078640491395559</v>
      </c>
      <c r="Q106">
        <v>3388</v>
      </c>
      <c r="R106">
        <v>1052</v>
      </c>
      <c r="S106" s="149">
        <v>3.1399999999999997E-2</v>
      </c>
    </row>
    <row r="107" spans="1:19" x14ac:dyDescent="0.25">
      <c r="A107" t="s">
        <v>292</v>
      </c>
      <c r="B107">
        <v>169121785.96515399</v>
      </c>
      <c r="C107">
        <v>124474621.96515401</v>
      </c>
      <c r="D107">
        <v>4615204</v>
      </c>
      <c r="E107">
        <v>18965242</v>
      </c>
      <c r="F107">
        <v>11515358</v>
      </c>
      <c r="G107">
        <v>9551360</v>
      </c>
      <c r="H107">
        <v>34454</v>
      </c>
      <c r="K107">
        <v>7561214.0348460078</v>
      </c>
      <c r="L107">
        <f t="shared" si="3"/>
        <v>211137000</v>
      </c>
      <c r="M107">
        <v>279655</v>
      </c>
      <c r="N107">
        <v>294369</v>
      </c>
      <c r="O107">
        <v>-14714</v>
      </c>
      <c r="P107" s="149">
        <f t="shared" si="2"/>
        <v>0.75499097101786128</v>
      </c>
      <c r="Q107">
        <v>7739</v>
      </c>
      <c r="R107">
        <v>3057</v>
      </c>
      <c r="S107" s="149">
        <v>4.8599999999999997E-2</v>
      </c>
    </row>
    <row r="108" spans="1:19" x14ac:dyDescent="0.25">
      <c r="A108" t="s">
        <v>721</v>
      </c>
      <c r="B108">
        <v>590939804.37275958</v>
      </c>
      <c r="C108">
        <v>415210472.37275952</v>
      </c>
      <c r="D108">
        <v>13815830</v>
      </c>
      <c r="E108">
        <v>79491843</v>
      </c>
      <c r="F108">
        <v>33039211</v>
      </c>
      <c r="G108">
        <v>49382448</v>
      </c>
      <c r="H108">
        <v>184017</v>
      </c>
      <c r="K108">
        <v>21948195.627240419</v>
      </c>
      <c r="L108">
        <f t="shared" si="3"/>
        <v>796905000</v>
      </c>
      <c r="M108">
        <v>1014719</v>
      </c>
      <c r="N108">
        <v>1038490</v>
      </c>
      <c r="O108">
        <v>-23771</v>
      </c>
      <c r="P108" s="149">
        <f t="shared" si="2"/>
        <v>0.78534549959151256</v>
      </c>
      <c r="Q108">
        <v>19902</v>
      </c>
      <c r="R108">
        <v>1784</v>
      </c>
      <c r="S108" s="149">
        <v>3.4700000000000002E-2</v>
      </c>
    </row>
    <row r="109" spans="1:19" x14ac:dyDescent="0.25">
      <c r="A109" t="s">
        <v>404</v>
      </c>
      <c r="B109">
        <v>22536789.934894133</v>
      </c>
      <c r="C109">
        <v>19485692.934894133</v>
      </c>
      <c r="D109">
        <v>249152</v>
      </c>
      <c r="E109">
        <v>0</v>
      </c>
      <c r="F109">
        <v>2203740</v>
      </c>
      <c r="G109">
        <v>598205</v>
      </c>
      <c r="H109">
        <v>7928</v>
      </c>
      <c r="K109">
        <v>246210.06510586664</v>
      </c>
      <c r="L109">
        <f t="shared" si="3"/>
        <v>30711000</v>
      </c>
      <c r="M109">
        <v>35868</v>
      </c>
      <c r="N109">
        <v>36748</v>
      </c>
      <c r="O109">
        <v>-880</v>
      </c>
      <c r="P109" s="149">
        <f t="shared" si="2"/>
        <v>0.85622281699565073</v>
      </c>
      <c r="Q109">
        <v>242</v>
      </c>
      <c r="R109">
        <v>4</v>
      </c>
      <c r="S109" s="149">
        <v>4.5999999999999999E-2</v>
      </c>
    </row>
    <row r="110" spans="1:19" x14ac:dyDescent="0.25">
      <c r="A110" t="s">
        <v>145</v>
      </c>
      <c r="B110">
        <v>36311279.395111009</v>
      </c>
      <c r="C110">
        <v>32955723.395111006</v>
      </c>
      <c r="D110">
        <v>283149</v>
      </c>
      <c r="E110">
        <v>0</v>
      </c>
      <c r="F110">
        <v>2553755</v>
      </c>
      <c r="G110">
        <v>518652</v>
      </c>
      <c r="H110">
        <v>7611</v>
      </c>
      <c r="K110">
        <v>396720.60488899052</v>
      </c>
      <c r="L110">
        <f t="shared" si="3"/>
        <v>44319000</v>
      </c>
      <c r="M110">
        <v>59845</v>
      </c>
      <c r="N110">
        <v>58984</v>
      </c>
      <c r="O110">
        <v>861</v>
      </c>
      <c r="P110" s="149">
        <f t="shared" si="2"/>
        <v>0.74056312139694214</v>
      </c>
      <c r="Q110">
        <v>409</v>
      </c>
      <c r="R110">
        <v>11</v>
      </c>
      <c r="S110" s="149">
        <v>3.4099999999999998E-2</v>
      </c>
    </row>
    <row r="111" spans="1:19" x14ac:dyDescent="0.25">
      <c r="A111" t="s">
        <v>250</v>
      </c>
      <c r="B111">
        <v>352929913.7049433</v>
      </c>
      <c r="C111">
        <v>250176291.7049433</v>
      </c>
      <c r="D111">
        <v>4365028</v>
      </c>
      <c r="E111">
        <v>49420962</v>
      </c>
      <c r="F111">
        <v>18000293</v>
      </c>
      <c r="G111">
        <v>30967339</v>
      </c>
      <c r="H111">
        <v>94979</v>
      </c>
      <c r="K111">
        <v>12030086.295056701</v>
      </c>
      <c r="L111">
        <f t="shared" si="3"/>
        <v>459939000</v>
      </c>
      <c r="M111">
        <v>582245</v>
      </c>
      <c r="N111">
        <v>585386</v>
      </c>
      <c r="O111">
        <v>-3141</v>
      </c>
      <c r="P111" s="149">
        <f t="shared" si="2"/>
        <v>0.78994066071842606</v>
      </c>
      <c r="Q111">
        <v>24918</v>
      </c>
      <c r="R111">
        <v>8764</v>
      </c>
      <c r="S111" s="149">
        <v>3.8699999999999998E-2</v>
      </c>
    </row>
    <row r="112" spans="1:19" x14ac:dyDescent="0.25">
      <c r="A112" t="s">
        <v>251</v>
      </c>
      <c r="B112">
        <v>198331677.63297454</v>
      </c>
      <c r="C112">
        <v>178873515.63297454</v>
      </c>
      <c r="D112">
        <v>4544140</v>
      </c>
      <c r="E112">
        <v>0</v>
      </c>
      <c r="F112">
        <v>6544814</v>
      </c>
      <c r="G112">
        <v>8369208</v>
      </c>
      <c r="H112">
        <v>55051</v>
      </c>
      <c r="K112">
        <v>4019322.3670254648</v>
      </c>
      <c r="L112">
        <f t="shared" si="3"/>
        <v>257402000</v>
      </c>
      <c r="M112">
        <v>459070</v>
      </c>
      <c r="N112">
        <v>461379</v>
      </c>
      <c r="O112">
        <v>-2309</v>
      </c>
      <c r="P112" s="149">
        <f t="shared" si="2"/>
        <v>0.56070316073801385</v>
      </c>
      <c r="Q112">
        <v>23085</v>
      </c>
      <c r="R112">
        <v>7818</v>
      </c>
      <c r="S112" s="149">
        <v>2.93E-2</v>
      </c>
    </row>
    <row r="113" spans="1:19" x14ac:dyDescent="0.25">
      <c r="A113" t="s">
        <v>368</v>
      </c>
      <c r="B113">
        <v>46790664.714173138</v>
      </c>
      <c r="C113">
        <v>39706786.714173138</v>
      </c>
      <c r="D113">
        <v>535294</v>
      </c>
      <c r="E113">
        <v>0</v>
      </c>
      <c r="F113">
        <v>5653817</v>
      </c>
      <c r="G113">
        <v>894767</v>
      </c>
      <c r="H113">
        <v>9563</v>
      </c>
      <c r="K113">
        <v>1099335.2858268619</v>
      </c>
      <c r="L113">
        <f t="shared" si="3"/>
        <v>57453000</v>
      </c>
      <c r="M113">
        <v>81662</v>
      </c>
      <c r="N113">
        <v>81612</v>
      </c>
      <c r="O113">
        <v>50</v>
      </c>
      <c r="P113" s="149">
        <f t="shared" si="2"/>
        <v>0.70354632509612791</v>
      </c>
      <c r="Q113">
        <v>179</v>
      </c>
      <c r="R113">
        <v>23</v>
      </c>
      <c r="S113" s="149">
        <v>4.5100000000000001E-2</v>
      </c>
    </row>
    <row r="114" spans="1:19" x14ac:dyDescent="0.25">
      <c r="A114" t="s">
        <v>146</v>
      </c>
      <c r="B114">
        <v>100839570.55153696</v>
      </c>
      <c r="C114">
        <v>84768621.551536962</v>
      </c>
      <c r="D114">
        <v>3540481</v>
      </c>
      <c r="E114">
        <v>0</v>
      </c>
      <c r="F114">
        <v>9812711</v>
      </c>
      <c r="G114">
        <v>2717757</v>
      </c>
      <c r="H114">
        <v>16667</v>
      </c>
      <c r="K114">
        <v>1805429.4484630376</v>
      </c>
      <c r="L114">
        <f t="shared" si="3"/>
        <v>119312000</v>
      </c>
      <c r="M114">
        <v>177341</v>
      </c>
      <c r="N114">
        <v>187265</v>
      </c>
      <c r="O114">
        <v>-9924</v>
      </c>
      <c r="P114" s="149">
        <f t="shared" si="2"/>
        <v>0.67278294359454383</v>
      </c>
      <c r="Q114">
        <v>1827</v>
      </c>
      <c r="R114">
        <v>114</v>
      </c>
      <c r="S114" s="149">
        <v>5.0900000000000001E-2</v>
      </c>
    </row>
    <row r="115" spans="1:19" x14ac:dyDescent="0.25">
      <c r="A115" t="s">
        <v>181</v>
      </c>
      <c r="B115">
        <v>79221248.565005153</v>
      </c>
      <c r="C115">
        <v>70298088.565005153</v>
      </c>
      <c r="D115">
        <v>894794</v>
      </c>
      <c r="E115">
        <v>0</v>
      </c>
      <c r="F115">
        <v>5511107</v>
      </c>
      <c r="G115">
        <v>2517259</v>
      </c>
      <c r="H115">
        <v>18799</v>
      </c>
      <c r="K115">
        <v>2896751.4349948466</v>
      </c>
      <c r="L115">
        <f t="shared" si="3"/>
        <v>100917000</v>
      </c>
      <c r="M115">
        <v>156303</v>
      </c>
      <c r="N115">
        <v>161431</v>
      </c>
      <c r="O115">
        <v>-5128</v>
      </c>
      <c r="P115" s="149">
        <f t="shared" si="2"/>
        <v>0.64564979558933611</v>
      </c>
      <c r="Q115">
        <v>3536</v>
      </c>
      <c r="R115">
        <v>2447</v>
      </c>
      <c r="S115" s="149">
        <v>4.87E-2</v>
      </c>
    </row>
    <row r="116" spans="1:19" x14ac:dyDescent="0.25">
      <c r="A116" t="s">
        <v>293</v>
      </c>
      <c r="B116">
        <v>23996104.467274208</v>
      </c>
      <c r="C116">
        <v>22390240.467274208</v>
      </c>
      <c r="D116">
        <v>865736</v>
      </c>
      <c r="E116">
        <v>0</v>
      </c>
      <c r="F116">
        <v>132636</v>
      </c>
      <c r="G116">
        <v>607492</v>
      </c>
      <c r="H116">
        <v>3054</v>
      </c>
      <c r="K116">
        <v>653895.53272579238</v>
      </c>
      <c r="L116">
        <f t="shared" si="3"/>
        <v>27704000</v>
      </c>
      <c r="M116">
        <v>40679</v>
      </c>
      <c r="N116">
        <v>42034</v>
      </c>
      <c r="O116">
        <v>-1355</v>
      </c>
      <c r="P116" s="149">
        <f t="shared" si="2"/>
        <v>0.6810393569163451</v>
      </c>
      <c r="Q116">
        <v>705</v>
      </c>
      <c r="R116">
        <v>215</v>
      </c>
      <c r="S116" s="149">
        <v>5.5500000000000001E-2</v>
      </c>
    </row>
    <row r="117" spans="1:19" x14ac:dyDescent="0.25">
      <c r="A117" t="s">
        <v>128</v>
      </c>
      <c r="B117">
        <v>32054704.391106006</v>
      </c>
      <c r="C117">
        <v>28335288.391106006</v>
      </c>
      <c r="D117">
        <v>422149</v>
      </c>
      <c r="E117">
        <v>0</v>
      </c>
      <c r="F117">
        <v>2312486</v>
      </c>
      <c r="G117">
        <v>984781</v>
      </c>
      <c r="H117">
        <v>10415</v>
      </c>
      <c r="K117">
        <v>468295.60889399424</v>
      </c>
      <c r="L117">
        <f t="shared" si="3"/>
        <v>42938000</v>
      </c>
      <c r="M117">
        <v>54657</v>
      </c>
      <c r="N117">
        <v>55733</v>
      </c>
      <c r="O117">
        <v>-1076</v>
      </c>
      <c r="P117" s="149">
        <f t="shared" si="2"/>
        <v>0.785590134840917</v>
      </c>
      <c r="Q117">
        <v>3048</v>
      </c>
      <c r="R117">
        <v>1281</v>
      </c>
      <c r="S117" s="149">
        <v>3.5099999999999999E-2</v>
      </c>
    </row>
    <row r="118" spans="1:19" x14ac:dyDescent="0.25">
      <c r="A118" t="s">
        <v>182</v>
      </c>
      <c r="B118">
        <v>16498627.434321955</v>
      </c>
      <c r="C118">
        <v>14765296.434321955</v>
      </c>
      <c r="D118">
        <v>356723</v>
      </c>
      <c r="E118">
        <v>0</v>
      </c>
      <c r="F118">
        <v>919598</v>
      </c>
      <c r="G118">
        <v>457010</v>
      </c>
      <c r="H118">
        <v>2609</v>
      </c>
      <c r="K118">
        <v>222372.56567804515</v>
      </c>
      <c r="L118">
        <f t="shared" si="3"/>
        <v>19330000</v>
      </c>
      <c r="M118">
        <v>27625</v>
      </c>
      <c r="N118">
        <v>27707</v>
      </c>
      <c r="O118">
        <v>-82</v>
      </c>
      <c r="P118" s="149">
        <f t="shared" si="2"/>
        <v>0.69972850678733034</v>
      </c>
      <c r="Q118">
        <v>835</v>
      </c>
      <c r="R118">
        <v>567</v>
      </c>
      <c r="S118" s="149">
        <v>4.4400000000000002E-2</v>
      </c>
    </row>
    <row r="119" spans="1:19" x14ac:dyDescent="0.25">
      <c r="A119" t="s">
        <v>252</v>
      </c>
      <c r="B119">
        <v>61093455.995904289</v>
      </c>
      <c r="C119">
        <v>55104937.995904289</v>
      </c>
      <c r="D119">
        <v>671173</v>
      </c>
      <c r="E119">
        <v>0</v>
      </c>
      <c r="F119">
        <v>4390869</v>
      </c>
      <c r="G119">
        <v>926476</v>
      </c>
      <c r="H119">
        <v>16227</v>
      </c>
      <c r="K119">
        <v>283544.00409571081</v>
      </c>
      <c r="L119">
        <f t="shared" si="3"/>
        <v>77604000</v>
      </c>
      <c r="M119">
        <v>101525</v>
      </c>
      <c r="N119">
        <v>102845</v>
      </c>
      <c r="O119">
        <v>-1320</v>
      </c>
      <c r="P119" s="149">
        <f t="shared" si="2"/>
        <v>0.7643831568579168</v>
      </c>
      <c r="Q119">
        <v>1045</v>
      </c>
      <c r="R119">
        <v>253</v>
      </c>
      <c r="S119" s="149">
        <v>4.6300000000000001E-2</v>
      </c>
    </row>
    <row r="120" spans="1:19" x14ac:dyDescent="0.25">
      <c r="A120" t="s">
        <v>253</v>
      </c>
      <c r="B120">
        <v>32742516.041544724</v>
      </c>
      <c r="C120">
        <v>29972791.041544724</v>
      </c>
      <c r="D120">
        <v>387460</v>
      </c>
      <c r="E120">
        <v>0</v>
      </c>
      <c r="F120">
        <v>1712775</v>
      </c>
      <c r="G120">
        <v>669490</v>
      </c>
      <c r="H120">
        <v>7445</v>
      </c>
      <c r="K120">
        <v>61483.958455275744</v>
      </c>
      <c r="L120">
        <f t="shared" si="3"/>
        <v>40249000</v>
      </c>
      <c r="M120">
        <v>58384</v>
      </c>
      <c r="N120">
        <v>58925</v>
      </c>
      <c r="O120">
        <v>-541</v>
      </c>
      <c r="P120" s="149">
        <f t="shared" si="2"/>
        <v>0.68938407782954236</v>
      </c>
      <c r="Q120">
        <v>1483</v>
      </c>
      <c r="R120">
        <v>300</v>
      </c>
      <c r="S120" s="149">
        <v>3.6700000000000003E-2</v>
      </c>
    </row>
    <row r="121" spans="1:19" x14ac:dyDescent="0.25">
      <c r="A121" t="s">
        <v>183</v>
      </c>
      <c r="B121">
        <v>29564595.435268313</v>
      </c>
      <c r="C121">
        <v>23798443.435268313</v>
      </c>
      <c r="D121">
        <v>2793764</v>
      </c>
      <c r="E121">
        <v>0</v>
      </c>
      <c r="F121">
        <v>2424218</v>
      </c>
      <c r="G121">
        <v>548170</v>
      </c>
      <c r="H121">
        <v>4065</v>
      </c>
      <c r="K121">
        <v>668404.56473168731</v>
      </c>
      <c r="L121">
        <f t="shared" si="3"/>
        <v>34298000</v>
      </c>
      <c r="M121">
        <v>46863</v>
      </c>
      <c r="N121">
        <v>46888</v>
      </c>
      <c r="O121">
        <v>-25</v>
      </c>
      <c r="P121" s="149">
        <f t="shared" si="2"/>
        <v>0.73187802744169173</v>
      </c>
      <c r="Q121">
        <v>2022</v>
      </c>
      <c r="R121">
        <v>1226</v>
      </c>
      <c r="S121" s="149">
        <v>4.8899999999999999E-2</v>
      </c>
    </row>
    <row r="122" spans="1:19" x14ac:dyDescent="0.25">
      <c r="A122" t="s">
        <v>129</v>
      </c>
      <c r="B122">
        <v>92179207.924440295</v>
      </c>
      <c r="C122">
        <v>79716110.924440295</v>
      </c>
      <c r="D122">
        <v>1831411</v>
      </c>
      <c r="E122">
        <v>0</v>
      </c>
      <c r="F122">
        <v>8959151</v>
      </c>
      <c r="G122">
        <v>1672535</v>
      </c>
      <c r="H122">
        <v>25385</v>
      </c>
      <c r="K122">
        <v>1146792.0755597055</v>
      </c>
      <c r="L122">
        <f t="shared" si="3"/>
        <v>118711000</v>
      </c>
      <c r="M122">
        <v>159965</v>
      </c>
      <c r="N122">
        <v>158648</v>
      </c>
      <c r="O122">
        <v>1317</v>
      </c>
      <c r="P122" s="149">
        <f t="shared" si="2"/>
        <v>0.74210608570624825</v>
      </c>
      <c r="Q122">
        <v>4637</v>
      </c>
      <c r="R122">
        <v>3596</v>
      </c>
      <c r="S122" s="149">
        <v>3.27E-2</v>
      </c>
    </row>
    <row r="123" spans="1:19" x14ac:dyDescent="0.25">
      <c r="A123" t="s">
        <v>405</v>
      </c>
      <c r="B123">
        <v>276436723.1488716</v>
      </c>
      <c r="C123">
        <v>178248912.1488716</v>
      </c>
      <c r="D123">
        <v>2878857</v>
      </c>
      <c r="E123">
        <v>42527555</v>
      </c>
      <c r="F123">
        <v>31725361</v>
      </c>
      <c r="G123">
        <v>21056038</v>
      </c>
      <c r="H123">
        <v>68862</v>
      </c>
      <c r="K123">
        <v>10196276.851128399</v>
      </c>
      <c r="L123">
        <f t="shared" si="3"/>
        <v>355495000</v>
      </c>
      <c r="M123">
        <v>398913</v>
      </c>
      <c r="N123">
        <v>397610</v>
      </c>
      <c r="O123">
        <v>1303</v>
      </c>
      <c r="P123" s="149">
        <f t="shared" si="2"/>
        <v>0.891159225194466</v>
      </c>
      <c r="Q123">
        <v>3465</v>
      </c>
      <c r="R123">
        <v>116</v>
      </c>
      <c r="S123" s="149">
        <v>4.0199999999999993E-2</v>
      </c>
    </row>
    <row r="124" spans="1:19" x14ac:dyDescent="0.25">
      <c r="A124" t="s">
        <v>369</v>
      </c>
      <c r="B124">
        <v>21401410.364864279</v>
      </c>
      <c r="C124">
        <v>19554066.364864279</v>
      </c>
      <c r="D124">
        <v>185377</v>
      </c>
      <c r="E124">
        <v>0</v>
      </c>
      <c r="F124">
        <v>1129824</v>
      </c>
      <c r="G124">
        <v>532143</v>
      </c>
      <c r="H124">
        <v>3706</v>
      </c>
      <c r="K124">
        <v>796589.63513572142</v>
      </c>
      <c r="L124">
        <f t="shared" si="3"/>
        <v>25904000</v>
      </c>
      <c r="M124">
        <v>34363</v>
      </c>
      <c r="N124">
        <v>35449</v>
      </c>
      <c r="O124">
        <v>-1086</v>
      </c>
      <c r="P124" s="149">
        <f t="shared" ref="P124:P185" si="4">L124/(M124*1000)</f>
        <v>0.75383406571021161</v>
      </c>
      <c r="Q124">
        <v>388</v>
      </c>
      <c r="R124">
        <v>15</v>
      </c>
      <c r="S124" s="149">
        <v>5.1500000000000004E-2</v>
      </c>
    </row>
    <row r="125" spans="1:19" x14ac:dyDescent="0.25">
      <c r="A125" t="s">
        <v>255</v>
      </c>
      <c r="B125">
        <v>29148865.437068287</v>
      </c>
      <c r="C125">
        <v>26948092.437068287</v>
      </c>
      <c r="D125">
        <v>408923</v>
      </c>
      <c r="E125">
        <v>0</v>
      </c>
      <c r="F125">
        <v>1244595</v>
      </c>
      <c r="G125">
        <v>547255</v>
      </c>
      <c r="H125">
        <v>6646</v>
      </c>
      <c r="K125">
        <v>123134.56293171272</v>
      </c>
      <c r="L125">
        <f t="shared" ref="L125:L185" si="5">SUM(B125,H125*1000,K125)</f>
        <v>35918000</v>
      </c>
      <c r="M125">
        <v>58530</v>
      </c>
      <c r="N125">
        <v>56794</v>
      </c>
      <c r="O125">
        <v>1736</v>
      </c>
      <c r="P125" s="149">
        <f t="shared" si="4"/>
        <v>0.61366820433965485</v>
      </c>
      <c r="Q125">
        <v>787</v>
      </c>
      <c r="R125">
        <v>16</v>
      </c>
      <c r="S125" s="149">
        <v>3.2000000000000001E-2</v>
      </c>
    </row>
    <row r="126" spans="1:19" x14ac:dyDescent="0.25">
      <c r="A126" t="s">
        <v>147</v>
      </c>
      <c r="B126">
        <v>55373567.189604215</v>
      </c>
      <c r="C126">
        <v>48888945.189604215</v>
      </c>
      <c r="D126">
        <v>1521310</v>
      </c>
      <c r="E126">
        <v>0</v>
      </c>
      <c r="F126">
        <v>3930937</v>
      </c>
      <c r="G126">
        <v>1032375</v>
      </c>
      <c r="H126">
        <v>8670</v>
      </c>
      <c r="K126">
        <v>1403432.8103957847</v>
      </c>
      <c r="L126">
        <f t="shared" si="5"/>
        <v>65447000</v>
      </c>
      <c r="M126">
        <v>94760</v>
      </c>
      <c r="N126">
        <v>94399</v>
      </c>
      <c r="O126">
        <v>361</v>
      </c>
      <c r="P126" s="149">
        <f t="shared" si="4"/>
        <v>0.69066061629379483</v>
      </c>
      <c r="Q126">
        <v>2415</v>
      </c>
      <c r="R126">
        <v>209</v>
      </c>
      <c r="S126" s="149">
        <v>3.1800000000000002E-2</v>
      </c>
    </row>
    <row r="127" spans="1:19" x14ac:dyDescent="0.25">
      <c r="A127" t="s">
        <v>370</v>
      </c>
      <c r="B127">
        <v>204552531.22184065</v>
      </c>
      <c r="C127">
        <v>146428823.22184065</v>
      </c>
      <c r="D127">
        <v>3090033</v>
      </c>
      <c r="E127">
        <v>23679760</v>
      </c>
      <c r="F127">
        <v>19774781</v>
      </c>
      <c r="G127">
        <v>11579134</v>
      </c>
      <c r="H127">
        <v>51927</v>
      </c>
      <c r="K127">
        <v>8909468.7781593502</v>
      </c>
      <c r="L127">
        <f t="shared" si="5"/>
        <v>265389000</v>
      </c>
      <c r="M127">
        <v>341002</v>
      </c>
      <c r="N127">
        <v>347687</v>
      </c>
      <c r="O127">
        <v>-6685</v>
      </c>
      <c r="P127" s="149">
        <f t="shared" si="4"/>
        <v>0.77826229758183241</v>
      </c>
      <c r="Q127">
        <v>6695</v>
      </c>
      <c r="R127">
        <v>1011</v>
      </c>
      <c r="S127" s="149">
        <v>5.5300000000000002E-2</v>
      </c>
    </row>
    <row r="128" spans="1:19" x14ac:dyDescent="0.25">
      <c r="A128" t="s">
        <v>295</v>
      </c>
      <c r="B128">
        <v>40322640.403309792</v>
      </c>
      <c r="C128">
        <v>37591085.403309792</v>
      </c>
      <c r="D128">
        <v>588056</v>
      </c>
      <c r="E128">
        <v>0</v>
      </c>
      <c r="F128">
        <v>1142434</v>
      </c>
      <c r="G128">
        <v>1001065</v>
      </c>
      <c r="H128">
        <v>7081</v>
      </c>
      <c r="K128">
        <v>768359.59669020772</v>
      </c>
      <c r="L128">
        <f t="shared" si="5"/>
        <v>48172000</v>
      </c>
      <c r="M128">
        <v>86491</v>
      </c>
      <c r="N128">
        <v>87254</v>
      </c>
      <c r="O128">
        <v>-763</v>
      </c>
      <c r="P128" s="149">
        <f t="shared" si="4"/>
        <v>0.55695968366650861</v>
      </c>
      <c r="Q128">
        <v>1944</v>
      </c>
      <c r="R128">
        <v>523</v>
      </c>
      <c r="S128" s="149">
        <v>4.0999999999999995E-2</v>
      </c>
    </row>
    <row r="129" spans="1:19" x14ac:dyDescent="0.25">
      <c r="A129" t="s">
        <v>722</v>
      </c>
      <c r="B129">
        <v>154114142.50314412</v>
      </c>
      <c r="C129">
        <v>130649277.50314412</v>
      </c>
      <c r="D129">
        <v>5753208</v>
      </c>
      <c r="E129">
        <v>0</v>
      </c>
      <c r="F129">
        <v>14035993</v>
      </c>
      <c r="G129">
        <v>3675664</v>
      </c>
      <c r="H129">
        <v>47502</v>
      </c>
      <c r="K129">
        <v>2373857.4968558848</v>
      </c>
      <c r="L129">
        <f t="shared" si="5"/>
        <v>203990000</v>
      </c>
      <c r="M129">
        <v>309290</v>
      </c>
      <c r="N129">
        <v>310532</v>
      </c>
      <c r="O129">
        <v>-1242</v>
      </c>
      <c r="P129" s="149">
        <f t="shared" si="4"/>
        <v>0.65954282388696694</v>
      </c>
      <c r="Q129">
        <v>5371</v>
      </c>
      <c r="R129">
        <v>1646</v>
      </c>
      <c r="S129" s="149">
        <v>3.6600000000000001E-2</v>
      </c>
    </row>
    <row r="130" spans="1:19" x14ac:dyDescent="0.25">
      <c r="A130" t="s">
        <v>593</v>
      </c>
      <c r="B130">
        <v>95135973.283879638</v>
      </c>
      <c r="C130">
        <v>80711142.283879638</v>
      </c>
      <c r="D130">
        <v>2504526</v>
      </c>
      <c r="E130">
        <v>0</v>
      </c>
      <c r="F130">
        <v>9252058</v>
      </c>
      <c r="G130">
        <v>2668247</v>
      </c>
      <c r="H130">
        <v>21078</v>
      </c>
      <c r="K130">
        <v>1941026.7161203623</v>
      </c>
      <c r="L130">
        <f t="shared" si="5"/>
        <v>118155000</v>
      </c>
      <c r="M130">
        <v>162179</v>
      </c>
      <c r="N130">
        <v>159366</v>
      </c>
      <c r="O130">
        <v>2813</v>
      </c>
      <c r="P130" s="149">
        <f t="shared" si="4"/>
        <v>0.72854685255181006</v>
      </c>
      <c r="Q130">
        <v>921</v>
      </c>
      <c r="R130">
        <v>91</v>
      </c>
      <c r="S130" s="149">
        <v>2.87E-2</v>
      </c>
    </row>
    <row r="131" spans="1:19" x14ac:dyDescent="0.25">
      <c r="A131" t="s">
        <v>184</v>
      </c>
      <c r="B131">
        <v>21802225.401620124</v>
      </c>
      <c r="C131">
        <v>19749616.401620124</v>
      </c>
      <c r="D131">
        <v>114292</v>
      </c>
      <c r="E131">
        <v>0</v>
      </c>
      <c r="F131">
        <v>1481322</v>
      </c>
      <c r="G131">
        <v>456995</v>
      </c>
      <c r="H131">
        <v>5117</v>
      </c>
      <c r="K131">
        <v>204774.59837987646</v>
      </c>
      <c r="L131">
        <f t="shared" si="5"/>
        <v>27124000</v>
      </c>
      <c r="M131">
        <v>42957</v>
      </c>
      <c r="N131">
        <v>43189</v>
      </c>
      <c r="O131">
        <v>-232</v>
      </c>
      <c r="P131" s="149">
        <f t="shared" si="4"/>
        <v>0.63142211979421281</v>
      </c>
      <c r="Q131">
        <v>682</v>
      </c>
      <c r="R131">
        <v>85</v>
      </c>
      <c r="S131" s="149">
        <v>4.4299999999999999E-2</v>
      </c>
    </row>
    <row r="132" spans="1:19" x14ac:dyDescent="0.25">
      <c r="A132" t="s">
        <v>371</v>
      </c>
      <c r="B132">
        <v>61414542.237580001</v>
      </c>
      <c r="C132">
        <v>55537354.237580001</v>
      </c>
      <c r="D132">
        <v>840317</v>
      </c>
      <c r="E132">
        <v>0</v>
      </c>
      <c r="F132">
        <v>4058778</v>
      </c>
      <c r="G132">
        <v>978093</v>
      </c>
      <c r="H132">
        <v>18040</v>
      </c>
      <c r="K132">
        <v>1272457.7624199986</v>
      </c>
      <c r="L132">
        <f t="shared" si="5"/>
        <v>80727000</v>
      </c>
      <c r="M132">
        <v>110177</v>
      </c>
      <c r="N132">
        <v>108275</v>
      </c>
      <c r="O132">
        <v>1902</v>
      </c>
      <c r="P132" s="149">
        <f t="shared" si="4"/>
        <v>0.73270283271463188</v>
      </c>
      <c r="Q132">
        <v>2646</v>
      </c>
      <c r="R132">
        <v>716</v>
      </c>
      <c r="S132" s="149">
        <v>4.1500000000000002E-2</v>
      </c>
    </row>
    <row r="133" spans="1:19" x14ac:dyDescent="0.25">
      <c r="A133" t="s">
        <v>296</v>
      </c>
      <c r="B133">
        <v>31273018.569703881</v>
      </c>
      <c r="C133">
        <v>28421527.569703881</v>
      </c>
      <c r="D133">
        <v>308897</v>
      </c>
      <c r="E133">
        <v>0</v>
      </c>
      <c r="F133">
        <v>1947604</v>
      </c>
      <c r="G133">
        <v>594990</v>
      </c>
      <c r="H133">
        <v>6549</v>
      </c>
      <c r="K133">
        <v>233981.4302961193</v>
      </c>
      <c r="L133">
        <f t="shared" si="5"/>
        <v>38056000</v>
      </c>
      <c r="M133">
        <v>54359</v>
      </c>
      <c r="N133">
        <v>56759</v>
      </c>
      <c r="O133">
        <v>-2400</v>
      </c>
      <c r="P133" s="149">
        <f t="shared" si="4"/>
        <v>0.7000864622233669</v>
      </c>
      <c r="Q133">
        <v>2543</v>
      </c>
      <c r="R133">
        <v>1934</v>
      </c>
      <c r="S133" s="149">
        <v>5.3800000000000001E-2</v>
      </c>
    </row>
    <row r="134" spans="1:19" x14ac:dyDescent="0.25">
      <c r="A134" t="s">
        <v>372</v>
      </c>
      <c r="B134">
        <v>20799264.489689194</v>
      </c>
      <c r="C134">
        <v>18015123.489689194</v>
      </c>
      <c r="D134">
        <v>288888</v>
      </c>
      <c r="E134">
        <v>0</v>
      </c>
      <c r="F134">
        <v>1506200</v>
      </c>
      <c r="G134">
        <v>989053</v>
      </c>
      <c r="H134">
        <v>2875</v>
      </c>
      <c r="K134">
        <v>132735.51031080633</v>
      </c>
      <c r="L134">
        <f t="shared" si="5"/>
        <v>23807000</v>
      </c>
      <c r="M134">
        <v>38433</v>
      </c>
      <c r="N134">
        <v>38058</v>
      </c>
      <c r="O134">
        <v>375</v>
      </c>
      <c r="P134" s="149">
        <f t="shared" si="4"/>
        <v>0.61944162568625916</v>
      </c>
      <c r="Q134">
        <v>1822</v>
      </c>
      <c r="R134">
        <v>1179</v>
      </c>
      <c r="S134" s="149">
        <v>4.41E-2</v>
      </c>
    </row>
    <row r="135" spans="1:19" x14ac:dyDescent="0.25">
      <c r="A135" t="s">
        <v>256</v>
      </c>
      <c r="B135">
        <v>170810439.43854827</v>
      </c>
      <c r="C135">
        <v>131760262.43854825</v>
      </c>
      <c r="D135">
        <v>2101655</v>
      </c>
      <c r="E135">
        <v>18004578</v>
      </c>
      <c r="F135">
        <v>7795156</v>
      </c>
      <c r="G135">
        <v>11148788</v>
      </c>
      <c r="H135">
        <v>47847</v>
      </c>
      <c r="K135">
        <v>3941560.5614517331</v>
      </c>
      <c r="L135">
        <f t="shared" si="5"/>
        <v>222599000</v>
      </c>
      <c r="M135">
        <v>258222</v>
      </c>
      <c r="N135">
        <v>264645</v>
      </c>
      <c r="O135">
        <v>-6423</v>
      </c>
      <c r="P135" s="149">
        <f t="shared" si="4"/>
        <v>0.86204506200091391</v>
      </c>
      <c r="Q135">
        <v>3324</v>
      </c>
      <c r="R135">
        <v>890</v>
      </c>
      <c r="S135" s="149">
        <v>4.7100000000000003E-2</v>
      </c>
    </row>
    <row r="136" spans="1:19" x14ac:dyDescent="0.25">
      <c r="A136" t="s">
        <v>594</v>
      </c>
      <c r="B136">
        <v>117420072.19699237</v>
      </c>
      <c r="C136">
        <v>107866485.19699237</v>
      </c>
      <c r="D136">
        <v>2311777</v>
      </c>
      <c r="E136">
        <v>0</v>
      </c>
      <c r="F136">
        <v>4895559</v>
      </c>
      <c r="G136">
        <v>2346251</v>
      </c>
      <c r="H136">
        <v>20694</v>
      </c>
      <c r="K136">
        <v>1883927.8030076325</v>
      </c>
      <c r="L136">
        <f t="shared" si="5"/>
        <v>139998000</v>
      </c>
      <c r="M136">
        <v>190153</v>
      </c>
      <c r="N136">
        <v>202542</v>
      </c>
      <c r="O136">
        <v>-12389</v>
      </c>
      <c r="P136" s="149">
        <f t="shared" si="4"/>
        <v>0.73623871303634447</v>
      </c>
      <c r="Q136">
        <v>7323</v>
      </c>
      <c r="R136">
        <v>5227</v>
      </c>
      <c r="S136" s="149">
        <v>4.87E-2</v>
      </c>
    </row>
    <row r="137" spans="1:19" x14ac:dyDescent="0.25">
      <c r="A137" t="s">
        <v>148</v>
      </c>
      <c r="B137">
        <v>51357647.043121256</v>
      </c>
      <c r="C137">
        <v>46734849.043121256</v>
      </c>
      <c r="D137">
        <v>792824</v>
      </c>
      <c r="E137">
        <v>0</v>
      </c>
      <c r="F137">
        <v>2869190</v>
      </c>
      <c r="G137">
        <v>960784</v>
      </c>
      <c r="H137">
        <v>6047.7</v>
      </c>
      <c r="K137">
        <v>350000</v>
      </c>
      <c r="L137">
        <f t="shared" si="5"/>
        <v>57755347.043121256</v>
      </c>
      <c r="M137">
        <v>81415</v>
      </c>
      <c r="N137">
        <v>84960</v>
      </c>
      <c r="O137">
        <v>-3545</v>
      </c>
      <c r="P137" s="149">
        <f t="shared" si="4"/>
        <v>0.70939442416165643</v>
      </c>
      <c r="Q137">
        <v>0</v>
      </c>
      <c r="R137">
        <v>18</v>
      </c>
      <c r="S137" s="149">
        <v>5.0900000000000001E-2</v>
      </c>
    </row>
    <row r="138" spans="1:19" x14ac:dyDescent="0.25">
      <c r="A138" t="s">
        <v>257</v>
      </c>
      <c r="B138">
        <v>69987214.697145194</v>
      </c>
      <c r="C138">
        <v>63571736.697145194</v>
      </c>
      <c r="D138">
        <v>1515423</v>
      </c>
      <c r="E138">
        <v>0</v>
      </c>
      <c r="F138">
        <v>3355609</v>
      </c>
      <c r="G138">
        <v>1544446</v>
      </c>
      <c r="H138">
        <v>13755</v>
      </c>
      <c r="K138">
        <v>1033785.3028548062</v>
      </c>
      <c r="L138">
        <f t="shared" si="5"/>
        <v>84776000</v>
      </c>
      <c r="M138">
        <v>107385</v>
      </c>
      <c r="N138">
        <v>107939</v>
      </c>
      <c r="O138">
        <v>-554</v>
      </c>
      <c r="P138" s="149">
        <f t="shared" si="4"/>
        <v>0.78945849047818595</v>
      </c>
      <c r="Q138">
        <v>801</v>
      </c>
      <c r="R138">
        <v>53</v>
      </c>
      <c r="S138" s="149">
        <v>4.6699999999999998E-2</v>
      </c>
    </row>
    <row r="139" spans="1:19" x14ac:dyDescent="0.25">
      <c r="A139" t="s">
        <v>109</v>
      </c>
      <c r="B139">
        <v>117960116.80003689</v>
      </c>
      <c r="C139">
        <v>90113915.800036892</v>
      </c>
      <c r="D139">
        <v>3366858</v>
      </c>
      <c r="E139">
        <v>0</v>
      </c>
      <c r="F139">
        <v>20827250</v>
      </c>
      <c r="G139">
        <v>3652093</v>
      </c>
      <c r="H139">
        <v>22959</v>
      </c>
      <c r="K139">
        <v>4926883.1999631077</v>
      </c>
      <c r="L139">
        <f t="shared" si="5"/>
        <v>145846000</v>
      </c>
      <c r="M139">
        <v>188430</v>
      </c>
      <c r="N139">
        <v>186397</v>
      </c>
      <c r="O139">
        <v>2033</v>
      </c>
      <c r="P139" s="149">
        <f t="shared" si="4"/>
        <v>0.77400626227246194</v>
      </c>
      <c r="Q139">
        <v>1607</v>
      </c>
      <c r="R139">
        <v>240</v>
      </c>
      <c r="S139" s="149">
        <v>4.24E-2</v>
      </c>
    </row>
    <row r="140" spans="1:19" x14ac:dyDescent="0.25">
      <c r="A140" t="s">
        <v>258</v>
      </c>
      <c r="B140">
        <v>145763479.14094424</v>
      </c>
      <c r="C140">
        <v>117094586.14094426</v>
      </c>
      <c r="D140">
        <v>3020056</v>
      </c>
      <c r="E140">
        <v>13002385</v>
      </c>
      <c r="F140">
        <v>6945528</v>
      </c>
      <c r="G140">
        <v>5700924</v>
      </c>
      <c r="H140">
        <v>35292</v>
      </c>
      <c r="K140">
        <v>3481520.8590557575</v>
      </c>
      <c r="L140">
        <f t="shared" si="5"/>
        <v>184537000</v>
      </c>
      <c r="M140">
        <v>242258</v>
      </c>
      <c r="N140">
        <v>244664</v>
      </c>
      <c r="O140">
        <v>-2406</v>
      </c>
      <c r="P140" s="149">
        <f t="shared" si="4"/>
        <v>0.76173748648135464</v>
      </c>
      <c r="Q140">
        <v>6211</v>
      </c>
      <c r="R140">
        <v>927</v>
      </c>
      <c r="S140" s="149">
        <v>4.4500000000000005E-2</v>
      </c>
    </row>
    <row r="141" spans="1:19" x14ac:dyDescent="0.25">
      <c r="A141" t="s">
        <v>406</v>
      </c>
      <c r="B141">
        <v>61666988.897180215</v>
      </c>
      <c r="C141">
        <v>53178459.897180215</v>
      </c>
      <c r="D141">
        <v>2223144</v>
      </c>
      <c r="E141">
        <v>0</v>
      </c>
      <c r="F141">
        <v>4646416</v>
      </c>
      <c r="G141">
        <v>1618969</v>
      </c>
      <c r="H141">
        <v>10035</v>
      </c>
      <c r="K141">
        <v>975011.10281978548</v>
      </c>
      <c r="L141">
        <f t="shared" si="5"/>
        <v>72677000</v>
      </c>
      <c r="M141">
        <v>107635</v>
      </c>
      <c r="N141">
        <v>107596</v>
      </c>
      <c r="O141">
        <v>39</v>
      </c>
      <c r="P141" s="149">
        <f t="shared" si="4"/>
        <v>0.67521716913643337</v>
      </c>
      <c r="Q141">
        <v>1518</v>
      </c>
      <c r="R141">
        <v>451</v>
      </c>
      <c r="S141" s="149">
        <v>4.4600000000000001E-2</v>
      </c>
    </row>
    <row r="142" spans="1:19" x14ac:dyDescent="0.25">
      <c r="A142" t="s">
        <v>219</v>
      </c>
      <c r="B142">
        <v>63035103.349007688</v>
      </c>
      <c r="C142">
        <v>58588891.349007688</v>
      </c>
      <c r="D142">
        <v>2023708</v>
      </c>
      <c r="E142">
        <v>0</v>
      </c>
      <c r="F142">
        <v>850832</v>
      </c>
      <c r="G142">
        <v>1571672</v>
      </c>
      <c r="H142">
        <v>13560</v>
      </c>
      <c r="K142">
        <v>744896.65099231154</v>
      </c>
      <c r="L142">
        <f t="shared" si="5"/>
        <v>77340000</v>
      </c>
      <c r="M142">
        <v>119865</v>
      </c>
      <c r="N142">
        <v>121486</v>
      </c>
      <c r="O142">
        <v>-1621</v>
      </c>
      <c r="P142" s="149">
        <f t="shared" si="4"/>
        <v>0.64522587911400331</v>
      </c>
      <c r="Q142">
        <v>2536</v>
      </c>
      <c r="R142">
        <v>83</v>
      </c>
      <c r="S142" s="149">
        <v>4.6399999999999997E-2</v>
      </c>
    </row>
    <row r="143" spans="1:19" x14ac:dyDescent="0.25">
      <c r="A143" t="s">
        <v>259</v>
      </c>
      <c r="B143">
        <v>58553814.420093723</v>
      </c>
      <c r="C143">
        <v>54629164.420093723</v>
      </c>
      <c r="D143">
        <v>899288</v>
      </c>
      <c r="E143">
        <v>0</v>
      </c>
      <c r="F143">
        <v>2084291</v>
      </c>
      <c r="G143">
        <v>941071</v>
      </c>
      <c r="H143">
        <v>16770</v>
      </c>
      <c r="K143">
        <v>845185.57990627736</v>
      </c>
      <c r="L143">
        <f t="shared" si="5"/>
        <v>76169000</v>
      </c>
      <c r="M143">
        <v>95669</v>
      </c>
      <c r="N143">
        <v>102025</v>
      </c>
      <c r="O143">
        <v>-6356</v>
      </c>
      <c r="P143" s="149">
        <f t="shared" si="4"/>
        <v>0.79617221879605726</v>
      </c>
      <c r="Q143">
        <v>2352</v>
      </c>
      <c r="R143">
        <v>730</v>
      </c>
      <c r="S143" s="149">
        <v>5.7800000000000004E-2</v>
      </c>
    </row>
    <row r="144" spans="1:19" x14ac:dyDescent="0.25">
      <c r="A144" t="s">
        <v>330</v>
      </c>
      <c r="B144">
        <v>45768478.614029653</v>
      </c>
      <c r="C144">
        <v>39151051.614029653</v>
      </c>
      <c r="D144">
        <v>1184926</v>
      </c>
      <c r="E144">
        <v>0</v>
      </c>
      <c r="F144">
        <v>4389641</v>
      </c>
      <c r="G144">
        <v>1042860</v>
      </c>
      <c r="H144">
        <v>8098</v>
      </c>
      <c r="K144">
        <v>344521.38597034663</v>
      </c>
      <c r="L144">
        <f t="shared" si="5"/>
        <v>54211000</v>
      </c>
      <c r="M144">
        <v>73855</v>
      </c>
      <c r="N144">
        <v>73666</v>
      </c>
      <c r="O144">
        <v>189</v>
      </c>
      <c r="P144" s="149">
        <f t="shared" si="4"/>
        <v>0.73401936226389553</v>
      </c>
      <c r="Q144">
        <v>1384</v>
      </c>
      <c r="R144">
        <v>3110</v>
      </c>
      <c r="S144" s="149">
        <v>4.5199999999999997E-2</v>
      </c>
    </row>
    <row r="145" spans="1:19" x14ac:dyDescent="0.25">
      <c r="A145" t="s">
        <v>220</v>
      </c>
      <c r="B145">
        <v>49821008.108921796</v>
      </c>
      <c r="C145">
        <v>45452050.108921796</v>
      </c>
      <c r="D145">
        <v>751082</v>
      </c>
      <c r="E145">
        <v>0</v>
      </c>
      <c r="F145">
        <v>2712371</v>
      </c>
      <c r="G145">
        <v>905505</v>
      </c>
      <c r="H145">
        <v>11112</v>
      </c>
      <c r="K145">
        <v>964991.89107820392</v>
      </c>
      <c r="L145">
        <f t="shared" si="5"/>
        <v>61898000</v>
      </c>
      <c r="M145">
        <v>79020</v>
      </c>
      <c r="N145">
        <v>81421</v>
      </c>
      <c r="O145">
        <v>-2401</v>
      </c>
      <c r="P145" s="149">
        <f t="shared" si="4"/>
        <v>0.78332067830928875</v>
      </c>
      <c r="Q145">
        <v>2263</v>
      </c>
      <c r="R145">
        <v>57</v>
      </c>
      <c r="S145" s="149">
        <v>4.7300000000000002E-2</v>
      </c>
    </row>
    <row r="146" spans="1:19" x14ac:dyDescent="0.25">
      <c r="A146" t="s">
        <v>297</v>
      </c>
      <c r="B146">
        <v>32389943.148397874</v>
      </c>
      <c r="C146">
        <v>30834281.148397874</v>
      </c>
      <c r="D146">
        <v>881099</v>
      </c>
      <c r="E146">
        <v>0</v>
      </c>
      <c r="F146">
        <v>128856</v>
      </c>
      <c r="G146">
        <v>545707</v>
      </c>
      <c r="H146">
        <v>7174</v>
      </c>
      <c r="K146">
        <v>692056.85160212591</v>
      </c>
      <c r="L146">
        <f t="shared" si="5"/>
        <v>40256000</v>
      </c>
      <c r="M146">
        <v>58440</v>
      </c>
      <c r="N146">
        <v>59325</v>
      </c>
      <c r="O146">
        <v>-885</v>
      </c>
      <c r="P146" s="149">
        <f t="shared" si="4"/>
        <v>0.68884325804243673</v>
      </c>
      <c r="Q146">
        <v>4066</v>
      </c>
      <c r="R146">
        <v>3178</v>
      </c>
      <c r="S146" s="149">
        <v>4.4500000000000005E-2</v>
      </c>
    </row>
    <row r="147" spans="1:19" x14ac:dyDescent="0.25">
      <c r="A147" t="s">
        <v>149</v>
      </c>
      <c r="B147">
        <v>89954421.222837567</v>
      </c>
      <c r="C147">
        <v>79231627.222837567</v>
      </c>
      <c r="D147">
        <v>2333832</v>
      </c>
      <c r="E147">
        <v>0</v>
      </c>
      <c r="F147">
        <v>6309606</v>
      </c>
      <c r="G147">
        <v>2079356</v>
      </c>
      <c r="H147">
        <v>15399</v>
      </c>
      <c r="K147">
        <v>1145578.7771624327</v>
      </c>
      <c r="L147">
        <f t="shared" si="5"/>
        <v>106499000</v>
      </c>
      <c r="M147">
        <v>157268</v>
      </c>
      <c r="N147">
        <v>156093</v>
      </c>
      <c r="O147">
        <v>1175</v>
      </c>
      <c r="P147" s="149">
        <f t="shared" si="4"/>
        <v>0.67718162626853529</v>
      </c>
      <c r="Q147">
        <v>3640</v>
      </c>
      <c r="R147">
        <v>273</v>
      </c>
      <c r="S147" s="149">
        <v>3.8599999999999995E-2</v>
      </c>
    </row>
    <row r="148" spans="1:19" x14ac:dyDescent="0.25">
      <c r="A148" t="s">
        <v>331</v>
      </c>
      <c r="B148">
        <v>17686996.988397934</v>
      </c>
      <c r="C148">
        <v>16170768.988397934</v>
      </c>
      <c r="D148">
        <v>345615</v>
      </c>
      <c r="E148">
        <v>0</v>
      </c>
      <c r="F148">
        <v>630364</v>
      </c>
      <c r="G148">
        <v>540249</v>
      </c>
      <c r="H148">
        <v>2351</v>
      </c>
      <c r="K148">
        <v>166003.01160206646</v>
      </c>
      <c r="L148">
        <f t="shared" si="5"/>
        <v>20204000</v>
      </c>
      <c r="M148">
        <v>34347</v>
      </c>
      <c r="N148">
        <v>34751</v>
      </c>
      <c r="O148">
        <v>-404</v>
      </c>
      <c r="P148" s="149">
        <f t="shared" si="4"/>
        <v>0.58823186886773227</v>
      </c>
      <c r="Q148">
        <v>882</v>
      </c>
      <c r="R148">
        <v>606</v>
      </c>
      <c r="S148" s="149">
        <v>4.1599999999999998E-2</v>
      </c>
    </row>
    <row r="149" spans="1:19" x14ac:dyDescent="0.25">
      <c r="A149" t="s">
        <v>298</v>
      </c>
      <c r="B149">
        <v>93293830.186088264</v>
      </c>
      <c r="C149">
        <v>82344734.186088264</v>
      </c>
      <c r="D149">
        <v>1493482</v>
      </c>
      <c r="E149">
        <v>0</v>
      </c>
      <c r="F149">
        <v>7080228</v>
      </c>
      <c r="G149">
        <v>2375386</v>
      </c>
      <c r="H149">
        <v>16089</v>
      </c>
      <c r="K149">
        <v>658169.81391173601</v>
      </c>
      <c r="L149">
        <f t="shared" si="5"/>
        <v>110041000</v>
      </c>
      <c r="M149">
        <v>173838</v>
      </c>
      <c r="N149">
        <v>171710</v>
      </c>
      <c r="O149">
        <v>2128</v>
      </c>
      <c r="P149" s="149">
        <f t="shared" si="4"/>
        <v>0.63300889333747512</v>
      </c>
      <c r="Q149">
        <v>7297</v>
      </c>
      <c r="R149">
        <v>3592</v>
      </c>
      <c r="S149" s="149">
        <v>3.3099999999999997E-2</v>
      </c>
    </row>
    <row r="150" spans="1:19" x14ac:dyDescent="0.25">
      <c r="A150" t="s">
        <v>407</v>
      </c>
      <c r="B150">
        <v>109055990.62941378</v>
      </c>
      <c r="C150">
        <v>84540181.629413784</v>
      </c>
      <c r="D150">
        <v>1504895</v>
      </c>
      <c r="E150">
        <v>0</v>
      </c>
      <c r="F150">
        <v>21007079</v>
      </c>
      <c r="G150">
        <v>2003835</v>
      </c>
      <c r="H150">
        <v>31685</v>
      </c>
      <c r="K150">
        <v>2279009.3705862164</v>
      </c>
      <c r="L150">
        <f t="shared" si="5"/>
        <v>143020000</v>
      </c>
      <c r="M150">
        <v>170918</v>
      </c>
      <c r="N150">
        <v>170810</v>
      </c>
      <c r="O150">
        <v>108</v>
      </c>
      <c r="P150" s="149">
        <f t="shared" si="4"/>
        <v>0.83677552978621328</v>
      </c>
      <c r="Q150">
        <v>1506</v>
      </c>
      <c r="R150">
        <v>380</v>
      </c>
      <c r="S150" s="149">
        <v>3.4200000000000001E-2</v>
      </c>
    </row>
    <row r="151" spans="1:19" x14ac:dyDescent="0.25">
      <c r="A151" t="s">
        <v>260</v>
      </c>
      <c r="B151">
        <v>28763152.535103008</v>
      </c>
      <c r="C151">
        <v>26340361.535103008</v>
      </c>
      <c r="D151">
        <v>869922</v>
      </c>
      <c r="E151">
        <v>0</v>
      </c>
      <c r="F151">
        <v>886088</v>
      </c>
      <c r="G151">
        <v>666781</v>
      </c>
      <c r="H151">
        <v>4830</v>
      </c>
      <c r="K151">
        <v>0</v>
      </c>
      <c r="L151">
        <f t="shared" si="5"/>
        <v>33593152.535103008</v>
      </c>
      <c r="M151">
        <v>59325</v>
      </c>
      <c r="N151">
        <v>68405</v>
      </c>
      <c r="O151">
        <v>-9080</v>
      </c>
      <c r="P151" s="149">
        <f t="shared" si="4"/>
        <v>0.56625625849309746</v>
      </c>
      <c r="Q151">
        <v>5648</v>
      </c>
      <c r="R151">
        <v>20</v>
      </c>
      <c r="S151" s="149">
        <v>7.0699999999999999E-2</v>
      </c>
    </row>
    <row r="152" spans="1:19" x14ac:dyDescent="0.25">
      <c r="A152" t="s">
        <v>299</v>
      </c>
      <c r="B152">
        <v>45494517.619061157</v>
      </c>
      <c r="C152">
        <v>40459042.619061157</v>
      </c>
      <c r="D152">
        <v>1699615</v>
      </c>
      <c r="E152">
        <v>0</v>
      </c>
      <c r="F152">
        <v>2591548</v>
      </c>
      <c r="G152">
        <v>744312</v>
      </c>
      <c r="H152">
        <v>9871</v>
      </c>
      <c r="K152">
        <v>779482.38093884289</v>
      </c>
      <c r="L152">
        <f t="shared" si="5"/>
        <v>56145000</v>
      </c>
      <c r="M152">
        <v>75359</v>
      </c>
      <c r="N152">
        <v>73597</v>
      </c>
      <c r="O152">
        <v>1762</v>
      </c>
      <c r="P152" s="149">
        <f t="shared" si="4"/>
        <v>0.74503377167956053</v>
      </c>
      <c r="Q152">
        <v>2013</v>
      </c>
      <c r="R152">
        <v>64</v>
      </c>
      <c r="S152" s="149">
        <v>4.2099999999999999E-2</v>
      </c>
    </row>
    <row r="153" spans="1:19" x14ac:dyDescent="0.25">
      <c r="A153" t="s">
        <v>474</v>
      </c>
      <c r="B153">
        <v>81287161.391957879</v>
      </c>
      <c r="C153">
        <v>73692801.391957879</v>
      </c>
      <c r="D153">
        <v>2241002</v>
      </c>
      <c r="E153">
        <v>0</v>
      </c>
      <c r="F153">
        <v>3882571</v>
      </c>
      <c r="G153">
        <v>1470787</v>
      </c>
      <c r="H153">
        <v>10136</v>
      </c>
      <c r="K153">
        <v>2258838.6080421209</v>
      </c>
      <c r="L153">
        <f t="shared" si="5"/>
        <v>93682000</v>
      </c>
      <c r="M153">
        <v>131852</v>
      </c>
      <c r="N153">
        <v>135404</v>
      </c>
      <c r="O153">
        <v>-3552</v>
      </c>
      <c r="P153" s="149">
        <f t="shared" si="4"/>
        <v>0.71050875223735699</v>
      </c>
      <c r="Q153">
        <v>2092</v>
      </c>
      <c r="R153">
        <v>58</v>
      </c>
      <c r="S153" s="149">
        <v>5.1500000000000004E-2</v>
      </c>
    </row>
    <row r="154" spans="1:19" x14ac:dyDescent="0.25">
      <c r="A154" t="s">
        <v>373</v>
      </c>
      <c r="B154">
        <v>30938680.397592425</v>
      </c>
      <c r="C154">
        <v>27149835.397592425</v>
      </c>
      <c r="D154">
        <v>339004</v>
      </c>
      <c r="E154">
        <v>0</v>
      </c>
      <c r="F154">
        <v>2830548</v>
      </c>
      <c r="G154">
        <v>619293</v>
      </c>
      <c r="H154">
        <v>8179</v>
      </c>
      <c r="K154">
        <v>405319.60240757465</v>
      </c>
      <c r="L154">
        <f t="shared" si="5"/>
        <v>39523000</v>
      </c>
      <c r="M154">
        <v>56196</v>
      </c>
      <c r="N154">
        <v>56815</v>
      </c>
      <c r="O154">
        <v>-619</v>
      </c>
      <c r="P154" s="149">
        <f t="shared" si="4"/>
        <v>0.70330628514485016</v>
      </c>
      <c r="Q154">
        <v>602</v>
      </c>
      <c r="R154">
        <v>84</v>
      </c>
      <c r="S154" s="149">
        <v>4.8300000000000003E-2</v>
      </c>
    </row>
    <row r="155" spans="1:19" x14ac:dyDescent="0.25">
      <c r="A155" t="s">
        <v>975</v>
      </c>
      <c r="B155">
        <v>145456651.57240683</v>
      </c>
      <c r="C155">
        <v>121670946.57240681</v>
      </c>
      <c r="D155">
        <v>2671746</v>
      </c>
      <c r="E155">
        <v>0</v>
      </c>
      <c r="F155">
        <v>16616994</v>
      </c>
      <c r="G155">
        <v>4496965</v>
      </c>
      <c r="H155">
        <v>23396</v>
      </c>
      <c r="K155">
        <v>1872348.427593179</v>
      </c>
      <c r="L155">
        <v>170725000</v>
      </c>
      <c r="M155">
        <v>242548</v>
      </c>
      <c r="N155">
        <v>241877</v>
      </c>
      <c r="O155">
        <v>671</v>
      </c>
      <c r="P155" s="149">
        <f t="shared" si="4"/>
        <v>0.70388129359961737</v>
      </c>
      <c r="Q155">
        <v>3119</v>
      </c>
      <c r="R155">
        <v>1158</v>
      </c>
      <c r="S155" s="149">
        <v>4.0939999999999997E-2</v>
      </c>
    </row>
    <row r="156" spans="1:19" x14ac:dyDescent="0.25">
      <c r="A156" t="s">
        <v>408</v>
      </c>
      <c r="B156">
        <v>76112242.313508391</v>
      </c>
      <c r="C156">
        <v>62599494.313508391</v>
      </c>
      <c r="D156">
        <v>978828</v>
      </c>
      <c r="E156">
        <v>0</v>
      </c>
      <c r="F156">
        <v>11546946</v>
      </c>
      <c r="G156">
        <v>986974</v>
      </c>
      <c r="H156">
        <v>18597</v>
      </c>
      <c r="K156">
        <v>981757.68649160862</v>
      </c>
      <c r="L156">
        <f t="shared" si="5"/>
        <v>95691000</v>
      </c>
      <c r="M156">
        <v>112136</v>
      </c>
      <c r="N156">
        <v>113874</v>
      </c>
      <c r="O156">
        <v>-1738</v>
      </c>
      <c r="P156" s="149">
        <f t="shared" si="4"/>
        <v>0.85334772062495545</v>
      </c>
      <c r="Q156">
        <v>718</v>
      </c>
      <c r="R156">
        <v>69</v>
      </c>
      <c r="S156" s="149">
        <v>4.9400000000000006E-2</v>
      </c>
    </row>
    <row r="157" spans="1:19" x14ac:dyDescent="0.25">
      <c r="A157" t="s">
        <v>261</v>
      </c>
      <c r="B157">
        <v>14186374.712541431</v>
      </c>
      <c r="C157">
        <v>13182519.712541431</v>
      </c>
      <c r="D157">
        <v>312556</v>
      </c>
      <c r="E157">
        <v>0</v>
      </c>
      <c r="F157">
        <v>293705</v>
      </c>
      <c r="G157">
        <v>397594</v>
      </c>
      <c r="H157">
        <v>1869</v>
      </c>
      <c r="K157">
        <v>3545625.2874585688</v>
      </c>
      <c r="L157">
        <f t="shared" si="5"/>
        <v>19601000</v>
      </c>
      <c r="M157">
        <v>23365</v>
      </c>
      <c r="N157">
        <v>24217</v>
      </c>
      <c r="O157">
        <v>-852</v>
      </c>
      <c r="P157" s="149">
        <f t="shared" si="4"/>
        <v>0.83890434410442971</v>
      </c>
      <c r="Q157">
        <v>242</v>
      </c>
      <c r="R157">
        <v>92</v>
      </c>
      <c r="S157" s="149">
        <v>5.0799999999999998E-2</v>
      </c>
    </row>
    <row r="158" spans="1:19" x14ac:dyDescent="0.25">
      <c r="A158" t="s">
        <v>300</v>
      </c>
      <c r="B158">
        <v>71750552.696325004</v>
      </c>
      <c r="C158">
        <v>68905816.696325004</v>
      </c>
      <c r="D158">
        <v>1444500</v>
      </c>
      <c r="E158">
        <v>0</v>
      </c>
      <c r="F158">
        <v>219106</v>
      </c>
      <c r="G158">
        <v>1181130</v>
      </c>
      <c r="H158">
        <v>15505</v>
      </c>
      <c r="K158">
        <v>1399447.3036749959</v>
      </c>
      <c r="L158">
        <f t="shared" si="5"/>
        <v>88655000</v>
      </c>
      <c r="M158">
        <v>178485</v>
      </c>
      <c r="N158">
        <v>190553</v>
      </c>
      <c r="O158">
        <v>-12068</v>
      </c>
      <c r="P158" s="149">
        <f t="shared" si="4"/>
        <v>0.49670840686892453</v>
      </c>
      <c r="Q158">
        <v>2593</v>
      </c>
      <c r="R158">
        <v>416</v>
      </c>
      <c r="S158" s="149">
        <v>5.33E-2</v>
      </c>
    </row>
    <row r="159" spans="1:19" x14ac:dyDescent="0.25">
      <c r="A159" t="s">
        <v>724</v>
      </c>
      <c r="B159">
        <v>12827422.530478336</v>
      </c>
      <c r="C159">
        <v>11981840.530478336</v>
      </c>
      <c r="D159">
        <v>54199</v>
      </c>
      <c r="E159">
        <v>0</v>
      </c>
      <c r="F159">
        <v>341218</v>
      </c>
      <c r="G159">
        <v>450165</v>
      </c>
      <c r="H159">
        <v>3873</v>
      </c>
      <c r="K159">
        <v>0</v>
      </c>
      <c r="L159">
        <f t="shared" si="5"/>
        <v>16700422.530478336</v>
      </c>
      <c r="M159">
        <v>25346</v>
      </c>
      <c r="N159">
        <v>25892</v>
      </c>
      <c r="O159">
        <v>-546</v>
      </c>
      <c r="P159" s="149">
        <f t="shared" si="4"/>
        <v>0.6588977562723245</v>
      </c>
      <c r="Q159">
        <v>1466</v>
      </c>
      <c r="R159">
        <v>781</v>
      </c>
      <c r="S159" s="149">
        <v>3.7599999999999995E-2</v>
      </c>
    </row>
    <row r="160" spans="1:19" x14ac:dyDescent="0.25">
      <c r="A160" t="s">
        <v>130</v>
      </c>
      <c r="B160">
        <v>353723316.86474717</v>
      </c>
      <c r="C160">
        <v>231708650.86474717</v>
      </c>
      <c r="D160">
        <v>6509550</v>
      </c>
      <c r="E160">
        <v>64768277</v>
      </c>
      <c r="F160">
        <v>15188068</v>
      </c>
      <c r="G160">
        <v>35548771</v>
      </c>
      <c r="H160">
        <v>102872</v>
      </c>
      <c r="K160">
        <v>12580683.135252833</v>
      </c>
      <c r="L160">
        <f t="shared" si="5"/>
        <v>469176000</v>
      </c>
      <c r="M160">
        <v>575746</v>
      </c>
      <c r="N160">
        <v>574938</v>
      </c>
      <c r="O160">
        <v>808</v>
      </c>
      <c r="P160" s="149">
        <f t="shared" si="4"/>
        <v>0.81490101537830917</v>
      </c>
      <c r="Q160">
        <v>8771</v>
      </c>
      <c r="R160">
        <v>1832</v>
      </c>
      <c r="S160" s="149">
        <v>2.8199999999999999E-2</v>
      </c>
    </row>
    <row r="161" spans="1:19" x14ac:dyDescent="0.25">
      <c r="A161" t="s">
        <v>301</v>
      </c>
      <c r="B161">
        <v>286648418.27972841</v>
      </c>
      <c r="C161">
        <v>197633246.27972844</v>
      </c>
      <c r="D161">
        <v>3299206</v>
      </c>
      <c r="E161">
        <v>37434811</v>
      </c>
      <c r="F161">
        <v>22477279</v>
      </c>
      <c r="G161">
        <v>25803876</v>
      </c>
      <c r="H161">
        <v>69385</v>
      </c>
      <c r="K161">
        <v>12371581.720271587</v>
      </c>
      <c r="L161">
        <f t="shared" si="5"/>
        <v>368405000</v>
      </c>
      <c r="M161">
        <v>508615</v>
      </c>
      <c r="N161">
        <v>515828</v>
      </c>
      <c r="O161">
        <v>-7213</v>
      </c>
      <c r="P161" s="149">
        <f t="shared" si="4"/>
        <v>0.72432979758756622</v>
      </c>
      <c r="Q161">
        <v>20663</v>
      </c>
      <c r="R161">
        <v>10393</v>
      </c>
      <c r="S161" s="149">
        <v>3.7400000000000003E-2</v>
      </c>
    </row>
    <row r="162" spans="1:19" x14ac:dyDescent="0.25">
      <c r="A162" t="s">
        <v>302</v>
      </c>
      <c r="B162">
        <v>35961089.051132314</v>
      </c>
      <c r="C162">
        <v>34692956.051132314</v>
      </c>
      <c r="D162">
        <v>524492</v>
      </c>
      <c r="E162">
        <v>0</v>
      </c>
      <c r="F162">
        <v>244803</v>
      </c>
      <c r="G162">
        <v>498838</v>
      </c>
      <c r="H162">
        <v>8599</v>
      </c>
      <c r="K162">
        <v>849910.94886768609</v>
      </c>
      <c r="L162">
        <f t="shared" si="5"/>
        <v>45410000</v>
      </c>
      <c r="M162">
        <v>68221</v>
      </c>
      <c r="N162">
        <v>68279</v>
      </c>
      <c r="O162">
        <v>-58</v>
      </c>
      <c r="P162" s="149">
        <f t="shared" si="4"/>
        <v>0.66563081749021558</v>
      </c>
      <c r="Q162">
        <v>2396</v>
      </c>
      <c r="R162">
        <v>644</v>
      </c>
      <c r="S162" s="149">
        <v>4.4699999999999997E-2</v>
      </c>
    </row>
    <row r="163" spans="1:19" x14ac:dyDescent="0.25">
      <c r="A163" t="s">
        <v>303</v>
      </c>
      <c r="B163">
        <v>119957168.16318187</v>
      </c>
      <c r="C163">
        <v>109899540.16318187</v>
      </c>
      <c r="D163">
        <v>4703404</v>
      </c>
      <c r="E163">
        <v>0</v>
      </c>
      <c r="F163">
        <v>3516495</v>
      </c>
      <c r="G163">
        <v>1837729</v>
      </c>
      <c r="H163">
        <v>36603</v>
      </c>
      <c r="K163">
        <v>4216831.8368181288</v>
      </c>
      <c r="L163">
        <f t="shared" si="5"/>
        <v>160777000</v>
      </c>
      <c r="M163">
        <v>217824</v>
      </c>
      <c r="N163">
        <v>228177</v>
      </c>
      <c r="O163">
        <v>-10353</v>
      </c>
      <c r="P163" s="149">
        <f t="shared" si="4"/>
        <v>0.73810507565741146</v>
      </c>
      <c r="Q163">
        <v>4659</v>
      </c>
      <c r="R163">
        <v>535</v>
      </c>
      <c r="S163" s="149">
        <v>4.8799999999999996E-2</v>
      </c>
    </row>
    <row r="164" spans="1:19" x14ac:dyDescent="0.25">
      <c r="A164" t="s">
        <v>429</v>
      </c>
      <c r="B164">
        <v>159398801.00447184</v>
      </c>
      <c r="C164">
        <v>144975439.00447184</v>
      </c>
      <c r="D164">
        <v>3188964</v>
      </c>
      <c r="E164">
        <v>0</v>
      </c>
      <c r="F164">
        <v>7892325</v>
      </c>
      <c r="G164">
        <v>3342073</v>
      </c>
      <c r="H164">
        <v>45890</v>
      </c>
      <c r="K164">
        <v>5360198.9955281615</v>
      </c>
      <c r="L164">
        <f t="shared" si="5"/>
        <v>210649000</v>
      </c>
      <c r="M164">
        <v>285290</v>
      </c>
      <c r="N164">
        <v>290821</v>
      </c>
      <c r="O164">
        <v>-5531</v>
      </c>
      <c r="P164" s="149">
        <f t="shared" si="4"/>
        <v>0.73836797644502083</v>
      </c>
      <c r="Q164">
        <v>6233</v>
      </c>
      <c r="R164">
        <v>2518</v>
      </c>
      <c r="S164" s="149">
        <v>4.53E-2</v>
      </c>
    </row>
    <row r="165" spans="1:19" x14ac:dyDescent="0.25">
      <c r="A165" t="s">
        <v>409</v>
      </c>
      <c r="B165">
        <v>54516216.974571809</v>
      </c>
      <c r="C165">
        <v>45581958.974571809</v>
      </c>
      <c r="D165">
        <v>4118527</v>
      </c>
      <c r="E165">
        <v>0</v>
      </c>
      <c r="F165">
        <v>3108975</v>
      </c>
      <c r="G165">
        <v>1706756</v>
      </c>
      <c r="H165">
        <v>11985</v>
      </c>
      <c r="K165">
        <v>1718783.0254281908</v>
      </c>
      <c r="L165">
        <f t="shared" si="5"/>
        <v>68220000</v>
      </c>
      <c r="M165">
        <v>81773</v>
      </c>
      <c r="N165">
        <v>84763</v>
      </c>
      <c r="O165">
        <v>-2990</v>
      </c>
      <c r="P165" s="149">
        <f t="shared" si="4"/>
        <v>0.83426069729617358</v>
      </c>
      <c r="Q165">
        <v>890</v>
      </c>
      <c r="R165">
        <v>131</v>
      </c>
      <c r="S165" s="149">
        <v>5.28E-2</v>
      </c>
    </row>
    <row r="166" spans="1:19" x14ac:dyDescent="0.25">
      <c r="A166" t="s">
        <v>221</v>
      </c>
      <c r="B166">
        <v>36743827.70919989</v>
      </c>
      <c r="C166">
        <v>33461352.70919989</v>
      </c>
      <c r="D166">
        <v>963409</v>
      </c>
      <c r="E166">
        <v>0</v>
      </c>
      <c r="F166">
        <v>1659337</v>
      </c>
      <c r="G166">
        <v>659729</v>
      </c>
      <c r="H166">
        <v>8444</v>
      </c>
      <c r="K166">
        <v>177172.29080010951</v>
      </c>
      <c r="L166">
        <f t="shared" si="5"/>
        <v>45365000</v>
      </c>
      <c r="M166">
        <v>61637</v>
      </c>
      <c r="N166">
        <v>63902</v>
      </c>
      <c r="O166">
        <v>-2265</v>
      </c>
      <c r="P166" s="149">
        <f t="shared" si="4"/>
        <v>0.73600272563557601</v>
      </c>
      <c r="Q166">
        <v>1624</v>
      </c>
      <c r="R166">
        <v>81</v>
      </c>
      <c r="S166" s="149">
        <v>4.3799999999999999E-2</v>
      </c>
    </row>
    <row r="167" spans="1:19" x14ac:dyDescent="0.25">
      <c r="A167" t="s">
        <v>185</v>
      </c>
      <c r="B167">
        <v>65511269.426222838</v>
      </c>
      <c r="C167">
        <v>58613091.426222838</v>
      </c>
      <c r="D167">
        <v>1167036</v>
      </c>
      <c r="E167">
        <v>0</v>
      </c>
      <c r="F167">
        <v>4628227</v>
      </c>
      <c r="G167">
        <v>1102915</v>
      </c>
      <c r="H167">
        <v>11485</v>
      </c>
      <c r="K167">
        <v>623730.57377716154</v>
      </c>
      <c r="L167">
        <f t="shared" si="5"/>
        <v>77620000</v>
      </c>
      <c r="M167">
        <v>110546</v>
      </c>
      <c r="N167">
        <v>115185</v>
      </c>
      <c r="O167">
        <v>-4639</v>
      </c>
      <c r="P167" s="149">
        <f t="shared" si="4"/>
        <v>0.70215114070160833</v>
      </c>
      <c r="Q167">
        <v>4542</v>
      </c>
      <c r="R167">
        <v>3589</v>
      </c>
      <c r="S167" s="149">
        <v>5.3499999999999999E-2</v>
      </c>
    </row>
    <row r="168" spans="1:19" x14ac:dyDescent="0.25">
      <c r="A168" t="s">
        <v>304</v>
      </c>
      <c r="B168">
        <v>31019325.532093737</v>
      </c>
      <c r="C168">
        <v>28102600.532093737</v>
      </c>
      <c r="D168">
        <v>362316</v>
      </c>
      <c r="E168">
        <v>0</v>
      </c>
      <c r="F168">
        <v>1952144</v>
      </c>
      <c r="G168">
        <v>602265</v>
      </c>
      <c r="H168">
        <v>6345</v>
      </c>
      <c r="K168">
        <v>273674.46790626273</v>
      </c>
      <c r="L168">
        <f t="shared" si="5"/>
        <v>37638000</v>
      </c>
      <c r="M168">
        <v>51525</v>
      </c>
      <c r="N168">
        <v>55933</v>
      </c>
      <c r="O168">
        <v>-4408</v>
      </c>
      <c r="P168" s="149">
        <f t="shared" si="4"/>
        <v>0.73048034934497819</v>
      </c>
      <c r="Q168">
        <v>3205</v>
      </c>
      <c r="R168">
        <v>2280</v>
      </c>
      <c r="S168" s="149">
        <v>4.4800000000000006E-2</v>
      </c>
    </row>
    <row r="169" spans="1:19" x14ac:dyDescent="0.25">
      <c r="A169" t="s">
        <v>186</v>
      </c>
      <c r="B169">
        <v>51618912.45048549</v>
      </c>
      <c r="C169">
        <v>44622276.45048549</v>
      </c>
      <c r="D169">
        <v>3261901</v>
      </c>
      <c r="E169">
        <v>0</v>
      </c>
      <c r="F169">
        <v>2753647</v>
      </c>
      <c r="G169">
        <v>981088</v>
      </c>
      <c r="H169">
        <v>11284</v>
      </c>
      <c r="K169">
        <v>624087.54951450974</v>
      </c>
      <c r="L169">
        <f t="shared" si="5"/>
        <v>63527000</v>
      </c>
      <c r="M169">
        <v>83930</v>
      </c>
      <c r="N169">
        <v>85525</v>
      </c>
      <c r="O169">
        <v>-1595</v>
      </c>
      <c r="P169" s="149">
        <f t="shared" si="4"/>
        <v>0.75690456332658163</v>
      </c>
      <c r="Q169">
        <v>3385</v>
      </c>
      <c r="R169">
        <v>2394</v>
      </c>
      <c r="S169" s="149">
        <v>4.8799999999999996E-2</v>
      </c>
    </row>
    <row r="170" spans="1:19" x14ac:dyDescent="0.25">
      <c r="A170" t="s">
        <v>375</v>
      </c>
      <c r="B170">
        <v>34630707.07218945</v>
      </c>
      <c r="C170">
        <v>29644617.07218945</v>
      </c>
      <c r="D170">
        <v>480206</v>
      </c>
      <c r="E170">
        <v>0</v>
      </c>
      <c r="F170">
        <v>3253181</v>
      </c>
      <c r="G170">
        <v>1252703</v>
      </c>
      <c r="H170">
        <v>8219</v>
      </c>
      <c r="K170">
        <v>208292.92781054974</v>
      </c>
      <c r="L170">
        <f t="shared" si="5"/>
        <v>43058000</v>
      </c>
      <c r="M170">
        <v>56726</v>
      </c>
      <c r="N170">
        <v>57521</v>
      </c>
      <c r="O170">
        <v>-795</v>
      </c>
      <c r="P170" s="149">
        <f t="shared" si="4"/>
        <v>0.75905228642950318</v>
      </c>
      <c r="Q170">
        <v>759</v>
      </c>
      <c r="R170">
        <v>25</v>
      </c>
      <c r="S170" s="149">
        <v>4.36E-2</v>
      </c>
    </row>
    <row r="171" spans="1:19" x14ac:dyDescent="0.25">
      <c r="A171" t="s">
        <v>222</v>
      </c>
      <c r="B171">
        <v>19488038.69916293</v>
      </c>
      <c r="C171">
        <v>17508024.69916293</v>
      </c>
      <c r="D171">
        <v>688390</v>
      </c>
      <c r="E171">
        <v>0</v>
      </c>
      <c r="F171">
        <v>814584</v>
      </c>
      <c r="G171">
        <v>477040</v>
      </c>
      <c r="H171">
        <v>5382</v>
      </c>
      <c r="K171">
        <v>292961.30083706975</v>
      </c>
      <c r="L171">
        <f t="shared" si="5"/>
        <v>25163000</v>
      </c>
      <c r="M171">
        <v>30690</v>
      </c>
      <c r="N171">
        <v>30571</v>
      </c>
      <c r="O171">
        <v>119</v>
      </c>
      <c r="P171" s="149">
        <f t="shared" si="4"/>
        <v>0.81990876507005539</v>
      </c>
      <c r="Q171">
        <v>508</v>
      </c>
      <c r="R171">
        <v>32</v>
      </c>
      <c r="S171" s="149">
        <v>4.7199999999999999E-2</v>
      </c>
    </row>
    <row r="172" spans="1:19" x14ac:dyDescent="0.25">
      <c r="A172" t="s">
        <v>150</v>
      </c>
      <c r="B172">
        <v>36111275.71340476</v>
      </c>
      <c r="C172">
        <v>31430624.713404763</v>
      </c>
      <c r="D172">
        <v>380442</v>
      </c>
      <c r="E172">
        <v>0</v>
      </c>
      <c r="F172">
        <v>3518291</v>
      </c>
      <c r="G172">
        <v>781918</v>
      </c>
      <c r="H172">
        <v>8571</v>
      </c>
      <c r="K172">
        <v>583724.28659524024</v>
      </c>
      <c r="L172">
        <f t="shared" si="5"/>
        <v>45266000</v>
      </c>
      <c r="M172">
        <v>62104</v>
      </c>
      <c r="N172">
        <v>61765</v>
      </c>
      <c r="O172">
        <v>339</v>
      </c>
      <c r="P172" s="149">
        <f t="shared" si="4"/>
        <v>0.72887414659281202</v>
      </c>
      <c r="Q172">
        <v>268</v>
      </c>
      <c r="R172">
        <v>18</v>
      </c>
      <c r="S172" s="149">
        <v>4.9100000000000005E-2</v>
      </c>
    </row>
    <row r="173" spans="1:19" x14ac:dyDescent="0.25">
      <c r="A173" t="s">
        <v>187</v>
      </c>
      <c r="B173">
        <v>33161503.922882084</v>
      </c>
      <c r="C173">
        <v>29680371.922882084</v>
      </c>
      <c r="D173">
        <v>878514</v>
      </c>
      <c r="E173">
        <v>0</v>
      </c>
      <c r="F173">
        <v>2007511</v>
      </c>
      <c r="G173">
        <v>595107</v>
      </c>
      <c r="H173">
        <v>6470</v>
      </c>
      <c r="K173">
        <v>733496.0771179162</v>
      </c>
      <c r="L173">
        <f t="shared" si="5"/>
        <v>40365000</v>
      </c>
      <c r="M173">
        <v>57979</v>
      </c>
      <c r="N173">
        <v>57668</v>
      </c>
      <c r="O173">
        <v>311</v>
      </c>
      <c r="P173" s="149">
        <f t="shared" si="4"/>
        <v>0.69620034840200762</v>
      </c>
      <c r="Q173">
        <v>2695</v>
      </c>
      <c r="R173">
        <v>2022</v>
      </c>
      <c r="S173" s="149">
        <v>4.3700000000000003E-2</v>
      </c>
    </row>
    <row r="174" spans="1:19" x14ac:dyDescent="0.25">
      <c r="A174" t="s">
        <v>410</v>
      </c>
      <c r="B174">
        <v>36485250.302226223</v>
      </c>
      <c r="C174">
        <v>31615784.302226223</v>
      </c>
      <c r="D174">
        <v>1177019</v>
      </c>
      <c r="E174">
        <v>0</v>
      </c>
      <c r="F174">
        <v>2555160</v>
      </c>
      <c r="G174">
        <v>1137287</v>
      </c>
      <c r="H174">
        <v>6533</v>
      </c>
      <c r="K174">
        <v>560749.69777377695</v>
      </c>
      <c r="L174">
        <f t="shared" si="5"/>
        <v>43579000</v>
      </c>
      <c r="M174">
        <v>57465</v>
      </c>
      <c r="N174">
        <v>59772</v>
      </c>
      <c r="O174">
        <v>-2307</v>
      </c>
      <c r="P174" s="149">
        <f t="shared" si="4"/>
        <v>0.75835726094144262</v>
      </c>
      <c r="Q174">
        <v>1165</v>
      </c>
      <c r="R174">
        <v>139</v>
      </c>
      <c r="S174" s="149">
        <v>4.9400000000000006E-2</v>
      </c>
    </row>
    <row r="175" spans="1:19" x14ac:dyDescent="0.25">
      <c r="A175" t="s">
        <v>774</v>
      </c>
      <c r="B175">
        <v>94950560.942850545</v>
      </c>
      <c r="C175">
        <v>78757986.942850545</v>
      </c>
      <c r="D175">
        <v>3252407</v>
      </c>
      <c r="E175">
        <v>0</v>
      </c>
      <c r="F175">
        <v>10923565</v>
      </c>
      <c r="G175">
        <v>2016602</v>
      </c>
      <c r="H175">
        <v>17299</v>
      </c>
      <c r="K175">
        <v>2194439.0571494512</v>
      </c>
      <c r="L175">
        <v>114444000</v>
      </c>
      <c r="M175">
        <v>149664</v>
      </c>
      <c r="N175">
        <v>154696</v>
      </c>
      <c r="O175">
        <v>-5032</v>
      </c>
      <c r="P175" s="149">
        <f t="shared" si="4"/>
        <v>0.76467286722257855</v>
      </c>
      <c r="Q175">
        <v>3299</v>
      </c>
      <c r="R175">
        <v>787</v>
      </c>
      <c r="S175" s="149">
        <v>5.3999999999999999E-2</v>
      </c>
    </row>
    <row r="176" spans="1:19" x14ac:dyDescent="0.25">
      <c r="A176" t="s">
        <v>305</v>
      </c>
      <c r="B176">
        <v>56460921.790729187</v>
      </c>
      <c r="C176">
        <v>49795097.790729187</v>
      </c>
      <c r="D176">
        <v>1163380</v>
      </c>
      <c r="E176">
        <v>0</v>
      </c>
      <c r="F176">
        <v>4700529</v>
      </c>
      <c r="G176">
        <v>801915</v>
      </c>
      <c r="H176">
        <v>15700</v>
      </c>
      <c r="K176">
        <v>1668078.2092708126</v>
      </c>
      <c r="L176">
        <f t="shared" si="5"/>
        <v>73829000</v>
      </c>
      <c r="M176">
        <v>95642</v>
      </c>
      <c r="N176">
        <v>97973</v>
      </c>
      <c r="O176">
        <v>-2331</v>
      </c>
      <c r="P176" s="149">
        <f t="shared" si="4"/>
        <v>0.77193074172434706</v>
      </c>
      <c r="Q176">
        <v>2029</v>
      </c>
      <c r="R176">
        <v>918</v>
      </c>
      <c r="S176" s="149">
        <v>4.4199999999999996E-2</v>
      </c>
    </row>
    <row r="177" spans="1:19" x14ac:dyDescent="0.25">
      <c r="A177" t="s">
        <v>411</v>
      </c>
      <c r="B177">
        <v>279875018.34950864</v>
      </c>
      <c r="C177">
        <v>198464431.34950867</v>
      </c>
      <c r="D177">
        <v>3445150</v>
      </c>
      <c r="E177">
        <v>33546184</v>
      </c>
      <c r="F177">
        <v>21978447</v>
      </c>
      <c r="G177">
        <v>22440806</v>
      </c>
      <c r="H177">
        <v>78094</v>
      </c>
      <c r="K177">
        <v>4688981.6504913568</v>
      </c>
      <c r="L177">
        <f t="shared" si="5"/>
        <v>362658000</v>
      </c>
      <c r="M177">
        <v>627454</v>
      </c>
      <c r="N177">
        <v>658635</v>
      </c>
      <c r="O177">
        <v>-31181</v>
      </c>
      <c r="P177" s="149">
        <f t="shared" si="4"/>
        <v>0.57798340595485886</v>
      </c>
      <c r="Q177">
        <v>9310</v>
      </c>
      <c r="R177">
        <v>1041</v>
      </c>
      <c r="S177" s="149">
        <v>4.5599999999999995E-2</v>
      </c>
    </row>
    <row r="178" spans="1:19" x14ac:dyDescent="0.25">
      <c r="A178" t="s">
        <v>264</v>
      </c>
      <c r="B178">
        <v>66414104.980619989</v>
      </c>
      <c r="C178">
        <v>59070618.980619989</v>
      </c>
      <c r="D178">
        <v>2896263</v>
      </c>
      <c r="E178">
        <v>0</v>
      </c>
      <c r="F178">
        <v>3035876</v>
      </c>
      <c r="G178">
        <v>1411347</v>
      </c>
      <c r="H178">
        <v>14076</v>
      </c>
      <c r="K178">
        <v>779895.01938001066</v>
      </c>
      <c r="L178">
        <f t="shared" si="5"/>
        <v>81270000</v>
      </c>
      <c r="M178">
        <v>101500</v>
      </c>
      <c r="N178">
        <v>105353</v>
      </c>
      <c r="O178">
        <v>-3853</v>
      </c>
      <c r="P178" s="149">
        <f t="shared" si="4"/>
        <v>0.80068965517241375</v>
      </c>
      <c r="Q178">
        <v>1407</v>
      </c>
      <c r="R178">
        <v>218</v>
      </c>
      <c r="S178" s="149">
        <v>5.1799999999999999E-2</v>
      </c>
    </row>
    <row r="179" spans="1:19" x14ac:dyDescent="0.25">
      <c r="A179" t="s">
        <v>412</v>
      </c>
      <c r="B179">
        <v>28618785.339660168</v>
      </c>
      <c r="C179">
        <v>24299573.339660168</v>
      </c>
      <c r="D179">
        <v>358619</v>
      </c>
      <c r="E179">
        <v>0</v>
      </c>
      <c r="F179">
        <v>1954197</v>
      </c>
      <c r="G179">
        <v>2006396</v>
      </c>
      <c r="H179">
        <v>5810</v>
      </c>
      <c r="K179">
        <v>0</v>
      </c>
      <c r="L179">
        <f t="shared" si="5"/>
        <v>34428785.339660168</v>
      </c>
      <c r="M179">
        <v>46124</v>
      </c>
      <c r="N179">
        <v>47873</v>
      </c>
      <c r="O179">
        <v>-1749</v>
      </c>
      <c r="P179" s="149">
        <f t="shared" si="4"/>
        <v>0.7464397133739521</v>
      </c>
      <c r="Q179">
        <v>687</v>
      </c>
      <c r="R179">
        <v>61</v>
      </c>
      <c r="S179" s="149">
        <v>5.5800000000000002E-2</v>
      </c>
    </row>
    <row r="180" spans="1:19" x14ac:dyDescent="0.25">
      <c r="A180" t="s">
        <v>581</v>
      </c>
      <c r="B180">
        <v>125534115.22145662</v>
      </c>
      <c r="C180">
        <v>105448267.22145662</v>
      </c>
      <c r="D180">
        <v>1677627</v>
      </c>
      <c r="E180">
        <v>0</v>
      </c>
      <c r="F180">
        <v>16452255</v>
      </c>
      <c r="G180">
        <v>1955966</v>
      </c>
      <c r="H180">
        <v>18362</v>
      </c>
      <c r="K180">
        <v>2125884.7785433829</v>
      </c>
      <c r="L180">
        <f t="shared" si="5"/>
        <v>146022000</v>
      </c>
      <c r="M180">
        <v>223169</v>
      </c>
      <c r="N180">
        <v>227107</v>
      </c>
      <c r="O180">
        <v>-3938</v>
      </c>
      <c r="P180" s="149">
        <f t="shared" si="4"/>
        <v>0.65431130667789883</v>
      </c>
      <c r="Q180">
        <v>4649</v>
      </c>
      <c r="R180">
        <v>301</v>
      </c>
      <c r="S180" s="149">
        <v>4.5899999999999996E-2</v>
      </c>
    </row>
    <row r="181" spans="1:19" x14ac:dyDescent="0.25">
      <c r="A181" t="s">
        <v>110</v>
      </c>
      <c r="B181">
        <v>63773841.044713952</v>
      </c>
      <c r="C181">
        <v>53500635.044713952</v>
      </c>
      <c r="D181">
        <v>1464775</v>
      </c>
      <c r="E181">
        <v>0</v>
      </c>
      <c r="F181">
        <v>7539576</v>
      </c>
      <c r="G181">
        <v>1268855</v>
      </c>
      <c r="H181">
        <v>14284</v>
      </c>
      <c r="K181">
        <v>1452158.9552860484</v>
      </c>
      <c r="L181">
        <f t="shared" si="5"/>
        <v>79510000</v>
      </c>
      <c r="M181">
        <v>112597</v>
      </c>
      <c r="N181">
        <v>111710</v>
      </c>
      <c r="O181">
        <v>887</v>
      </c>
      <c r="P181" s="149">
        <f t="shared" si="4"/>
        <v>0.70614670017851278</v>
      </c>
      <c r="Q181">
        <v>2111</v>
      </c>
      <c r="R181">
        <v>80</v>
      </c>
      <c r="S181" s="149">
        <v>2.92E-2</v>
      </c>
    </row>
    <row r="182" spans="1:19" x14ac:dyDescent="0.25">
      <c r="A182" t="s">
        <v>725</v>
      </c>
      <c r="B182">
        <v>91649676.366535634</v>
      </c>
      <c r="C182">
        <v>79899937.366535634</v>
      </c>
      <c r="D182">
        <v>2647793</v>
      </c>
      <c r="E182">
        <v>0</v>
      </c>
      <c r="F182">
        <v>6404184</v>
      </c>
      <c r="G182">
        <v>2697762</v>
      </c>
      <c r="H182">
        <v>26052</v>
      </c>
      <c r="K182">
        <v>2367323.6334643662</v>
      </c>
      <c r="L182">
        <f t="shared" si="5"/>
        <v>120069000</v>
      </c>
      <c r="M182">
        <v>171823</v>
      </c>
      <c r="N182">
        <v>172146</v>
      </c>
      <c r="O182">
        <v>-323</v>
      </c>
      <c r="P182" s="149">
        <f t="shared" si="4"/>
        <v>0.69879468988435778</v>
      </c>
      <c r="Q182">
        <v>4269</v>
      </c>
      <c r="R182">
        <v>1685</v>
      </c>
      <c r="S182" s="149">
        <v>3.2400000000000005E-2</v>
      </c>
    </row>
    <row r="183" spans="1:19" x14ac:dyDescent="0.25">
      <c r="A183" t="s">
        <v>306</v>
      </c>
      <c r="B183">
        <v>20744520.315772288</v>
      </c>
      <c r="C183">
        <v>19899542.315772288</v>
      </c>
      <c r="D183">
        <v>295102</v>
      </c>
      <c r="E183">
        <v>0</v>
      </c>
      <c r="F183">
        <v>124616</v>
      </c>
      <c r="G183">
        <v>425260</v>
      </c>
      <c r="H183">
        <v>3783</v>
      </c>
      <c r="K183">
        <v>940479.68422771245</v>
      </c>
      <c r="L183">
        <f t="shared" si="5"/>
        <v>25468000</v>
      </c>
      <c r="M183">
        <v>46959</v>
      </c>
      <c r="N183">
        <v>48939</v>
      </c>
      <c r="O183">
        <v>-1980</v>
      </c>
      <c r="P183" s="149">
        <f t="shared" si="4"/>
        <v>0.54234545028642012</v>
      </c>
      <c r="Q183">
        <v>2512</v>
      </c>
      <c r="R183">
        <v>2409</v>
      </c>
      <c r="S183" s="149">
        <v>3.9399999999999998E-2</v>
      </c>
    </row>
    <row r="184" spans="1:19" x14ac:dyDescent="0.25">
      <c r="A184" t="s">
        <v>111</v>
      </c>
      <c r="B184">
        <v>53505516.446081929</v>
      </c>
      <c r="C184">
        <v>47275058.446081929</v>
      </c>
      <c r="D184">
        <v>4832247</v>
      </c>
      <c r="E184">
        <v>0</v>
      </c>
      <c r="F184">
        <v>279057</v>
      </c>
      <c r="G184">
        <v>1119154</v>
      </c>
      <c r="H184">
        <v>9906</v>
      </c>
      <c r="K184">
        <v>782483.55391807109</v>
      </c>
      <c r="L184">
        <f t="shared" si="5"/>
        <v>64194000</v>
      </c>
      <c r="M184">
        <v>82394</v>
      </c>
      <c r="N184">
        <v>81034</v>
      </c>
      <c r="O184">
        <v>1360</v>
      </c>
      <c r="P184" s="149">
        <f t="shared" si="4"/>
        <v>0.77911012937835278</v>
      </c>
      <c r="Q184">
        <v>348</v>
      </c>
      <c r="R184">
        <v>59</v>
      </c>
      <c r="S184" s="149">
        <v>4.0099999999999997E-2</v>
      </c>
    </row>
    <row r="185" spans="1:19" x14ac:dyDescent="0.25">
      <c r="A185" t="s">
        <v>595</v>
      </c>
      <c r="B185">
        <v>124868384.76853645</v>
      </c>
      <c r="C185">
        <v>105495269.76853645</v>
      </c>
      <c r="D185">
        <v>3543829</v>
      </c>
      <c r="E185">
        <v>0</v>
      </c>
      <c r="F185">
        <v>12320612</v>
      </c>
      <c r="G185">
        <v>3508674</v>
      </c>
      <c r="H185">
        <v>33058</v>
      </c>
      <c r="K185">
        <v>8770615.2314635515</v>
      </c>
      <c r="L185">
        <f t="shared" si="5"/>
        <v>166697000</v>
      </c>
      <c r="M185">
        <v>228401</v>
      </c>
      <c r="N185">
        <v>232205</v>
      </c>
      <c r="O185">
        <v>-3804</v>
      </c>
      <c r="P185" s="149">
        <f t="shared" si="4"/>
        <v>0.72984356460786071</v>
      </c>
      <c r="Q185">
        <v>1503</v>
      </c>
      <c r="R185">
        <v>52</v>
      </c>
      <c r="S185" s="149">
        <v>4.4500000000000005E-2</v>
      </c>
    </row>
    <row r="186" spans="1:19" x14ac:dyDescent="0.25">
      <c r="A186" t="s">
        <v>377</v>
      </c>
      <c r="B186">
        <v>54507911.561115906</v>
      </c>
      <c r="C186">
        <v>48332730.561115906</v>
      </c>
      <c r="D186">
        <v>1484443</v>
      </c>
      <c r="E186">
        <v>0</v>
      </c>
      <c r="F186">
        <v>3158012</v>
      </c>
      <c r="G186">
        <v>1532726</v>
      </c>
      <c r="H186">
        <v>11045</v>
      </c>
      <c r="K186">
        <v>881088.43888409436</v>
      </c>
      <c r="L186">
        <f t="shared" ref="L186:L249" si="6">SUM(B186,H186*1000,K186)</f>
        <v>66434000</v>
      </c>
      <c r="M186">
        <v>105129</v>
      </c>
      <c r="N186">
        <v>110048</v>
      </c>
      <c r="O186">
        <v>-4919</v>
      </c>
      <c r="P186" s="149">
        <f t="shared" ref="P186:P248" si="7">L186/(M186*1000)</f>
        <v>0.63192839273654278</v>
      </c>
      <c r="Q186">
        <v>806</v>
      </c>
      <c r="R186">
        <v>33</v>
      </c>
      <c r="S186" s="149">
        <v>4.8399999999999999E-2</v>
      </c>
    </row>
    <row r="187" spans="1:19" x14ac:dyDescent="0.25">
      <c r="A187" t="s">
        <v>596</v>
      </c>
      <c r="B187">
        <v>57337869.20314154</v>
      </c>
      <c r="C187">
        <v>52670913.20314154</v>
      </c>
      <c r="D187">
        <v>1776342</v>
      </c>
      <c r="E187">
        <v>0</v>
      </c>
      <c r="F187">
        <v>1445010</v>
      </c>
      <c r="G187">
        <v>1445604</v>
      </c>
      <c r="H187">
        <v>5341</v>
      </c>
      <c r="K187">
        <v>4044130.7968584597</v>
      </c>
      <c r="L187">
        <f t="shared" si="6"/>
        <v>66723000</v>
      </c>
      <c r="M187">
        <v>100764</v>
      </c>
      <c r="N187">
        <v>103265</v>
      </c>
      <c r="O187">
        <v>-2501</v>
      </c>
      <c r="P187" s="149">
        <f t="shared" si="7"/>
        <v>0.6621710134571871</v>
      </c>
      <c r="Q187">
        <v>2620</v>
      </c>
      <c r="R187">
        <v>1748</v>
      </c>
      <c r="S187" s="149">
        <v>5.4699999999999999E-2</v>
      </c>
    </row>
    <row r="188" spans="1:19" x14ac:dyDescent="0.25">
      <c r="A188" t="s">
        <v>188</v>
      </c>
      <c r="B188">
        <v>56770280.629538983</v>
      </c>
      <c r="C188">
        <v>49188353.629538983</v>
      </c>
      <c r="D188">
        <v>1458553</v>
      </c>
      <c r="E188">
        <v>0</v>
      </c>
      <c r="F188">
        <v>5201075</v>
      </c>
      <c r="G188">
        <v>922299</v>
      </c>
      <c r="H188">
        <v>9807</v>
      </c>
      <c r="K188">
        <v>672719.37046101689</v>
      </c>
      <c r="L188">
        <f t="shared" si="6"/>
        <v>67250000</v>
      </c>
      <c r="M188">
        <v>85435</v>
      </c>
      <c r="N188">
        <v>87828</v>
      </c>
      <c r="O188">
        <v>-2393</v>
      </c>
      <c r="P188" s="149">
        <f t="shared" si="7"/>
        <v>0.78714812430502723</v>
      </c>
      <c r="Q188">
        <v>1207</v>
      </c>
      <c r="R188">
        <v>58</v>
      </c>
      <c r="S188" s="149">
        <v>5.1399999999999994E-2</v>
      </c>
    </row>
    <row r="189" spans="1:19" x14ac:dyDescent="0.25">
      <c r="A189" t="s">
        <v>436</v>
      </c>
      <c r="B189">
        <v>16584303.259381372</v>
      </c>
      <c r="C189">
        <v>15239574.259381372</v>
      </c>
      <c r="D189">
        <v>163034</v>
      </c>
      <c r="E189">
        <v>0</v>
      </c>
      <c r="F189">
        <v>561807</v>
      </c>
      <c r="G189">
        <v>619888</v>
      </c>
      <c r="H189">
        <v>2634</v>
      </c>
      <c r="K189">
        <v>118696.74061862752</v>
      </c>
      <c r="L189">
        <f t="shared" si="6"/>
        <v>19337000</v>
      </c>
      <c r="M189">
        <v>26884</v>
      </c>
      <c r="N189">
        <v>27961</v>
      </c>
      <c r="O189">
        <v>-1077</v>
      </c>
      <c r="P189" s="149">
        <f t="shared" si="7"/>
        <v>0.71927540544561819</v>
      </c>
      <c r="Q189">
        <v>514</v>
      </c>
      <c r="R189">
        <v>8</v>
      </c>
      <c r="S189" s="149">
        <v>5.7099999999999998E-2</v>
      </c>
    </row>
    <row r="190" spans="1:19" x14ac:dyDescent="0.25">
      <c r="A190" t="s">
        <v>413</v>
      </c>
      <c r="B190">
        <v>10146118.179018348</v>
      </c>
      <c r="C190">
        <v>9259989.1790183485</v>
      </c>
      <c r="D190">
        <v>62427</v>
      </c>
      <c r="E190">
        <v>0</v>
      </c>
      <c r="F190">
        <v>495252</v>
      </c>
      <c r="G190">
        <v>328450</v>
      </c>
      <c r="H190">
        <v>2159</v>
      </c>
      <c r="K190">
        <v>79881.820981651545</v>
      </c>
      <c r="L190">
        <f t="shared" si="6"/>
        <v>12385000</v>
      </c>
      <c r="M190">
        <v>16425</v>
      </c>
      <c r="N190">
        <v>17018</v>
      </c>
      <c r="O190">
        <v>-593</v>
      </c>
      <c r="P190" s="149">
        <f t="shared" si="7"/>
        <v>0.75403348554033489</v>
      </c>
      <c r="Q190">
        <v>67</v>
      </c>
      <c r="R190">
        <v>25</v>
      </c>
      <c r="S190" s="149">
        <v>5.7000000000000002E-2</v>
      </c>
    </row>
    <row r="191" spans="1:19" x14ac:dyDescent="0.25">
      <c r="A191" t="s">
        <v>189</v>
      </c>
      <c r="B191">
        <v>33582882.504036039</v>
      </c>
      <c r="C191">
        <v>30859446.504036039</v>
      </c>
      <c r="D191">
        <v>558341</v>
      </c>
      <c r="E191">
        <v>0</v>
      </c>
      <c r="F191">
        <v>1435403</v>
      </c>
      <c r="G191">
        <v>729692</v>
      </c>
      <c r="H191">
        <v>5251</v>
      </c>
      <c r="K191">
        <v>776117.49596396089</v>
      </c>
      <c r="L191">
        <f t="shared" si="6"/>
        <v>39610000</v>
      </c>
      <c r="M191">
        <v>58791</v>
      </c>
      <c r="N191">
        <v>60441</v>
      </c>
      <c r="O191">
        <v>-1650</v>
      </c>
      <c r="P191" s="149">
        <f t="shared" si="7"/>
        <v>0.67374257964654449</v>
      </c>
      <c r="Q191">
        <v>2256</v>
      </c>
      <c r="R191">
        <v>1579</v>
      </c>
      <c r="S191" s="149">
        <v>5.2600000000000001E-2</v>
      </c>
    </row>
    <row r="192" spans="1:19" x14ac:dyDescent="0.25">
      <c r="A192" t="s">
        <v>414</v>
      </c>
      <c r="B192">
        <v>25443351.831777792</v>
      </c>
      <c r="C192">
        <v>21739037.831777792</v>
      </c>
      <c r="D192">
        <v>532570</v>
      </c>
      <c r="E192">
        <v>0</v>
      </c>
      <c r="F192">
        <v>2638443</v>
      </c>
      <c r="G192">
        <v>533301</v>
      </c>
      <c r="H192">
        <v>5737</v>
      </c>
      <c r="K192">
        <v>658648.16822220758</v>
      </c>
      <c r="L192">
        <f t="shared" si="6"/>
        <v>31839000</v>
      </c>
      <c r="M192">
        <v>40092</v>
      </c>
      <c r="N192">
        <v>39683</v>
      </c>
      <c r="O192">
        <v>409</v>
      </c>
      <c r="P192" s="149">
        <f t="shared" si="7"/>
        <v>0.79414845854534566</v>
      </c>
      <c r="Q192">
        <v>251</v>
      </c>
      <c r="R192">
        <v>7</v>
      </c>
      <c r="S192" s="149">
        <v>5.4000000000000006E-2</v>
      </c>
    </row>
    <row r="193" spans="1:19" x14ac:dyDescent="0.25">
      <c r="A193" t="s">
        <v>223</v>
      </c>
      <c r="B193">
        <v>98910290.971333519</v>
      </c>
      <c r="C193">
        <v>91049223.971333519</v>
      </c>
      <c r="D193">
        <v>1543728</v>
      </c>
      <c r="E193">
        <v>0</v>
      </c>
      <c r="F193">
        <v>3502593</v>
      </c>
      <c r="G193">
        <v>2814746</v>
      </c>
      <c r="H193">
        <v>26262</v>
      </c>
      <c r="K193">
        <v>3991709.0286664814</v>
      </c>
      <c r="L193">
        <f t="shared" si="6"/>
        <v>129164000</v>
      </c>
      <c r="M193">
        <v>212877</v>
      </c>
      <c r="N193">
        <v>217914</v>
      </c>
      <c r="O193">
        <v>-5037</v>
      </c>
      <c r="P193" s="149">
        <f t="shared" si="7"/>
        <v>0.60675413501693465</v>
      </c>
      <c r="Q193">
        <v>4949</v>
      </c>
      <c r="R193">
        <v>701</v>
      </c>
      <c r="S193" s="149">
        <v>3.9E-2</v>
      </c>
    </row>
    <row r="194" spans="1:19" x14ac:dyDescent="0.25">
      <c r="A194" t="s">
        <v>307</v>
      </c>
      <c r="B194">
        <v>34784923.826928869</v>
      </c>
      <c r="C194">
        <v>33646233.826928869</v>
      </c>
      <c r="D194">
        <v>361315</v>
      </c>
      <c r="E194">
        <v>0</v>
      </c>
      <c r="F194">
        <v>201553</v>
      </c>
      <c r="G194">
        <v>575822</v>
      </c>
      <c r="H194">
        <v>6379</v>
      </c>
      <c r="K194">
        <v>562076.17307113111</v>
      </c>
      <c r="L194">
        <f t="shared" si="6"/>
        <v>41726000</v>
      </c>
      <c r="M194">
        <v>75951</v>
      </c>
      <c r="N194">
        <v>75396</v>
      </c>
      <c r="O194">
        <v>555</v>
      </c>
      <c r="P194" s="149">
        <f t="shared" si="7"/>
        <v>0.54938052165211781</v>
      </c>
      <c r="Q194">
        <v>1394</v>
      </c>
      <c r="R194">
        <v>626</v>
      </c>
      <c r="S194" s="149">
        <v>4.1500000000000002E-2</v>
      </c>
    </row>
    <row r="195" spans="1:19" x14ac:dyDescent="0.25">
      <c r="A195" t="s">
        <v>190</v>
      </c>
      <c r="B195">
        <v>57997294.953298718</v>
      </c>
      <c r="C195">
        <v>52152510.953298718</v>
      </c>
      <c r="D195">
        <v>2377492</v>
      </c>
      <c r="E195">
        <v>0</v>
      </c>
      <c r="F195">
        <v>2270073</v>
      </c>
      <c r="G195">
        <v>1197219</v>
      </c>
      <c r="H195">
        <v>9940</v>
      </c>
      <c r="K195">
        <v>753705.04670128226</v>
      </c>
      <c r="L195">
        <f t="shared" si="6"/>
        <v>68691000</v>
      </c>
      <c r="M195">
        <v>100274</v>
      </c>
      <c r="N195">
        <v>101475</v>
      </c>
      <c r="O195">
        <v>-1201</v>
      </c>
      <c r="P195" s="149">
        <f t="shared" si="7"/>
        <v>0.68503300955382251</v>
      </c>
      <c r="Q195">
        <v>2746</v>
      </c>
      <c r="R195">
        <v>1837</v>
      </c>
      <c r="S195" s="149">
        <v>4.6900000000000004E-2</v>
      </c>
    </row>
    <row r="196" spans="1:19" x14ac:dyDescent="0.25">
      <c r="A196" t="s">
        <v>191</v>
      </c>
      <c r="B196">
        <v>433258488.88990641</v>
      </c>
      <c r="C196">
        <v>300979665.88990641</v>
      </c>
      <c r="D196">
        <v>5453760</v>
      </c>
      <c r="E196">
        <v>67661008</v>
      </c>
      <c r="F196">
        <v>26152846</v>
      </c>
      <c r="G196">
        <v>33011209</v>
      </c>
      <c r="H196">
        <v>129928</v>
      </c>
      <c r="K196">
        <v>16843511.110093594</v>
      </c>
      <c r="L196">
        <f t="shared" si="6"/>
        <v>580030000</v>
      </c>
      <c r="M196">
        <v>811173</v>
      </c>
      <c r="N196">
        <v>811179</v>
      </c>
      <c r="O196">
        <v>-6</v>
      </c>
      <c r="P196" s="149">
        <f t="shared" si="7"/>
        <v>0.71505092008733029</v>
      </c>
      <c r="Q196">
        <v>12988</v>
      </c>
      <c r="R196">
        <v>819</v>
      </c>
      <c r="S196" s="149">
        <v>3.1800000000000002E-2</v>
      </c>
    </row>
    <row r="197" spans="1:19" x14ac:dyDescent="0.25">
      <c r="A197" t="s">
        <v>475</v>
      </c>
      <c r="B197">
        <v>174801841.80022889</v>
      </c>
      <c r="C197">
        <v>133415433.80022888</v>
      </c>
      <c r="D197">
        <v>4075695</v>
      </c>
      <c r="E197">
        <v>18247480</v>
      </c>
      <c r="F197">
        <v>9793800</v>
      </c>
      <c r="G197">
        <v>9269433</v>
      </c>
      <c r="H197">
        <v>44567</v>
      </c>
      <c r="K197">
        <v>6193158.1997711062</v>
      </c>
      <c r="L197">
        <f t="shared" si="6"/>
        <v>225562000</v>
      </c>
      <c r="M197">
        <v>291314</v>
      </c>
      <c r="N197">
        <v>299203</v>
      </c>
      <c r="O197">
        <v>-7889</v>
      </c>
      <c r="P197" s="149">
        <f t="shared" si="7"/>
        <v>0.77429165779880127</v>
      </c>
      <c r="Q197">
        <v>10012</v>
      </c>
      <c r="R197">
        <v>5087</v>
      </c>
      <c r="S197" s="149">
        <v>4.9400000000000006E-2</v>
      </c>
    </row>
    <row r="198" spans="1:19" x14ac:dyDescent="0.25">
      <c r="A198" t="s">
        <v>597</v>
      </c>
      <c r="B198">
        <v>101221647.21652269</v>
      </c>
      <c r="C198">
        <v>77598216.216522694</v>
      </c>
      <c r="D198">
        <v>1971447</v>
      </c>
      <c r="E198">
        <v>0</v>
      </c>
      <c r="F198">
        <v>11137856</v>
      </c>
      <c r="G198">
        <v>10514128</v>
      </c>
      <c r="H198">
        <v>20811</v>
      </c>
      <c r="K198">
        <v>0</v>
      </c>
      <c r="L198">
        <f t="shared" si="6"/>
        <v>122032647.21652269</v>
      </c>
      <c r="M198">
        <v>162686</v>
      </c>
      <c r="N198">
        <v>160056</v>
      </c>
      <c r="O198">
        <v>2630</v>
      </c>
      <c r="P198" s="149">
        <f t="shared" si="7"/>
        <v>0.75011154749961706</v>
      </c>
      <c r="Q198">
        <v>3605</v>
      </c>
      <c r="R198">
        <v>2996</v>
      </c>
      <c r="S198" s="149">
        <v>3.5900000000000001E-2</v>
      </c>
    </row>
    <row r="199" spans="1:19" x14ac:dyDescent="0.25">
      <c r="A199" t="s">
        <v>333</v>
      </c>
      <c r="B199">
        <v>13659388.272475857</v>
      </c>
      <c r="C199">
        <v>11345222.272475857</v>
      </c>
      <c r="D199">
        <v>821542</v>
      </c>
      <c r="E199">
        <v>0</v>
      </c>
      <c r="F199">
        <v>629392</v>
      </c>
      <c r="G199">
        <v>863232</v>
      </c>
      <c r="H199">
        <v>2356</v>
      </c>
      <c r="K199">
        <v>242611.72752414271</v>
      </c>
      <c r="L199">
        <f t="shared" si="6"/>
        <v>16258000</v>
      </c>
      <c r="M199">
        <v>27996</v>
      </c>
      <c r="N199">
        <v>28678</v>
      </c>
      <c r="O199">
        <v>-682</v>
      </c>
      <c r="P199" s="149">
        <f t="shared" si="7"/>
        <v>0.58072581797399625</v>
      </c>
      <c r="Q199">
        <v>826</v>
      </c>
      <c r="R199">
        <v>484</v>
      </c>
      <c r="S199" s="149">
        <v>3.1800000000000002E-2</v>
      </c>
    </row>
    <row r="200" spans="1:19" x14ac:dyDescent="0.25">
      <c r="A200" t="s">
        <v>112</v>
      </c>
      <c r="B200">
        <v>49253594.746006399</v>
      </c>
      <c r="C200">
        <v>43911866.746006399</v>
      </c>
      <c r="D200">
        <v>1211775</v>
      </c>
      <c r="E200">
        <v>0</v>
      </c>
      <c r="F200">
        <v>3287619</v>
      </c>
      <c r="G200">
        <v>842334</v>
      </c>
      <c r="H200">
        <v>8185</v>
      </c>
      <c r="K200">
        <v>18066405.253993601</v>
      </c>
      <c r="L200">
        <f t="shared" si="6"/>
        <v>75505000</v>
      </c>
      <c r="M200">
        <v>93743</v>
      </c>
      <c r="N200">
        <v>95050</v>
      </c>
      <c r="O200">
        <v>-1307</v>
      </c>
      <c r="P200" s="149">
        <f t="shared" si="7"/>
        <v>0.80544680669489988</v>
      </c>
      <c r="Q200">
        <v>805</v>
      </c>
      <c r="R200">
        <v>227</v>
      </c>
      <c r="S200" s="149">
        <v>4.41E-2</v>
      </c>
    </row>
    <row r="201" spans="1:19" x14ac:dyDescent="0.25">
      <c r="A201" t="s">
        <v>430</v>
      </c>
      <c r="B201">
        <v>82034533.338709801</v>
      </c>
      <c r="C201">
        <v>71118488.338709801</v>
      </c>
      <c r="D201">
        <v>2472550</v>
      </c>
      <c r="E201">
        <v>0</v>
      </c>
      <c r="F201">
        <v>5829073</v>
      </c>
      <c r="G201">
        <v>2614422</v>
      </c>
      <c r="H201">
        <v>13326</v>
      </c>
      <c r="K201">
        <v>2371466.6612901986</v>
      </c>
      <c r="L201">
        <f t="shared" si="6"/>
        <v>97732000</v>
      </c>
      <c r="M201">
        <v>133397</v>
      </c>
      <c r="N201">
        <v>137507</v>
      </c>
      <c r="O201">
        <v>-4110</v>
      </c>
      <c r="P201" s="149">
        <f t="shared" si="7"/>
        <v>0.73264016432153645</v>
      </c>
      <c r="Q201">
        <v>2019</v>
      </c>
      <c r="R201">
        <v>361</v>
      </c>
      <c r="S201" s="149">
        <v>5.0199999999999995E-2</v>
      </c>
    </row>
    <row r="202" spans="1:19" x14ac:dyDescent="0.25">
      <c r="A202" t="s">
        <v>308</v>
      </c>
      <c r="B202">
        <v>58385571.003657289</v>
      </c>
      <c r="C202">
        <v>52528607.003657289</v>
      </c>
      <c r="D202">
        <v>899782</v>
      </c>
      <c r="E202">
        <v>0</v>
      </c>
      <c r="F202">
        <v>2998658</v>
      </c>
      <c r="G202">
        <v>1958524</v>
      </c>
      <c r="H202">
        <v>17706</v>
      </c>
      <c r="K202">
        <v>965428.99634271115</v>
      </c>
      <c r="L202">
        <f t="shared" si="6"/>
        <v>77057000</v>
      </c>
      <c r="M202">
        <v>121976</v>
      </c>
      <c r="N202">
        <v>124892</v>
      </c>
      <c r="O202">
        <v>-2916</v>
      </c>
      <c r="P202" s="149">
        <f t="shared" si="7"/>
        <v>0.63173903062897618</v>
      </c>
      <c r="Q202">
        <v>8489</v>
      </c>
      <c r="R202">
        <v>4759</v>
      </c>
      <c r="S202" s="149">
        <v>3.7400000000000003E-2</v>
      </c>
    </row>
    <row r="203" spans="1:19" x14ac:dyDescent="0.25">
      <c r="A203" t="s">
        <v>433</v>
      </c>
      <c r="B203">
        <v>29296085.113880001</v>
      </c>
      <c r="C203">
        <v>26302642.113880001</v>
      </c>
      <c r="D203">
        <v>805320</v>
      </c>
      <c r="E203">
        <v>0</v>
      </c>
      <c r="F203">
        <v>1622377</v>
      </c>
      <c r="G203">
        <v>565746</v>
      </c>
      <c r="H203">
        <v>6908</v>
      </c>
      <c r="K203">
        <v>802914.88611999899</v>
      </c>
      <c r="L203">
        <f t="shared" si="6"/>
        <v>37007000</v>
      </c>
      <c r="M203">
        <v>56167</v>
      </c>
      <c r="N203">
        <v>56285</v>
      </c>
      <c r="O203">
        <v>-118</v>
      </c>
      <c r="P203" s="149">
        <f t="shared" si="7"/>
        <v>0.65887442804493745</v>
      </c>
      <c r="Q203">
        <v>514</v>
      </c>
      <c r="R203">
        <v>101</v>
      </c>
      <c r="S203" s="149">
        <v>4.2599999999999999E-2</v>
      </c>
    </row>
    <row r="204" spans="1:19" x14ac:dyDescent="0.25">
      <c r="A204" t="s">
        <v>192</v>
      </c>
      <c r="B204">
        <v>43120530.730643429</v>
      </c>
      <c r="C204">
        <v>36759635.730643429</v>
      </c>
      <c r="D204">
        <v>1303591</v>
      </c>
      <c r="E204">
        <v>0</v>
      </c>
      <c r="F204">
        <v>4253817</v>
      </c>
      <c r="G204">
        <v>803487</v>
      </c>
      <c r="H204">
        <v>6370</v>
      </c>
      <c r="K204">
        <v>359469.26935657114</v>
      </c>
      <c r="L204">
        <f t="shared" si="6"/>
        <v>49850000</v>
      </c>
      <c r="M204">
        <v>65387</v>
      </c>
      <c r="N204">
        <v>67912</v>
      </c>
      <c r="O204">
        <v>-2525</v>
      </c>
      <c r="P204" s="149">
        <f t="shared" si="7"/>
        <v>0.7623839601143958</v>
      </c>
      <c r="Q204">
        <v>652</v>
      </c>
      <c r="R204">
        <v>158</v>
      </c>
      <c r="S204" s="149">
        <v>5.2499999999999998E-2</v>
      </c>
    </row>
    <row r="205" spans="1:19" x14ac:dyDescent="0.25">
      <c r="A205" t="s">
        <v>309</v>
      </c>
      <c r="B205">
        <v>28803458.688345656</v>
      </c>
      <c r="C205">
        <v>27285015.688345656</v>
      </c>
      <c r="D205">
        <v>263274</v>
      </c>
      <c r="E205">
        <v>0</v>
      </c>
      <c r="F205">
        <v>734983</v>
      </c>
      <c r="G205">
        <v>520186</v>
      </c>
      <c r="H205">
        <v>7242</v>
      </c>
      <c r="K205">
        <v>453541.3116543442</v>
      </c>
      <c r="L205">
        <f t="shared" si="6"/>
        <v>36499000</v>
      </c>
      <c r="M205">
        <v>60864</v>
      </c>
      <c r="N205">
        <v>62269</v>
      </c>
      <c r="O205">
        <v>-1405</v>
      </c>
      <c r="P205" s="149">
        <f t="shared" si="7"/>
        <v>0.59968125657202942</v>
      </c>
      <c r="Q205">
        <v>2604</v>
      </c>
      <c r="R205">
        <v>1771</v>
      </c>
      <c r="S205" s="149">
        <v>4.24E-2</v>
      </c>
    </row>
    <row r="206" spans="1:19" x14ac:dyDescent="0.25">
      <c r="A206" t="s">
        <v>378</v>
      </c>
      <c r="B206">
        <v>24778752.734552465</v>
      </c>
      <c r="C206">
        <v>21165763.734552465</v>
      </c>
      <c r="D206">
        <v>322833</v>
      </c>
      <c r="E206">
        <v>0</v>
      </c>
      <c r="F206">
        <v>2726395</v>
      </c>
      <c r="G206">
        <v>563761</v>
      </c>
      <c r="H206">
        <v>3724</v>
      </c>
      <c r="K206">
        <v>281247.26544753462</v>
      </c>
      <c r="L206">
        <f t="shared" si="6"/>
        <v>28784000</v>
      </c>
      <c r="M206">
        <v>39933</v>
      </c>
      <c r="N206">
        <v>41218</v>
      </c>
      <c r="O206">
        <v>-1285</v>
      </c>
      <c r="P206" s="149">
        <f t="shared" si="7"/>
        <v>0.72080735231512783</v>
      </c>
      <c r="Q206">
        <v>652</v>
      </c>
      <c r="R206">
        <v>183</v>
      </c>
      <c r="S206" s="149">
        <v>5.0300000000000004E-2</v>
      </c>
    </row>
    <row r="207" spans="1:19" x14ac:dyDescent="0.25">
      <c r="A207" t="s">
        <v>379</v>
      </c>
      <c r="B207">
        <v>47979749.422506087</v>
      </c>
      <c r="C207">
        <v>39807885.828051537</v>
      </c>
      <c r="D207">
        <v>2516238.2883349671</v>
      </c>
      <c r="E207">
        <v>0</v>
      </c>
      <c r="F207" s="102">
        <v>4450200.0301078279</v>
      </c>
      <c r="G207" s="102">
        <v>1205425.2760117631</v>
      </c>
      <c r="H207" s="102">
        <v>7681.4615600056013</v>
      </c>
      <c r="I207" s="102">
        <v>0</v>
      </c>
      <c r="J207" s="102">
        <v>0</v>
      </c>
      <c r="K207" s="102">
        <v>750163.75492004259</v>
      </c>
      <c r="L207" s="102">
        <v>56411374.737431735</v>
      </c>
      <c r="M207" s="102">
        <v>84248.596555104334</v>
      </c>
      <c r="N207" s="102">
        <v>83976.694160481726</v>
      </c>
      <c r="O207" s="102">
        <v>271.90239462260797</v>
      </c>
      <c r="P207" s="149">
        <v>0.66958236747047584</v>
      </c>
      <c r="Q207" s="102">
        <v>3414.2134154880268</v>
      </c>
      <c r="R207">
        <v>1818</v>
      </c>
      <c r="S207" s="149">
        <v>4.8499999999999995E-2</v>
      </c>
    </row>
    <row r="208" spans="1:19" x14ac:dyDescent="0.25">
      <c r="A208" t="s">
        <v>121</v>
      </c>
      <c r="B208">
        <v>95133845.076678216</v>
      </c>
      <c r="C208">
        <v>72455927.076678216</v>
      </c>
      <c r="D208">
        <v>4003680</v>
      </c>
      <c r="E208">
        <v>0</v>
      </c>
      <c r="F208">
        <v>15100661</v>
      </c>
      <c r="G208">
        <v>3573577</v>
      </c>
      <c r="H208">
        <v>23065</v>
      </c>
      <c r="K208">
        <v>8572154.9233217835</v>
      </c>
      <c r="L208">
        <f t="shared" si="6"/>
        <v>126771000</v>
      </c>
      <c r="M208">
        <v>143823</v>
      </c>
      <c r="N208">
        <v>146131</v>
      </c>
      <c r="O208">
        <v>-2308</v>
      </c>
      <c r="P208" s="149">
        <f t="shared" si="7"/>
        <v>0.88143760038380514</v>
      </c>
      <c r="Q208">
        <v>2241</v>
      </c>
      <c r="R208">
        <v>965</v>
      </c>
      <c r="S208" s="149">
        <v>4.3200000000000002E-2</v>
      </c>
    </row>
    <row r="209" spans="1:19" x14ac:dyDescent="0.25">
      <c r="A209" t="s">
        <v>193</v>
      </c>
      <c r="B209">
        <v>33732124.632176742</v>
      </c>
      <c r="C209">
        <v>29695678.632176738</v>
      </c>
      <c r="D209">
        <v>757352</v>
      </c>
      <c r="E209">
        <v>0</v>
      </c>
      <c r="F209">
        <v>2397319</v>
      </c>
      <c r="G209">
        <v>881775</v>
      </c>
      <c r="H209">
        <v>5585</v>
      </c>
      <c r="K209">
        <v>1569875.367823258</v>
      </c>
      <c r="L209">
        <f t="shared" si="6"/>
        <v>40887000</v>
      </c>
      <c r="M209">
        <v>68212</v>
      </c>
      <c r="N209">
        <v>68807</v>
      </c>
      <c r="O209">
        <v>-595</v>
      </c>
      <c r="P209" s="149">
        <f t="shared" si="7"/>
        <v>0.59941066088078343</v>
      </c>
      <c r="Q209">
        <v>1878</v>
      </c>
      <c r="R209">
        <v>1521</v>
      </c>
      <c r="S209" s="149">
        <v>3.5699999999999996E-2</v>
      </c>
    </row>
    <row r="210" spans="1:19" x14ac:dyDescent="0.25">
      <c r="A210" t="s">
        <v>151</v>
      </c>
      <c r="B210">
        <v>56136065.079113111</v>
      </c>
      <c r="C210">
        <v>46977270.079113111</v>
      </c>
      <c r="D210">
        <v>973538</v>
      </c>
      <c r="E210">
        <v>0</v>
      </c>
      <c r="F210">
        <v>7234122</v>
      </c>
      <c r="G210">
        <v>951135</v>
      </c>
      <c r="H210">
        <v>12665</v>
      </c>
      <c r="K210">
        <v>712934.9208868891</v>
      </c>
      <c r="L210">
        <f t="shared" si="6"/>
        <v>69514000</v>
      </c>
      <c r="M210">
        <v>90541</v>
      </c>
      <c r="N210">
        <v>91818</v>
      </c>
      <c r="O210">
        <v>-1277</v>
      </c>
      <c r="P210" s="149">
        <f t="shared" si="7"/>
        <v>0.7677626710551021</v>
      </c>
      <c r="Q210">
        <v>2077</v>
      </c>
      <c r="R210">
        <v>32</v>
      </c>
      <c r="S210" s="149">
        <v>4.6300000000000001E-2</v>
      </c>
    </row>
    <row r="211" spans="1:19" x14ac:dyDescent="0.25">
      <c r="A211" t="s">
        <v>152</v>
      </c>
      <c r="B211">
        <v>27242411.784304373</v>
      </c>
      <c r="C211">
        <v>24070661.784304373</v>
      </c>
      <c r="D211">
        <v>543084</v>
      </c>
      <c r="E211">
        <v>0</v>
      </c>
      <c r="F211">
        <v>2121640</v>
      </c>
      <c r="G211">
        <v>507026</v>
      </c>
      <c r="H211">
        <v>4766</v>
      </c>
      <c r="K211">
        <v>242588.21569562703</v>
      </c>
      <c r="L211">
        <f t="shared" si="6"/>
        <v>32251000</v>
      </c>
      <c r="M211">
        <v>44314</v>
      </c>
      <c r="N211">
        <v>44679</v>
      </c>
      <c r="O211">
        <v>-365</v>
      </c>
      <c r="P211" s="149">
        <f t="shared" si="7"/>
        <v>0.72778354470370532</v>
      </c>
      <c r="Q211">
        <v>318</v>
      </c>
      <c r="R211">
        <v>25</v>
      </c>
      <c r="S211" s="149">
        <v>4.6600000000000003E-2</v>
      </c>
    </row>
    <row r="212" spans="1:19" x14ac:dyDescent="0.25">
      <c r="A212" t="s">
        <v>153</v>
      </c>
      <c r="B212">
        <v>30777139.042931966</v>
      </c>
      <c r="C212">
        <v>26035908.042931966</v>
      </c>
      <c r="D212">
        <v>820897</v>
      </c>
      <c r="E212">
        <v>0</v>
      </c>
      <c r="F212">
        <v>3254060</v>
      </c>
      <c r="G212">
        <v>666274</v>
      </c>
      <c r="H212">
        <v>4837</v>
      </c>
      <c r="K212">
        <v>378860.95706803352</v>
      </c>
      <c r="L212">
        <f t="shared" si="6"/>
        <v>35993000</v>
      </c>
      <c r="M212">
        <v>47360</v>
      </c>
      <c r="N212">
        <v>47096</v>
      </c>
      <c r="O212">
        <v>264</v>
      </c>
      <c r="P212" s="149">
        <f t="shared" si="7"/>
        <v>0.75998733108108107</v>
      </c>
      <c r="Q212">
        <v>688</v>
      </c>
      <c r="R212">
        <v>63</v>
      </c>
      <c r="S212" s="149">
        <v>3.6400000000000002E-2</v>
      </c>
    </row>
    <row r="213" spans="1:19" x14ac:dyDescent="0.25">
      <c r="A213" t="s">
        <v>194</v>
      </c>
      <c r="B213">
        <v>51097750.694889508</v>
      </c>
      <c r="C213">
        <v>39561437.694889508</v>
      </c>
      <c r="D213">
        <v>4022043</v>
      </c>
      <c r="E213">
        <v>0</v>
      </c>
      <c r="F213">
        <v>6631358</v>
      </c>
      <c r="G213">
        <v>882912</v>
      </c>
      <c r="H213">
        <v>7539</v>
      </c>
      <c r="K213">
        <v>365249.30511049181</v>
      </c>
      <c r="L213">
        <f t="shared" si="6"/>
        <v>59002000</v>
      </c>
      <c r="M213">
        <v>75751</v>
      </c>
      <c r="N213">
        <v>78650</v>
      </c>
      <c r="O213">
        <v>-2899</v>
      </c>
      <c r="P213" s="149">
        <f t="shared" si="7"/>
        <v>0.77889400799989439</v>
      </c>
      <c r="Q213">
        <v>845</v>
      </c>
      <c r="R213">
        <v>407</v>
      </c>
      <c r="S213" s="149">
        <v>5.2600000000000001E-2</v>
      </c>
    </row>
    <row r="214" spans="1:19" x14ac:dyDescent="0.25">
      <c r="A214" t="s">
        <v>380</v>
      </c>
      <c r="B214">
        <v>89848796.940608919</v>
      </c>
      <c r="C214">
        <v>78538074.940608919</v>
      </c>
      <c r="D214">
        <v>2550822</v>
      </c>
      <c r="E214">
        <v>0</v>
      </c>
      <c r="F214">
        <v>6831595</v>
      </c>
      <c r="G214">
        <v>1928305</v>
      </c>
      <c r="H214">
        <v>23464</v>
      </c>
      <c r="K214">
        <v>2684203.0593910813</v>
      </c>
      <c r="L214">
        <f t="shared" si="6"/>
        <v>115997000</v>
      </c>
      <c r="M214">
        <v>157960</v>
      </c>
      <c r="N214">
        <v>158859</v>
      </c>
      <c r="O214">
        <v>-899</v>
      </c>
      <c r="P214" s="149">
        <f t="shared" si="7"/>
        <v>0.73434413775639407</v>
      </c>
      <c r="Q214">
        <v>3074</v>
      </c>
      <c r="R214">
        <v>339</v>
      </c>
      <c r="S214" s="149">
        <v>3.0299999999999997E-2</v>
      </c>
    </row>
    <row r="215" spans="1:19" x14ac:dyDescent="0.25">
      <c r="A215" t="s">
        <v>131</v>
      </c>
      <c r="B215">
        <v>46211064.528817825</v>
      </c>
      <c r="C215">
        <v>41048448.528817825</v>
      </c>
      <c r="D215">
        <v>985561</v>
      </c>
      <c r="E215">
        <v>0</v>
      </c>
      <c r="F215">
        <v>3307154</v>
      </c>
      <c r="G215">
        <v>869901</v>
      </c>
      <c r="H215">
        <v>10139</v>
      </c>
      <c r="K215">
        <v>1027935.471182175</v>
      </c>
      <c r="L215">
        <f t="shared" si="6"/>
        <v>57378000</v>
      </c>
      <c r="M215">
        <v>73717</v>
      </c>
      <c r="N215">
        <v>72613</v>
      </c>
      <c r="O215">
        <v>1104</v>
      </c>
      <c r="P215" s="149">
        <f t="shared" si="7"/>
        <v>0.77835506056947512</v>
      </c>
      <c r="Q215">
        <v>2577</v>
      </c>
      <c r="R215">
        <v>2097</v>
      </c>
      <c r="S215" s="149">
        <v>3.5299999999999998E-2</v>
      </c>
    </row>
    <row r="216" spans="1:19" x14ac:dyDescent="0.25">
      <c r="A216" t="s">
        <v>265</v>
      </c>
      <c r="B216">
        <v>12303715.620058164</v>
      </c>
      <c r="C216">
        <v>11439197.620058164</v>
      </c>
      <c r="D216">
        <v>220532</v>
      </c>
      <c r="E216">
        <v>0</v>
      </c>
      <c r="F216">
        <v>240852</v>
      </c>
      <c r="G216">
        <v>403134</v>
      </c>
      <c r="H216">
        <v>3634</v>
      </c>
      <c r="K216">
        <v>157284.379941836</v>
      </c>
      <c r="L216">
        <f t="shared" si="6"/>
        <v>16095000</v>
      </c>
      <c r="M216">
        <v>22314</v>
      </c>
      <c r="N216">
        <v>21931</v>
      </c>
      <c r="O216">
        <v>383</v>
      </c>
      <c r="P216" s="149">
        <f t="shared" si="7"/>
        <v>0.72129604732454966</v>
      </c>
      <c r="Q216">
        <v>1330</v>
      </c>
      <c r="R216">
        <v>588</v>
      </c>
      <c r="S216" s="149">
        <v>3.0899999999999997E-2</v>
      </c>
    </row>
    <row r="217" spans="1:19" x14ac:dyDescent="0.25">
      <c r="A217" t="s">
        <v>266</v>
      </c>
      <c r="B217">
        <v>15338218.27658391</v>
      </c>
      <c r="C217">
        <v>14055167.27658391</v>
      </c>
      <c r="D217">
        <v>420456</v>
      </c>
      <c r="E217">
        <v>0</v>
      </c>
      <c r="F217">
        <v>492691</v>
      </c>
      <c r="G217">
        <v>369904</v>
      </c>
      <c r="H217">
        <v>2634</v>
      </c>
      <c r="K217">
        <v>275781.72341609001</v>
      </c>
      <c r="L217">
        <f t="shared" si="6"/>
        <v>18248000</v>
      </c>
      <c r="M217">
        <v>36363</v>
      </c>
      <c r="N217">
        <v>41114</v>
      </c>
      <c r="O217">
        <v>-4751</v>
      </c>
      <c r="P217" s="149">
        <f t="shared" si="7"/>
        <v>0.50182878200368508</v>
      </c>
      <c r="Q217">
        <v>6255</v>
      </c>
      <c r="R217">
        <v>10</v>
      </c>
      <c r="S217" s="149">
        <v>3.9699999999999999E-2</v>
      </c>
    </row>
    <row r="218" spans="1:19" x14ac:dyDescent="0.25">
      <c r="A218" t="s">
        <v>132</v>
      </c>
      <c r="B218">
        <v>49913089.659059733</v>
      </c>
      <c r="C218">
        <v>43341001.659059733</v>
      </c>
      <c r="D218">
        <v>1926327</v>
      </c>
      <c r="E218">
        <v>0</v>
      </c>
      <c r="F218">
        <v>3721775</v>
      </c>
      <c r="G218">
        <v>923986</v>
      </c>
      <c r="H218">
        <v>11327</v>
      </c>
      <c r="K218">
        <v>0</v>
      </c>
      <c r="L218">
        <f t="shared" si="6"/>
        <v>61240089.659059733</v>
      </c>
      <c r="M218">
        <v>79486</v>
      </c>
      <c r="N218">
        <v>78014</v>
      </c>
      <c r="O218">
        <v>1472</v>
      </c>
      <c r="P218" s="149">
        <f t="shared" si="7"/>
        <v>0.77045127014895365</v>
      </c>
      <c r="Q218">
        <v>2793</v>
      </c>
      <c r="R218">
        <v>1979</v>
      </c>
      <c r="S218" s="149">
        <v>4.2000000000000003E-2</v>
      </c>
    </row>
    <row r="219" spans="1:19" x14ac:dyDescent="0.25">
      <c r="A219" t="s">
        <v>381</v>
      </c>
      <c r="B219">
        <v>190662748.03631067</v>
      </c>
      <c r="C219">
        <v>136207489.03631067</v>
      </c>
      <c r="D219">
        <v>4420486</v>
      </c>
      <c r="E219">
        <v>21123215</v>
      </c>
      <c r="F219">
        <v>21502232</v>
      </c>
      <c r="G219">
        <v>7409326</v>
      </c>
      <c r="H219">
        <v>33915</v>
      </c>
      <c r="K219">
        <v>4945251.9636893272</v>
      </c>
      <c r="L219">
        <f t="shared" si="6"/>
        <v>229523000</v>
      </c>
      <c r="M219">
        <v>300514</v>
      </c>
      <c r="N219">
        <v>300143</v>
      </c>
      <c r="O219">
        <v>371</v>
      </c>
      <c r="P219" s="149">
        <f t="shared" si="7"/>
        <v>0.76376807736078856</v>
      </c>
      <c r="Q219">
        <v>3441</v>
      </c>
      <c r="R219">
        <v>1091</v>
      </c>
      <c r="S219" s="149">
        <v>5.4400000000000004E-2</v>
      </c>
    </row>
    <row r="220" spans="1:19" x14ac:dyDescent="0.25">
      <c r="A220" t="s">
        <v>195</v>
      </c>
      <c r="B220">
        <v>66077441.581427068</v>
      </c>
      <c r="C220">
        <v>56502919.581427068</v>
      </c>
      <c r="D220">
        <v>2800405</v>
      </c>
      <c r="E220">
        <v>0</v>
      </c>
      <c r="F220">
        <v>5658567</v>
      </c>
      <c r="G220">
        <v>1115550</v>
      </c>
      <c r="H220">
        <v>14869</v>
      </c>
      <c r="K220">
        <v>1187558.4185729325</v>
      </c>
      <c r="L220">
        <f t="shared" si="6"/>
        <v>82134000</v>
      </c>
      <c r="M220">
        <v>102390</v>
      </c>
      <c r="N220">
        <v>100987</v>
      </c>
      <c r="O220">
        <v>1403</v>
      </c>
      <c r="P220" s="149">
        <f t="shared" si="7"/>
        <v>0.80216818048637561</v>
      </c>
      <c r="Q220">
        <v>2017</v>
      </c>
      <c r="R220">
        <v>316</v>
      </c>
      <c r="S220" s="149">
        <v>3.3799999999999997E-2</v>
      </c>
    </row>
    <row r="221" spans="1:19" x14ac:dyDescent="0.25">
      <c r="A221" t="s">
        <v>267</v>
      </c>
      <c r="B221">
        <v>16946396.404264756</v>
      </c>
      <c r="C221">
        <v>15736133.404264756</v>
      </c>
      <c r="D221">
        <v>260084</v>
      </c>
      <c r="E221">
        <v>0</v>
      </c>
      <c r="F221">
        <v>218852</v>
      </c>
      <c r="G221">
        <v>731327</v>
      </c>
      <c r="H221">
        <v>4663</v>
      </c>
      <c r="K221">
        <v>181603.59573524445</v>
      </c>
      <c r="L221">
        <f t="shared" si="6"/>
        <v>21791000</v>
      </c>
      <c r="M221">
        <v>35189</v>
      </c>
      <c r="N221">
        <v>36757</v>
      </c>
      <c r="O221">
        <v>-1568</v>
      </c>
      <c r="P221" s="149">
        <f t="shared" si="7"/>
        <v>0.61925601750547044</v>
      </c>
      <c r="Q221">
        <v>561</v>
      </c>
      <c r="R221">
        <v>2</v>
      </c>
      <c r="S221" s="149">
        <v>5.2300000000000006E-2</v>
      </c>
    </row>
    <row r="222" spans="1:19" x14ac:dyDescent="0.25">
      <c r="A222" t="s">
        <v>224</v>
      </c>
      <c r="B222">
        <v>14127746.123731952</v>
      </c>
      <c r="C222">
        <v>12777687.123731952</v>
      </c>
      <c r="D222">
        <v>184019</v>
      </c>
      <c r="E222">
        <v>0</v>
      </c>
      <c r="F222">
        <v>552121</v>
      </c>
      <c r="G222">
        <v>613919</v>
      </c>
      <c r="H222">
        <v>2059</v>
      </c>
      <c r="K222">
        <v>169253.87626804784</v>
      </c>
      <c r="L222">
        <f t="shared" si="6"/>
        <v>16356000</v>
      </c>
      <c r="M222">
        <v>23992</v>
      </c>
      <c r="N222">
        <v>24181</v>
      </c>
      <c r="O222">
        <v>-189</v>
      </c>
      <c r="P222" s="149">
        <f t="shared" si="7"/>
        <v>0.68172724241413807</v>
      </c>
      <c r="Q222">
        <v>186</v>
      </c>
      <c r="R222">
        <v>14</v>
      </c>
      <c r="S222" s="149">
        <v>4.8300000000000003E-2</v>
      </c>
    </row>
    <row r="223" spans="1:19" x14ac:dyDescent="0.25">
      <c r="A223" t="s">
        <v>196</v>
      </c>
      <c r="B223">
        <v>70098027.457861364</v>
      </c>
      <c r="C223">
        <v>60350987.457861356</v>
      </c>
      <c r="D223">
        <v>4115426</v>
      </c>
      <c r="E223">
        <v>0</v>
      </c>
      <c r="F223">
        <v>4159732</v>
      </c>
      <c r="G223">
        <v>1471882</v>
      </c>
      <c r="H223">
        <v>13441</v>
      </c>
      <c r="K223">
        <v>294972.54213863611</v>
      </c>
      <c r="L223">
        <f t="shared" si="6"/>
        <v>83834000</v>
      </c>
      <c r="M223">
        <v>111992</v>
      </c>
      <c r="N223">
        <v>112192</v>
      </c>
      <c r="O223">
        <v>-200</v>
      </c>
      <c r="P223" s="149">
        <f t="shared" si="7"/>
        <v>0.74857132652332314</v>
      </c>
      <c r="Q223">
        <v>3748</v>
      </c>
      <c r="R223">
        <v>2883</v>
      </c>
      <c r="S223" s="149">
        <v>4.7400000000000005E-2</v>
      </c>
    </row>
    <row r="224" spans="1:19" x14ac:dyDescent="0.25">
      <c r="A224" t="s">
        <v>310</v>
      </c>
      <c r="B224">
        <v>48529445.123003513</v>
      </c>
      <c r="C224">
        <v>44777212.123003513</v>
      </c>
      <c r="D224">
        <v>843739</v>
      </c>
      <c r="E224">
        <v>0</v>
      </c>
      <c r="F224">
        <v>2037543</v>
      </c>
      <c r="G224">
        <v>870951</v>
      </c>
      <c r="H224">
        <v>10304</v>
      </c>
      <c r="K224">
        <v>590554.87699648738</v>
      </c>
      <c r="L224">
        <f t="shared" si="6"/>
        <v>59424000</v>
      </c>
      <c r="M224">
        <v>90954</v>
      </c>
      <c r="N224">
        <v>91476</v>
      </c>
      <c r="O224">
        <v>-522</v>
      </c>
      <c r="P224" s="149">
        <f t="shared" si="7"/>
        <v>0.65334124942278515</v>
      </c>
      <c r="Q224">
        <v>4563</v>
      </c>
      <c r="R224">
        <v>2410</v>
      </c>
      <c r="S224" s="149">
        <v>4.1700000000000001E-2</v>
      </c>
    </row>
    <row r="225" spans="1:19" x14ac:dyDescent="0.25">
      <c r="A225" t="s">
        <v>415</v>
      </c>
      <c r="B225">
        <v>63298873.716379434</v>
      </c>
      <c r="C225">
        <v>54388867.716379434</v>
      </c>
      <c r="D225">
        <v>1031282</v>
      </c>
      <c r="E225">
        <v>0</v>
      </c>
      <c r="F225">
        <v>6616468</v>
      </c>
      <c r="G225">
        <v>1262256</v>
      </c>
      <c r="H225">
        <v>9273</v>
      </c>
      <c r="K225">
        <v>1139126.2836205661</v>
      </c>
      <c r="L225">
        <f t="shared" si="6"/>
        <v>73711000</v>
      </c>
      <c r="M225">
        <v>94924</v>
      </c>
      <c r="N225">
        <v>97381</v>
      </c>
      <c r="O225">
        <v>-2457</v>
      </c>
      <c r="P225" s="149">
        <f t="shared" si="7"/>
        <v>0.77652648434537108</v>
      </c>
      <c r="Q225">
        <v>1254</v>
      </c>
      <c r="R225">
        <v>389</v>
      </c>
      <c r="S225" s="149">
        <v>4.5700000000000005E-2</v>
      </c>
    </row>
    <row r="226" spans="1:19" x14ac:dyDescent="0.25">
      <c r="A226" t="s">
        <v>122</v>
      </c>
      <c r="B226">
        <v>29603243.012518335</v>
      </c>
      <c r="C226">
        <v>22986180.012518335</v>
      </c>
      <c r="D226">
        <v>457178</v>
      </c>
      <c r="E226">
        <v>0</v>
      </c>
      <c r="F226">
        <v>5631214</v>
      </c>
      <c r="G226">
        <v>528671</v>
      </c>
      <c r="H226">
        <v>8406</v>
      </c>
      <c r="K226">
        <v>493756.98748166487</v>
      </c>
      <c r="L226">
        <f t="shared" si="6"/>
        <v>38503000</v>
      </c>
      <c r="M226">
        <v>43542</v>
      </c>
      <c r="N226">
        <v>44474</v>
      </c>
      <c r="O226">
        <v>-932</v>
      </c>
      <c r="P226" s="149">
        <f t="shared" si="7"/>
        <v>0.88427265628588492</v>
      </c>
      <c r="Q226">
        <v>299</v>
      </c>
      <c r="R226">
        <v>5</v>
      </c>
      <c r="S226" s="149">
        <v>5.4000000000000006E-2</v>
      </c>
    </row>
    <row r="227" spans="1:19" x14ac:dyDescent="0.25">
      <c r="A227" t="s">
        <v>311</v>
      </c>
      <c r="B227">
        <v>65127474.836246438</v>
      </c>
      <c r="C227">
        <v>62114404.836246438</v>
      </c>
      <c r="D227">
        <v>1541880</v>
      </c>
      <c r="E227">
        <v>0</v>
      </c>
      <c r="F227">
        <v>307080</v>
      </c>
      <c r="G227">
        <v>1164110</v>
      </c>
      <c r="H227">
        <v>11105</v>
      </c>
      <c r="K227">
        <v>881525.16375356168</v>
      </c>
      <c r="L227">
        <f t="shared" si="6"/>
        <v>77114000</v>
      </c>
      <c r="M227">
        <v>158280</v>
      </c>
      <c r="N227">
        <v>159684</v>
      </c>
      <c r="O227">
        <v>-1404</v>
      </c>
      <c r="P227" s="149">
        <f t="shared" si="7"/>
        <v>0.48719989891331816</v>
      </c>
      <c r="Q227">
        <v>1975</v>
      </c>
      <c r="R227">
        <v>59</v>
      </c>
      <c r="S227" s="149">
        <v>4.36E-2</v>
      </c>
    </row>
    <row r="228" spans="1:19" x14ac:dyDescent="0.25">
      <c r="A228" t="s">
        <v>268</v>
      </c>
      <c r="B228">
        <v>157243821.1727863</v>
      </c>
      <c r="C228">
        <v>136038608.1727863</v>
      </c>
      <c r="D228">
        <v>1818918</v>
      </c>
      <c r="E228">
        <v>7542419</v>
      </c>
      <c r="F228">
        <v>7193247</v>
      </c>
      <c r="G228">
        <v>4650629</v>
      </c>
      <c r="H228">
        <v>42054</v>
      </c>
      <c r="K228">
        <v>3284178.827213699</v>
      </c>
      <c r="L228">
        <v>202582000</v>
      </c>
      <c r="M228">
        <v>265987</v>
      </c>
      <c r="N228">
        <v>266445</v>
      </c>
      <c r="O228">
        <v>-458</v>
      </c>
      <c r="P228" s="149">
        <f t="shared" si="7"/>
        <v>0.76162368837574768</v>
      </c>
      <c r="Q228">
        <v>3336</v>
      </c>
      <c r="R228">
        <v>811</v>
      </c>
      <c r="S228" s="149">
        <v>3.5000000000000003E-2</v>
      </c>
    </row>
    <row r="229" spans="1:19" x14ac:dyDescent="0.25">
      <c r="A229" t="s">
        <v>197</v>
      </c>
      <c r="B229">
        <v>34155867.577165097</v>
      </c>
      <c r="C229">
        <v>29934525.577165093</v>
      </c>
      <c r="D229">
        <v>1200412</v>
      </c>
      <c r="E229">
        <v>0</v>
      </c>
      <c r="F229">
        <v>2243087</v>
      </c>
      <c r="G229">
        <v>777843</v>
      </c>
      <c r="H229">
        <v>5031</v>
      </c>
      <c r="K229">
        <v>520132.422834903</v>
      </c>
      <c r="L229">
        <f t="shared" si="6"/>
        <v>39707000</v>
      </c>
      <c r="M229">
        <v>55833</v>
      </c>
      <c r="N229">
        <v>54451</v>
      </c>
      <c r="O229">
        <v>1382</v>
      </c>
      <c r="P229" s="149">
        <f t="shared" si="7"/>
        <v>0.71117439507101532</v>
      </c>
      <c r="Q229">
        <v>1497</v>
      </c>
      <c r="R229">
        <v>1357</v>
      </c>
      <c r="S229" s="149">
        <v>3.8100000000000002E-2</v>
      </c>
    </row>
    <row r="230" spans="1:19" x14ac:dyDescent="0.25">
      <c r="A230" t="s">
        <v>154</v>
      </c>
      <c r="B230">
        <v>56015531.574106008</v>
      </c>
      <c r="C230">
        <v>49409992.574106008</v>
      </c>
      <c r="D230">
        <v>518464</v>
      </c>
      <c r="E230">
        <v>0</v>
      </c>
      <c r="F230">
        <v>4780813</v>
      </c>
      <c r="G230">
        <v>1306262</v>
      </c>
      <c r="H230">
        <v>8960</v>
      </c>
      <c r="K230">
        <v>679468.42589399219</v>
      </c>
      <c r="L230">
        <f t="shared" si="6"/>
        <v>65655000</v>
      </c>
      <c r="M230">
        <v>89027</v>
      </c>
      <c r="N230">
        <v>94469</v>
      </c>
      <c r="O230">
        <v>-5442</v>
      </c>
      <c r="P230" s="149">
        <f t="shared" si="7"/>
        <v>0.73747290147932654</v>
      </c>
      <c r="Q230">
        <v>693</v>
      </c>
      <c r="R230">
        <v>48</v>
      </c>
      <c r="S230" s="149">
        <v>5.8400000000000001E-2</v>
      </c>
    </row>
    <row r="231" spans="1:19" x14ac:dyDescent="0.25">
      <c r="A231" t="s">
        <v>334</v>
      </c>
      <c r="B231">
        <v>34721520.364803009</v>
      </c>
      <c r="C231">
        <v>31120060.364803009</v>
      </c>
      <c r="D231">
        <v>1229898</v>
      </c>
      <c r="E231">
        <v>0</v>
      </c>
      <c r="F231">
        <v>1537440</v>
      </c>
      <c r="G231">
        <v>834122</v>
      </c>
      <c r="H231">
        <v>5222</v>
      </c>
      <c r="K231">
        <v>945479.63519699126</v>
      </c>
      <c r="L231">
        <f t="shared" si="6"/>
        <v>40889000</v>
      </c>
      <c r="M231">
        <v>56157</v>
      </c>
      <c r="N231">
        <v>56556</v>
      </c>
      <c r="O231">
        <v>-399</v>
      </c>
      <c r="P231" s="149">
        <f t="shared" si="7"/>
        <v>0.72811937959648843</v>
      </c>
      <c r="Q231">
        <v>941</v>
      </c>
      <c r="R231">
        <v>866</v>
      </c>
      <c r="S231" s="149">
        <v>5.0799999999999998E-2</v>
      </c>
    </row>
    <row r="232" spans="1:19" x14ac:dyDescent="0.25">
      <c r="A232" t="s">
        <v>198</v>
      </c>
      <c r="B232">
        <v>49260979.734198414</v>
      </c>
      <c r="C232">
        <v>42520988.734198414</v>
      </c>
      <c r="D232">
        <v>3396666</v>
      </c>
      <c r="E232">
        <v>0</v>
      </c>
      <c r="F232">
        <v>2496847</v>
      </c>
      <c r="G232">
        <v>846478</v>
      </c>
      <c r="H232">
        <v>14690</v>
      </c>
      <c r="K232">
        <v>745020.26580158621</v>
      </c>
      <c r="L232">
        <f t="shared" si="6"/>
        <v>64696000</v>
      </c>
      <c r="M232">
        <v>81099</v>
      </c>
      <c r="N232">
        <v>82987</v>
      </c>
      <c r="O232">
        <v>-1888</v>
      </c>
      <c r="P232" s="149">
        <f t="shared" si="7"/>
        <v>0.7977410325651364</v>
      </c>
      <c r="Q232">
        <v>715</v>
      </c>
      <c r="R232">
        <v>11</v>
      </c>
      <c r="S232" s="149">
        <v>4.7500000000000001E-2</v>
      </c>
    </row>
    <row r="233" spans="1:19" x14ac:dyDescent="0.25">
      <c r="A233" t="s">
        <v>225</v>
      </c>
      <c r="B233">
        <v>6387203.9395315554</v>
      </c>
      <c r="C233">
        <v>5810399.9395315554</v>
      </c>
      <c r="D233">
        <v>89616</v>
      </c>
      <c r="E233">
        <v>0</v>
      </c>
      <c r="F233">
        <v>288630</v>
      </c>
      <c r="G233">
        <v>198558</v>
      </c>
      <c r="H233">
        <v>495</v>
      </c>
      <c r="K233">
        <v>96000</v>
      </c>
      <c r="L233">
        <f t="shared" si="6"/>
        <v>6978203.9395315554</v>
      </c>
      <c r="M233">
        <v>13852</v>
      </c>
      <c r="N233">
        <v>13988</v>
      </c>
      <c r="O233">
        <v>-136</v>
      </c>
      <c r="P233" s="149">
        <f t="shared" si="7"/>
        <v>0.50376869329566532</v>
      </c>
      <c r="Q233">
        <v>0</v>
      </c>
      <c r="R233">
        <v>354</v>
      </c>
      <c r="S233" s="149">
        <v>3.8100000000000002E-2</v>
      </c>
    </row>
    <row r="234" spans="1:19" x14ac:dyDescent="0.25">
      <c r="A234" t="s">
        <v>382</v>
      </c>
      <c r="B234">
        <v>20250519.794360012</v>
      </c>
      <c r="C234">
        <v>16524833.794360014</v>
      </c>
      <c r="D234">
        <v>533124</v>
      </c>
      <c r="E234">
        <v>0</v>
      </c>
      <c r="F234">
        <v>2768053</v>
      </c>
      <c r="G234">
        <v>424509</v>
      </c>
      <c r="H234">
        <v>2692</v>
      </c>
      <c r="K234">
        <v>394480.20563998818</v>
      </c>
      <c r="L234">
        <f t="shared" si="6"/>
        <v>23337000</v>
      </c>
      <c r="M234">
        <v>33134</v>
      </c>
      <c r="N234">
        <v>33760</v>
      </c>
      <c r="O234">
        <v>-626</v>
      </c>
      <c r="P234" s="149">
        <f t="shared" si="7"/>
        <v>0.70432184463089276</v>
      </c>
      <c r="Q234">
        <v>492</v>
      </c>
      <c r="R234">
        <v>145</v>
      </c>
      <c r="S234" s="149">
        <v>5.16E-2</v>
      </c>
    </row>
    <row r="235" spans="1:19" x14ac:dyDescent="0.25">
      <c r="A235" t="s">
        <v>199</v>
      </c>
      <c r="B235">
        <v>79072657.822909489</v>
      </c>
      <c r="C235">
        <v>68549091.822909489</v>
      </c>
      <c r="D235">
        <v>2574478</v>
      </c>
      <c r="E235">
        <v>0</v>
      </c>
      <c r="F235">
        <v>6709725</v>
      </c>
      <c r="G235">
        <v>1239363</v>
      </c>
      <c r="H235">
        <v>18738</v>
      </c>
      <c r="K235">
        <v>1153342.1770905107</v>
      </c>
      <c r="L235">
        <f t="shared" si="6"/>
        <v>98964000</v>
      </c>
      <c r="M235">
        <v>121760</v>
      </c>
      <c r="N235">
        <v>120842</v>
      </c>
      <c r="O235">
        <v>918</v>
      </c>
      <c r="P235" s="149">
        <f t="shared" si="7"/>
        <v>0.81277923784494088</v>
      </c>
      <c r="Q235">
        <v>882</v>
      </c>
      <c r="R235">
        <v>149</v>
      </c>
      <c r="S235" s="149">
        <v>4.2900000000000001E-2</v>
      </c>
    </row>
    <row r="236" spans="1:19" x14ac:dyDescent="0.25">
      <c r="A236" t="s">
        <v>226</v>
      </c>
      <c r="B236">
        <v>27596960.759394288</v>
      </c>
      <c r="C236">
        <v>25025829.759394288</v>
      </c>
      <c r="D236">
        <v>415935</v>
      </c>
      <c r="E236">
        <v>0</v>
      </c>
      <c r="F236">
        <v>1543173</v>
      </c>
      <c r="G236">
        <v>612023</v>
      </c>
      <c r="H236">
        <v>5569</v>
      </c>
      <c r="K236">
        <v>621039.24060571194</v>
      </c>
      <c r="L236">
        <f t="shared" si="6"/>
        <v>33787000</v>
      </c>
      <c r="M236">
        <v>46076</v>
      </c>
      <c r="N236">
        <v>45481</v>
      </c>
      <c r="O236">
        <v>595</v>
      </c>
      <c r="P236" s="149">
        <f t="shared" si="7"/>
        <v>0.73328847990276935</v>
      </c>
      <c r="Q236">
        <v>1903</v>
      </c>
      <c r="R236">
        <v>1274</v>
      </c>
      <c r="S236" s="149">
        <v>4.0599999999999997E-2</v>
      </c>
    </row>
    <row r="237" spans="1:19" x14ac:dyDescent="0.25">
      <c r="A237" t="s">
        <v>312</v>
      </c>
      <c r="B237">
        <v>68055893.365573972</v>
      </c>
      <c r="C237">
        <v>65410651.36557398</v>
      </c>
      <c r="D237">
        <v>1125939</v>
      </c>
      <c r="E237">
        <v>0</v>
      </c>
      <c r="F237">
        <v>342315</v>
      </c>
      <c r="G237">
        <v>1176988</v>
      </c>
      <c r="H237">
        <v>18983</v>
      </c>
      <c r="K237">
        <v>2047106.6344260275</v>
      </c>
      <c r="L237">
        <f t="shared" si="6"/>
        <v>89086000</v>
      </c>
      <c r="M237">
        <v>126569</v>
      </c>
      <c r="N237">
        <v>132337</v>
      </c>
      <c r="O237">
        <v>-5768</v>
      </c>
      <c r="P237" s="149">
        <f t="shared" si="7"/>
        <v>0.70385323420426804</v>
      </c>
      <c r="Q237">
        <v>2877</v>
      </c>
      <c r="R237">
        <v>1250</v>
      </c>
      <c r="S237" s="149">
        <v>5.0099999999999999E-2</v>
      </c>
    </row>
    <row r="238" spans="1:19" x14ac:dyDescent="0.25">
      <c r="A238" t="s">
        <v>155</v>
      </c>
      <c r="B238">
        <v>57855017.476015069</v>
      </c>
      <c r="C238">
        <v>51642731.476015069</v>
      </c>
      <c r="D238">
        <v>1672107</v>
      </c>
      <c r="E238">
        <v>0</v>
      </c>
      <c r="F238">
        <v>3645982</v>
      </c>
      <c r="G238">
        <v>894197</v>
      </c>
      <c r="H238">
        <v>12494</v>
      </c>
      <c r="K238">
        <v>988982.52398493141</v>
      </c>
      <c r="L238">
        <f t="shared" si="6"/>
        <v>71338000</v>
      </c>
      <c r="M238">
        <v>91733</v>
      </c>
      <c r="N238">
        <v>92587</v>
      </c>
      <c r="O238">
        <v>-854</v>
      </c>
      <c r="P238" s="149">
        <f t="shared" si="7"/>
        <v>0.77766997699846296</v>
      </c>
      <c r="Q238">
        <v>1522</v>
      </c>
      <c r="R238">
        <v>120</v>
      </c>
      <c r="S238" s="149">
        <v>4.7699999999999992E-2</v>
      </c>
    </row>
    <row r="239" spans="1:19" x14ac:dyDescent="0.25">
      <c r="A239" t="s">
        <v>726</v>
      </c>
      <c r="B239">
        <v>91336187.756125525</v>
      </c>
      <c r="C239">
        <v>85711292.756125525</v>
      </c>
      <c r="D239">
        <v>1211893</v>
      </c>
      <c r="E239">
        <v>0</v>
      </c>
      <c r="F239">
        <v>2613944</v>
      </c>
      <c r="G239">
        <v>1799058</v>
      </c>
      <c r="H239">
        <v>29557</v>
      </c>
      <c r="K239">
        <v>1086812.2438744754</v>
      </c>
      <c r="L239">
        <f t="shared" si="6"/>
        <v>121980000</v>
      </c>
      <c r="M239">
        <v>200771</v>
      </c>
      <c r="N239">
        <v>200095</v>
      </c>
      <c r="O239">
        <v>676</v>
      </c>
      <c r="P239" s="149">
        <f t="shared" si="7"/>
        <v>0.60755786443261228</v>
      </c>
      <c r="Q239">
        <v>6028</v>
      </c>
      <c r="R239">
        <v>1051</v>
      </c>
      <c r="S239" s="149">
        <v>2.5699999999999997E-2</v>
      </c>
    </row>
    <row r="240" spans="1:19" x14ac:dyDescent="0.25">
      <c r="A240" t="s">
        <v>416</v>
      </c>
      <c r="B240">
        <v>32458507.091606352</v>
      </c>
      <c r="C240">
        <v>27511990.091606352</v>
      </c>
      <c r="D240">
        <v>1007441</v>
      </c>
      <c r="E240">
        <v>0</v>
      </c>
      <c r="F240">
        <v>3096422</v>
      </c>
      <c r="G240">
        <v>842654</v>
      </c>
      <c r="H240">
        <v>6045</v>
      </c>
      <c r="K240">
        <v>576492.90839364752</v>
      </c>
      <c r="L240">
        <f t="shared" si="6"/>
        <v>39080000</v>
      </c>
      <c r="M240">
        <v>51333</v>
      </c>
      <c r="N240">
        <v>53949</v>
      </c>
      <c r="O240">
        <v>-2616</v>
      </c>
      <c r="P240" s="149">
        <f t="shared" si="7"/>
        <v>0.76130364482886248</v>
      </c>
      <c r="Q240">
        <v>469</v>
      </c>
      <c r="R240">
        <v>279</v>
      </c>
      <c r="S240" s="149">
        <v>5.2199999999999996E-2</v>
      </c>
    </row>
    <row r="241" spans="1:19" x14ac:dyDescent="0.25">
      <c r="A241" t="s">
        <v>417</v>
      </c>
      <c r="B241">
        <v>117825334.81683309</v>
      </c>
      <c r="C241">
        <v>97788172.816833094</v>
      </c>
      <c r="D241">
        <v>3150573</v>
      </c>
      <c r="E241">
        <v>0</v>
      </c>
      <c r="F241">
        <v>12805867</v>
      </c>
      <c r="G241">
        <v>4080722</v>
      </c>
      <c r="H241">
        <v>33513</v>
      </c>
      <c r="K241">
        <v>2868665.1831669062</v>
      </c>
      <c r="L241">
        <f t="shared" si="6"/>
        <v>154207000</v>
      </c>
      <c r="M241">
        <v>193720</v>
      </c>
      <c r="N241">
        <v>198367</v>
      </c>
      <c r="O241">
        <v>-4647</v>
      </c>
      <c r="P241" s="149">
        <f t="shared" si="7"/>
        <v>0.7960303530869296</v>
      </c>
      <c r="Q241">
        <v>3566</v>
      </c>
      <c r="R241">
        <v>1035</v>
      </c>
      <c r="S241" s="149">
        <v>4.2699999999999995E-2</v>
      </c>
    </row>
    <row r="242" spans="1:19" x14ac:dyDescent="0.25">
      <c r="A242" t="s">
        <v>383</v>
      </c>
      <c r="B242">
        <v>140390309.76650268</v>
      </c>
      <c r="C242">
        <v>119147960.76650266</v>
      </c>
      <c r="D242">
        <v>2218941</v>
      </c>
      <c r="E242">
        <v>0</v>
      </c>
      <c r="F242">
        <v>15851217</v>
      </c>
      <c r="G242">
        <v>3172191</v>
      </c>
      <c r="H242">
        <v>38938</v>
      </c>
      <c r="K242">
        <v>4112690.2334973216</v>
      </c>
      <c r="L242">
        <f t="shared" si="6"/>
        <v>183441000</v>
      </c>
      <c r="M242">
        <v>240804</v>
      </c>
      <c r="N242">
        <v>239835</v>
      </c>
      <c r="O242">
        <v>969</v>
      </c>
      <c r="P242" s="149">
        <f t="shared" si="7"/>
        <v>0.76178551851298149</v>
      </c>
      <c r="Q242">
        <v>2209</v>
      </c>
      <c r="R242">
        <v>270</v>
      </c>
      <c r="S242" s="149">
        <v>3.6600000000000001E-2</v>
      </c>
    </row>
    <row r="243" spans="1:19" x14ac:dyDescent="0.25">
      <c r="A243" t="s">
        <v>314</v>
      </c>
      <c r="B243">
        <v>1839881287.097882</v>
      </c>
      <c r="C243">
        <v>1470493462.097882</v>
      </c>
      <c r="D243">
        <v>36989410</v>
      </c>
      <c r="E243">
        <v>124405767</v>
      </c>
      <c r="F243">
        <v>58837948</v>
      </c>
      <c r="G243">
        <v>149154700</v>
      </c>
      <c r="H243">
        <v>716523</v>
      </c>
      <c r="K243">
        <v>188056712.90211797</v>
      </c>
      <c r="L243">
        <f t="shared" si="6"/>
        <v>2744461000</v>
      </c>
      <c r="M243">
        <v>3663028</v>
      </c>
      <c r="N243">
        <v>3850155</v>
      </c>
      <c r="O243">
        <v>-187127</v>
      </c>
      <c r="P243" s="149">
        <f t="shared" si="7"/>
        <v>0.74923287509677783</v>
      </c>
      <c r="Q243">
        <v>106570</v>
      </c>
      <c r="R243">
        <v>39291</v>
      </c>
      <c r="S243" s="149">
        <v>4.1900000000000007E-2</v>
      </c>
    </row>
    <row r="244" spans="1:19" x14ac:dyDescent="0.25">
      <c r="A244" t="s">
        <v>200</v>
      </c>
      <c r="B244">
        <v>2593726.7999604577</v>
      </c>
      <c r="C244">
        <v>2409224.7999604577</v>
      </c>
      <c r="D244">
        <v>4575</v>
      </c>
      <c r="E244">
        <v>0</v>
      </c>
      <c r="F244">
        <v>58228</v>
      </c>
      <c r="G244">
        <v>121699</v>
      </c>
      <c r="H244">
        <v>546</v>
      </c>
      <c r="K244">
        <v>48273.20003954228</v>
      </c>
      <c r="L244">
        <f t="shared" si="6"/>
        <v>3188000</v>
      </c>
      <c r="M244">
        <v>3981</v>
      </c>
      <c r="N244">
        <v>4170</v>
      </c>
      <c r="O244">
        <v>-189</v>
      </c>
      <c r="P244" s="149">
        <f t="shared" si="7"/>
        <v>0.80080381813614665</v>
      </c>
      <c r="Q244">
        <v>58</v>
      </c>
      <c r="R244">
        <v>10</v>
      </c>
      <c r="S244" s="149">
        <v>5.0300000000000004E-2</v>
      </c>
    </row>
    <row r="245" spans="1:19" x14ac:dyDescent="0.25">
      <c r="A245" t="s">
        <v>384</v>
      </c>
      <c r="B245">
        <v>38071877.67101562</v>
      </c>
      <c r="C245">
        <v>30323467.67101562</v>
      </c>
      <c r="D245">
        <v>314626</v>
      </c>
      <c r="E245">
        <v>0</v>
      </c>
      <c r="F245">
        <v>6846060</v>
      </c>
      <c r="G245">
        <v>587724</v>
      </c>
      <c r="H245">
        <v>7590</v>
      </c>
      <c r="K245">
        <v>578122.32898437977</v>
      </c>
      <c r="L245">
        <f t="shared" si="6"/>
        <v>46240000</v>
      </c>
      <c r="M245">
        <v>62208</v>
      </c>
      <c r="N245">
        <v>64058</v>
      </c>
      <c r="O245">
        <v>-1850</v>
      </c>
      <c r="P245" s="149">
        <f t="shared" si="7"/>
        <v>0.74331275720164613</v>
      </c>
      <c r="Q245">
        <v>636</v>
      </c>
      <c r="R245">
        <v>55</v>
      </c>
      <c r="S245" s="149">
        <v>5.1699999999999996E-2</v>
      </c>
    </row>
    <row r="246" spans="1:19" x14ac:dyDescent="0.25">
      <c r="A246" t="s">
        <v>269</v>
      </c>
      <c r="B246">
        <v>71904371.125993907</v>
      </c>
      <c r="C246">
        <v>62893410.125993915</v>
      </c>
      <c r="D246">
        <v>2315801</v>
      </c>
      <c r="E246">
        <v>0</v>
      </c>
      <c r="F246">
        <v>5123677</v>
      </c>
      <c r="G246">
        <v>1571483</v>
      </c>
      <c r="H246">
        <v>14366</v>
      </c>
      <c r="K246">
        <v>311628.87400609255</v>
      </c>
      <c r="L246">
        <f t="shared" si="6"/>
        <v>86582000</v>
      </c>
      <c r="M246">
        <v>118140</v>
      </c>
      <c r="N246">
        <v>115773</v>
      </c>
      <c r="O246">
        <v>2367</v>
      </c>
      <c r="P246" s="149">
        <f t="shared" si="7"/>
        <v>0.73287624851870659</v>
      </c>
      <c r="Q246">
        <v>1028</v>
      </c>
      <c r="R246">
        <v>357</v>
      </c>
      <c r="S246" s="149">
        <v>3.4099999999999998E-2</v>
      </c>
    </row>
    <row r="247" spans="1:19" x14ac:dyDescent="0.25">
      <c r="A247" t="s">
        <v>201</v>
      </c>
      <c r="B247">
        <v>12323608.784974515</v>
      </c>
      <c r="C247">
        <v>11725652.784974515</v>
      </c>
      <c r="D247">
        <v>58571</v>
      </c>
      <c r="E247">
        <v>0</v>
      </c>
      <c r="F247">
        <v>213314</v>
      </c>
      <c r="G247">
        <v>326071</v>
      </c>
      <c r="H247">
        <v>926</v>
      </c>
      <c r="K247">
        <v>144391.21502548456</v>
      </c>
      <c r="L247">
        <f t="shared" si="6"/>
        <v>13394000</v>
      </c>
      <c r="M247">
        <v>24368</v>
      </c>
      <c r="N247">
        <v>25011</v>
      </c>
      <c r="O247">
        <v>-643</v>
      </c>
      <c r="P247" s="149">
        <f t="shared" si="7"/>
        <v>0.54965528562048593</v>
      </c>
      <c r="Q247">
        <v>138</v>
      </c>
      <c r="R247">
        <v>28</v>
      </c>
      <c r="S247" s="149">
        <v>7.7300000000000008E-2</v>
      </c>
    </row>
    <row r="248" spans="1:19" x14ac:dyDescent="0.25">
      <c r="A248" t="s">
        <v>315</v>
      </c>
      <c r="B248">
        <v>155248521.8897821</v>
      </c>
      <c r="C248">
        <v>138624096.8897821</v>
      </c>
      <c r="D248">
        <v>1996334</v>
      </c>
      <c r="E248">
        <v>0</v>
      </c>
      <c r="F248">
        <v>11126548</v>
      </c>
      <c r="G248">
        <v>3501543</v>
      </c>
      <c r="H248">
        <v>53936</v>
      </c>
      <c r="K248">
        <v>7561478.1102178991</v>
      </c>
      <c r="L248">
        <f t="shared" si="6"/>
        <v>216746000</v>
      </c>
      <c r="M248">
        <v>297163</v>
      </c>
      <c r="N248">
        <v>299538</v>
      </c>
      <c r="O248">
        <v>-2375</v>
      </c>
      <c r="P248" s="149">
        <f t="shared" si="7"/>
        <v>0.72938421001268661</v>
      </c>
      <c r="Q248">
        <v>15450</v>
      </c>
      <c r="R248">
        <v>10858</v>
      </c>
      <c r="S248" s="149">
        <v>2.9900000000000003E-2</v>
      </c>
    </row>
    <row r="249" spans="1:19" x14ac:dyDescent="0.25">
      <c r="A249" t="s">
        <v>133</v>
      </c>
      <c r="B249">
        <v>3498563.2157145445</v>
      </c>
      <c r="C249">
        <v>3035866.2157145445</v>
      </c>
      <c r="D249">
        <v>4575</v>
      </c>
      <c r="E249">
        <v>0</v>
      </c>
      <c r="F249">
        <v>8997</v>
      </c>
      <c r="G249">
        <v>449125</v>
      </c>
      <c r="H249">
        <v>476</v>
      </c>
      <c r="K249">
        <v>147436.78428545548</v>
      </c>
      <c r="L249">
        <f t="shared" si="6"/>
        <v>4122000</v>
      </c>
      <c r="M249">
        <v>7438</v>
      </c>
      <c r="N249">
        <v>7715</v>
      </c>
      <c r="O249">
        <v>-277</v>
      </c>
      <c r="P249" s="149">
        <f t="shared" ref="P249:P311" si="8">L249/(M249*1000)</f>
        <v>0.55418123151384779</v>
      </c>
      <c r="Q249">
        <v>399</v>
      </c>
      <c r="R249">
        <v>99</v>
      </c>
      <c r="S249" s="149">
        <v>1.46E-2</v>
      </c>
    </row>
    <row r="250" spans="1:19" x14ac:dyDescent="0.25">
      <c r="A250" t="s">
        <v>335</v>
      </c>
      <c r="B250">
        <v>57904054.026069373</v>
      </c>
      <c r="C250">
        <v>48378005.026069373</v>
      </c>
      <c r="D250">
        <v>1426335</v>
      </c>
      <c r="E250">
        <v>0</v>
      </c>
      <c r="F250">
        <v>5182132</v>
      </c>
      <c r="G250">
        <v>2917582</v>
      </c>
      <c r="H250">
        <v>12066</v>
      </c>
      <c r="K250">
        <v>829945.97393062711</v>
      </c>
      <c r="L250">
        <f t="shared" ref="L250:L312" si="9">SUM(B250,H250*1000,K250)</f>
        <v>70800000</v>
      </c>
      <c r="M250">
        <v>115051</v>
      </c>
      <c r="N250">
        <v>115828</v>
      </c>
      <c r="O250">
        <v>-777</v>
      </c>
      <c r="P250" s="149">
        <f t="shared" si="8"/>
        <v>0.61537926658612263</v>
      </c>
      <c r="Q250">
        <v>3378</v>
      </c>
      <c r="R250">
        <v>2545</v>
      </c>
      <c r="S250" s="149">
        <v>3.0600000000000002E-2</v>
      </c>
    </row>
    <row r="251" spans="1:19" x14ac:dyDescent="0.25">
      <c r="A251" t="s">
        <v>441</v>
      </c>
      <c r="B251">
        <v>1447995723.264272</v>
      </c>
      <c r="C251">
        <v>1180842968.264272</v>
      </c>
      <c r="D251">
        <v>18003016</v>
      </c>
      <c r="E251">
        <v>91989811</v>
      </c>
      <c r="F251">
        <v>49265471</v>
      </c>
      <c r="G251">
        <v>107894457</v>
      </c>
      <c r="H251">
        <v>504303</v>
      </c>
      <c r="K251">
        <v>119742276.73572803</v>
      </c>
      <c r="L251">
        <f t="shared" si="9"/>
        <v>2072041000</v>
      </c>
      <c r="M251">
        <v>2518819</v>
      </c>
      <c r="N251">
        <v>2563997</v>
      </c>
      <c r="O251">
        <v>-45178</v>
      </c>
      <c r="P251" s="149">
        <f t="shared" si="8"/>
        <v>0.82262401546121422</v>
      </c>
      <c r="Q251">
        <v>63057</v>
      </c>
      <c r="R251">
        <v>36058</v>
      </c>
      <c r="S251" s="149">
        <v>3.6000000000000004E-2</v>
      </c>
    </row>
    <row r="252" spans="1:19" x14ac:dyDescent="0.25">
      <c r="A252" t="s">
        <v>476</v>
      </c>
      <c r="B252">
        <v>318023329.6017369</v>
      </c>
      <c r="C252">
        <v>228563313.6017369</v>
      </c>
      <c r="D252">
        <v>5217225</v>
      </c>
      <c r="E252">
        <v>33315555</v>
      </c>
      <c r="F252">
        <v>26017926</v>
      </c>
      <c r="G252">
        <v>24909310</v>
      </c>
      <c r="H252">
        <v>77829</v>
      </c>
      <c r="K252">
        <v>11377670.398263097</v>
      </c>
      <c r="L252">
        <f t="shared" si="9"/>
        <v>407230000</v>
      </c>
      <c r="M252">
        <v>758889</v>
      </c>
      <c r="N252">
        <v>770995</v>
      </c>
      <c r="O252">
        <v>-12106</v>
      </c>
      <c r="P252" s="149">
        <f t="shared" si="8"/>
        <v>0.53661339141824427</v>
      </c>
      <c r="Q252">
        <v>16531</v>
      </c>
      <c r="R252">
        <v>3929</v>
      </c>
      <c r="S252" s="149">
        <v>3.9E-2</v>
      </c>
    </row>
    <row r="253" spans="1:19" x14ac:dyDescent="0.25">
      <c r="A253" t="s">
        <v>418</v>
      </c>
      <c r="B253">
        <v>18483903.181262534</v>
      </c>
      <c r="C253">
        <v>14689793.181262534</v>
      </c>
      <c r="D253">
        <v>859998</v>
      </c>
      <c r="E253">
        <v>0</v>
      </c>
      <c r="F253">
        <v>2572658</v>
      </c>
      <c r="G253">
        <v>361454</v>
      </c>
      <c r="H253">
        <v>3447</v>
      </c>
      <c r="K253">
        <v>299096.81873746589</v>
      </c>
      <c r="L253">
        <f t="shared" si="9"/>
        <v>22230000</v>
      </c>
      <c r="M253">
        <v>26114</v>
      </c>
      <c r="N253">
        <v>26385</v>
      </c>
      <c r="O253">
        <v>-271</v>
      </c>
      <c r="P253" s="149">
        <f t="shared" si="8"/>
        <v>0.85126751933828593</v>
      </c>
      <c r="Q253">
        <v>236</v>
      </c>
      <c r="R253">
        <v>35</v>
      </c>
      <c r="S253" s="149">
        <v>5.79E-2</v>
      </c>
    </row>
    <row r="254" spans="1:19" x14ac:dyDescent="0.25">
      <c r="A254" t="s">
        <v>385</v>
      </c>
      <c r="B254">
        <v>39893500.483179674</v>
      </c>
      <c r="C254">
        <v>33856766.483179674</v>
      </c>
      <c r="D254">
        <v>641200</v>
      </c>
      <c r="E254">
        <v>0</v>
      </c>
      <c r="F254">
        <v>4726487</v>
      </c>
      <c r="G254">
        <v>669047</v>
      </c>
      <c r="H254">
        <v>6852</v>
      </c>
      <c r="K254">
        <v>755499.51682032645</v>
      </c>
      <c r="L254">
        <f t="shared" si="9"/>
        <v>47501000</v>
      </c>
      <c r="M254">
        <v>69246</v>
      </c>
      <c r="N254">
        <v>69594</v>
      </c>
      <c r="O254">
        <v>-348</v>
      </c>
      <c r="P254" s="149">
        <f t="shared" si="8"/>
        <v>0.68597464113450601</v>
      </c>
      <c r="Q254">
        <v>1421</v>
      </c>
      <c r="R254">
        <v>31</v>
      </c>
      <c r="S254" s="149">
        <v>4.8099999999999997E-2</v>
      </c>
    </row>
    <row r="255" spans="1:19" x14ac:dyDescent="0.25">
      <c r="A255" t="s">
        <v>419</v>
      </c>
      <c r="B255">
        <v>177289593.8278206</v>
      </c>
      <c r="C255">
        <v>153865378.8278206</v>
      </c>
      <c r="D255">
        <v>1842986</v>
      </c>
      <c r="E255">
        <v>0</v>
      </c>
      <c r="F255">
        <v>15707523</v>
      </c>
      <c r="G255">
        <v>5873706</v>
      </c>
      <c r="H255">
        <v>51135</v>
      </c>
      <c r="K255">
        <v>7326406.1721794009</v>
      </c>
      <c r="L255">
        <f t="shared" si="9"/>
        <v>235751000</v>
      </c>
      <c r="M255">
        <v>330096</v>
      </c>
      <c r="N255">
        <v>326873</v>
      </c>
      <c r="O255">
        <v>3223</v>
      </c>
      <c r="P255" s="149">
        <f t="shared" si="8"/>
        <v>0.71418920556444188</v>
      </c>
      <c r="Q255">
        <v>8577</v>
      </c>
      <c r="R255">
        <v>1072</v>
      </c>
      <c r="S255" s="149">
        <v>2.3799999999999998E-2</v>
      </c>
    </row>
    <row r="256" spans="1:19" x14ac:dyDescent="0.25">
      <c r="A256" t="s">
        <v>316</v>
      </c>
      <c r="B256">
        <v>42886165.915983319</v>
      </c>
      <c r="C256">
        <v>38720048.915983319</v>
      </c>
      <c r="D256">
        <v>862903</v>
      </c>
      <c r="E256">
        <v>0</v>
      </c>
      <c r="F256">
        <v>2578448</v>
      </c>
      <c r="G256">
        <v>724766</v>
      </c>
      <c r="H256">
        <v>8022</v>
      </c>
      <c r="K256">
        <v>1037834.0840166807</v>
      </c>
      <c r="L256">
        <f t="shared" si="9"/>
        <v>51946000</v>
      </c>
      <c r="M256">
        <v>72748</v>
      </c>
      <c r="N256">
        <v>71679</v>
      </c>
      <c r="O256">
        <v>1069</v>
      </c>
      <c r="P256" s="149">
        <f t="shared" si="8"/>
        <v>0.71405399461153574</v>
      </c>
      <c r="Q256">
        <v>2737</v>
      </c>
      <c r="R256">
        <v>916</v>
      </c>
      <c r="S256" s="149">
        <v>3.9900000000000005E-2</v>
      </c>
    </row>
    <row r="257" spans="1:19" x14ac:dyDescent="0.25">
      <c r="A257" t="s">
        <v>336</v>
      </c>
      <c r="B257">
        <v>40691580.709410995</v>
      </c>
      <c r="C257">
        <v>35263795.709410995</v>
      </c>
      <c r="D257">
        <v>724643</v>
      </c>
      <c r="E257">
        <v>0</v>
      </c>
      <c r="F257">
        <v>2278881</v>
      </c>
      <c r="G257">
        <v>2424261</v>
      </c>
      <c r="H257">
        <v>7958</v>
      </c>
      <c r="K257">
        <v>958419.29058900476</v>
      </c>
      <c r="L257">
        <f t="shared" si="9"/>
        <v>49608000</v>
      </c>
      <c r="M257">
        <v>74763</v>
      </c>
      <c r="N257">
        <v>73451</v>
      </c>
      <c r="O257">
        <v>1312</v>
      </c>
      <c r="P257" s="149">
        <f t="shared" si="8"/>
        <v>0.66353677621283258</v>
      </c>
      <c r="Q257">
        <v>1198</v>
      </c>
      <c r="R257">
        <v>632</v>
      </c>
      <c r="S257" s="149">
        <v>1.43E-2</v>
      </c>
    </row>
    <row r="258" spans="1:19" x14ac:dyDescent="0.25">
      <c r="A258" t="s">
        <v>134</v>
      </c>
      <c r="B258">
        <v>118031546.87966648</v>
      </c>
      <c r="C258">
        <v>96751337.879666477</v>
      </c>
      <c r="D258">
        <v>6951236</v>
      </c>
      <c r="E258">
        <v>0</v>
      </c>
      <c r="F258">
        <v>11979055</v>
      </c>
      <c r="G258">
        <v>2349918</v>
      </c>
      <c r="H258">
        <v>32307</v>
      </c>
      <c r="K258">
        <v>2577453.1203335226</v>
      </c>
      <c r="L258">
        <f t="shared" si="9"/>
        <v>152916000</v>
      </c>
      <c r="M258">
        <v>189852</v>
      </c>
      <c r="N258">
        <v>192642</v>
      </c>
      <c r="O258">
        <v>-2790</v>
      </c>
      <c r="P258" s="149">
        <f t="shared" si="8"/>
        <v>0.80544845458567726</v>
      </c>
      <c r="Q258">
        <v>2020</v>
      </c>
      <c r="R258">
        <v>216</v>
      </c>
      <c r="S258" s="149">
        <v>4.6699999999999998E-2</v>
      </c>
    </row>
    <row r="259" spans="1:19" x14ac:dyDescent="0.25">
      <c r="A259" t="s">
        <v>227</v>
      </c>
      <c r="B259">
        <v>64564441.734308928</v>
      </c>
      <c r="C259">
        <v>58681215.734308928</v>
      </c>
      <c r="D259">
        <v>1659906</v>
      </c>
      <c r="E259">
        <v>0</v>
      </c>
      <c r="F259">
        <v>3192890</v>
      </c>
      <c r="G259">
        <v>1030430</v>
      </c>
      <c r="H259">
        <v>18414</v>
      </c>
      <c r="K259">
        <v>1840558.2656910717</v>
      </c>
      <c r="L259">
        <f t="shared" si="9"/>
        <v>84819000</v>
      </c>
      <c r="M259">
        <v>123265</v>
      </c>
      <c r="N259">
        <v>126894</v>
      </c>
      <c r="O259">
        <v>-3629</v>
      </c>
      <c r="P259" s="149">
        <f t="shared" si="8"/>
        <v>0.6881028678051353</v>
      </c>
      <c r="Q259">
        <v>1806</v>
      </c>
      <c r="R259">
        <v>130</v>
      </c>
      <c r="S259" s="149">
        <v>4.0300000000000002E-2</v>
      </c>
    </row>
    <row r="260" spans="1:19" x14ac:dyDescent="0.25">
      <c r="A260" t="s">
        <v>386</v>
      </c>
      <c r="B260">
        <v>26444716.233314961</v>
      </c>
      <c r="C260">
        <v>23674716.233314961</v>
      </c>
      <c r="D260">
        <v>334725</v>
      </c>
      <c r="E260">
        <v>0</v>
      </c>
      <c r="F260">
        <v>1947432</v>
      </c>
      <c r="G260">
        <v>487843</v>
      </c>
      <c r="H260">
        <v>7899</v>
      </c>
      <c r="K260">
        <v>744283.76668503881</v>
      </c>
      <c r="L260">
        <f t="shared" si="9"/>
        <v>35088000</v>
      </c>
      <c r="M260">
        <v>46890</v>
      </c>
      <c r="N260">
        <v>46718</v>
      </c>
      <c r="O260">
        <v>172</v>
      </c>
      <c r="P260" s="149">
        <f t="shared" si="8"/>
        <v>0.74830454254638512</v>
      </c>
      <c r="Q260">
        <v>674</v>
      </c>
      <c r="R260">
        <v>52</v>
      </c>
      <c r="S260" s="149">
        <v>5.2199999999999996E-2</v>
      </c>
    </row>
    <row r="261" spans="1:19" x14ac:dyDescent="0.25">
      <c r="A261" t="s">
        <v>387</v>
      </c>
      <c r="B261">
        <v>20998240.061292119</v>
      </c>
      <c r="C261">
        <v>19248960.061292119</v>
      </c>
      <c r="D261">
        <v>293741</v>
      </c>
      <c r="E261">
        <v>0</v>
      </c>
      <c r="F261">
        <v>973261</v>
      </c>
      <c r="G261">
        <v>482278</v>
      </c>
      <c r="H261">
        <v>4657</v>
      </c>
      <c r="K261">
        <v>382759.93870788068</v>
      </c>
      <c r="L261">
        <f t="shared" si="9"/>
        <v>26038000</v>
      </c>
      <c r="M261">
        <v>38990</v>
      </c>
      <c r="N261">
        <v>40232</v>
      </c>
      <c r="O261">
        <v>-1242</v>
      </c>
      <c r="P261" s="149">
        <f t="shared" si="8"/>
        <v>0.66781225955373169</v>
      </c>
      <c r="Q261">
        <v>549</v>
      </c>
      <c r="R261">
        <v>151</v>
      </c>
      <c r="S261" s="149">
        <v>4.99E-2</v>
      </c>
    </row>
    <row r="262" spans="1:19" x14ac:dyDescent="0.25">
      <c r="A262" t="s">
        <v>123</v>
      </c>
      <c r="B262">
        <v>81422934.112085104</v>
      </c>
      <c r="C262">
        <v>58611145.112085104</v>
      </c>
      <c r="D262">
        <v>2867725</v>
      </c>
      <c r="E262">
        <v>0</v>
      </c>
      <c r="F262">
        <v>18730385</v>
      </c>
      <c r="G262">
        <v>1213679</v>
      </c>
      <c r="H262">
        <v>15801</v>
      </c>
      <c r="K262">
        <v>1191065.887914896</v>
      </c>
      <c r="L262">
        <f t="shared" si="9"/>
        <v>98415000</v>
      </c>
      <c r="M262">
        <v>114156</v>
      </c>
      <c r="N262">
        <v>121905</v>
      </c>
      <c r="O262">
        <v>-7749</v>
      </c>
      <c r="P262" s="149">
        <f t="shared" si="8"/>
        <v>0.86210974456007572</v>
      </c>
      <c r="Q262">
        <v>503</v>
      </c>
      <c r="R262">
        <v>51</v>
      </c>
      <c r="S262" s="149">
        <v>6.6299999999999998E-2</v>
      </c>
    </row>
    <row r="263" spans="1:19" x14ac:dyDescent="0.25">
      <c r="A263" t="s">
        <v>156</v>
      </c>
      <c r="B263">
        <v>22446313.691989321</v>
      </c>
      <c r="C263">
        <v>20270941.691989321</v>
      </c>
      <c r="D263">
        <v>407605</v>
      </c>
      <c r="E263">
        <v>0</v>
      </c>
      <c r="F263">
        <v>1245023</v>
      </c>
      <c r="G263">
        <v>522744</v>
      </c>
      <c r="H263">
        <v>2892</v>
      </c>
      <c r="K263">
        <v>864686.30801067874</v>
      </c>
      <c r="L263">
        <f t="shared" si="9"/>
        <v>26203000</v>
      </c>
      <c r="M263">
        <v>35730</v>
      </c>
      <c r="N263">
        <v>38893</v>
      </c>
      <c r="O263">
        <v>-3163</v>
      </c>
      <c r="P263" s="149">
        <f t="shared" si="8"/>
        <v>0.73336132101875173</v>
      </c>
      <c r="Q263">
        <v>228</v>
      </c>
      <c r="R263">
        <v>29</v>
      </c>
      <c r="S263" s="149">
        <v>6.6299999999999998E-2</v>
      </c>
    </row>
    <row r="264" spans="1:19" x14ac:dyDescent="0.25">
      <c r="A264" t="s">
        <v>270</v>
      </c>
      <c r="B264">
        <v>34393534.174178936</v>
      </c>
      <c r="C264">
        <v>29751163.174178936</v>
      </c>
      <c r="D264">
        <v>1729948</v>
      </c>
      <c r="E264">
        <v>0</v>
      </c>
      <c r="F264">
        <v>2313452</v>
      </c>
      <c r="G264">
        <v>598971</v>
      </c>
      <c r="H264">
        <v>5624</v>
      </c>
      <c r="K264">
        <v>659465.82582106441</v>
      </c>
      <c r="L264">
        <f t="shared" si="9"/>
        <v>40677000</v>
      </c>
      <c r="M264">
        <v>51593</v>
      </c>
      <c r="N264">
        <v>52313</v>
      </c>
      <c r="O264">
        <v>-720</v>
      </c>
      <c r="P264" s="149">
        <f t="shared" si="8"/>
        <v>0.78842090981334678</v>
      </c>
      <c r="Q264">
        <v>618</v>
      </c>
      <c r="R264">
        <v>26</v>
      </c>
      <c r="S264" s="149">
        <v>5.0199999999999995E-2</v>
      </c>
    </row>
    <row r="265" spans="1:19" x14ac:dyDescent="0.25">
      <c r="A265" t="s">
        <v>388</v>
      </c>
      <c r="B265">
        <v>37655886.85263972</v>
      </c>
      <c r="C265">
        <v>33096188.852639724</v>
      </c>
      <c r="D265">
        <v>1151588</v>
      </c>
      <c r="E265">
        <v>0</v>
      </c>
      <c r="F265">
        <v>2826138</v>
      </c>
      <c r="G265">
        <v>581972</v>
      </c>
      <c r="H265">
        <v>7606</v>
      </c>
      <c r="K265">
        <v>529113.14736028016</v>
      </c>
      <c r="L265">
        <f t="shared" si="9"/>
        <v>45791000</v>
      </c>
      <c r="M265">
        <v>61279</v>
      </c>
      <c r="N265">
        <v>63654</v>
      </c>
      <c r="O265">
        <v>-2375</v>
      </c>
      <c r="P265" s="149">
        <f t="shared" si="8"/>
        <v>0.74725436120041122</v>
      </c>
      <c r="Q265">
        <v>557</v>
      </c>
      <c r="R265">
        <v>93</v>
      </c>
      <c r="S265" s="149">
        <v>5.7599999999999998E-2</v>
      </c>
    </row>
    <row r="266" spans="1:19" x14ac:dyDescent="0.25">
      <c r="A266" t="s">
        <v>157</v>
      </c>
      <c r="B266">
        <v>77822102.863520056</v>
      </c>
      <c r="C266">
        <v>66854244.863520049</v>
      </c>
      <c r="D266">
        <v>2016873</v>
      </c>
      <c r="E266">
        <v>0</v>
      </c>
      <c r="F266">
        <v>7595033</v>
      </c>
      <c r="G266">
        <v>1355952</v>
      </c>
      <c r="H266">
        <v>22191</v>
      </c>
      <c r="K266">
        <v>1032897.136479944</v>
      </c>
      <c r="L266">
        <f t="shared" si="9"/>
        <v>101046000</v>
      </c>
      <c r="M266">
        <v>127134</v>
      </c>
      <c r="N266">
        <v>129029</v>
      </c>
      <c r="O266">
        <v>-1895</v>
      </c>
      <c r="P266" s="149">
        <f t="shared" si="8"/>
        <v>0.7947991882580584</v>
      </c>
      <c r="Q266">
        <v>1189</v>
      </c>
      <c r="R266">
        <v>59</v>
      </c>
      <c r="S266" s="149">
        <v>4.8099999999999997E-2</v>
      </c>
    </row>
    <row r="267" spans="1:19" x14ac:dyDescent="0.25">
      <c r="A267" t="s">
        <v>727</v>
      </c>
      <c r="B267">
        <v>38383989.839806706</v>
      </c>
      <c r="C267">
        <v>33882818.839806706</v>
      </c>
      <c r="D267">
        <v>638712</v>
      </c>
      <c r="E267">
        <v>0</v>
      </c>
      <c r="F267">
        <v>3159591</v>
      </c>
      <c r="G267">
        <v>702868</v>
      </c>
      <c r="H267">
        <v>7319</v>
      </c>
      <c r="K267">
        <v>1676010.1601932943</v>
      </c>
      <c r="L267">
        <f t="shared" si="9"/>
        <v>47379000</v>
      </c>
      <c r="M267">
        <v>59828</v>
      </c>
      <c r="N267">
        <v>65088</v>
      </c>
      <c r="O267">
        <v>-5260</v>
      </c>
      <c r="P267" s="149">
        <f t="shared" si="8"/>
        <v>0.79192017115731761</v>
      </c>
      <c r="Q267">
        <v>643</v>
      </c>
      <c r="R267">
        <v>87</v>
      </c>
      <c r="S267" s="149">
        <v>5.8799999999999998E-2</v>
      </c>
    </row>
    <row r="268" spans="1:19" x14ac:dyDescent="0.25">
      <c r="A268" t="s">
        <v>228</v>
      </c>
      <c r="B268">
        <v>83859004.28862381</v>
      </c>
      <c r="C268">
        <v>77354026.28862381</v>
      </c>
      <c r="D268">
        <v>1282758</v>
      </c>
      <c r="E268">
        <v>0</v>
      </c>
      <c r="F268">
        <v>3356106</v>
      </c>
      <c r="G268">
        <v>1866114</v>
      </c>
      <c r="H268">
        <v>19135</v>
      </c>
      <c r="K268">
        <v>1060995.7113761902</v>
      </c>
      <c r="L268">
        <f t="shared" si="9"/>
        <v>104055000</v>
      </c>
      <c r="M268">
        <v>138969</v>
      </c>
      <c r="N268">
        <v>139264</v>
      </c>
      <c r="O268">
        <v>-295</v>
      </c>
      <c r="P268" s="149">
        <f t="shared" si="8"/>
        <v>0.74876411285970257</v>
      </c>
      <c r="Q268">
        <v>2255</v>
      </c>
      <c r="R268">
        <v>99</v>
      </c>
      <c r="S268" s="149">
        <v>3.73E-2</v>
      </c>
    </row>
    <row r="269" spans="1:19" x14ac:dyDescent="0.25">
      <c r="A269" t="s">
        <v>438</v>
      </c>
      <c r="B269">
        <v>167492173.49948055</v>
      </c>
      <c r="C269">
        <v>144214650.49948055</v>
      </c>
      <c r="D269">
        <v>3271709</v>
      </c>
      <c r="E269">
        <v>0</v>
      </c>
      <c r="F269">
        <v>16387107</v>
      </c>
      <c r="G269">
        <v>3618707</v>
      </c>
      <c r="H269">
        <v>41627</v>
      </c>
      <c r="K269">
        <v>3780826.5005194545</v>
      </c>
      <c r="L269">
        <f t="shared" si="9"/>
        <v>212900000</v>
      </c>
      <c r="M269">
        <v>270013</v>
      </c>
      <c r="N269">
        <v>271821</v>
      </c>
      <c r="O269">
        <v>-1808</v>
      </c>
      <c r="P269" s="149">
        <f t="shared" si="8"/>
        <v>0.78848055463996181</v>
      </c>
      <c r="Q269">
        <v>9551</v>
      </c>
      <c r="R269">
        <v>7008</v>
      </c>
      <c r="S269" s="149">
        <v>3.7699999999999997E-2</v>
      </c>
    </row>
    <row r="270" spans="1:19" x14ac:dyDescent="0.25">
      <c r="A270" t="s">
        <v>337</v>
      </c>
      <c r="B270">
        <v>98726916.545300096</v>
      </c>
      <c r="C270">
        <v>82913587.545300096</v>
      </c>
      <c r="D270">
        <v>2074352</v>
      </c>
      <c r="E270">
        <v>0</v>
      </c>
      <c r="F270">
        <v>10414260</v>
      </c>
      <c r="G270">
        <v>3324717</v>
      </c>
      <c r="H270">
        <v>21805</v>
      </c>
      <c r="K270">
        <v>2686083.4546999037</v>
      </c>
      <c r="L270">
        <f t="shared" si="9"/>
        <v>123218000</v>
      </c>
      <c r="M270">
        <v>166094</v>
      </c>
      <c r="N270">
        <v>164889</v>
      </c>
      <c r="O270">
        <v>1205</v>
      </c>
      <c r="P270" s="149">
        <f t="shared" si="8"/>
        <v>0.74185702072320492</v>
      </c>
      <c r="Q270">
        <v>4393</v>
      </c>
      <c r="R270">
        <v>1662</v>
      </c>
      <c r="S270" s="149">
        <v>3.1899999999999998E-2</v>
      </c>
    </row>
    <row r="271" spans="1:19" x14ac:dyDescent="0.25">
      <c r="A271" t="s">
        <v>135</v>
      </c>
      <c r="B271">
        <v>9713408.5187655333</v>
      </c>
      <c r="C271">
        <v>8497921.5187655333</v>
      </c>
      <c r="D271">
        <v>22092</v>
      </c>
      <c r="E271">
        <v>0</v>
      </c>
      <c r="F271">
        <v>198347</v>
      </c>
      <c r="G271">
        <v>995048</v>
      </c>
      <c r="H271">
        <v>346</v>
      </c>
      <c r="K271">
        <v>3561591.4812344667</v>
      </c>
      <c r="L271">
        <f t="shared" si="9"/>
        <v>13621000</v>
      </c>
      <c r="M271">
        <v>23662</v>
      </c>
      <c r="N271">
        <v>23535</v>
      </c>
      <c r="O271">
        <v>127</v>
      </c>
      <c r="P271" s="149">
        <f t="shared" si="8"/>
        <v>0.5756487194658102</v>
      </c>
      <c r="Q271">
        <v>733</v>
      </c>
      <c r="R271">
        <v>95</v>
      </c>
      <c r="S271" s="149">
        <v>2.5600000000000001E-2</v>
      </c>
    </row>
    <row r="272" spans="1:19" x14ac:dyDescent="0.25">
      <c r="A272" t="s">
        <v>271</v>
      </c>
      <c r="B272">
        <v>28987322.61872416</v>
      </c>
      <c r="C272">
        <v>22855405.61872416</v>
      </c>
      <c r="D272">
        <v>475895</v>
      </c>
      <c r="E272">
        <v>0</v>
      </c>
      <c r="F272">
        <v>2668989</v>
      </c>
      <c r="G272">
        <v>2987033</v>
      </c>
      <c r="H272">
        <v>4942</v>
      </c>
      <c r="K272">
        <v>1030677.3812758401</v>
      </c>
      <c r="L272">
        <f t="shared" si="9"/>
        <v>34960000</v>
      </c>
      <c r="M272">
        <v>57864</v>
      </c>
      <c r="N272">
        <v>56724</v>
      </c>
      <c r="O272">
        <v>1140</v>
      </c>
      <c r="P272" s="149">
        <f t="shared" si="8"/>
        <v>0.60417530761786253</v>
      </c>
      <c r="Q272">
        <v>1009</v>
      </c>
      <c r="R272">
        <v>273</v>
      </c>
      <c r="S272" s="149">
        <v>1.5600000000000001E-2</v>
      </c>
    </row>
    <row r="273" spans="1:19" x14ac:dyDescent="0.25">
      <c r="A273" t="s">
        <v>317</v>
      </c>
      <c r="B273">
        <v>46359095.472259015</v>
      </c>
      <c r="C273">
        <v>41664843.472259015</v>
      </c>
      <c r="D273">
        <v>837314</v>
      </c>
      <c r="E273">
        <v>0</v>
      </c>
      <c r="F273">
        <v>3131648</v>
      </c>
      <c r="G273">
        <v>725290</v>
      </c>
      <c r="H273">
        <v>9854</v>
      </c>
      <c r="K273">
        <v>397904.52774098516</v>
      </c>
      <c r="L273">
        <f t="shared" si="9"/>
        <v>56611000</v>
      </c>
      <c r="M273">
        <v>82524</v>
      </c>
      <c r="N273">
        <v>85508</v>
      </c>
      <c r="O273">
        <v>-2984</v>
      </c>
      <c r="P273" s="149">
        <f t="shared" si="8"/>
        <v>0.6859943773932432</v>
      </c>
      <c r="Q273">
        <v>4530</v>
      </c>
      <c r="R273">
        <v>3309</v>
      </c>
      <c r="S273" s="149">
        <v>5.2499999999999998E-2</v>
      </c>
    </row>
    <row r="274" spans="1:19" x14ac:dyDescent="0.25">
      <c r="A274" t="s">
        <v>338</v>
      </c>
      <c r="B274">
        <v>41436558.060194992</v>
      </c>
      <c r="C274">
        <v>37123487.060194992</v>
      </c>
      <c r="D274">
        <v>900814</v>
      </c>
      <c r="E274">
        <v>0</v>
      </c>
      <c r="F274">
        <v>2507856</v>
      </c>
      <c r="G274">
        <v>904401</v>
      </c>
      <c r="H274">
        <v>6667</v>
      </c>
      <c r="K274">
        <v>822441.93980500847</v>
      </c>
      <c r="L274">
        <f t="shared" si="9"/>
        <v>48926000</v>
      </c>
      <c r="M274">
        <v>67417</v>
      </c>
      <c r="N274">
        <v>68871</v>
      </c>
      <c r="O274">
        <v>-1454</v>
      </c>
      <c r="P274" s="149">
        <f t="shared" si="8"/>
        <v>0.725721998902354</v>
      </c>
      <c r="Q274">
        <v>3049</v>
      </c>
      <c r="R274">
        <v>1374</v>
      </c>
      <c r="S274" s="149">
        <v>5.2499999999999998E-2</v>
      </c>
    </row>
    <row r="275" spans="1:19" x14ac:dyDescent="0.25">
      <c r="A275" t="s">
        <v>202</v>
      </c>
      <c r="B275">
        <v>80676614.080638856</v>
      </c>
      <c r="C275">
        <v>66814434.080638863</v>
      </c>
      <c r="D275">
        <v>1202165</v>
      </c>
      <c r="E275">
        <v>0</v>
      </c>
      <c r="F275">
        <v>8899186</v>
      </c>
      <c r="G275">
        <v>3760829</v>
      </c>
      <c r="H275">
        <v>22025</v>
      </c>
      <c r="K275">
        <v>3812385.9193611443</v>
      </c>
      <c r="L275">
        <f t="shared" si="9"/>
        <v>106514000</v>
      </c>
      <c r="M275">
        <v>140366</v>
      </c>
      <c r="N275">
        <v>141702</v>
      </c>
      <c r="O275">
        <v>-1336</v>
      </c>
      <c r="P275" s="149">
        <f t="shared" si="8"/>
        <v>0.75883048601513192</v>
      </c>
      <c r="Q275">
        <v>5016</v>
      </c>
      <c r="R275">
        <v>3478</v>
      </c>
      <c r="S275" s="149">
        <v>3.6799999999999999E-2</v>
      </c>
    </row>
    <row r="276" spans="1:19" x14ac:dyDescent="0.25">
      <c r="A276" t="s">
        <v>389</v>
      </c>
      <c r="B276">
        <v>509116002.48757172</v>
      </c>
      <c r="C276">
        <v>364084734.48260045</v>
      </c>
      <c r="D276">
        <v>9987085.3046492096</v>
      </c>
      <c r="E276">
        <v>63873046</v>
      </c>
      <c r="F276" s="102">
        <v>33991340.106847778</v>
      </c>
      <c r="G276" s="102">
        <v>37179796.593474306</v>
      </c>
      <c r="H276" s="102">
        <v>130463.68218736871</v>
      </c>
      <c r="I276" s="102">
        <v>0</v>
      </c>
      <c r="J276" s="102">
        <v>0</v>
      </c>
      <c r="K276" s="102">
        <v>17268282.416503318</v>
      </c>
      <c r="L276" s="102">
        <v>656847967.09144378</v>
      </c>
      <c r="M276" s="102">
        <v>811255.76823974238</v>
      </c>
      <c r="N276" s="102">
        <v>862028.66811370954</v>
      </c>
      <c r="O276" s="102">
        <v>-50772.899873967166</v>
      </c>
      <c r="P276" s="149">
        <v>0.80966816238073513</v>
      </c>
      <c r="Q276" s="102">
        <v>19111.24807449937</v>
      </c>
      <c r="R276">
        <v>3322</v>
      </c>
      <c r="S276" s="149">
        <v>4.5599999999999995E-2</v>
      </c>
    </row>
    <row r="277" spans="1:19" x14ac:dyDescent="0.25">
      <c r="A277" t="s">
        <v>158</v>
      </c>
      <c r="B277">
        <v>28757582.966591083</v>
      </c>
      <c r="C277">
        <v>25385917.966591083</v>
      </c>
      <c r="D277">
        <v>453088</v>
      </c>
      <c r="E277">
        <v>0</v>
      </c>
      <c r="F277">
        <v>2322327</v>
      </c>
      <c r="G277">
        <v>596250</v>
      </c>
      <c r="H277">
        <v>4214</v>
      </c>
      <c r="K277">
        <v>564417.03340891749</v>
      </c>
      <c r="L277">
        <f t="shared" si="9"/>
        <v>33536000</v>
      </c>
      <c r="M277">
        <v>42218</v>
      </c>
      <c r="N277">
        <v>44439</v>
      </c>
      <c r="O277">
        <v>-2221</v>
      </c>
      <c r="P277" s="149">
        <f t="shared" si="8"/>
        <v>0.79435311952247856</v>
      </c>
      <c r="Q277">
        <v>240</v>
      </c>
      <c r="R277">
        <v>0</v>
      </c>
      <c r="S277" s="149">
        <v>6.1200000000000004E-2</v>
      </c>
    </row>
    <row r="278" spans="1:19" x14ac:dyDescent="0.25">
      <c r="A278" t="s">
        <v>159</v>
      </c>
      <c r="B278">
        <v>59341234.628475197</v>
      </c>
      <c r="C278">
        <v>47980133.628475197</v>
      </c>
      <c r="D278">
        <v>2908675</v>
      </c>
      <c r="E278">
        <v>0</v>
      </c>
      <c r="F278">
        <v>7516443</v>
      </c>
      <c r="G278">
        <v>935983</v>
      </c>
      <c r="H278">
        <v>7286</v>
      </c>
      <c r="K278">
        <v>0</v>
      </c>
      <c r="L278">
        <f t="shared" si="9"/>
        <v>66627234.628475197</v>
      </c>
      <c r="M278">
        <v>96441</v>
      </c>
      <c r="N278">
        <v>97164</v>
      </c>
      <c r="O278">
        <v>-723</v>
      </c>
      <c r="P278" s="149">
        <f t="shared" si="8"/>
        <v>0.69086005566590136</v>
      </c>
      <c r="Q278">
        <v>709</v>
      </c>
      <c r="R278">
        <v>100</v>
      </c>
      <c r="S278" s="149">
        <v>5.5E-2</v>
      </c>
    </row>
    <row r="279" spans="1:19" x14ac:dyDescent="0.25">
      <c r="A279" t="s">
        <v>113</v>
      </c>
      <c r="B279">
        <v>46109563.770576805</v>
      </c>
      <c r="C279">
        <v>42850724.770576805</v>
      </c>
      <c r="D279">
        <v>1499943</v>
      </c>
      <c r="E279">
        <v>0</v>
      </c>
      <c r="F279">
        <v>270251</v>
      </c>
      <c r="G279">
        <v>1488645</v>
      </c>
      <c r="H279">
        <v>13510</v>
      </c>
      <c r="K279">
        <v>226436.22942319512</v>
      </c>
      <c r="L279">
        <f t="shared" si="9"/>
        <v>59846000</v>
      </c>
      <c r="M279">
        <v>77336</v>
      </c>
      <c r="N279">
        <v>77989</v>
      </c>
      <c r="O279">
        <v>-653</v>
      </c>
      <c r="P279" s="149">
        <f t="shared" si="8"/>
        <v>0.7738440053791249</v>
      </c>
      <c r="Q279">
        <v>786</v>
      </c>
      <c r="R279">
        <v>115</v>
      </c>
      <c r="S279" s="149">
        <v>4.2199999999999994E-2</v>
      </c>
    </row>
    <row r="280" spans="1:19" x14ac:dyDescent="0.25">
      <c r="A280" t="s">
        <v>136</v>
      </c>
      <c r="B280">
        <v>53691696.752196766</v>
      </c>
      <c r="C280">
        <v>46419599.752196766</v>
      </c>
      <c r="D280">
        <v>2018183</v>
      </c>
      <c r="E280">
        <v>0</v>
      </c>
      <c r="F280">
        <v>3903183</v>
      </c>
      <c r="G280">
        <v>1350731</v>
      </c>
      <c r="H280">
        <v>11738</v>
      </c>
      <c r="K280">
        <v>1364303.2478032336</v>
      </c>
      <c r="L280">
        <f t="shared" si="9"/>
        <v>66794000</v>
      </c>
      <c r="M280">
        <v>84327</v>
      </c>
      <c r="N280">
        <v>86788</v>
      </c>
      <c r="O280">
        <v>-2461</v>
      </c>
      <c r="P280" s="149">
        <f t="shared" si="8"/>
        <v>0.79208319992410492</v>
      </c>
      <c r="Q280">
        <v>2873</v>
      </c>
      <c r="R280">
        <v>2262</v>
      </c>
      <c r="S280" s="149">
        <v>5.0700000000000002E-2</v>
      </c>
    </row>
    <row r="281" spans="1:19" x14ac:dyDescent="0.25">
      <c r="A281" t="s">
        <v>272</v>
      </c>
      <c r="B281">
        <v>16299565.292865729</v>
      </c>
      <c r="C281">
        <v>14895772.292865729</v>
      </c>
      <c r="D281">
        <v>98509</v>
      </c>
      <c r="E281">
        <v>0</v>
      </c>
      <c r="F281">
        <v>890798</v>
      </c>
      <c r="G281">
        <v>414486</v>
      </c>
      <c r="H281">
        <v>3049</v>
      </c>
      <c r="K281">
        <v>96434.707134271041</v>
      </c>
      <c r="L281">
        <f t="shared" si="9"/>
        <v>19445000</v>
      </c>
      <c r="M281">
        <v>25583</v>
      </c>
      <c r="N281">
        <v>26361</v>
      </c>
      <c r="O281">
        <v>-778</v>
      </c>
      <c r="P281" s="149">
        <f t="shared" si="8"/>
        <v>0.76007504983778296</v>
      </c>
      <c r="Q281">
        <v>1915</v>
      </c>
      <c r="R281">
        <v>126</v>
      </c>
      <c r="S281" s="149">
        <v>5.8400000000000001E-2</v>
      </c>
    </row>
    <row r="282" spans="1:19" x14ac:dyDescent="0.25">
      <c r="A282" t="s">
        <v>273</v>
      </c>
      <c r="B282">
        <v>40464892.803266659</v>
      </c>
      <c r="C282">
        <v>37749219.803266659</v>
      </c>
      <c r="D282">
        <v>541339</v>
      </c>
      <c r="E282">
        <v>0</v>
      </c>
      <c r="F282">
        <v>1483283</v>
      </c>
      <c r="G282">
        <v>691051</v>
      </c>
      <c r="H282">
        <v>8886</v>
      </c>
      <c r="K282">
        <v>761107.19673334062</v>
      </c>
      <c r="L282">
        <f t="shared" si="9"/>
        <v>50112000</v>
      </c>
      <c r="M282">
        <v>68476</v>
      </c>
      <c r="N282">
        <v>69295</v>
      </c>
      <c r="O282">
        <v>-819</v>
      </c>
      <c r="P282" s="149">
        <f t="shared" si="8"/>
        <v>0.73181844733921375</v>
      </c>
      <c r="Q282">
        <v>2504</v>
      </c>
      <c r="R282">
        <v>1532</v>
      </c>
      <c r="S282" s="149">
        <v>3.9300000000000002E-2</v>
      </c>
    </row>
    <row r="283" spans="1:19" x14ac:dyDescent="0.25">
      <c r="A283" t="s">
        <v>431</v>
      </c>
      <c r="B283">
        <v>28946621.047656819</v>
      </c>
      <c r="C283">
        <v>24236782.047656819</v>
      </c>
      <c r="D283">
        <v>2425277</v>
      </c>
      <c r="E283">
        <v>0</v>
      </c>
      <c r="F283">
        <v>1685024</v>
      </c>
      <c r="G283">
        <v>599538</v>
      </c>
      <c r="H283">
        <v>7327</v>
      </c>
      <c r="K283">
        <v>1524378.9523431808</v>
      </c>
      <c r="L283">
        <f t="shared" si="9"/>
        <v>37798000</v>
      </c>
      <c r="M283">
        <v>58751</v>
      </c>
      <c r="N283">
        <v>57038</v>
      </c>
      <c r="O283">
        <v>1713</v>
      </c>
      <c r="P283" s="149">
        <f t="shared" si="8"/>
        <v>0.64335926197000903</v>
      </c>
      <c r="Q283">
        <v>874</v>
      </c>
      <c r="R283">
        <v>36</v>
      </c>
      <c r="S283" s="149">
        <v>4.6600000000000003E-2</v>
      </c>
    </row>
    <row r="284" spans="1:19" x14ac:dyDescent="0.25">
      <c r="A284" t="s">
        <v>728</v>
      </c>
      <c r="B284">
        <v>817058480.60302377</v>
      </c>
      <c r="C284">
        <v>591468311.60302377</v>
      </c>
      <c r="D284">
        <v>14739348</v>
      </c>
      <c r="E284">
        <v>103745754</v>
      </c>
      <c r="F284">
        <v>21772649</v>
      </c>
      <c r="G284">
        <v>85332418</v>
      </c>
      <c r="H284">
        <v>213980</v>
      </c>
      <c r="K284">
        <v>23090519.396976233</v>
      </c>
      <c r="L284">
        <f t="shared" si="9"/>
        <v>1054129000</v>
      </c>
      <c r="M284">
        <v>1455979</v>
      </c>
      <c r="N284">
        <v>1538555</v>
      </c>
      <c r="O284">
        <v>-82576</v>
      </c>
      <c r="P284" s="149">
        <f t="shared" si="8"/>
        <v>0.72400014011191094</v>
      </c>
      <c r="Q284">
        <v>43420</v>
      </c>
      <c r="R284">
        <v>20150</v>
      </c>
      <c r="S284" s="149">
        <v>5.2600000000000001E-2</v>
      </c>
    </row>
    <row r="285" spans="1:19" x14ac:dyDescent="0.25">
      <c r="A285" t="s">
        <v>230</v>
      </c>
      <c r="B285">
        <v>70456879.033072114</v>
      </c>
      <c r="C285">
        <v>60934877.033072121</v>
      </c>
      <c r="D285">
        <v>5938783</v>
      </c>
      <c r="E285">
        <v>0</v>
      </c>
      <c r="F285">
        <v>1887755</v>
      </c>
      <c r="G285">
        <v>1695464</v>
      </c>
      <c r="H285">
        <v>16517</v>
      </c>
      <c r="K285">
        <v>1107120.966927886</v>
      </c>
      <c r="L285">
        <f t="shared" si="9"/>
        <v>88081000</v>
      </c>
      <c r="M285">
        <v>119137</v>
      </c>
      <c r="N285">
        <v>118236</v>
      </c>
      <c r="O285">
        <v>901</v>
      </c>
      <c r="P285" s="149">
        <f t="shared" si="8"/>
        <v>0.73932531455383299</v>
      </c>
      <c r="Q285">
        <v>2319</v>
      </c>
      <c r="R285">
        <v>966</v>
      </c>
      <c r="S285" s="149">
        <v>3.6799999999999999E-2</v>
      </c>
    </row>
    <row r="286" spans="1:19" x14ac:dyDescent="0.25">
      <c r="A286" t="s">
        <v>421</v>
      </c>
      <c r="B286">
        <v>18400518.358049154</v>
      </c>
      <c r="C286">
        <v>15761643.358049154</v>
      </c>
      <c r="D286">
        <v>173012</v>
      </c>
      <c r="E286">
        <v>0</v>
      </c>
      <c r="F286">
        <v>1694053</v>
      </c>
      <c r="G286">
        <v>771810</v>
      </c>
      <c r="H286">
        <v>6028</v>
      </c>
      <c r="K286">
        <v>282481.64195084572</v>
      </c>
      <c r="L286">
        <f t="shared" si="9"/>
        <v>24711000</v>
      </c>
      <c r="M286">
        <v>30708</v>
      </c>
      <c r="N286">
        <v>31075</v>
      </c>
      <c r="O286">
        <v>-367</v>
      </c>
      <c r="P286" s="149">
        <f t="shared" si="8"/>
        <v>0.80470887065259866</v>
      </c>
      <c r="Q286">
        <v>168</v>
      </c>
      <c r="R286">
        <v>21</v>
      </c>
      <c r="S286" s="149">
        <v>2.8900000000000002E-2</v>
      </c>
    </row>
    <row r="287" spans="1:19" x14ac:dyDescent="0.25">
      <c r="A287" t="s">
        <v>422</v>
      </c>
      <c r="B287">
        <v>27171813.866628844</v>
      </c>
      <c r="C287">
        <v>23428617.866628844</v>
      </c>
      <c r="D287">
        <v>456286</v>
      </c>
      <c r="E287">
        <v>0</v>
      </c>
      <c r="F287">
        <v>1849943</v>
      </c>
      <c r="G287">
        <v>1436967</v>
      </c>
      <c r="H287">
        <v>8731</v>
      </c>
      <c r="K287">
        <v>347186.13337115571</v>
      </c>
      <c r="L287">
        <f t="shared" si="9"/>
        <v>36250000</v>
      </c>
      <c r="M287">
        <v>54526</v>
      </c>
      <c r="N287">
        <v>56430</v>
      </c>
      <c r="O287">
        <v>-1904</v>
      </c>
      <c r="P287" s="149">
        <f t="shared" si="8"/>
        <v>0.66482045262810407</v>
      </c>
      <c r="Q287">
        <v>871</v>
      </c>
      <c r="R287">
        <v>125</v>
      </c>
      <c r="S287" s="149">
        <v>3.3099999999999997E-2</v>
      </c>
    </row>
    <row r="288" spans="1:19" x14ac:dyDescent="0.25">
      <c r="A288" t="s">
        <v>391</v>
      </c>
      <c r="B288">
        <v>48798341.948377073</v>
      </c>
      <c r="C288">
        <v>43245539.948377073</v>
      </c>
      <c r="D288">
        <v>975672</v>
      </c>
      <c r="E288">
        <v>0</v>
      </c>
      <c r="F288">
        <v>3851964</v>
      </c>
      <c r="G288">
        <v>725166</v>
      </c>
      <c r="H288">
        <v>10804</v>
      </c>
      <c r="K288">
        <v>1289658.0516229272</v>
      </c>
      <c r="L288">
        <f t="shared" si="9"/>
        <v>60892000</v>
      </c>
      <c r="M288">
        <v>81205</v>
      </c>
      <c r="N288">
        <v>82093</v>
      </c>
      <c r="O288">
        <v>-888</v>
      </c>
      <c r="P288" s="149">
        <f t="shared" si="8"/>
        <v>0.74985530447632531</v>
      </c>
      <c r="Q288">
        <v>1645</v>
      </c>
      <c r="R288">
        <v>380</v>
      </c>
      <c r="S288" s="149">
        <v>3.9E-2</v>
      </c>
    </row>
    <row r="289" spans="1:19" x14ac:dyDescent="0.25">
      <c r="A289" t="s">
        <v>124</v>
      </c>
      <c r="B289">
        <v>63515535.006653763</v>
      </c>
      <c r="C289">
        <v>50113262.006653763</v>
      </c>
      <c r="D289">
        <v>2567520</v>
      </c>
      <c r="E289">
        <v>0</v>
      </c>
      <c r="F289">
        <v>9923841</v>
      </c>
      <c r="G289">
        <v>910912</v>
      </c>
      <c r="H289">
        <v>16706</v>
      </c>
      <c r="K289">
        <v>1673464.9933462366</v>
      </c>
      <c r="L289">
        <f t="shared" si="9"/>
        <v>81895000</v>
      </c>
      <c r="M289">
        <v>100123</v>
      </c>
      <c r="N289">
        <v>100025</v>
      </c>
      <c r="O289">
        <v>98</v>
      </c>
      <c r="P289" s="149">
        <f t="shared" si="8"/>
        <v>0.81794392896737012</v>
      </c>
      <c r="Q289">
        <v>880</v>
      </c>
      <c r="R289">
        <v>197</v>
      </c>
      <c r="S289" s="149">
        <v>4.53E-2</v>
      </c>
    </row>
    <row r="290" spans="1:19" x14ac:dyDescent="0.25">
      <c r="A290" t="s">
        <v>231</v>
      </c>
      <c r="B290">
        <v>110582002.84593682</v>
      </c>
      <c r="C290">
        <v>98111700.84593682</v>
      </c>
      <c r="D290">
        <v>2842643</v>
      </c>
      <c r="E290">
        <v>0</v>
      </c>
      <c r="F290">
        <v>7882479</v>
      </c>
      <c r="G290">
        <v>1745180</v>
      </c>
      <c r="H290">
        <v>19386</v>
      </c>
      <c r="K290">
        <v>9910997.1540631801</v>
      </c>
      <c r="L290">
        <f t="shared" si="9"/>
        <v>139879000</v>
      </c>
      <c r="M290">
        <v>197335</v>
      </c>
      <c r="N290">
        <v>200794</v>
      </c>
      <c r="O290">
        <v>-3459</v>
      </c>
      <c r="P290" s="149">
        <f t="shared" si="8"/>
        <v>0.70884029695695139</v>
      </c>
      <c r="Q290">
        <v>7231</v>
      </c>
      <c r="R290">
        <v>2074</v>
      </c>
      <c r="S290" s="149">
        <v>4.3899999999999995E-2</v>
      </c>
    </row>
    <row r="291" spans="1:19" x14ac:dyDescent="0.25">
      <c r="A291" t="s">
        <v>339</v>
      </c>
      <c r="B291">
        <v>30583271.164969619</v>
      </c>
      <c r="C291">
        <v>26006646.164969619</v>
      </c>
      <c r="D291">
        <v>491504</v>
      </c>
      <c r="E291">
        <v>0</v>
      </c>
      <c r="F291">
        <v>1259648</v>
      </c>
      <c r="G291">
        <v>2825473</v>
      </c>
      <c r="H291">
        <v>9102</v>
      </c>
      <c r="K291">
        <v>100728.83503038064</v>
      </c>
      <c r="L291">
        <f t="shared" si="9"/>
        <v>39786000</v>
      </c>
      <c r="M291">
        <v>72287</v>
      </c>
      <c r="N291">
        <v>71692</v>
      </c>
      <c r="O291">
        <v>595</v>
      </c>
      <c r="P291" s="149">
        <f t="shared" si="8"/>
        <v>0.55038941995102852</v>
      </c>
      <c r="Q291">
        <v>1612</v>
      </c>
      <c r="R291">
        <v>454</v>
      </c>
      <c r="S291" s="149">
        <v>2.3300000000000001E-2</v>
      </c>
    </row>
    <row r="292" spans="1:19" x14ac:dyDescent="0.25">
      <c r="A292" t="s">
        <v>392</v>
      </c>
      <c r="B292">
        <v>65402449.296719052</v>
      </c>
      <c r="C292">
        <v>55983015.296719052</v>
      </c>
      <c r="D292">
        <v>2121870</v>
      </c>
      <c r="E292">
        <v>0</v>
      </c>
      <c r="F292">
        <v>4641951</v>
      </c>
      <c r="G292">
        <v>2655613</v>
      </c>
      <c r="H292">
        <v>12415</v>
      </c>
      <c r="K292">
        <v>426550.7032809481</v>
      </c>
      <c r="L292">
        <f t="shared" si="9"/>
        <v>78244000</v>
      </c>
      <c r="M292">
        <v>126025</v>
      </c>
      <c r="N292">
        <v>125517</v>
      </c>
      <c r="O292">
        <v>508</v>
      </c>
      <c r="P292" s="149">
        <f t="shared" si="8"/>
        <v>0.62086094028962513</v>
      </c>
      <c r="Q292">
        <v>1912</v>
      </c>
      <c r="R292">
        <v>127</v>
      </c>
      <c r="S292" s="149">
        <v>4.1900000000000007E-2</v>
      </c>
    </row>
    <row r="293" spans="1:19" x14ac:dyDescent="0.25">
      <c r="A293" t="s">
        <v>274</v>
      </c>
      <c r="B293">
        <v>106676929.59239563</v>
      </c>
      <c r="C293">
        <v>95174614.592395633</v>
      </c>
      <c r="D293">
        <v>3265663</v>
      </c>
      <c r="E293">
        <v>0</v>
      </c>
      <c r="F293">
        <v>5733836</v>
      </c>
      <c r="G293">
        <v>2502816</v>
      </c>
      <c r="H293">
        <v>28781</v>
      </c>
      <c r="K293">
        <v>2855070.4076043665</v>
      </c>
      <c r="L293">
        <f t="shared" si="9"/>
        <v>138313000</v>
      </c>
      <c r="M293">
        <v>184103</v>
      </c>
      <c r="N293">
        <v>190722</v>
      </c>
      <c r="O293">
        <v>-6619</v>
      </c>
      <c r="P293" s="149">
        <f t="shared" si="8"/>
        <v>0.75128053317979604</v>
      </c>
      <c r="Q293">
        <v>9520</v>
      </c>
      <c r="R293">
        <v>3798</v>
      </c>
      <c r="S293" s="149">
        <v>0.04</v>
      </c>
    </row>
    <row r="294" spans="1:19" x14ac:dyDescent="0.25">
      <c r="A294" t="s">
        <v>423</v>
      </c>
      <c r="B294">
        <v>260778363.83275259</v>
      </c>
      <c r="C294">
        <v>165774377.83275259</v>
      </c>
      <c r="D294">
        <v>4362593</v>
      </c>
      <c r="E294">
        <v>52537453</v>
      </c>
      <c r="F294">
        <v>15840991</v>
      </c>
      <c r="G294">
        <v>22262949</v>
      </c>
      <c r="H294">
        <v>54910</v>
      </c>
      <c r="K294">
        <v>8032636.1672474146</v>
      </c>
      <c r="L294">
        <f t="shared" si="9"/>
        <v>323721000</v>
      </c>
      <c r="M294">
        <v>427524</v>
      </c>
      <c r="N294">
        <v>425024</v>
      </c>
      <c r="O294">
        <v>2500</v>
      </c>
      <c r="P294" s="149">
        <f t="shared" si="8"/>
        <v>0.75719959581216489</v>
      </c>
      <c r="Q294">
        <v>3542</v>
      </c>
      <c r="R294">
        <v>1205</v>
      </c>
      <c r="S294" s="149">
        <v>4.5100000000000001E-2</v>
      </c>
    </row>
    <row r="295" spans="1:19" x14ac:dyDescent="0.25">
      <c r="A295" t="s">
        <v>424</v>
      </c>
      <c r="B295">
        <v>79137681.915517479</v>
      </c>
      <c r="C295">
        <v>64295891.915517472</v>
      </c>
      <c r="D295">
        <v>1105510</v>
      </c>
      <c r="E295">
        <v>0</v>
      </c>
      <c r="F295">
        <v>11605111</v>
      </c>
      <c r="G295">
        <v>2131169</v>
      </c>
      <c r="H295">
        <v>16876</v>
      </c>
      <c r="K295">
        <v>1531318.0844825208</v>
      </c>
      <c r="L295">
        <f t="shared" si="9"/>
        <v>97545000</v>
      </c>
      <c r="M295">
        <v>125546</v>
      </c>
      <c r="N295">
        <v>128156</v>
      </c>
      <c r="O295">
        <v>-2610</v>
      </c>
      <c r="P295" s="149">
        <f t="shared" si="8"/>
        <v>0.77696621158778456</v>
      </c>
      <c r="Q295">
        <v>926</v>
      </c>
      <c r="R295">
        <v>447</v>
      </c>
      <c r="S295" s="149">
        <v>4.2800000000000005E-2</v>
      </c>
    </row>
    <row r="296" spans="1:19" x14ac:dyDescent="0.25">
      <c r="A296" t="s">
        <v>598</v>
      </c>
      <c r="B296">
        <v>85206693.650908291</v>
      </c>
      <c r="C296">
        <v>77830272.650908291</v>
      </c>
      <c r="D296">
        <v>1945336</v>
      </c>
      <c r="E296">
        <v>0</v>
      </c>
      <c r="F296">
        <v>3758681</v>
      </c>
      <c r="G296">
        <v>1672404</v>
      </c>
      <c r="H296">
        <v>21541</v>
      </c>
      <c r="K296">
        <v>1799306.3490917087</v>
      </c>
      <c r="L296">
        <f t="shared" si="9"/>
        <v>108547000</v>
      </c>
      <c r="M296">
        <v>151480</v>
      </c>
      <c r="N296">
        <v>153136</v>
      </c>
      <c r="O296">
        <v>-1656</v>
      </c>
      <c r="P296" s="149">
        <f t="shared" si="8"/>
        <v>0.71657644573541057</v>
      </c>
      <c r="Q296">
        <v>3106</v>
      </c>
      <c r="R296">
        <v>1080</v>
      </c>
      <c r="S296" s="149">
        <v>4.3499999999999997E-2</v>
      </c>
    </row>
    <row r="297" spans="1:19" x14ac:dyDescent="0.25">
      <c r="A297" t="s">
        <v>318</v>
      </c>
      <c r="B297">
        <v>166386129.1416238</v>
      </c>
      <c r="C297">
        <v>126780889.14162378</v>
      </c>
      <c r="D297">
        <v>1805537</v>
      </c>
      <c r="E297">
        <v>19623417</v>
      </c>
      <c r="F297">
        <v>9771065</v>
      </c>
      <c r="G297">
        <v>8405221</v>
      </c>
      <c r="H297">
        <v>46530</v>
      </c>
      <c r="K297">
        <v>3131870.858376205</v>
      </c>
      <c r="L297">
        <f t="shared" si="9"/>
        <v>216048000</v>
      </c>
      <c r="M297">
        <v>262321</v>
      </c>
      <c r="N297">
        <v>261281</v>
      </c>
      <c r="O297">
        <v>1040</v>
      </c>
      <c r="P297" s="149">
        <f t="shared" si="8"/>
        <v>0.82360161786513475</v>
      </c>
      <c r="Q297">
        <v>10009</v>
      </c>
      <c r="R297">
        <v>7051</v>
      </c>
      <c r="S297" s="149">
        <v>3.7599999999999995E-2</v>
      </c>
    </row>
    <row r="298" spans="1:19" x14ac:dyDescent="0.25">
      <c r="A298" t="s">
        <v>137</v>
      </c>
      <c r="B298">
        <v>3716182.2917175903</v>
      </c>
      <c r="C298">
        <v>3140528.2917175903</v>
      </c>
      <c r="D298">
        <v>4575</v>
      </c>
      <c r="E298">
        <v>0</v>
      </c>
      <c r="F298">
        <v>8997</v>
      </c>
      <c r="G298">
        <v>562082</v>
      </c>
      <c r="H298">
        <v>529</v>
      </c>
      <c r="K298">
        <v>145817.7082824097</v>
      </c>
      <c r="L298">
        <f t="shared" si="9"/>
        <v>4391000</v>
      </c>
      <c r="M298">
        <v>7989</v>
      </c>
      <c r="N298">
        <v>9421</v>
      </c>
      <c r="O298">
        <v>-1432</v>
      </c>
      <c r="P298" s="149">
        <f t="shared" si="8"/>
        <v>0.54963074227062214</v>
      </c>
      <c r="Q298">
        <v>896</v>
      </c>
      <c r="R298">
        <v>43</v>
      </c>
      <c r="S298" s="149">
        <v>4.0300000000000002E-2</v>
      </c>
    </row>
    <row r="299" spans="1:19" x14ac:dyDescent="0.25">
      <c r="A299" t="s">
        <v>340</v>
      </c>
      <c r="B299">
        <v>158031833.47630543</v>
      </c>
      <c r="C299">
        <v>84836131.47630541</v>
      </c>
      <c r="D299">
        <v>1094401</v>
      </c>
      <c r="E299">
        <v>50088857</v>
      </c>
      <c r="F299">
        <v>8142413</v>
      </c>
      <c r="G299">
        <v>13870031</v>
      </c>
      <c r="H299">
        <v>29840</v>
      </c>
      <c r="K299">
        <v>19257166.523694575</v>
      </c>
      <c r="L299">
        <f t="shared" si="9"/>
        <v>207129000</v>
      </c>
      <c r="M299">
        <v>243751</v>
      </c>
      <c r="N299">
        <v>246586</v>
      </c>
      <c r="O299">
        <v>-2835</v>
      </c>
      <c r="P299" s="149">
        <f t="shared" si="8"/>
        <v>0.84975651381943051</v>
      </c>
      <c r="Q299">
        <v>2551</v>
      </c>
      <c r="R299">
        <v>657</v>
      </c>
      <c r="S299" s="149">
        <v>5.9200000000000003E-2</v>
      </c>
    </row>
    <row r="300" spans="1:19" x14ac:dyDescent="0.25">
      <c r="A300" t="s">
        <v>425</v>
      </c>
      <c r="B300">
        <v>17855421.443090141</v>
      </c>
      <c r="C300">
        <v>15476385.443090139</v>
      </c>
      <c r="D300">
        <v>443803</v>
      </c>
      <c r="E300">
        <v>0</v>
      </c>
      <c r="F300">
        <v>1544751</v>
      </c>
      <c r="G300">
        <v>390482</v>
      </c>
      <c r="H300">
        <v>3296</v>
      </c>
      <c r="K300">
        <v>130578.55690985918</v>
      </c>
      <c r="L300">
        <f t="shared" si="9"/>
        <v>21282000</v>
      </c>
      <c r="M300">
        <v>26977</v>
      </c>
      <c r="N300">
        <v>27528</v>
      </c>
      <c r="O300">
        <v>-551</v>
      </c>
      <c r="P300" s="149">
        <f t="shared" si="8"/>
        <v>0.78889424324424506</v>
      </c>
      <c r="Q300">
        <v>408</v>
      </c>
      <c r="R300">
        <v>53</v>
      </c>
      <c r="S300" s="149">
        <v>4.9400000000000006E-2</v>
      </c>
    </row>
    <row r="301" spans="1:19" x14ac:dyDescent="0.25">
      <c r="A301" t="s">
        <v>827</v>
      </c>
      <c r="B301">
        <v>98041662.95225513</v>
      </c>
      <c r="C301">
        <v>93460576.95225513</v>
      </c>
      <c r="D301">
        <v>1772393</v>
      </c>
      <c r="E301">
        <v>0</v>
      </c>
      <c r="F301">
        <v>449502</v>
      </c>
      <c r="G301">
        <v>2359191</v>
      </c>
      <c r="H301">
        <v>25374</v>
      </c>
      <c r="I301">
        <v>0</v>
      </c>
      <c r="J301">
        <v>0</v>
      </c>
      <c r="K301">
        <v>2158337.0477448851</v>
      </c>
      <c r="L301">
        <v>125574000</v>
      </c>
      <c r="M301">
        <v>210135</v>
      </c>
      <c r="N301">
        <v>230645</v>
      </c>
      <c r="O301">
        <v>-20510</v>
      </c>
      <c r="P301" s="149">
        <v>0.59758726532943107</v>
      </c>
      <c r="Q301">
        <v>10599</v>
      </c>
      <c r="R301">
        <v>376</v>
      </c>
      <c r="S301" s="149">
        <v>5.1900000000000002E-2</v>
      </c>
    </row>
    <row r="302" spans="1:19" x14ac:dyDescent="0.25">
      <c r="A302" t="s">
        <v>319</v>
      </c>
      <c r="B302">
        <v>30891952.98299088</v>
      </c>
      <c r="C302">
        <v>29795086.98299088</v>
      </c>
      <c r="D302">
        <v>482735</v>
      </c>
      <c r="E302">
        <v>0</v>
      </c>
      <c r="F302">
        <v>146316</v>
      </c>
      <c r="G302">
        <v>467815</v>
      </c>
      <c r="H302">
        <v>7505</v>
      </c>
      <c r="K302">
        <v>582047.01700912043</v>
      </c>
      <c r="L302">
        <f t="shared" si="9"/>
        <v>38979000</v>
      </c>
      <c r="M302">
        <v>57901</v>
      </c>
      <c r="N302">
        <v>58619</v>
      </c>
      <c r="O302">
        <v>-718</v>
      </c>
      <c r="P302" s="149">
        <f t="shared" si="8"/>
        <v>0.67320080827619555</v>
      </c>
      <c r="Q302">
        <v>1968</v>
      </c>
      <c r="R302">
        <v>1119</v>
      </c>
      <c r="S302" s="149">
        <v>4.6100000000000002E-2</v>
      </c>
    </row>
    <row r="303" spans="1:19" x14ac:dyDescent="0.25">
      <c r="A303" t="s">
        <v>203</v>
      </c>
      <c r="B303">
        <v>41168663.000546381</v>
      </c>
      <c r="C303">
        <v>31969594.000546385</v>
      </c>
      <c r="D303">
        <v>6450388</v>
      </c>
      <c r="E303">
        <v>0</v>
      </c>
      <c r="F303">
        <v>2102565</v>
      </c>
      <c r="G303">
        <v>646116</v>
      </c>
      <c r="H303">
        <v>5851</v>
      </c>
      <c r="K303">
        <v>518336.99945361912</v>
      </c>
      <c r="L303">
        <f t="shared" si="9"/>
        <v>47538000</v>
      </c>
      <c r="M303">
        <v>63344</v>
      </c>
      <c r="N303">
        <v>64307</v>
      </c>
      <c r="O303">
        <v>-963</v>
      </c>
      <c r="P303" s="149">
        <f t="shared" si="8"/>
        <v>0.7504736044455671</v>
      </c>
      <c r="Q303">
        <v>1583</v>
      </c>
      <c r="R303">
        <v>1305</v>
      </c>
      <c r="S303" s="149">
        <v>5.1799999999999999E-2</v>
      </c>
    </row>
    <row r="304" spans="1:19" x14ac:dyDescent="0.25">
      <c r="A304" t="s">
        <v>393</v>
      </c>
      <c r="B304">
        <v>45713708.836142495</v>
      </c>
      <c r="C304">
        <v>39362301.345524937</v>
      </c>
      <c r="D304">
        <v>441700.62925360596</v>
      </c>
      <c r="E304">
        <v>0</v>
      </c>
      <c r="F304" s="102">
        <v>5162473.5307379914</v>
      </c>
      <c r="G304" s="102">
        <v>747233.3306259627</v>
      </c>
      <c r="H304" s="102">
        <v>8972.7758717266497</v>
      </c>
      <c r="I304" s="102">
        <v>0</v>
      </c>
      <c r="J304" s="102">
        <v>0</v>
      </c>
      <c r="K304" s="102">
        <v>912028.10546232166</v>
      </c>
      <c r="L304" s="102">
        <v>55598512.81333147</v>
      </c>
      <c r="M304" s="102">
        <v>78806.88811090884</v>
      </c>
      <c r="N304" s="102">
        <v>86790.724968491806</v>
      </c>
      <c r="O304" s="102">
        <v>-7983.8368575829663</v>
      </c>
      <c r="P304" s="149">
        <v>0.70550321356535395</v>
      </c>
      <c r="Q304" s="102">
        <v>1286.2853241842879</v>
      </c>
      <c r="R304">
        <v>205</v>
      </c>
      <c r="S304" s="149">
        <v>5.7999999999999996E-2</v>
      </c>
    </row>
    <row r="305" spans="1:19" x14ac:dyDescent="0.25">
      <c r="A305" t="s">
        <v>599</v>
      </c>
      <c r="B305">
        <v>83434261.294108644</v>
      </c>
      <c r="C305">
        <v>73640684.294108644</v>
      </c>
      <c r="D305">
        <v>1641316</v>
      </c>
      <c r="E305">
        <v>0</v>
      </c>
      <c r="F305">
        <v>6511026</v>
      </c>
      <c r="G305">
        <v>1641235</v>
      </c>
      <c r="H305">
        <v>20755</v>
      </c>
      <c r="K305">
        <v>1173738.7058913559</v>
      </c>
      <c r="L305">
        <f t="shared" si="9"/>
        <v>105363000</v>
      </c>
      <c r="M305">
        <v>136819</v>
      </c>
      <c r="N305">
        <v>137558</v>
      </c>
      <c r="O305">
        <v>-739</v>
      </c>
      <c r="P305" s="149">
        <f t="shared" si="8"/>
        <v>0.77009041141946655</v>
      </c>
      <c r="Q305">
        <v>1001</v>
      </c>
      <c r="R305">
        <v>446</v>
      </c>
      <c r="S305" s="149">
        <v>4.5899999999999996E-2</v>
      </c>
    </row>
    <row r="306" spans="1:19" x14ac:dyDescent="0.25">
      <c r="A306" t="s">
        <v>394</v>
      </c>
      <c r="B306">
        <v>20984249.622968752</v>
      </c>
      <c r="C306">
        <v>18888634.622968752</v>
      </c>
      <c r="D306">
        <v>395505</v>
      </c>
      <c r="E306">
        <v>0</v>
      </c>
      <c r="F306">
        <v>1278861</v>
      </c>
      <c r="G306">
        <v>421249</v>
      </c>
      <c r="H306">
        <v>3335</v>
      </c>
      <c r="K306">
        <v>142750.37703124806</v>
      </c>
      <c r="L306">
        <f t="shared" si="9"/>
        <v>24462000</v>
      </c>
      <c r="M306">
        <v>34545</v>
      </c>
      <c r="N306">
        <v>34874</v>
      </c>
      <c r="O306">
        <v>-329</v>
      </c>
      <c r="P306" s="149">
        <f t="shared" si="8"/>
        <v>0.70811984368215375</v>
      </c>
      <c r="Q306">
        <v>419</v>
      </c>
      <c r="R306">
        <v>13</v>
      </c>
      <c r="S306" s="149">
        <v>4.8799999999999996E-2</v>
      </c>
    </row>
    <row r="307" spans="1:19" x14ac:dyDescent="0.25">
      <c r="A307" t="s">
        <v>395</v>
      </c>
      <c r="B307">
        <v>77161423.356785402</v>
      </c>
      <c r="C307">
        <v>67653566.356785402</v>
      </c>
      <c r="D307">
        <v>1505495</v>
      </c>
      <c r="E307">
        <v>0</v>
      </c>
      <c r="F307">
        <v>6209937</v>
      </c>
      <c r="G307">
        <v>1792425</v>
      </c>
      <c r="H307">
        <v>13709</v>
      </c>
      <c r="K307">
        <v>1827576.6432145983</v>
      </c>
      <c r="L307">
        <f t="shared" si="9"/>
        <v>92698000</v>
      </c>
      <c r="M307">
        <v>158592</v>
      </c>
      <c r="N307">
        <v>164693</v>
      </c>
      <c r="O307">
        <v>-6101</v>
      </c>
      <c r="P307" s="149">
        <f t="shared" si="8"/>
        <v>0.58450615415657792</v>
      </c>
      <c r="Q307">
        <v>3896</v>
      </c>
      <c r="R307">
        <v>762</v>
      </c>
      <c r="S307" s="149">
        <v>4.0300000000000002E-2</v>
      </c>
    </row>
    <row r="308" spans="1:19" x14ac:dyDescent="0.25">
      <c r="A308" t="s">
        <v>320</v>
      </c>
      <c r="B308">
        <v>41799655.956552558</v>
      </c>
      <c r="C308">
        <v>37337912.956552558</v>
      </c>
      <c r="D308">
        <v>955792</v>
      </c>
      <c r="E308">
        <v>0</v>
      </c>
      <c r="F308">
        <v>2681444</v>
      </c>
      <c r="G308">
        <v>824507</v>
      </c>
      <c r="H308">
        <v>7523</v>
      </c>
      <c r="K308">
        <v>83344.043447442353</v>
      </c>
      <c r="L308">
        <f t="shared" si="9"/>
        <v>49406000</v>
      </c>
      <c r="M308">
        <v>93807</v>
      </c>
      <c r="N308">
        <v>93169</v>
      </c>
      <c r="O308">
        <v>638</v>
      </c>
      <c r="P308" s="149">
        <f t="shared" si="8"/>
        <v>0.52667711364823522</v>
      </c>
      <c r="Q308">
        <v>1525</v>
      </c>
      <c r="R308">
        <v>604</v>
      </c>
      <c r="S308" s="149">
        <v>3.4599999999999999E-2</v>
      </c>
    </row>
    <row r="309" spans="1:19" x14ac:dyDescent="0.25">
      <c r="A309" t="s">
        <v>204</v>
      </c>
      <c r="B309">
        <v>56976182.66042199</v>
      </c>
      <c r="C309">
        <v>51068725.66042199</v>
      </c>
      <c r="D309">
        <v>478518</v>
      </c>
      <c r="E309">
        <v>0</v>
      </c>
      <c r="F309">
        <v>4147286</v>
      </c>
      <c r="G309">
        <v>1281653</v>
      </c>
      <c r="H309">
        <v>17417</v>
      </c>
      <c r="K309">
        <v>1314817.3395780101</v>
      </c>
      <c r="L309">
        <f t="shared" si="9"/>
        <v>75708000</v>
      </c>
      <c r="M309">
        <v>105305</v>
      </c>
      <c r="N309">
        <v>107009</v>
      </c>
      <c r="O309">
        <v>-1704</v>
      </c>
      <c r="P309" s="149">
        <f t="shared" si="8"/>
        <v>0.71894022126204837</v>
      </c>
      <c r="Q309">
        <v>1658</v>
      </c>
      <c r="R309">
        <v>199</v>
      </c>
      <c r="S309" s="149">
        <v>4.2999999999999997E-2</v>
      </c>
    </row>
    <row r="310" spans="1:19" x14ac:dyDescent="0.25">
      <c r="A310" t="s">
        <v>321</v>
      </c>
      <c r="B310">
        <v>30474965.813336238</v>
      </c>
      <c r="C310">
        <v>28027321.813336238</v>
      </c>
      <c r="D310">
        <v>512127</v>
      </c>
      <c r="E310">
        <v>0</v>
      </c>
      <c r="F310">
        <v>1082558</v>
      </c>
      <c r="G310">
        <v>852959</v>
      </c>
      <c r="H310">
        <v>9149</v>
      </c>
      <c r="K310">
        <v>620034.18666376173</v>
      </c>
      <c r="L310">
        <f t="shared" si="9"/>
        <v>40244000</v>
      </c>
      <c r="M310">
        <v>62253</v>
      </c>
      <c r="N310">
        <v>63543</v>
      </c>
      <c r="O310">
        <v>-1290</v>
      </c>
      <c r="P310" s="149">
        <f t="shared" si="8"/>
        <v>0.64645880519814303</v>
      </c>
      <c r="Q310">
        <v>2812</v>
      </c>
      <c r="R310">
        <v>2015</v>
      </c>
      <c r="S310" s="149">
        <v>4.2800000000000005E-2</v>
      </c>
    </row>
    <row r="311" spans="1:19" x14ac:dyDescent="0.25">
      <c r="A311" t="s">
        <v>275</v>
      </c>
      <c r="B311">
        <v>22328645.682064913</v>
      </c>
      <c r="C311">
        <v>20798095.682064913</v>
      </c>
      <c r="D311">
        <v>238830</v>
      </c>
      <c r="E311">
        <v>0</v>
      </c>
      <c r="F311">
        <v>577629</v>
      </c>
      <c r="G311">
        <v>714091</v>
      </c>
      <c r="H311">
        <v>6339</v>
      </c>
      <c r="K311">
        <v>255354.31793508679</v>
      </c>
      <c r="L311">
        <f t="shared" si="9"/>
        <v>28923000</v>
      </c>
      <c r="M311">
        <v>43432</v>
      </c>
      <c r="N311">
        <v>37461</v>
      </c>
      <c r="O311">
        <v>5971</v>
      </c>
      <c r="P311" s="149">
        <f t="shared" si="8"/>
        <v>0.66593755756124517</v>
      </c>
      <c r="Q311">
        <v>787</v>
      </c>
      <c r="R311">
        <v>292</v>
      </c>
      <c r="S311" s="149">
        <v>5.7000000000000002E-3</v>
      </c>
    </row>
    <row r="312" spans="1:19" x14ac:dyDescent="0.25">
      <c r="A312" t="s">
        <v>426</v>
      </c>
      <c r="B312">
        <v>88284605.983343691</v>
      </c>
      <c r="C312">
        <v>73509570.983343691</v>
      </c>
      <c r="D312">
        <v>2199098</v>
      </c>
      <c r="E312">
        <v>0</v>
      </c>
      <c r="F312">
        <v>9223062</v>
      </c>
      <c r="G312">
        <v>3352875</v>
      </c>
      <c r="H312">
        <v>18062</v>
      </c>
      <c r="K312">
        <v>2384394.0166563094</v>
      </c>
      <c r="L312">
        <f t="shared" si="9"/>
        <v>108731000</v>
      </c>
      <c r="M312">
        <v>154394</v>
      </c>
      <c r="N312">
        <v>163303</v>
      </c>
      <c r="O312">
        <v>-8909</v>
      </c>
      <c r="P312" s="149">
        <f t="shared" ref="P312:P344" si="10">L312/(M312*1000)</f>
        <v>0.70424368822622641</v>
      </c>
      <c r="Q312">
        <v>2342</v>
      </c>
      <c r="R312">
        <v>287</v>
      </c>
      <c r="S312" s="149">
        <v>4.8899999999999999E-2</v>
      </c>
    </row>
    <row r="313" spans="1:19" x14ac:dyDescent="0.25">
      <c r="A313" t="s">
        <v>828</v>
      </c>
      <c r="B313">
        <v>68946533.224222124</v>
      </c>
      <c r="C313">
        <v>63049278.224222124</v>
      </c>
      <c r="D313">
        <v>847579</v>
      </c>
      <c r="E313">
        <v>0</v>
      </c>
      <c r="F313">
        <v>3750367</v>
      </c>
      <c r="G313">
        <v>1299309</v>
      </c>
      <c r="H313">
        <v>12009</v>
      </c>
      <c r="K313">
        <v>1389466.7757778764</v>
      </c>
      <c r="L313">
        <f t="shared" ref="L313:L344" si="11">SUM(B313,H313*1000,K313)</f>
        <v>82345000</v>
      </c>
      <c r="M313">
        <v>128560</v>
      </c>
      <c r="N313">
        <v>148508</v>
      </c>
      <c r="O313">
        <v>-19948</v>
      </c>
      <c r="P313" s="149">
        <f t="shared" si="10"/>
        <v>0.64051804604853768</v>
      </c>
      <c r="Q313">
        <v>6841</v>
      </c>
      <c r="R313">
        <v>5117</v>
      </c>
      <c r="S313" s="149">
        <v>7.51E-2</v>
      </c>
    </row>
    <row r="314" spans="1:19" x14ac:dyDescent="0.25">
      <c r="A314" t="s">
        <v>205</v>
      </c>
      <c r="B314">
        <v>26871249.28400521</v>
      </c>
      <c r="C314">
        <v>24106961.28400521</v>
      </c>
      <c r="D314">
        <v>644070</v>
      </c>
      <c r="E314">
        <v>0</v>
      </c>
      <c r="F314">
        <v>1457931</v>
      </c>
      <c r="G314">
        <v>662287</v>
      </c>
      <c r="H314">
        <v>5282</v>
      </c>
      <c r="K314">
        <v>399750.7159947902</v>
      </c>
      <c r="L314">
        <f t="shared" si="11"/>
        <v>32553000</v>
      </c>
      <c r="M314">
        <v>42367</v>
      </c>
      <c r="N314">
        <v>43636</v>
      </c>
      <c r="O314">
        <v>-1269</v>
      </c>
      <c r="P314" s="149">
        <f t="shared" si="10"/>
        <v>0.76835744801378436</v>
      </c>
      <c r="Q314">
        <v>166</v>
      </c>
      <c r="R314">
        <v>75</v>
      </c>
      <c r="S314" s="149">
        <v>5.3699999999999998E-2</v>
      </c>
    </row>
    <row r="315" spans="1:19" x14ac:dyDescent="0.25">
      <c r="A315" t="s">
        <v>601</v>
      </c>
      <c r="B315">
        <v>105768386.10471262</v>
      </c>
      <c r="C315">
        <v>92058707.10471262</v>
      </c>
      <c r="D315">
        <v>3006981</v>
      </c>
      <c r="E315">
        <v>0</v>
      </c>
      <c r="F315">
        <v>9018494</v>
      </c>
      <c r="G315">
        <v>1684204</v>
      </c>
      <c r="H315">
        <v>20369</v>
      </c>
      <c r="K315">
        <v>1789613.8952873796</v>
      </c>
      <c r="L315">
        <f t="shared" si="11"/>
        <v>127927000</v>
      </c>
      <c r="M315">
        <v>160359</v>
      </c>
      <c r="N315">
        <v>161898</v>
      </c>
      <c r="O315">
        <v>-1539</v>
      </c>
      <c r="P315" s="149">
        <f t="shared" si="10"/>
        <v>0.79775378993383594</v>
      </c>
      <c r="Q315">
        <v>1902</v>
      </c>
      <c r="R315">
        <v>189</v>
      </c>
      <c r="S315" s="149">
        <v>4.4900000000000002E-2</v>
      </c>
    </row>
    <row r="316" spans="1:19" x14ac:dyDescent="0.25">
      <c r="A316" t="s">
        <v>114</v>
      </c>
      <c r="B316">
        <v>32674850.577740338</v>
      </c>
      <c r="C316">
        <v>28184216.577740338</v>
      </c>
      <c r="D316">
        <v>525237</v>
      </c>
      <c r="E316">
        <v>0</v>
      </c>
      <c r="F316">
        <v>3167478</v>
      </c>
      <c r="G316">
        <v>797919</v>
      </c>
      <c r="H316">
        <v>6738</v>
      </c>
      <c r="K316">
        <v>192149.4222596623</v>
      </c>
      <c r="L316">
        <f t="shared" si="11"/>
        <v>39605000</v>
      </c>
      <c r="M316">
        <v>52822</v>
      </c>
      <c r="N316">
        <v>54156</v>
      </c>
      <c r="O316">
        <v>-1334</v>
      </c>
      <c r="P316" s="149">
        <f t="shared" si="10"/>
        <v>0.74978228768316235</v>
      </c>
      <c r="Q316">
        <v>240</v>
      </c>
      <c r="R316">
        <v>45</v>
      </c>
      <c r="S316" s="149">
        <v>4.82E-2</v>
      </c>
    </row>
    <row r="317" spans="1:19" x14ac:dyDescent="0.25">
      <c r="A317" t="s">
        <v>206</v>
      </c>
      <c r="B317">
        <v>25061106.724237777</v>
      </c>
      <c r="C317">
        <v>21325013.724237777</v>
      </c>
      <c r="D317">
        <v>525618</v>
      </c>
      <c r="E317">
        <v>0</v>
      </c>
      <c r="F317">
        <v>2657353</v>
      </c>
      <c r="G317">
        <v>553122</v>
      </c>
      <c r="H317">
        <v>7081</v>
      </c>
      <c r="K317">
        <v>727893.27576222271</v>
      </c>
      <c r="L317">
        <f t="shared" si="11"/>
        <v>32870000</v>
      </c>
      <c r="M317">
        <v>39274</v>
      </c>
      <c r="N317">
        <v>40070</v>
      </c>
      <c r="O317">
        <v>-796</v>
      </c>
      <c r="P317" s="149">
        <f t="shared" si="10"/>
        <v>0.83694046952182111</v>
      </c>
      <c r="Q317">
        <v>520</v>
      </c>
      <c r="R317">
        <v>10</v>
      </c>
      <c r="S317" s="149">
        <v>5.5399999999999998E-2</v>
      </c>
    </row>
    <row r="318" spans="1:19" x14ac:dyDescent="0.25">
      <c r="A318" t="s">
        <v>602</v>
      </c>
      <c r="B318">
        <v>60958259.366247326</v>
      </c>
      <c r="C318">
        <v>44851391.366247326</v>
      </c>
      <c r="D318">
        <v>1382658</v>
      </c>
      <c r="E318">
        <v>0</v>
      </c>
      <c r="F318">
        <v>9499506</v>
      </c>
      <c r="G318">
        <v>5224704</v>
      </c>
      <c r="H318">
        <v>9709</v>
      </c>
      <c r="K318">
        <v>6243740.6337526739</v>
      </c>
      <c r="L318">
        <f t="shared" si="11"/>
        <v>76911000</v>
      </c>
      <c r="M318">
        <v>91315</v>
      </c>
      <c r="N318">
        <v>91244</v>
      </c>
      <c r="O318">
        <v>71</v>
      </c>
      <c r="P318" s="149">
        <f t="shared" si="10"/>
        <v>0.84226030772600335</v>
      </c>
      <c r="Q318">
        <v>705</v>
      </c>
      <c r="R318">
        <v>15</v>
      </c>
      <c r="S318" s="149">
        <v>5.57E-2</v>
      </c>
    </row>
    <row r="319" spans="1:19" x14ac:dyDescent="0.25">
      <c r="A319" t="s">
        <v>322</v>
      </c>
      <c r="B319">
        <v>142868850.15122011</v>
      </c>
      <c r="C319">
        <v>130352629.15122011</v>
      </c>
      <c r="D319">
        <v>2465991</v>
      </c>
      <c r="E319">
        <v>0</v>
      </c>
      <c r="F319">
        <v>7864033</v>
      </c>
      <c r="G319">
        <v>2186197</v>
      </c>
      <c r="H319">
        <v>29060</v>
      </c>
      <c r="K319">
        <v>2380149.848779887</v>
      </c>
      <c r="L319">
        <f t="shared" si="11"/>
        <v>174309000</v>
      </c>
      <c r="M319">
        <v>293516</v>
      </c>
      <c r="N319">
        <v>320183</v>
      </c>
      <c r="O319">
        <v>-26667</v>
      </c>
      <c r="P319" s="149">
        <f t="shared" si="10"/>
        <v>0.59386541108491531</v>
      </c>
      <c r="Q319">
        <v>4719</v>
      </c>
      <c r="R319">
        <v>81</v>
      </c>
      <c r="S319" s="149">
        <v>3.5299999999999998E-2</v>
      </c>
    </row>
    <row r="320" spans="1:19" x14ac:dyDescent="0.25">
      <c r="A320" t="s">
        <v>138</v>
      </c>
      <c r="B320">
        <v>47758832.066301361</v>
      </c>
      <c r="C320">
        <v>41195930.066301361</v>
      </c>
      <c r="D320">
        <v>791030</v>
      </c>
      <c r="E320">
        <v>0</v>
      </c>
      <c r="F320">
        <v>4868270</v>
      </c>
      <c r="G320">
        <v>903602</v>
      </c>
      <c r="H320">
        <v>10350</v>
      </c>
      <c r="K320">
        <v>626167.93369863927</v>
      </c>
      <c r="L320">
        <f t="shared" si="11"/>
        <v>58735000</v>
      </c>
      <c r="M320">
        <v>79576</v>
      </c>
      <c r="N320">
        <v>77409</v>
      </c>
      <c r="O320">
        <v>2167</v>
      </c>
      <c r="P320" s="149">
        <f t="shared" si="10"/>
        <v>0.73809942696290343</v>
      </c>
      <c r="Q320">
        <v>2701</v>
      </c>
      <c r="R320">
        <v>2366</v>
      </c>
      <c r="S320" s="149">
        <v>0.03</v>
      </c>
    </row>
    <row r="321" spans="1:19" x14ac:dyDescent="0.25">
      <c r="A321" t="s">
        <v>160</v>
      </c>
      <c r="B321">
        <v>33279251.758516978</v>
      </c>
      <c r="C321">
        <v>29319834.758516978</v>
      </c>
      <c r="D321">
        <v>932397</v>
      </c>
      <c r="E321">
        <v>0</v>
      </c>
      <c r="F321">
        <v>2417761</v>
      </c>
      <c r="G321">
        <v>609259</v>
      </c>
      <c r="H321">
        <v>6337</v>
      </c>
      <c r="K321">
        <v>192748.24148302153</v>
      </c>
      <c r="L321">
        <f t="shared" si="11"/>
        <v>39809000</v>
      </c>
      <c r="M321">
        <v>57002</v>
      </c>
      <c r="N321">
        <v>57546</v>
      </c>
      <c r="O321">
        <v>-544</v>
      </c>
      <c r="P321" s="149">
        <f t="shared" si="10"/>
        <v>0.69837900424546506</v>
      </c>
      <c r="Q321">
        <v>375</v>
      </c>
      <c r="R321">
        <v>96</v>
      </c>
      <c r="S321" s="149">
        <v>5.4100000000000002E-2</v>
      </c>
    </row>
    <row r="322" spans="1:19" x14ac:dyDescent="0.25">
      <c r="A322" t="s">
        <v>207</v>
      </c>
      <c r="B322">
        <v>62026919.447795905</v>
      </c>
      <c r="C322">
        <v>55508110.447795905</v>
      </c>
      <c r="D322">
        <v>704260</v>
      </c>
      <c r="E322">
        <v>0</v>
      </c>
      <c r="F322">
        <v>4808764</v>
      </c>
      <c r="G322">
        <v>1005785</v>
      </c>
      <c r="H322">
        <v>14233</v>
      </c>
      <c r="K322">
        <v>975080.55220409483</v>
      </c>
      <c r="L322">
        <f t="shared" si="11"/>
        <v>77235000</v>
      </c>
      <c r="M322">
        <v>101353</v>
      </c>
      <c r="N322">
        <v>102515</v>
      </c>
      <c r="O322">
        <v>-1162</v>
      </c>
      <c r="P322" s="149">
        <f t="shared" si="10"/>
        <v>0.76203960415577243</v>
      </c>
      <c r="Q322">
        <v>1028</v>
      </c>
      <c r="R322">
        <v>38</v>
      </c>
      <c r="S322" s="149">
        <v>5.21E-2</v>
      </c>
    </row>
    <row r="323" spans="1:19" x14ac:dyDescent="0.25">
      <c r="A323" t="s">
        <v>277</v>
      </c>
      <c r="B323">
        <v>27190447.456294075</v>
      </c>
      <c r="C323">
        <v>25535171.456294075</v>
      </c>
      <c r="D323">
        <v>210167</v>
      </c>
      <c r="E323">
        <v>0</v>
      </c>
      <c r="F323">
        <v>804797</v>
      </c>
      <c r="G323">
        <v>640312</v>
      </c>
      <c r="H323">
        <v>6802</v>
      </c>
      <c r="K323">
        <v>448552.54370592535</v>
      </c>
      <c r="L323">
        <f t="shared" si="11"/>
        <v>34441000</v>
      </c>
      <c r="M323">
        <v>51501</v>
      </c>
      <c r="N323">
        <v>55026</v>
      </c>
      <c r="O323">
        <v>-3525</v>
      </c>
      <c r="P323" s="149">
        <f t="shared" si="10"/>
        <v>0.66874429622725773</v>
      </c>
      <c r="Q323">
        <v>545</v>
      </c>
      <c r="R323">
        <v>34</v>
      </c>
      <c r="S323" s="149">
        <v>5.0700000000000002E-2</v>
      </c>
    </row>
    <row r="324" spans="1:19" x14ac:dyDescent="0.25">
      <c r="A324" t="s">
        <v>232</v>
      </c>
      <c r="B324">
        <v>32252789.167752437</v>
      </c>
      <c r="C324">
        <v>29036668.167752437</v>
      </c>
      <c r="D324">
        <v>1144191</v>
      </c>
      <c r="E324">
        <v>0</v>
      </c>
      <c r="F324">
        <v>1485976</v>
      </c>
      <c r="G324">
        <v>585954</v>
      </c>
      <c r="H324">
        <v>6590</v>
      </c>
      <c r="K324">
        <v>540210.83224756271</v>
      </c>
      <c r="L324">
        <f t="shared" si="11"/>
        <v>39383000</v>
      </c>
      <c r="M324">
        <v>55273</v>
      </c>
      <c r="N324">
        <v>54993</v>
      </c>
      <c r="O324">
        <v>280</v>
      </c>
      <c r="P324" s="149">
        <f t="shared" si="10"/>
        <v>0.71251786586579346</v>
      </c>
      <c r="Q324">
        <v>1724</v>
      </c>
      <c r="R324">
        <v>1148</v>
      </c>
      <c r="S324" s="149">
        <v>0.04</v>
      </c>
    </row>
    <row r="325" spans="1:19" x14ac:dyDescent="0.25">
      <c r="A325" t="s">
        <v>208</v>
      </c>
      <c r="B325">
        <v>53799440.629801326</v>
      </c>
      <c r="C325">
        <v>44803209.629801326</v>
      </c>
      <c r="D325">
        <v>441227</v>
      </c>
      <c r="E325">
        <v>0</v>
      </c>
      <c r="F325">
        <v>6670740</v>
      </c>
      <c r="G325">
        <v>1884264</v>
      </c>
      <c r="H325">
        <v>8751</v>
      </c>
      <c r="K325">
        <v>6921559.3701986745</v>
      </c>
      <c r="L325">
        <f t="shared" si="11"/>
        <v>69472000</v>
      </c>
      <c r="M325">
        <v>102471</v>
      </c>
      <c r="N325">
        <v>103361</v>
      </c>
      <c r="O325">
        <v>-890</v>
      </c>
      <c r="P325" s="149">
        <f t="shared" si="10"/>
        <v>0.67796742492998019</v>
      </c>
      <c r="Q325">
        <v>736</v>
      </c>
      <c r="R325">
        <v>61</v>
      </c>
      <c r="S325" s="149">
        <v>3.7100000000000001E-2</v>
      </c>
    </row>
    <row r="326" spans="1:19" x14ac:dyDescent="0.25">
      <c r="A326" t="s">
        <v>396</v>
      </c>
      <c r="B326">
        <v>31948159.552379392</v>
      </c>
      <c r="C326">
        <v>27570950.552379392</v>
      </c>
      <c r="D326">
        <v>1334460</v>
      </c>
      <c r="E326">
        <v>0</v>
      </c>
      <c r="F326">
        <v>2421424</v>
      </c>
      <c r="G326">
        <v>621325</v>
      </c>
      <c r="H326">
        <v>6674</v>
      </c>
      <c r="K326">
        <v>27840.447620607913</v>
      </c>
      <c r="L326">
        <f t="shared" si="11"/>
        <v>38650000</v>
      </c>
      <c r="M326">
        <v>50116</v>
      </c>
      <c r="N326">
        <v>50501</v>
      </c>
      <c r="O326">
        <v>-385</v>
      </c>
      <c r="P326" s="149">
        <f t="shared" si="10"/>
        <v>0.77121079096496126</v>
      </c>
      <c r="Q326">
        <v>229</v>
      </c>
      <c r="R326">
        <v>22</v>
      </c>
      <c r="S326" s="149">
        <v>5.0599999999999999E-2</v>
      </c>
    </row>
    <row r="327" spans="1:19" x14ac:dyDescent="0.25">
      <c r="A327" t="s">
        <v>233</v>
      </c>
      <c r="B327">
        <v>76831890.052703947</v>
      </c>
      <c r="C327">
        <v>68567325.052703947</v>
      </c>
      <c r="D327">
        <v>879321</v>
      </c>
      <c r="E327">
        <v>0</v>
      </c>
      <c r="F327">
        <v>6037120</v>
      </c>
      <c r="G327">
        <v>1348124</v>
      </c>
      <c r="H327">
        <v>14118</v>
      </c>
      <c r="K327">
        <v>1764109.9472960532</v>
      </c>
      <c r="L327">
        <f t="shared" si="11"/>
        <v>92714000</v>
      </c>
      <c r="M327">
        <v>137060</v>
      </c>
      <c r="N327">
        <v>138039</v>
      </c>
      <c r="O327">
        <v>-979</v>
      </c>
      <c r="P327" s="149">
        <f t="shared" si="10"/>
        <v>0.67644827083029335</v>
      </c>
      <c r="Q327">
        <v>2807</v>
      </c>
      <c r="R327">
        <v>164</v>
      </c>
      <c r="S327" s="149">
        <v>2.98E-2</v>
      </c>
    </row>
    <row r="328" spans="1:19" x14ac:dyDescent="0.25">
      <c r="A328" t="s">
        <v>278</v>
      </c>
      <c r="B328">
        <v>22399208.442049719</v>
      </c>
      <c r="C328">
        <v>20772664.442049719</v>
      </c>
      <c r="D328">
        <v>386256</v>
      </c>
      <c r="E328">
        <v>0</v>
      </c>
      <c r="F328">
        <v>687435</v>
      </c>
      <c r="G328">
        <v>552853</v>
      </c>
      <c r="H328">
        <v>6215</v>
      </c>
      <c r="K328">
        <v>318791.55795028061</v>
      </c>
      <c r="L328">
        <f t="shared" si="11"/>
        <v>28933000</v>
      </c>
      <c r="M328">
        <v>37579</v>
      </c>
      <c r="N328">
        <v>37490</v>
      </c>
      <c r="O328">
        <v>89</v>
      </c>
      <c r="P328" s="149">
        <f t="shared" si="10"/>
        <v>0.76992469198222413</v>
      </c>
      <c r="Q328">
        <v>1288</v>
      </c>
      <c r="R328">
        <v>366</v>
      </c>
      <c r="S328" s="149">
        <v>4.8899999999999999E-2</v>
      </c>
    </row>
    <row r="329" spans="1:19" x14ac:dyDescent="0.25">
      <c r="A329" t="s">
        <v>234</v>
      </c>
      <c r="B329">
        <v>17312522.354633283</v>
      </c>
      <c r="C329">
        <v>15867898.354633283</v>
      </c>
      <c r="D329">
        <v>551523</v>
      </c>
      <c r="E329">
        <v>0</v>
      </c>
      <c r="F329">
        <v>428231</v>
      </c>
      <c r="G329">
        <v>464870</v>
      </c>
      <c r="H329">
        <v>2409</v>
      </c>
      <c r="K329">
        <v>316477.64536671713</v>
      </c>
      <c r="L329">
        <f t="shared" si="11"/>
        <v>20038000</v>
      </c>
      <c r="M329">
        <v>47961</v>
      </c>
      <c r="N329">
        <v>48702</v>
      </c>
      <c r="O329">
        <v>-741</v>
      </c>
      <c r="P329" s="149">
        <f t="shared" si="10"/>
        <v>0.41779779404099165</v>
      </c>
      <c r="Q329">
        <v>308</v>
      </c>
      <c r="R329">
        <v>0</v>
      </c>
      <c r="S329" s="149">
        <v>5.6500000000000002E-2</v>
      </c>
    </row>
    <row r="330" spans="1:19" x14ac:dyDescent="0.25">
      <c r="A330" t="s">
        <v>279</v>
      </c>
      <c r="B330">
        <v>304377568.06702173</v>
      </c>
      <c r="C330">
        <v>251646025.06702176</v>
      </c>
      <c r="D330">
        <v>4800479</v>
      </c>
      <c r="E330">
        <v>13572194</v>
      </c>
      <c r="F330">
        <v>10298120</v>
      </c>
      <c r="G330">
        <v>24060750</v>
      </c>
      <c r="H330">
        <v>87463</v>
      </c>
      <c r="K330">
        <v>18350431.932978272</v>
      </c>
      <c r="L330">
        <f t="shared" si="11"/>
        <v>410191000</v>
      </c>
      <c r="M330">
        <v>545367</v>
      </c>
      <c r="N330">
        <v>545934</v>
      </c>
      <c r="O330">
        <v>-567</v>
      </c>
      <c r="P330" s="149">
        <f t="shared" si="10"/>
        <v>0.75213755141033467</v>
      </c>
      <c r="Q330">
        <v>9389</v>
      </c>
      <c r="R330">
        <v>2271</v>
      </c>
      <c r="S330" s="149">
        <v>3.5000000000000003E-2</v>
      </c>
    </row>
    <row r="331" spans="1:19" x14ac:dyDescent="0.25">
      <c r="A331" t="s">
        <v>209</v>
      </c>
      <c r="B331">
        <v>43590680.98960308</v>
      </c>
      <c r="C331">
        <v>37767826.98960308</v>
      </c>
      <c r="D331">
        <v>1217339</v>
      </c>
      <c r="E331">
        <v>0</v>
      </c>
      <c r="F331">
        <v>3622609</v>
      </c>
      <c r="G331">
        <v>982906</v>
      </c>
      <c r="H331">
        <v>7507</v>
      </c>
      <c r="K331">
        <v>1041319.0103969201</v>
      </c>
      <c r="L331">
        <f t="shared" si="11"/>
        <v>52139000</v>
      </c>
      <c r="M331">
        <v>80336</v>
      </c>
      <c r="N331">
        <v>77803</v>
      </c>
      <c r="O331">
        <v>2533</v>
      </c>
      <c r="P331" s="149">
        <f t="shared" si="10"/>
        <v>0.64901165106552483</v>
      </c>
      <c r="Q331">
        <v>3038</v>
      </c>
      <c r="R331">
        <v>91</v>
      </c>
      <c r="S331" s="149">
        <v>3.6699999999999997E-2</v>
      </c>
    </row>
    <row r="332" spans="1:19" x14ac:dyDescent="0.25">
      <c r="A332" t="s">
        <v>280</v>
      </c>
      <c r="B332">
        <v>27263585.340325896</v>
      </c>
      <c r="C332">
        <v>24314213.340325896</v>
      </c>
      <c r="D332">
        <v>287109</v>
      </c>
      <c r="E332">
        <v>0</v>
      </c>
      <c r="F332">
        <v>713904</v>
      </c>
      <c r="G332">
        <v>1948359</v>
      </c>
      <c r="H332">
        <v>11028</v>
      </c>
      <c r="K332">
        <v>297414.6596741043</v>
      </c>
      <c r="L332">
        <f t="shared" si="11"/>
        <v>38589000</v>
      </c>
      <c r="M332">
        <v>57945</v>
      </c>
      <c r="N332">
        <v>58406</v>
      </c>
      <c r="O332">
        <v>-461</v>
      </c>
      <c r="P332" s="149">
        <f t="shared" si="10"/>
        <v>0.6659590991457417</v>
      </c>
      <c r="Q332">
        <v>2842</v>
      </c>
      <c r="R332">
        <v>2556</v>
      </c>
      <c r="S332" s="149">
        <v>2.9500000000000002E-2</v>
      </c>
    </row>
    <row r="333" spans="1:19" x14ac:dyDescent="0.25">
      <c r="A333" t="s">
        <v>432</v>
      </c>
      <c r="B333">
        <v>31573670.98177268</v>
      </c>
      <c r="C333">
        <v>28858766.98177268</v>
      </c>
      <c r="D333">
        <v>925023</v>
      </c>
      <c r="E333">
        <v>0</v>
      </c>
      <c r="F333">
        <v>472125</v>
      </c>
      <c r="G333">
        <v>1317756</v>
      </c>
      <c r="H333">
        <v>7763</v>
      </c>
      <c r="K333">
        <v>332329.01822732016</v>
      </c>
      <c r="L333">
        <f t="shared" si="11"/>
        <v>39669000</v>
      </c>
      <c r="M333">
        <v>54194</v>
      </c>
      <c r="N333">
        <v>55220</v>
      </c>
      <c r="O333">
        <v>-1026</v>
      </c>
      <c r="P333" s="149">
        <f t="shared" si="10"/>
        <v>0.73198140015499868</v>
      </c>
      <c r="Q333">
        <v>1354</v>
      </c>
      <c r="R333">
        <v>1029</v>
      </c>
      <c r="S333" s="149">
        <v>4.7400000000000005E-2</v>
      </c>
    </row>
    <row r="334" spans="1:19" x14ac:dyDescent="0.25">
      <c r="A334" t="s">
        <v>235</v>
      </c>
      <c r="B334">
        <v>104970387.21914852</v>
      </c>
      <c r="C334">
        <v>92097542.219148517</v>
      </c>
      <c r="D334">
        <v>4122075</v>
      </c>
      <c r="E334">
        <v>0</v>
      </c>
      <c r="F334">
        <v>5991670</v>
      </c>
      <c r="G334">
        <v>2759100</v>
      </c>
      <c r="H334">
        <v>30350</v>
      </c>
      <c r="K334">
        <v>2057612.7808514833</v>
      </c>
      <c r="L334">
        <f t="shared" si="11"/>
        <v>137378000</v>
      </c>
      <c r="M334">
        <v>167587</v>
      </c>
      <c r="N334">
        <v>167226</v>
      </c>
      <c r="O334">
        <v>361</v>
      </c>
      <c r="P334" s="149">
        <f t="shared" si="10"/>
        <v>0.81974138805515939</v>
      </c>
      <c r="Q334">
        <v>2863</v>
      </c>
      <c r="R334">
        <v>308</v>
      </c>
      <c r="S334" s="149">
        <v>4.36E-2</v>
      </c>
    </row>
    <row r="335" spans="1:19" x14ac:dyDescent="0.25">
      <c r="A335" t="s">
        <v>210</v>
      </c>
      <c r="B335">
        <v>72262886.129281804</v>
      </c>
      <c r="C335">
        <v>64729473.129281804</v>
      </c>
      <c r="D335">
        <v>1114856</v>
      </c>
      <c r="E335">
        <v>0</v>
      </c>
      <c r="F335">
        <v>5056144</v>
      </c>
      <c r="G335">
        <v>1362413</v>
      </c>
      <c r="H335">
        <v>17901</v>
      </c>
      <c r="K335">
        <v>1730113.870718196</v>
      </c>
      <c r="L335">
        <f t="shared" si="11"/>
        <v>91894000</v>
      </c>
      <c r="M335">
        <v>140344</v>
      </c>
      <c r="N335">
        <v>145095</v>
      </c>
      <c r="O335">
        <v>-4751</v>
      </c>
      <c r="P335" s="149">
        <f t="shared" si="10"/>
        <v>0.6547768340648692</v>
      </c>
      <c r="Q335">
        <v>4186</v>
      </c>
      <c r="R335">
        <v>3047</v>
      </c>
      <c r="S335" s="149">
        <v>4.7100000000000003E-2</v>
      </c>
    </row>
    <row r="336" spans="1:19" x14ac:dyDescent="0.25">
      <c r="A336" t="s">
        <v>324</v>
      </c>
      <c r="B336">
        <v>212928631.86975983</v>
      </c>
      <c r="C336">
        <v>193345105.86975983</v>
      </c>
      <c r="D336">
        <v>4776916</v>
      </c>
      <c r="E336">
        <v>0</v>
      </c>
      <c r="F336">
        <v>9116574</v>
      </c>
      <c r="G336">
        <v>5690036</v>
      </c>
      <c r="H336">
        <v>59109</v>
      </c>
      <c r="K336">
        <v>6560368.1302401721</v>
      </c>
      <c r="L336">
        <f t="shared" si="11"/>
        <v>278598000</v>
      </c>
      <c r="M336">
        <v>376905</v>
      </c>
      <c r="N336">
        <v>390463</v>
      </c>
      <c r="O336">
        <v>-13558</v>
      </c>
      <c r="P336" s="149">
        <f t="shared" si="10"/>
        <v>0.73917300115413698</v>
      </c>
      <c r="Q336">
        <v>10788</v>
      </c>
      <c r="R336">
        <v>2920</v>
      </c>
      <c r="S336" s="149">
        <v>5.2300000000000006E-2</v>
      </c>
    </row>
    <row r="337" spans="1:19" x14ac:dyDescent="0.25">
      <c r="A337" t="s">
        <v>325</v>
      </c>
      <c r="B337">
        <v>11290939.269207632</v>
      </c>
      <c r="C337">
        <v>10786588.269207632</v>
      </c>
      <c r="D337">
        <v>161220</v>
      </c>
      <c r="E337">
        <v>0</v>
      </c>
      <c r="F337">
        <v>47801</v>
      </c>
      <c r="G337">
        <v>295330</v>
      </c>
      <c r="H337">
        <v>1466</v>
      </c>
      <c r="K337">
        <v>196060.73079236783</v>
      </c>
      <c r="L337">
        <f t="shared" si="11"/>
        <v>12953000</v>
      </c>
      <c r="M337">
        <v>23087</v>
      </c>
      <c r="N337">
        <v>23373</v>
      </c>
      <c r="O337">
        <v>-286</v>
      </c>
      <c r="P337" s="149">
        <f t="shared" si="10"/>
        <v>0.56105167410230861</v>
      </c>
      <c r="Q337">
        <v>1168</v>
      </c>
      <c r="R337">
        <v>840</v>
      </c>
      <c r="S337" s="149">
        <v>3.2500000000000001E-2</v>
      </c>
    </row>
    <row r="338" spans="1:19" x14ac:dyDescent="0.25">
      <c r="A338" t="s">
        <v>326</v>
      </c>
      <c r="B338">
        <v>56280371.205300547</v>
      </c>
      <c r="C338">
        <v>51762476.205300547</v>
      </c>
      <c r="D338">
        <v>1268733</v>
      </c>
      <c r="E338">
        <v>0</v>
      </c>
      <c r="F338">
        <v>2245913</v>
      </c>
      <c r="G338">
        <v>1003249</v>
      </c>
      <c r="H338">
        <v>12961</v>
      </c>
      <c r="K338">
        <v>1051628.7946994528</v>
      </c>
      <c r="L338">
        <f t="shared" si="11"/>
        <v>70293000</v>
      </c>
      <c r="M338">
        <v>104859</v>
      </c>
      <c r="N338">
        <v>109769</v>
      </c>
      <c r="O338">
        <v>-4910</v>
      </c>
      <c r="P338" s="149">
        <f t="shared" si="10"/>
        <v>0.67035733699539379</v>
      </c>
      <c r="Q338">
        <v>4112</v>
      </c>
      <c r="R338">
        <v>2106</v>
      </c>
      <c r="S338" s="149">
        <v>4.9200000000000001E-2</v>
      </c>
    </row>
    <row r="339" spans="1:19" x14ac:dyDescent="0.25">
      <c r="A339" t="s">
        <v>397</v>
      </c>
      <c r="B339">
        <v>30672886.480006449</v>
      </c>
      <c r="C339">
        <v>26855764.480006449</v>
      </c>
      <c r="D339">
        <v>1061666</v>
      </c>
      <c r="E339">
        <v>0</v>
      </c>
      <c r="F339">
        <v>2220381</v>
      </c>
      <c r="G339">
        <v>535075</v>
      </c>
      <c r="H339">
        <v>3095</v>
      </c>
      <c r="K339">
        <v>760113.51999355108</v>
      </c>
      <c r="L339">
        <f t="shared" si="11"/>
        <v>34528000</v>
      </c>
      <c r="M339">
        <v>50593</v>
      </c>
      <c r="N339">
        <v>50763</v>
      </c>
      <c r="O339">
        <v>-170</v>
      </c>
      <c r="P339" s="149">
        <f t="shared" si="10"/>
        <v>0.6824659537880734</v>
      </c>
      <c r="Q339">
        <v>333</v>
      </c>
      <c r="R339">
        <v>26</v>
      </c>
      <c r="S339" s="149">
        <v>3.3399999999999999E-2</v>
      </c>
    </row>
    <row r="340" spans="1:19" x14ac:dyDescent="0.25">
      <c r="A340" t="s">
        <v>211</v>
      </c>
      <c r="B340">
        <v>98569090.676672548</v>
      </c>
      <c r="C340">
        <v>82918829.676672548</v>
      </c>
      <c r="D340">
        <v>2206481</v>
      </c>
      <c r="E340">
        <v>0</v>
      </c>
      <c r="F340">
        <v>11348871</v>
      </c>
      <c r="G340">
        <v>2094909</v>
      </c>
      <c r="H340">
        <v>28649</v>
      </c>
      <c r="K340">
        <v>2483909.3233274519</v>
      </c>
      <c r="L340">
        <f t="shared" si="11"/>
        <v>129702000</v>
      </c>
      <c r="M340">
        <v>169406</v>
      </c>
      <c r="N340">
        <v>169439</v>
      </c>
      <c r="O340">
        <v>-33</v>
      </c>
      <c r="P340" s="149">
        <f t="shared" si="10"/>
        <v>0.76562813595740409</v>
      </c>
      <c r="Q340">
        <v>4607</v>
      </c>
      <c r="R340">
        <v>2629</v>
      </c>
      <c r="S340" s="149">
        <v>3.4099999999999998E-2</v>
      </c>
    </row>
    <row r="341" spans="1:19" x14ac:dyDescent="0.25">
      <c r="A341" t="s">
        <v>161</v>
      </c>
      <c r="B341" s="101">
        <v>31217775.941769373</v>
      </c>
      <c r="C341" s="101">
        <v>28484978.941769373</v>
      </c>
      <c r="D341" s="101">
        <v>708242</v>
      </c>
      <c r="E341" s="101">
        <v>0</v>
      </c>
      <c r="F341" s="101">
        <v>1110787</v>
      </c>
      <c r="G341" s="101">
        <v>913768</v>
      </c>
      <c r="H341" s="101">
        <v>4540</v>
      </c>
      <c r="I341" s="101"/>
      <c r="J341" s="101"/>
      <c r="K341" s="101">
        <v>1052224.0582306273</v>
      </c>
      <c r="L341">
        <f t="shared" si="11"/>
        <v>36810000</v>
      </c>
      <c r="M341" s="101">
        <v>54830</v>
      </c>
      <c r="N341" s="101">
        <v>55563</v>
      </c>
      <c r="O341" s="101">
        <v>-733</v>
      </c>
      <c r="P341" s="149">
        <f t="shared" si="10"/>
        <v>0.67134780229801205</v>
      </c>
      <c r="Q341" s="101">
        <v>907</v>
      </c>
      <c r="R341">
        <v>333</v>
      </c>
      <c r="S341" s="149">
        <v>3.9900000000000005E-2</v>
      </c>
    </row>
    <row r="342" spans="1:19" x14ac:dyDescent="0.25">
      <c r="A342" t="s">
        <v>327</v>
      </c>
      <c r="B342">
        <v>77244807.873840436</v>
      </c>
      <c r="C342">
        <v>70685082.873840436</v>
      </c>
      <c r="D342">
        <v>1273801</v>
      </c>
      <c r="E342">
        <v>0</v>
      </c>
      <c r="F342">
        <v>3939772</v>
      </c>
      <c r="G342">
        <v>1346152</v>
      </c>
      <c r="H342">
        <v>20267</v>
      </c>
      <c r="K342">
        <v>2601192.1261595637</v>
      </c>
      <c r="L342">
        <f t="shared" si="11"/>
        <v>100113000</v>
      </c>
      <c r="M342">
        <v>136450</v>
      </c>
      <c r="N342">
        <v>138959</v>
      </c>
      <c r="O342">
        <v>-2509</v>
      </c>
      <c r="P342" s="149">
        <f t="shared" si="10"/>
        <v>0.73369732502748264</v>
      </c>
      <c r="Q342">
        <v>3280</v>
      </c>
      <c r="R342">
        <v>2602</v>
      </c>
      <c r="S342" s="149">
        <v>3.9699999999999999E-2</v>
      </c>
    </row>
    <row r="343" spans="1:19" x14ac:dyDescent="0.25">
      <c r="A343" t="s">
        <v>162</v>
      </c>
      <c r="B343">
        <v>331703968.28310221</v>
      </c>
      <c r="C343">
        <v>203291458.28310221</v>
      </c>
      <c r="D343">
        <v>5655394</v>
      </c>
      <c r="E343">
        <v>79697144</v>
      </c>
      <c r="F343">
        <v>15319619</v>
      </c>
      <c r="G343">
        <v>27740353</v>
      </c>
      <c r="H343">
        <v>66480</v>
      </c>
      <c r="K343">
        <v>7723031.7168977857</v>
      </c>
      <c r="L343">
        <f t="shared" si="11"/>
        <v>405907000</v>
      </c>
      <c r="M343">
        <v>510521</v>
      </c>
      <c r="N343">
        <v>520487</v>
      </c>
      <c r="O343">
        <v>-9966</v>
      </c>
      <c r="P343" s="149">
        <f t="shared" si="10"/>
        <v>0.79508384571839352</v>
      </c>
      <c r="Q343">
        <v>15215</v>
      </c>
      <c r="R343">
        <v>1127</v>
      </c>
      <c r="S343" s="149">
        <v>5.3600000000000002E-2</v>
      </c>
    </row>
    <row r="344" spans="1:19" x14ac:dyDescent="0.25">
      <c r="A344" t="s">
        <v>440</v>
      </c>
      <c r="B344">
        <f t="shared" ref="B344:K344" si="12">SUM(B2:B343)</f>
        <v>33433304812.716156</v>
      </c>
      <c r="C344">
        <f t="shared" si="12"/>
        <v>26847098311.318985</v>
      </c>
      <c r="D344">
        <f t="shared" si="12"/>
        <v>704098973.6333847</v>
      </c>
      <c r="E344">
        <f t="shared" si="12"/>
        <v>1938273998</v>
      </c>
      <c r="F344">
        <f t="shared" si="12"/>
        <v>2121898545.8033886</v>
      </c>
      <c r="G344">
        <f t="shared" si="12"/>
        <v>1821934983.9603698</v>
      </c>
      <c r="H344" s="102">
        <f t="shared" si="12"/>
        <v>8786906.6347430348</v>
      </c>
      <c r="I344">
        <f t="shared" si="12"/>
        <v>0</v>
      </c>
      <c r="J344">
        <f t="shared" si="12"/>
        <v>0</v>
      </c>
      <c r="K344">
        <f t="shared" si="12"/>
        <v>1371525929.7923148</v>
      </c>
      <c r="L344">
        <f t="shared" si="11"/>
        <v>43591737377.251503</v>
      </c>
      <c r="M344" s="102">
        <f>SUM(M2:M343)</f>
        <v>60383841.034588993</v>
      </c>
      <c r="N344" s="102">
        <f>SUM(N2:N343)</f>
        <v>61597128.387900859</v>
      </c>
      <c r="O344" s="102">
        <f>SUM(O2:O343)</f>
        <v>-1213287.3533118609</v>
      </c>
      <c r="P344" s="149">
        <f t="shared" si="10"/>
        <v>0.72191064083322132</v>
      </c>
      <c r="Q344" s="102">
        <f>SUM(Q2:Q343)</f>
        <v>1620286.5644867667</v>
      </c>
      <c r="R344">
        <v>691427</v>
      </c>
      <c r="S344" s="149">
        <v>4.41E-2</v>
      </c>
    </row>
    <row r="348" spans="1:19" x14ac:dyDescent="0.25">
      <c r="A348" t="s">
        <v>268</v>
      </c>
      <c r="B348">
        <v>144431687.75733179</v>
      </c>
      <c r="C348">
        <v>124043896.75733179</v>
      </c>
      <c r="D348">
        <v>1492788</v>
      </c>
      <c r="E348">
        <v>7542419</v>
      </c>
      <c r="F348">
        <v>7135035</v>
      </c>
      <c r="G348">
        <v>4217549</v>
      </c>
      <c r="H348">
        <v>39546</v>
      </c>
      <c r="K348">
        <v>3177312.2426682115</v>
      </c>
      <c r="L348">
        <f>SUM(B348,H348*1000,K348)</f>
        <v>187155000</v>
      </c>
      <c r="M348">
        <v>244017</v>
      </c>
      <c r="N348">
        <v>244496</v>
      </c>
      <c r="O348">
        <v>-479</v>
      </c>
      <c r="P348" s="149">
        <f>L348/(M348*1000)</f>
        <v>0.76697525172426506</v>
      </c>
      <c r="Q348">
        <v>3114</v>
      </c>
    </row>
    <row r="349" spans="1:19" x14ac:dyDescent="0.25">
      <c r="A349" t="s">
        <v>240</v>
      </c>
      <c r="B349">
        <v>12812133.415454512</v>
      </c>
      <c r="C349">
        <v>11994711.415454512</v>
      </c>
      <c r="D349">
        <v>326130</v>
      </c>
      <c r="E349">
        <v>0</v>
      </c>
      <c r="F349">
        <v>58212</v>
      </c>
      <c r="G349">
        <v>433080</v>
      </c>
      <c r="H349">
        <v>2508</v>
      </c>
      <c r="K349">
        <v>106866.58454548754</v>
      </c>
      <c r="L349">
        <f>SUM(B349,H349*1000,K349)</f>
        <v>15427000</v>
      </c>
      <c r="M349">
        <v>21970</v>
      </c>
      <c r="N349">
        <v>21949</v>
      </c>
      <c r="O349">
        <v>21</v>
      </c>
      <c r="P349" s="149">
        <f>L349/(M349*1000)</f>
        <v>0.70218479745106965</v>
      </c>
      <c r="Q349">
        <v>222</v>
      </c>
    </row>
    <row r="350" spans="1:19" x14ac:dyDescent="0.25">
      <c r="A350" t="s">
        <v>268</v>
      </c>
      <c r="B350">
        <f>SUM(B348:B349)</f>
        <v>157243821.1727863</v>
      </c>
      <c r="C350">
        <f t="shared" ref="C350:Q350" si="13">SUM(C348:C349)</f>
        <v>136038608.1727863</v>
      </c>
      <c r="D350">
        <f t="shared" si="13"/>
        <v>1818918</v>
      </c>
      <c r="E350">
        <f t="shared" si="13"/>
        <v>7542419</v>
      </c>
      <c r="F350">
        <f t="shared" si="13"/>
        <v>7193247</v>
      </c>
      <c r="G350">
        <f t="shared" si="13"/>
        <v>4650629</v>
      </c>
      <c r="H350">
        <f t="shared" si="13"/>
        <v>42054</v>
      </c>
      <c r="K350">
        <f t="shared" si="13"/>
        <v>3284178.827213699</v>
      </c>
      <c r="L350">
        <f t="shared" si="13"/>
        <v>202582000</v>
      </c>
      <c r="M350">
        <f t="shared" si="13"/>
        <v>265987</v>
      </c>
      <c r="N350">
        <f t="shared" si="13"/>
        <v>266445</v>
      </c>
      <c r="O350">
        <f t="shared" si="13"/>
        <v>-458</v>
      </c>
      <c r="P350" s="149">
        <f>L350/(M350*1000)</f>
        <v>0.76162368837574768</v>
      </c>
      <c r="Q350">
        <f t="shared" si="13"/>
        <v>3336</v>
      </c>
    </row>
    <row r="352" spans="1:19" x14ac:dyDescent="0.25">
      <c r="A352" t="s">
        <v>374</v>
      </c>
      <c r="B352">
        <v>24121791.811281029</v>
      </c>
      <c r="C352">
        <v>19270805.811281029</v>
      </c>
      <c r="D352">
        <v>1994786</v>
      </c>
      <c r="E352">
        <v>0</v>
      </c>
      <c r="F352">
        <v>2281390</v>
      </c>
      <c r="G352">
        <v>574810</v>
      </c>
      <c r="H352">
        <v>3294</v>
      </c>
      <c r="K352">
        <v>393208.18871897087</v>
      </c>
      <c r="L352">
        <f>SUM(B352,H352*1000,K352)</f>
        <v>27809000</v>
      </c>
      <c r="M352">
        <v>36879</v>
      </c>
      <c r="N352">
        <v>39035</v>
      </c>
      <c r="O352">
        <v>-2156</v>
      </c>
      <c r="P352" s="149">
        <f>L352/(M352*1000)</f>
        <v>0.75406057647983948</v>
      </c>
      <c r="Q352">
        <v>563</v>
      </c>
    </row>
    <row r="353" spans="1:17" x14ac:dyDescent="0.25">
      <c r="A353" t="s">
        <v>390</v>
      </c>
      <c r="B353">
        <v>70828769.13156952</v>
      </c>
      <c r="C353">
        <v>59487181.13156952</v>
      </c>
      <c r="D353">
        <v>1257621</v>
      </c>
      <c r="E353">
        <v>0</v>
      </c>
      <c r="F353">
        <v>8642175</v>
      </c>
      <c r="G353">
        <v>1441792</v>
      </c>
      <c r="H353">
        <v>14005</v>
      </c>
      <c r="K353">
        <v>1801230.8684304804</v>
      </c>
      <c r="L353">
        <f>SUM(B353,H353*1000,K353)</f>
        <v>86635000</v>
      </c>
      <c r="M353">
        <v>112785</v>
      </c>
      <c r="N353">
        <v>115661</v>
      </c>
      <c r="O353">
        <v>-2876</v>
      </c>
      <c r="P353" s="149">
        <f>L353/(M353*1000)</f>
        <v>0.76814292680764285</v>
      </c>
      <c r="Q353">
        <v>2736</v>
      </c>
    </row>
    <row r="354" spans="1:17" x14ac:dyDescent="0.25">
      <c r="A354" t="s">
        <v>774</v>
      </c>
      <c r="B354">
        <f>SUM(B352:B353)</f>
        <v>94950560.942850545</v>
      </c>
      <c r="C354">
        <f t="shared" ref="C354:Q354" si="14">SUM(C352:C353)</f>
        <v>78757986.942850545</v>
      </c>
      <c r="D354">
        <f t="shared" si="14"/>
        <v>3252407</v>
      </c>
      <c r="E354">
        <f t="shared" si="14"/>
        <v>0</v>
      </c>
      <c r="F354">
        <f t="shared" si="14"/>
        <v>10923565</v>
      </c>
      <c r="G354">
        <f t="shared" si="14"/>
        <v>2016602</v>
      </c>
      <c r="H354">
        <f t="shared" si="14"/>
        <v>17299</v>
      </c>
      <c r="K354">
        <f t="shared" si="14"/>
        <v>2194439.0571494512</v>
      </c>
      <c r="L354">
        <f t="shared" si="14"/>
        <v>114444000</v>
      </c>
      <c r="M354">
        <f t="shared" si="14"/>
        <v>149664</v>
      </c>
      <c r="N354">
        <f t="shared" si="14"/>
        <v>154696</v>
      </c>
      <c r="O354">
        <f t="shared" si="14"/>
        <v>-5032</v>
      </c>
      <c r="P354" s="149">
        <f>L354/(M354*1000)</f>
        <v>0.76467286722257855</v>
      </c>
      <c r="Q354">
        <f t="shared" si="14"/>
        <v>3299</v>
      </c>
    </row>
    <row r="356" spans="1:17" x14ac:dyDescent="0.25">
      <c r="A356" t="s">
        <v>254</v>
      </c>
      <c r="B356">
        <v>92231029.147686064</v>
      </c>
      <c r="C356">
        <v>80907300.147686064</v>
      </c>
      <c r="D356">
        <v>4724279</v>
      </c>
      <c r="E356">
        <v>0</v>
      </c>
      <c r="F356">
        <v>4815554</v>
      </c>
      <c r="G356">
        <v>1783896</v>
      </c>
      <c r="H356">
        <v>22018</v>
      </c>
      <c r="K356">
        <v>1970970.8523139358</v>
      </c>
      <c r="L356">
        <f>SUM(B356,H356*1000,K356)</f>
        <v>116220000</v>
      </c>
      <c r="M356">
        <v>163206</v>
      </c>
      <c r="N356">
        <v>173023</v>
      </c>
      <c r="O356">
        <v>-9817</v>
      </c>
      <c r="P356" s="149">
        <f>L356/(M356*1000)</f>
        <v>0.712106172567185</v>
      </c>
      <c r="Q356">
        <v>2655</v>
      </c>
    </row>
    <row r="357" spans="1:17" x14ac:dyDescent="0.25">
      <c r="A357" t="s">
        <v>262</v>
      </c>
      <c r="B357">
        <v>37542574.040242441</v>
      </c>
      <c r="C357">
        <v>33931122.040242441</v>
      </c>
      <c r="D357">
        <v>1216332</v>
      </c>
      <c r="E357">
        <v>0</v>
      </c>
      <c r="F357">
        <v>1738409</v>
      </c>
      <c r="G357">
        <v>656711</v>
      </c>
      <c r="H357">
        <v>4839</v>
      </c>
      <c r="K357">
        <v>0</v>
      </c>
      <c r="L357">
        <f>SUM(B357,H357*1000,K357)</f>
        <v>42381574.040242441</v>
      </c>
      <c r="M357">
        <v>72891</v>
      </c>
      <c r="N357">
        <v>75772</v>
      </c>
      <c r="O357">
        <v>-2881</v>
      </c>
      <c r="P357" s="149">
        <f>L357/(M357*1000)</f>
        <v>0.58143768147291763</v>
      </c>
      <c r="Q357">
        <v>3103</v>
      </c>
    </row>
    <row r="358" spans="1:17" x14ac:dyDescent="0.25">
      <c r="A358" t="s">
        <v>772</v>
      </c>
      <c r="B358">
        <f>SUM(B356:B357)</f>
        <v>129773603.1879285</v>
      </c>
      <c r="C358">
        <f t="shared" ref="C358:Q358" si="15">SUM(C356:C357)</f>
        <v>114838422.1879285</v>
      </c>
      <c r="D358">
        <f t="shared" si="15"/>
        <v>5940611</v>
      </c>
      <c r="E358">
        <f t="shared" si="15"/>
        <v>0</v>
      </c>
      <c r="F358">
        <f t="shared" si="15"/>
        <v>6553963</v>
      </c>
      <c r="G358">
        <f t="shared" si="15"/>
        <v>2440607</v>
      </c>
      <c r="H358">
        <f t="shared" si="15"/>
        <v>26857</v>
      </c>
      <c r="K358">
        <f t="shared" si="15"/>
        <v>1970970.8523139358</v>
      </c>
      <c r="L358">
        <f t="shared" si="15"/>
        <v>158601574.04024243</v>
      </c>
      <c r="M358">
        <f t="shared" si="15"/>
        <v>236097</v>
      </c>
      <c r="N358">
        <f t="shared" si="15"/>
        <v>248795</v>
      </c>
      <c r="O358">
        <f t="shared" si="15"/>
        <v>-12698</v>
      </c>
      <c r="P358" s="149">
        <f>L358/(M358*1000)</f>
        <v>0.67176446138766033</v>
      </c>
      <c r="Q358">
        <f t="shared" si="15"/>
        <v>5758</v>
      </c>
    </row>
    <row r="360" spans="1:17" x14ac:dyDescent="0.25">
      <c r="A360" t="s">
        <v>117</v>
      </c>
      <c r="B360">
        <v>29965120.237361606</v>
      </c>
      <c r="C360">
        <v>23358002.237361606</v>
      </c>
      <c r="D360">
        <v>559841</v>
      </c>
      <c r="E360">
        <v>0</v>
      </c>
      <c r="F360">
        <v>4637310</v>
      </c>
      <c r="G360">
        <v>1409967</v>
      </c>
      <c r="H360">
        <v>7199</v>
      </c>
      <c r="K360">
        <v>5556879.7626383938</v>
      </c>
      <c r="L360">
        <f>SUM(B360,H360*1000,K360)</f>
        <v>42721000</v>
      </c>
      <c r="M360">
        <v>61607</v>
      </c>
      <c r="P360" s="149">
        <f>L360/(M360*1000)</f>
        <v>0.69344392682649703</v>
      </c>
      <c r="Q360">
        <v>401</v>
      </c>
    </row>
    <row r="361" spans="1:17" x14ac:dyDescent="0.25">
      <c r="A361" t="s">
        <v>118</v>
      </c>
      <c r="B361">
        <v>56064583.805530675</v>
      </c>
      <c r="C361">
        <v>46862630.805530675</v>
      </c>
      <c r="D361">
        <v>1277566</v>
      </c>
      <c r="E361">
        <v>0</v>
      </c>
      <c r="F361">
        <v>4969557</v>
      </c>
      <c r="G361">
        <v>2954830</v>
      </c>
      <c r="H361">
        <v>14941</v>
      </c>
      <c r="K361">
        <v>14480416.194469325</v>
      </c>
      <c r="L361">
        <f>SUM(B361,H361*1000,K361)</f>
        <v>85486000</v>
      </c>
      <c r="M361">
        <v>134947</v>
      </c>
      <c r="P361" s="149">
        <f>L361/(M361*1000)</f>
        <v>0.63347832852897801</v>
      </c>
      <c r="Q361">
        <v>1426</v>
      </c>
    </row>
    <row r="362" spans="1:17" x14ac:dyDescent="0.25">
      <c r="A362" t="s">
        <v>120</v>
      </c>
      <c r="B362">
        <v>19597857.478868131</v>
      </c>
      <c r="C362">
        <v>16914441.478868131</v>
      </c>
      <c r="D362">
        <v>601819</v>
      </c>
      <c r="E362">
        <v>0</v>
      </c>
      <c r="F362">
        <v>1117115</v>
      </c>
      <c r="G362">
        <v>964482</v>
      </c>
      <c r="H362">
        <v>3941</v>
      </c>
      <c r="K362">
        <v>2313142.5211318694</v>
      </c>
      <c r="L362">
        <f>SUM(B362,H362*1000,K362)</f>
        <v>25852000</v>
      </c>
      <c r="M362">
        <v>35598</v>
      </c>
      <c r="P362" s="149">
        <f>L362/(M362*1000)</f>
        <v>0.72622057418956121</v>
      </c>
      <c r="Q362">
        <v>274</v>
      </c>
    </row>
    <row r="363" spans="1:17" x14ac:dyDescent="0.25">
      <c r="A363" t="s">
        <v>719</v>
      </c>
      <c r="B363">
        <f>SUM(B360:B362)</f>
        <v>105627561.5217604</v>
      </c>
      <c r="C363">
        <f t="shared" ref="C363:Q363" si="16">SUM(C360:C362)</f>
        <v>87135074.521760404</v>
      </c>
      <c r="D363">
        <f t="shared" si="16"/>
        <v>2439226</v>
      </c>
      <c r="E363">
        <f t="shared" si="16"/>
        <v>0</v>
      </c>
      <c r="F363">
        <f t="shared" si="16"/>
        <v>10723982</v>
      </c>
      <c r="G363">
        <f t="shared" si="16"/>
        <v>5329279</v>
      </c>
      <c r="H363">
        <f t="shared" si="16"/>
        <v>26081</v>
      </c>
      <c r="K363">
        <f t="shared" si="16"/>
        <v>22350438.478239588</v>
      </c>
      <c r="L363">
        <f t="shared" si="16"/>
        <v>154059000</v>
      </c>
      <c r="M363">
        <f t="shared" si="16"/>
        <v>232152</v>
      </c>
      <c r="N363">
        <v>179904</v>
      </c>
      <c r="O363">
        <f>SUM(M363,-N363)</f>
        <v>52248</v>
      </c>
      <c r="P363" s="149">
        <f>L363/(M363*1000)</f>
        <v>0.66361263310245011</v>
      </c>
      <c r="Q363">
        <f t="shared" si="16"/>
        <v>2101</v>
      </c>
    </row>
    <row r="365" spans="1:17" x14ac:dyDescent="0.25">
      <c r="A365" t="s">
        <v>376</v>
      </c>
      <c r="B365">
        <v>18033193.68290332</v>
      </c>
      <c r="C365">
        <v>14410080.68290332</v>
      </c>
      <c r="D365">
        <v>456579</v>
      </c>
      <c r="E365">
        <v>0</v>
      </c>
      <c r="F365">
        <v>2737911</v>
      </c>
      <c r="G365">
        <v>428623</v>
      </c>
      <c r="H365">
        <v>2554</v>
      </c>
      <c r="K365">
        <v>182806.3170966804</v>
      </c>
      <c r="L365">
        <f>SUM(B365,H365*1000,K365)</f>
        <v>20770000</v>
      </c>
      <c r="M365">
        <v>29020</v>
      </c>
      <c r="N365">
        <v>29677</v>
      </c>
      <c r="O365">
        <v>-657</v>
      </c>
      <c r="P365" s="149">
        <f t="shared" ref="P365:P370" si="17">L365/(M365*1000)</f>
        <v>0.71571330117160581</v>
      </c>
      <c r="Q365">
        <v>355</v>
      </c>
    </row>
    <row r="366" spans="1:17" x14ac:dyDescent="0.25">
      <c r="A366" t="s">
        <v>350</v>
      </c>
      <c r="B366">
        <v>46402276.624130681</v>
      </c>
      <c r="C366">
        <v>39264506.624130681</v>
      </c>
      <c r="D366">
        <v>599367</v>
      </c>
      <c r="E366">
        <v>0</v>
      </c>
      <c r="F366">
        <v>4920996</v>
      </c>
      <c r="G366">
        <v>1617407</v>
      </c>
      <c r="H366">
        <v>7040</v>
      </c>
      <c r="K366">
        <v>528723.37586931884</v>
      </c>
      <c r="L366">
        <f>SUM(B366,H366*1000,K366)</f>
        <v>53971000</v>
      </c>
      <c r="M366">
        <v>71330</v>
      </c>
      <c r="N366">
        <v>71933</v>
      </c>
      <c r="O366">
        <v>-603</v>
      </c>
      <c r="P366" s="149">
        <f t="shared" si="17"/>
        <v>0.75663816066171319</v>
      </c>
      <c r="Q366">
        <v>854</v>
      </c>
    </row>
    <row r="367" spans="1:17" x14ac:dyDescent="0.25">
      <c r="A367" t="s">
        <v>354</v>
      </c>
      <c r="B367">
        <v>42736664.13051337</v>
      </c>
      <c r="C367">
        <v>35597582.13051337</v>
      </c>
      <c r="D367">
        <v>685353</v>
      </c>
      <c r="E367">
        <v>0</v>
      </c>
      <c r="F367">
        <v>5638600</v>
      </c>
      <c r="G367">
        <v>815129</v>
      </c>
      <c r="H367">
        <v>8638</v>
      </c>
      <c r="K367">
        <v>860335.86948662996</v>
      </c>
      <c r="L367">
        <f>SUM(B367,H367*1000,K367)</f>
        <v>52235000</v>
      </c>
      <c r="M367">
        <v>77371</v>
      </c>
      <c r="N367">
        <v>78540</v>
      </c>
      <c r="O367">
        <v>-1169</v>
      </c>
      <c r="P367" s="149">
        <f t="shared" si="17"/>
        <v>0.67512375437825545</v>
      </c>
      <c r="Q367">
        <v>772</v>
      </c>
    </row>
    <row r="368" spans="1:17" x14ac:dyDescent="0.25">
      <c r="A368" t="s">
        <v>366</v>
      </c>
      <c r="B368">
        <v>19949007.898252983</v>
      </c>
      <c r="C368">
        <v>16419498.898252983</v>
      </c>
      <c r="D368">
        <v>651893</v>
      </c>
      <c r="E368">
        <v>0</v>
      </c>
      <c r="F368">
        <v>1860892</v>
      </c>
      <c r="G368">
        <v>1016724</v>
      </c>
      <c r="H368">
        <v>3122</v>
      </c>
      <c r="K368">
        <v>185992.10174701735</v>
      </c>
      <c r="L368">
        <f>SUM(B368,H368*1000,K368)</f>
        <v>23257000</v>
      </c>
      <c r="M368">
        <v>29354</v>
      </c>
      <c r="N368">
        <v>30911</v>
      </c>
      <c r="O368">
        <v>-1557</v>
      </c>
      <c r="P368" s="149">
        <f t="shared" si="17"/>
        <v>0.79229406554472981</v>
      </c>
      <c r="Q368">
        <v>342</v>
      </c>
    </row>
    <row r="369" spans="1:17" x14ac:dyDescent="0.25">
      <c r="A369" t="s">
        <v>437</v>
      </c>
      <c r="B369">
        <v>18335509.236606468</v>
      </c>
      <c r="C369">
        <v>15979278.236606468</v>
      </c>
      <c r="D369">
        <v>278554</v>
      </c>
      <c r="E369">
        <v>0</v>
      </c>
      <c r="F369">
        <v>1458595</v>
      </c>
      <c r="G369">
        <v>619082</v>
      </c>
      <c r="H369">
        <v>2042</v>
      </c>
      <c r="K369">
        <v>114490.76339353248</v>
      </c>
      <c r="L369">
        <f>SUM(B369,H369*1000,K369)</f>
        <v>20492000</v>
      </c>
      <c r="M369">
        <v>35473</v>
      </c>
      <c r="N369">
        <v>30816</v>
      </c>
      <c r="O369">
        <v>4657</v>
      </c>
      <c r="P369" s="149">
        <f t="shared" si="17"/>
        <v>0.57767879795901111</v>
      </c>
      <c r="Q369">
        <v>796</v>
      </c>
    </row>
    <row r="370" spans="1:17" x14ac:dyDescent="0.25">
      <c r="A370" t="s">
        <v>773</v>
      </c>
      <c r="B370">
        <f>SUM(B365:B369)</f>
        <v>145456651.57240683</v>
      </c>
      <c r="C370">
        <f t="shared" ref="C370:Q370" si="18">SUM(C365:C369)</f>
        <v>121670946.57240681</v>
      </c>
      <c r="D370">
        <f t="shared" si="18"/>
        <v>2671746</v>
      </c>
      <c r="E370">
        <f t="shared" si="18"/>
        <v>0</v>
      </c>
      <c r="F370">
        <f t="shared" si="18"/>
        <v>16616994</v>
      </c>
      <c r="G370">
        <f t="shared" si="18"/>
        <v>4496965</v>
      </c>
      <c r="H370">
        <f t="shared" si="18"/>
        <v>23396</v>
      </c>
      <c r="K370">
        <f t="shared" si="18"/>
        <v>1872348.427593179</v>
      </c>
      <c r="L370">
        <f t="shared" si="18"/>
        <v>170725000</v>
      </c>
      <c r="M370">
        <f t="shared" si="18"/>
        <v>242548</v>
      </c>
      <c r="N370">
        <f t="shared" si="18"/>
        <v>241877</v>
      </c>
      <c r="O370">
        <f t="shared" si="18"/>
        <v>671</v>
      </c>
      <c r="P370" s="149">
        <f t="shared" si="17"/>
        <v>0.70388129359961737</v>
      </c>
      <c r="Q370">
        <f t="shared" si="18"/>
        <v>3119</v>
      </c>
    </row>
    <row r="372" spans="1:17" x14ac:dyDescent="0.25">
      <c r="A372" t="s">
        <v>367</v>
      </c>
      <c r="B372">
        <v>19010594.013120595</v>
      </c>
      <c r="C372">
        <v>16664345.013120595</v>
      </c>
      <c r="D372">
        <v>165933</v>
      </c>
      <c r="E372">
        <v>0</v>
      </c>
      <c r="F372">
        <v>1925354</v>
      </c>
      <c r="G372">
        <v>254962</v>
      </c>
      <c r="H372">
        <v>2903</v>
      </c>
      <c r="K372">
        <v>280405.98687940463</v>
      </c>
      <c r="L372">
        <f>SUM(B372,H372*1000,K372)</f>
        <v>22194000</v>
      </c>
      <c r="M372">
        <v>33538</v>
      </c>
      <c r="N372">
        <v>35428</v>
      </c>
      <c r="O372">
        <f>SUM(M372,-N372)</f>
        <v>-1890</v>
      </c>
      <c r="P372" s="149">
        <f>L372/(M372*1000)</f>
        <v>0.66175681316715362</v>
      </c>
      <c r="Q372">
        <v>311</v>
      </c>
    </row>
    <row r="373" spans="1:17" x14ac:dyDescent="0.25">
      <c r="A373" t="s">
        <v>351</v>
      </c>
      <c r="B373">
        <v>58178381.596045442</v>
      </c>
      <c r="C373">
        <v>42942731.596045442</v>
      </c>
      <c r="D373">
        <v>4748728</v>
      </c>
      <c r="E373">
        <v>0</v>
      </c>
      <c r="F373">
        <v>9575109</v>
      </c>
      <c r="G373">
        <v>911813</v>
      </c>
      <c r="H373">
        <v>9551</v>
      </c>
      <c r="K373">
        <v>1572618.4039545581</v>
      </c>
      <c r="L373">
        <f>SUM(B373,H373*1000,K373)</f>
        <v>69302000</v>
      </c>
      <c r="M373">
        <v>92962</v>
      </c>
      <c r="N373">
        <v>92640</v>
      </c>
      <c r="O373">
        <v>322</v>
      </c>
      <c r="P373" s="149">
        <f>L373/(M373*1000)</f>
        <v>0.74548740345517528</v>
      </c>
      <c r="Q373">
        <v>1576</v>
      </c>
    </row>
    <row r="374" spans="1:17" x14ac:dyDescent="0.25">
      <c r="A374" t="s">
        <v>351</v>
      </c>
      <c r="B374">
        <f>SUM(B373,2150/14282*B372)</f>
        <v>61040220.073024109</v>
      </c>
      <c r="C374">
        <f t="shared" ref="C374:N374" si="19">SUM(C373,2150/14282*C372)</f>
        <v>45451367.76592426</v>
      </c>
      <c r="D374">
        <f t="shared" si="19"/>
        <v>4773707.4111468978</v>
      </c>
      <c r="E374">
        <f t="shared" si="19"/>
        <v>0</v>
      </c>
      <c r="F374">
        <f t="shared" si="19"/>
        <v>9864950.1356952805</v>
      </c>
      <c r="G374">
        <f t="shared" si="19"/>
        <v>950194.76025766705</v>
      </c>
      <c r="H374">
        <f t="shared" si="19"/>
        <v>9988.0151239322222</v>
      </c>
      <c r="K374">
        <f t="shared" si="19"/>
        <v>1614830.4801197115</v>
      </c>
      <c r="L374">
        <f t="shared" si="19"/>
        <v>72643065.677076042</v>
      </c>
      <c r="M374">
        <f t="shared" si="19"/>
        <v>98010.781683237641</v>
      </c>
      <c r="N374">
        <f t="shared" si="19"/>
        <v>97973.300658171123</v>
      </c>
      <c r="O374">
        <f>SUM(M374,-N374)</f>
        <v>37.481025066517759</v>
      </c>
      <c r="P374" s="149">
        <f>L374/(M374*1000)</f>
        <v>0.74117423031939622</v>
      </c>
      <c r="Q374" s="101">
        <f t="shared" ref="Q374" si="20">SUM(Q373,2150/14282*Q372)</f>
        <v>1622.8176725948747</v>
      </c>
    </row>
    <row r="376" spans="1:17" x14ac:dyDescent="0.25">
      <c r="A376" t="s">
        <v>379</v>
      </c>
      <c r="B376">
        <v>40203535.291106388</v>
      </c>
      <c r="C376">
        <v>32991396.291106392</v>
      </c>
      <c r="D376">
        <v>2448364</v>
      </c>
      <c r="E376">
        <v>0</v>
      </c>
      <c r="F376">
        <v>3662641</v>
      </c>
      <c r="G376">
        <v>1101134</v>
      </c>
      <c r="H376">
        <v>6494</v>
      </c>
      <c r="K376">
        <v>635464.70889361203</v>
      </c>
      <c r="L376">
        <f>SUM(B376,H376*1000,K376)</f>
        <v>47333000</v>
      </c>
      <c r="M376">
        <v>70530</v>
      </c>
      <c r="N376">
        <v>69485</v>
      </c>
      <c r="O376">
        <v>1045</v>
      </c>
      <c r="P376" s="149">
        <f>L376/(M376*1000)</f>
        <v>0.67110449454132992</v>
      </c>
      <c r="Q376">
        <v>3287</v>
      </c>
    </row>
    <row r="377" spans="1:17" x14ac:dyDescent="0.25">
      <c r="A377" t="s">
        <v>379</v>
      </c>
      <c r="B377">
        <f>SUM(B376,5842/14282*B372)</f>
        <v>47979749.422506087</v>
      </c>
      <c r="C377">
        <f t="shared" ref="C377:N377" si="21">SUM(C376,5842/14282*C372)</f>
        <v>39807885.828051537</v>
      </c>
      <c r="D377">
        <f t="shared" si="21"/>
        <v>2516238.2883349671</v>
      </c>
      <c r="E377">
        <f t="shared" si="21"/>
        <v>0</v>
      </c>
      <c r="F377">
        <f t="shared" si="21"/>
        <v>4450200.0301078279</v>
      </c>
      <c r="G377">
        <f t="shared" si="21"/>
        <v>1205425.2760117631</v>
      </c>
      <c r="H377">
        <f t="shared" si="21"/>
        <v>7681.4615600056013</v>
      </c>
      <c r="I377">
        <f t="shared" si="21"/>
        <v>0</v>
      </c>
      <c r="J377">
        <f t="shared" si="21"/>
        <v>0</v>
      </c>
      <c r="K377">
        <f t="shared" si="21"/>
        <v>750163.75492004259</v>
      </c>
      <c r="L377">
        <f t="shared" si="21"/>
        <v>56411374.737431735</v>
      </c>
      <c r="M377">
        <f t="shared" si="21"/>
        <v>84248.596555104334</v>
      </c>
      <c r="N377">
        <f t="shared" si="21"/>
        <v>83976.694160481726</v>
      </c>
      <c r="O377">
        <f>SUM(M377,-N377)</f>
        <v>271.90239462260797</v>
      </c>
      <c r="P377" s="149">
        <f>L377/(M377*1000)</f>
        <v>0.66958236747047584</v>
      </c>
      <c r="Q377" s="101">
        <f t="shared" ref="Q377" si="22">SUM(Q376,5842/14282*Q372)</f>
        <v>3414.2134154880268</v>
      </c>
    </row>
    <row r="379" spans="1:17" x14ac:dyDescent="0.25">
      <c r="A379" t="s">
        <v>389</v>
      </c>
      <c r="B379">
        <v>507205891.69014645</v>
      </c>
      <c r="C379">
        <v>362410365.69014645</v>
      </c>
      <c r="D379">
        <v>9970413</v>
      </c>
      <c r="E379">
        <v>63873046</v>
      </c>
      <c r="F379">
        <v>33797888</v>
      </c>
      <c r="G379">
        <v>37154179</v>
      </c>
      <c r="H379">
        <v>130172</v>
      </c>
      <c r="K379">
        <v>17240108.309853554</v>
      </c>
      <c r="L379">
        <f>SUM(B379,H379*1000,K379)</f>
        <v>654618000</v>
      </c>
      <c r="M379">
        <v>807886</v>
      </c>
      <c r="N379">
        <v>858469</v>
      </c>
      <c r="O379">
        <v>-50583</v>
      </c>
      <c r="P379" s="149">
        <f>L379/(M379*1000)</f>
        <v>0.81028511448397422</v>
      </c>
      <c r="Q379">
        <v>19080</v>
      </c>
    </row>
    <row r="380" spans="1:17" x14ac:dyDescent="0.25">
      <c r="A380" t="s">
        <v>389</v>
      </c>
      <c r="B380">
        <f>SUM(B379,1435/14282*B372)</f>
        <v>509116002.48757172</v>
      </c>
      <c r="C380">
        <f t="shared" ref="C380:N380" si="23">SUM(C379,1435/14282*C372)</f>
        <v>364084734.48260045</v>
      </c>
      <c r="D380">
        <f t="shared" si="23"/>
        <v>9987085.3046492096</v>
      </c>
      <c r="E380">
        <f t="shared" si="23"/>
        <v>63873046</v>
      </c>
      <c r="F380">
        <f t="shared" si="23"/>
        <v>33991340.106847778</v>
      </c>
      <c r="G380">
        <f t="shared" si="23"/>
        <v>37179796.593474306</v>
      </c>
      <c r="H380">
        <f t="shared" si="23"/>
        <v>130463.68218736871</v>
      </c>
      <c r="I380">
        <f t="shared" si="23"/>
        <v>0</v>
      </c>
      <c r="J380">
        <f t="shared" si="23"/>
        <v>0</v>
      </c>
      <c r="K380">
        <f t="shared" si="23"/>
        <v>17268282.416503318</v>
      </c>
      <c r="L380">
        <f t="shared" si="23"/>
        <v>656847967.09144378</v>
      </c>
      <c r="M380">
        <f t="shared" si="23"/>
        <v>811255.76823974238</v>
      </c>
      <c r="N380">
        <f t="shared" si="23"/>
        <v>862028.66811370954</v>
      </c>
      <c r="O380">
        <f>SUM(M380,-N380)</f>
        <v>-50772.899873967166</v>
      </c>
      <c r="P380" s="149">
        <f>L380/(M380*1000)</f>
        <v>0.80966816238073513</v>
      </c>
      <c r="Q380" s="102">
        <f t="shared" ref="Q380" si="24">SUM(Q379,1435/14282*Q372)</f>
        <v>19111.24807449937</v>
      </c>
    </row>
    <row r="382" spans="1:17" x14ac:dyDescent="0.25">
      <c r="A382" t="s">
        <v>393</v>
      </c>
      <c r="B382">
        <v>39277899.982099779</v>
      </c>
      <c r="C382">
        <v>33720786.982099779</v>
      </c>
      <c r="D382">
        <v>385526</v>
      </c>
      <c r="E382">
        <v>0</v>
      </c>
      <c r="F382">
        <v>4510668</v>
      </c>
      <c r="G382">
        <v>660919</v>
      </c>
      <c r="H382">
        <v>7990</v>
      </c>
      <c r="K382">
        <v>817100.01790022105</v>
      </c>
      <c r="L382">
        <f>SUM(B382,H382*1000,K382)</f>
        <v>48085000</v>
      </c>
      <c r="M382">
        <v>67453</v>
      </c>
      <c r="N382">
        <v>74797</v>
      </c>
      <c r="O382">
        <v>-7344</v>
      </c>
      <c r="P382" s="149">
        <f>L382/(M382*1000)</f>
        <v>0.71286673683898416</v>
      </c>
      <c r="Q382">
        <v>1181</v>
      </c>
    </row>
    <row r="383" spans="1:17" x14ac:dyDescent="0.25">
      <c r="A383" t="s">
        <v>393</v>
      </c>
      <c r="B383">
        <f>SUM(B382,4835/14282*B372)</f>
        <v>45713708.836142495</v>
      </c>
      <c r="C383">
        <f t="shared" ref="C383:N383" si="25">SUM(C382,4835/14282*C372)</f>
        <v>39362301.345524937</v>
      </c>
      <c r="D383">
        <f t="shared" si="25"/>
        <v>441700.62925360596</v>
      </c>
      <c r="E383">
        <f t="shared" si="25"/>
        <v>0</v>
      </c>
      <c r="F383">
        <f t="shared" si="25"/>
        <v>5162473.5307379914</v>
      </c>
      <c r="G383">
        <f t="shared" si="25"/>
        <v>747233.3306259627</v>
      </c>
      <c r="H383">
        <f t="shared" si="25"/>
        <v>8972.7758717266497</v>
      </c>
      <c r="I383">
        <f t="shared" si="25"/>
        <v>0</v>
      </c>
      <c r="J383">
        <f t="shared" si="25"/>
        <v>0</v>
      </c>
      <c r="K383">
        <f t="shared" si="25"/>
        <v>912028.10546232166</v>
      </c>
      <c r="L383">
        <f t="shared" si="25"/>
        <v>55598512.81333147</v>
      </c>
      <c r="M383">
        <f t="shared" si="25"/>
        <v>78806.88811090884</v>
      </c>
      <c r="N383">
        <f t="shared" si="25"/>
        <v>86790.724968491806</v>
      </c>
      <c r="O383">
        <f>SUM(M383,-N383)</f>
        <v>-7983.8368575829663</v>
      </c>
      <c r="P383" s="149">
        <f>L383/(M383*1000)</f>
        <v>0.70550321356535395</v>
      </c>
      <c r="Q383" s="102">
        <f t="shared" ref="Q383" si="26">SUM(Q382,4835/14282*Q372)</f>
        <v>1286.2853241842879</v>
      </c>
    </row>
    <row r="385" spans="1:19" x14ac:dyDescent="0.25">
      <c r="A385" t="s">
        <v>286</v>
      </c>
      <c r="B385">
        <v>22003150.623021238</v>
      </c>
      <c r="C385">
        <v>21285050.623021238</v>
      </c>
      <c r="D385">
        <v>95231</v>
      </c>
      <c r="E385">
        <v>0</v>
      </c>
      <c r="F385">
        <v>76228</v>
      </c>
      <c r="G385">
        <v>546641</v>
      </c>
      <c r="H385">
        <v>4848</v>
      </c>
      <c r="K385">
        <v>397849.37697876245</v>
      </c>
      <c r="L385">
        <f>SUM(B385,H385*1000,K385)</f>
        <v>27249000</v>
      </c>
      <c r="M385">
        <v>44105</v>
      </c>
      <c r="N385">
        <v>56404</v>
      </c>
      <c r="O385">
        <v>-12299</v>
      </c>
      <c r="P385" s="149">
        <f>L385/(M385*1000)</f>
        <v>0.61782110871783247</v>
      </c>
      <c r="Q385">
        <v>1061</v>
      </c>
      <c r="R385">
        <v>64</v>
      </c>
      <c r="S385" s="149">
        <v>7.9799999999999996E-2</v>
      </c>
    </row>
    <row r="386" spans="1:19" x14ac:dyDescent="0.25">
      <c r="A386" t="s">
        <v>294</v>
      </c>
      <c r="B386">
        <v>58568377.281885922</v>
      </c>
      <c r="C386">
        <v>56017673.281885922</v>
      </c>
      <c r="D386">
        <v>1147874</v>
      </c>
      <c r="E386">
        <v>0</v>
      </c>
      <c r="F386">
        <v>315062</v>
      </c>
      <c r="G386">
        <v>1087768</v>
      </c>
      <c r="H386">
        <v>16881</v>
      </c>
      <c r="K386">
        <v>1500622.718114078</v>
      </c>
      <c r="L386">
        <f>SUM(B386,H386*1000,K386)</f>
        <v>76950000</v>
      </c>
      <c r="M386">
        <v>121033</v>
      </c>
      <c r="N386">
        <v>124916</v>
      </c>
      <c r="O386">
        <v>-3883</v>
      </c>
      <c r="P386" s="149">
        <f>L386/(M386*1000)</f>
        <v>0.63577701949055221</v>
      </c>
      <c r="Q386">
        <v>2181</v>
      </c>
      <c r="R386">
        <v>172</v>
      </c>
      <c r="S386" s="149">
        <v>4.1700000000000001E-2</v>
      </c>
    </row>
    <row r="387" spans="1:19" x14ac:dyDescent="0.25">
      <c r="A387" t="s">
        <v>323</v>
      </c>
      <c r="B387">
        <v>17470135.047347955</v>
      </c>
      <c r="C387">
        <v>16157853.047347955</v>
      </c>
      <c r="D387">
        <v>529288</v>
      </c>
      <c r="E387">
        <v>0</v>
      </c>
      <c r="F387">
        <v>58212</v>
      </c>
      <c r="G387">
        <v>724782</v>
      </c>
      <c r="H387">
        <v>3645</v>
      </c>
      <c r="K387">
        <v>259864.95265204459</v>
      </c>
      <c r="L387">
        <f>SUM(B387,H387*1000,K387)</f>
        <v>21375000</v>
      </c>
      <c r="M387">
        <v>44997</v>
      </c>
      <c r="N387">
        <v>49325</v>
      </c>
      <c r="O387">
        <v>-4328</v>
      </c>
      <c r="P387" s="149">
        <f>L387/(M387*1000)</f>
        <v>0.47503166877791853</v>
      </c>
      <c r="Q387">
        <v>7357</v>
      </c>
      <c r="R387">
        <v>140</v>
      </c>
      <c r="S387" s="149">
        <v>3.4200000000000001E-2</v>
      </c>
    </row>
    <row r="388" spans="1:19" x14ac:dyDescent="0.25">
      <c r="A388" t="s">
        <v>827</v>
      </c>
      <c r="B388">
        <f>SUM(B385:B387)</f>
        <v>98041662.95225513</v>
      </c>
      <c r="C388">
        <f>SUM(C385:C387)</f>
        <v>93460576.95225513</v>
      </c>
      <c r="D388">
        <f t="shared" ref="D388:O388" si="27">SUM(D385:D387)</f>
        <v>1772393</v>
      </c>
      <c r="E388">
        <f t="shared" si="27"/>
        <v>0</v>
      </c>
      <c r="F388">
        <f t="shared" si="27"/>
        <v>449502</v>
      </c>
      <c r="G388">
        <f t="shared" si="27"/>
        <v>2359191</v>
      </c>
      <c r="H388">
        <f t="shared" si="27"/>
        <v>25374</v>
      </c>
      <c r="I388">
        <f t="shared" si="27"/>
        <v>0</v>
      </c>
      <c r="J388">
        <f t="shared" si="27"/>
        <v>0</v>
      </c>
      <c r="K388">
        <f t="shared" si="27"/>
        <v>2158337.0477448851</v>
      </c>
      <c r="L388">
        <f t="shared" si="27"/>
        <v>125574000</v>
      </c>
      <c r="M388">
        <f t="shared" si="27"/>
        <v>210135</v>
      </c>
      <c r="N388">
        <f t="shared" si="27"/>
        <v>230645</v>
      </c>
      <c r="O388">
        <f t="shared" si="27"/>
        <v>-20510</v>
      </c>
      <c r="P388" s="149">
        <f>L388/(M388*1000)</f>
        <v>0.59758726532943107</v>
      </c>
      <c r="Q388">
        <f>SUM(Q385:Q387)</f>
        <v>10599</v>
      </c>
      <c r="R388">
        <f>SUM(R385:R387)</f>
        <v>376</v>
      </c>
      <c r="S388" s="149">
        <f>SUM(S385:S387)/3</f>
        <v>5.1900000000000002E-2</v>
      </c>
    </row>
    <row r="390" spans="1:19" x14ac:dyDescent="0.25">
      <c r="A390" t="s">
        <v>276</v>
      </c>
      <c r="B390">
        <v>29042103.936779629</v>
      </c>
      <c r="C390">
        <v>27252349.936779629</v>
      </c>
      <c r="D390">
        <v>492974</v>
      </c>
      <c r="E390">
        <v>0</v>
      </c>
      <c r="F390">
        <v>780758</v>
      </c>
      <c r="G390">
        <v>516022</v>
      </c>
      <c r="H390">
        <v>10420</v>
      </c>
      <c r="K390">
        <v>453896.06322037056</v>
      </c>
      <c r="L390">
        <f>SUM(B390,H390*1000,K390)</f>
        <v>39916000</v>
      </c>
      <c r="M390">
        <v>50725</v>
      </c>
      <c r="N390">
        <v>52557</v>
      </c>
      <c r="O390">
        <v>-1832</v>
      </c>
      <c r="P390" s="149">
        <f>L390/(M390*1000)</f>
        <v>0.78690980778708719</v>
      </c>
      <c r="Q390">
        <v>604</v>
      </c>
      <c r="R390">
        <v>218</v>
      </c>
      <c r="S390" s="149">
        <v>3.9100000000000003E-2</v>
      </c>
    </row>
  </sheetData>
  <sheetProtection algorithmName="SHA-512" hashValue="EfF/MQ1Ep9H//mzD8yFK/nQKglSWeqztWxbFYmNVPGbus/xGq6eEQD5DmQZuEseVlKIHPSBcrlYPgIMbGLsAtw==" saltValue="pDDdAdT5oRrS+mJdNf0o8Q==" spinCount="100000" sheet="1" objects="1" scenarios="1"/>
  <sortState xmlns:xlrd2="http://schemas.microsoft.com/office/spreadsheetml/2017/richdata2" ref="AD2:AF343">
    <sortCondition ref="AE2:AE343"/>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0"/>
  <dimension ref="A1:AS357"/>
  <sheetViews>
    <sheetView workbookViewId="0">
      <pane xSplit="2" ySplit="1" topLeftCell="C2" activePane="bottomRight" state="frozen"/>
      <selection pane="topRight" activeCell="C1" sqref="C1"/>
      <selection pane="bottomLeft" activeCell="A2" sqref="A2"/>
      <selection pane="bottomRight" activeCell="H296" sqref="H296:R296"/>
    </sheetView>
  </sheetViews>
  <sheetFormatPr defaultRowHeight="12.5" x14ac:dyDescent="0.25"/>
  <cols>
    <col min="1" max="1" width="10.6328125" bestFit="1" customWidth="1"/>
    <col min="2" max="2" width="29.36328125" bestFit="1" customWidth="1"/>
    <col min="3" max="3" width="22.54296875" style="101" bestFit="1" customWidth="1"/>
    <col min="4" max="4" width="19.26953125" style="101" bestFit="1" customWidth="1"/>
    <col min="5" max="5" width="8.90625" style="101" bestFit="1" customWidth="1"/>
    <col min="6" max="6" width="14.1796875" customWidth="1"/>
    <col min="7" max="7" width="18.90625" bestFit="1" customWidth="1"/>
    <col min="8" max="8" width="25" bestFit="1" customWidth="1"/>
    <col min="9" max="9" width="12.90625" bestFit="1" customWidth="1"/>
    <col min="10" max="10" width="20" bestFit="1" customWidth="1"/>
    <col min="11" max="11" width="14.1796875" bestFit="1" customWidth="1"/>
    <col min="12" max="12" width="14.36328125" bestFit="1" customWidth="1"/>
    <col min="13" max="13" width="27.6328125" bestFit="1" customWidth="1"/>
    <col min="14" max="14" width="15.26953125" bestFit="1" customWidth="1"/>
    <col min="15" max="15" width="11.08984375" bestFit="1" customWidth="1"/>
    <col min="16" max="16" width="15.08984375" bestFit="1" customWidth="1"/>
    <col min="17" max="17" width="26.7265625" bestFit="1" customWidth="1"/>
    <col min="18" max="18" width="19.453125" bestFit="1" customWidth="1"/>
    <col min="19" max="20" width="19.453125" customWidth="1"/>
    <col min="21" max="21" width="34.81640625" bestFit="1" customWidth="1"/>
    <col min="22" max="22" width="13.81640625" bestFit="1" customWidth="1"/>
    <col min="23" max="23" width="18.1796875" style="101" bestFit="1" customWidth="1"/>
    <col min="24" max="24" width="12.1796875" bestFit="1" customWidth="1"/>
    <col min="25" max="25" width="17.7265625" bestFit="1" customWidth="1"/>
    <col min="26" max="26" width="20.1796875" bestFit="1" customWidth="1"/>
    <col min="27" max="27" width="15.54296875" bestFit="1" customWidth="1"/>
    <col min="28" max="28" width="11.6328125" bestFit="1" customWidth="1"/>
    <col min="29" max="29" width="15.08984375" bestFit="1" customWidth="1"/>
    <col min="30" max="30" width="18.6328125" bestFit="1" customWidth="1"/>
    <col min="31" max="31" width="17.54296875" bestFit="1" customWidth="1"/>
    <col min="32" max="32" width="10.36328125" bestFit="1" customWidth="1"/>
    <col min="33" max="33" width="13.54296875" style="101" bestFit="1" customWidth="1"/>
    <col min="34" max="34" width="20.7265625" bestFit="1" customWidth="1"/>
    <col min="35" max="35" width="23.6328125" bestFit="1" customWidth="1"/>
    <col min="36" max="36" width="9.26953125" bestFit="1" customWidth="1"/>
    <col min="40" max="40" width="27.7265625" bestFit="1" customWidth="1"/>
    <col min="41" max="41" width="23.6328125" style="259" bestFit="1" customWidth="1"/>
    <col min="43" max="45" width="11.81640625" bestFit="1" customWidth="1"/>
    <col min="48" max="48" width="27.7265625" bestFit="1" customWidth="1"/>
    <col min="49" max="49" width="14.453125" bestFit="1" customWidth="1"/>
    <col min="50" max="50" width="15.453125" bestFit="1" customWidth="1"/>
  </cols>
  <sheetData>
    <row r="1" spans="1:45" x14ac:dyDescent="0.25">
      <c r="A1" t="s">
        <v>549</v>
      </c>
      <c r="B1" t="s">
        <v>582</v>
      </c>
      <c r="C1" s="101" t="s">
        <v>829</v>
      </c>
      <c r="D1" s="101" t="s">
        <v>802</v>
      </c>
      <c r="E1" s="101" t="s">
        <v>742</v>
      </c>
      <c r="F1" t="s">
        <v>761</v>
      </c>
      <c r="G1" t="s">
        <v>669</v>
      </c>
      <c r="H1" t="s">
        <v>803</v>
      </c>
      <c r="I1" t="s">
        <v>804</v>
      </c>
      <c r="J1" t="s">
        <v>805</v>
      </c>
      <c r="K1" t="s">
        <v>806</v>
      </c>
      <c r="L1" t="s">
        <v>807</v>
      </c>
      <c r="M1" t="s">
        <v>808</v>
      </c>
      <c r="N1" t="s">
        <v>809</v>
      </c>
      <c r="O1" t="s">
        <v>880</v>
      </c>
      <c r="P1" t="s">
        <v>881</v>
      </c>
      <c r="Q1" t="s">
        <v>882</v>
      </c>
      <c r="R1" t="s">
        <v>883</v>
      </c>
      <c r="T1" t="s">
        <v>582</v>
      </c>
      <c r="U1" t="s">
        <v>810</v>
      </c>
      <c r="V1" t="s">
        <v>811</v>
      </c>
      <c r="W1" s="101" t="s">
        <v>842</v>
      </c>
      <c r="X1" t="s">
        <v>843</v>
      </c>
      <c r="Y1" t="s">
        <v>844</v>
      </c>
      <c r="Z1" t="s">
        <v>845</v>
      </c>
      <c r="AA1" t="s">
        <v>846</v>
      </c>
      <c r="AB1" t="s">
        <v>847</v>
      </c>
      <c r="AC1" t="s">
        <v>848</v>
      </c>
      <c r="AD1" t="s">
        <v>849</v>
      </c>
      <c r="AE1" t="s">
        <v>850</v>
      </c>
      <c r="AF1" t="s">
        <v>777</v>
      </c>
      <c r="AG1" s="101" t="s">
        <v>851</v>
      </c>
      <c r="AH1" t="s">
        <v>919</v>
      </c>
      <c r="AI1" t="s">
        <v>852</v>
      </c>
      <c r="AJ1" t="s">
        <v>853</v>
      </c>
      <c r="AN1" t="s">
        <v>582</v>
      </c>
      <c r="AO1" s="259" t="s">
        <v>852</v>
      </c>
      <c r="AP1" t="s">
        <v>853</v>
      </c>
    </row>
    <row r="2" spans="1:45" x14ac:dyDescent="0.25">
      <c r="B2" t="s">
        <v>104</v>
      </c>
      <c r="C2" s="101">
        <v>80380</v>
      </c>
      <c r="D2" s="101">
        <v>2537</v>
      </c>
      <c r="E2" s="101">
        <v>957</v>
      </c>
      <c r="F2" s="101">
        <v>3298</v>
      </c>
      <c r="G2" s="101">
        <v>21870</v>
      </c>
      <c r="H2" s="101">
        <v>2905</v>
      </c>
      <c r="I2" s="101">
        <v>2063</v>
      </c>
      <c r="J2" s="101">
        <v>2626</v>
      </c>
      <c r="K2" s="101">
        <v>276</v>
      </c>
      <c r="L2" s="101">
        <v>1189</v>
      </c>
      <c r="M2" s="101">
        <v>7157</v>
      </c>
      <c r="N2" s="101">
        <v>9195</v>
      </c>
      <c r="O2" s="101">
        <v>9530</v>
      </c>
      <c r="P2" s="101">
        <v>10319</v>
      </c>
      <c r="Q2" s="101">
        <v>6292</v>
      </c>
      <c r="R2" s="101">
        <v>166</v>
      </c>
      <c r="S2" s="101"/>
      <c r="T2" t="s">
        <v>104</v>
      </c>
      <c r="U2" s="101">
        <f>SUM(C2,-D2,-E2,-F2)</f>
        <v>73588</v>
      </c>
      <c r="V2" s="101">
        <v>58647000</v>
      </c>
      <c r="W2" s="101">
        <v>50939880</v>
      </c>
      <c r="X2" s="101">
        <v>2352</v>
      </c>
      <c r="Y2" s="101">
        <v>2796</v>
      </c>
      <c r="Z2" s="101">
        <v>399</v>
      </c>
      <c r="AA2" s="101">
        <v>100</v>
      </c>
      <c r="AB2" s="101">
        <v>484</v>
      </c>
      <c r="AC2" s="101">
        <v>97</v>
      </c>
      <c r="AD2" s="101">
        <v>1940</v>
      </c>
      <c r="AE2" s="101">
        <v>0</v>
      </c>
      <c r="AF2" s="101">
        <v>36</v>
      </c>
      <c r="AG2" s="101">
        <f>SUM(U2,-V2/1000,W2/1000,-X2,-Y2,-Z2,-AA2,-AB2,-AC2,-AD2,-AE2,-AF2)</f>
        <v>57676.880000000005</v>
      </c>
      <c r="AH2" s="101">
        <v>25936</v>
      </c>
      <c r="AI2" s="101">
        <f>AG2*1000/AH2</f>
        <v>2223.8155459592845</v>
      </c>
      <c r="AJ2" t="s">
        <v>116</v>
      </c>
      <c r="AN2" t="s">
        <v>237</v>
      </c>
      <c r="AO2" s="259">
        <v>2780.4421419905598</v>
      </c>
      <c r="AP2" t="s">
        <v>439</v>
      </c>
      <c r="AR2" t="s">
        <v>439</v>
      </c>
      <c r="AS2">
        <v>2672</v>
      </c>
    </row>
    <row r="3" spans="1:45" x14ac:dyDescent="0.25">
      <c r="B3" t="s">
        <v>236</v>
      </c>
      <c r="C3" s="101">
        <v>107254</v>
      </c>
      <c r="D3" s="101">
        <v>5195</v>
      </c>
      <c r="E3" s="101">
        <v>171</v>
      </c>
      <c r="F3" s="101">
        <v>4464</v>
      </c>
      <c r="G3" s="101">
        <v>4363</v>
      </c>
      <c r="H3" s="101">
        <v>16135</v>
      </c>
      <c r="I3" s="101">
        <v>3624</v>
      </c>
      <c r="J3" s="101">
        <v>6210</v>
      </c>
      <c r="K3" s="101">
        <v>8440</v>
      </c>
      <c r="L3" s="101">
        <v>2505</v>
      </c>
      <c r="M3" s="101">
        <v>8147</v>
      </c>
      <c r="N3" s="101">
        <v>9090</v>
      </c>
      <c r="O3" s="101">
        <v>11949</v>
      </c>
      <c r="P3" s="101">
        <v>11774</v>
      </c>
      <c r="Q3" s="101">
        <v>10994</v>
      </c>
      <c r="R3" s="101">
        <v>4193</v>
      </c>
      <c r="S3" s="101"/>
      <c r="T3" t="s">
        <v>236</v>
      </c>
      <c r="U3" s="101">
        <f t="shared" ref="U3:U66" si="0">SUM(C3,-D3,-E3,-F3)</f>
        <v>97424</v>
      </c>
      <c r="V3" s="101">
        <v>62637000</v>
      </c>
      <c r="W3" s="101">
        <v>53987394</v>
      </c>
      <c r="X3" s="101">
        <v>3283</v>
      </c>
      <c r="Y3" s="101">
        <v>5263</v>
      </c>
      <c r="Z3" s="101">
        <v>682</v>
      </c>
      <c r="AA3" s="101">
        <v>560</v>
      </c>
      <c r="AB3" s="101">
        <v>1214</v>
      </c>
      <c r="AC3" s="101">
        <v>148</v>
      </c>
      <c r="AD3" s="101">
        <v>1049</v>
      </c>
      <c r="AE3" s="101">
        <v>21</v>
      </c>
      <c r="AF3" s="101">
        <v>1016</v>
      </c>
      <c r="AG3" s="101">
        <f t="shared" ref="AG3:AG66" si="1">SUM(U3,-V3/1000,W3/1000,-X3,-Y3,-Z3,-AA3,-AB3,-AC3,-AD3,-AE3,-AF3)</f>
        <v>75538.394</v>
      </c>
      <c r="AH3" s="101">
        <v>33209</v>
      </c>
      <c r="AI3" s="101">
        <f t="shared" ref="AI3:AI66" si="2">AG3*1000/AH3</f>
        <v>2274.6362130747689</v>
      </c>
      <c r="AJ3" t="s">
        <v>465</v>
      </c>
      <c r="AN3" t="s">
        <v>139</v>
      </c>
      <c r="AO3" s="259">
        <v>3310.1848779965753</v>
      </c>
      <c r="AP3" t="s">
        <v>439</v>
      </c>
      <c r="AR3" t="s">
        <v>439</v>
      </c>
      <c r="AS3">
        <v>3399</v>
      </c>
    </row>
    <row r="4" spans="1:45" x14ac:dyDescent="0.25">
      <c r="B4" t="s">
        <v>163</v>
      </c>
      <c r="C4" s="101">
        <v>87822</v>
      </c>
      <c r="D4" s="101">
        <v>867</v>
      </c>
      <c r="E4" s="101">
        <v>824</v>
      </c>
      <c r="F4" s="101">
        <v>2778</v>
      </c>
      <c r="G4" s="101">
        <v>18981</v>
      </c>
      <c r="H4" s="101">
        <v>7543</v>
      </c>
      <c r="I4" s="101">
        <v>2165</v>
      </c>
      <c r="J4" s="101">
        <v>1400</v>
      </c>
      <c r="K4" s="101">
        <v>291</v>
      </c>
      <c r="L4" s="101">
        <v>1659</v>
      </c>
      <c r="M4" s="101">
        <v>4378</v>
      </c>
      <c r="N4" s="101">
        <v>17530</v>
      </c>
      <c r="O4" s="101">
        <v>10938</v>
      </c>
      <c r="P4" s="101">
        <v>12693</v>
      </c>
      <c r="Q4" s="101">
        <v>5331</v>
      </c>
      <c r="R4" s="101">
        <v>444</v>
      </c>
      <c r="S4" s="101"/>
      <c r="T4" t="s">
        <v>163</v>
      </c>
      <c r="U4" s="101">
        <f t="shared" si="0"/>
        <v>83353</v>
      </c>
      <c r="V4" s="101">
        <v>72791000</v>
      </c>
      <c r="W4" s="101">
        <v>57235641</v>
      </c>
      <c r="X4" s="101">
        <v>2115</v>
      </c>
      <c r="Y4" s="101">
        <v>1977</v>
      </c>
      <c r="Z4" s="101">
        <v>520</v>
      </c>
      <c r="AA4" s="101">
        <v>321</v>
      </c>
      <c r="AB4" s="101">
        <v>173</v>
      </c>
      <c r="AC4" s="101">
        <v>147</v>
      </c>
      <c r="AD4" s="101">
        <v>169</v>
      </c>
      <c r="AE4" s="101">
        <v>1</v>
      </c>
      <c r="AF4" s="101">
        <v>129</v>
      </c>
      <c r="AG4" s="101">
        <f t="shared" si="1"/>
        <v>62245.641000000003</v>
      </c>
      <c r="AH4" s="101">
        <v>27471</v>
      </c>
      <c r="AI4" s="101">
        <f t="shared" si="2"/>
        <v>2265.8673146226929</v>
      </c>
      <c r="AJ4" t="s">
        <v>116</v>
      </c>
      <c r="AN4" t="s">
        <v>427</v>
      </c>
      <c r="AO4" s="259">
        <v>2918.0138694080238</v>
      </c>
      <c r="AP4" t="s">
        <v>439</v>
      </c>
      <c r="AR4" t="s">
        <v>116</v>
      </c>
      <c r="AS4">
        <v>2144</v>
      </c>
    </row>
    <row r="5" spans="1:45" x14ac:dyDescent="0.25">
      <c r="B5" t="s">
        <v>125</v>
      </c>
      <c r="C5" s="101">
        <v>103467</v>
      </c>
      <c r="D5" s="101">
        <v>365</v>
      </c>
      <c r="E5" s="101">
        <v>248</v>
      </c>
      <c r="F5" s="101">
        <v>4045</v>
      </c>
      <c r="G5" s="101">
        <v>26904</v>
      </c>
      <c r="H5" s="101">
        <v>10026</v>
      </c>
      <c r="I5" s="101">
        <v>2329</v>
      </c>
      <c r="J5" s="101">
        <v>2944</v>
      </c>
      <c r="K5" s="101">
        <v>179</v>
      </c>
      <c r="L5" s="101">
        <v>2498</v>
      </c>
      <c r="M5" s="101">
        <v>4550</v>
      </c>
      <c r="N5" s="101">
        <v>19118</v>
      </c>
      <c r="O5" s="101">
        <v>10089</v>
      </c>
      <c r="P5" s="101">
        <v>12550</v>
      </c>
      <c r="Q5" s="101">
        <v>7481</v>
      </c>
      <c r="R5" s="101">
        <v>141</v>
      </c>
      <c r="S5" s="101"/>
      <c r="T5" t="s">
        <v>125</v>
      </c>
      <c r="U5" s="101">
        <f t="shared" si="0"/>
        <v>98809</v>
      </c>
      <c r="V5" s="101">
        <v>82487000</v>
      </c>
      <c r="W5" s="101">
        <v>63588769</v>
      </c>
      <c r="X5" s="101">
        <v>2857</v>
      </c>
      <c r="Y5" s="101">
        <v>3670</v>
      </c>
      <c r="Z5" s="101">
        <v>507</v>
      </c>
      <c r="AA5" s="101">
        <v>0</v>
      </c>
      <c r="AB5" s="101">
        <v>484</v>
      </c>
      <c r="AC5" s="101">
        <v>133</v>
      </c>
      <c r="AD5" s="101">
        <v>20</v>
      </c>
      <c r="AE5" s="101">
        <v>0</v>
      </c>
      <c r="AF5" s="101">
        <v>116</v>
      </c>
      <c r="AG5" s="101">
        <f t="shared" si="1"/>
        <v>72123.769</v>
      </c>
      <c r="AH5" s="101">
        <v>28197</v>
      </c>
      <c r="AI5" s="101">
        <f t="shared" si="2"/>
        <v>2557.8525729687553</v>
      </c>
      <c r="AJ5" t="s">
        <v>116</v>
      </c>
      <c r="AN5" t="s">
        <v>212</v>
      </c>
      <c r="AO5" s="259">
        <v>2949.9502235013169</v>
      </c>
      <c r="AP5" t="s">
        <v>439</v>
      </c>
      <c r="AR5" t="s">
        <v>116</v>
      </c>
      <c r="AS5">
        <v>2694</v>
      </c>
    </row>
    <row r="6" spans="1:45" x14ac:dyDescent="0.25">
      <c r="B6" t="s">
        <v>281</v>
      </c>
      <c r="C6" s="101">
        <v>68853</v>
      </c>
      <c r="D6" s="101">
        <v>449</v>
      </c>
      <c r="E6" s="101">
        <v>1414</v>
      </c>
      <c r="F6" s="101">
        <v>2705</v>
      </c>
      <c r="G6" s="101">
        <v>10712</v>
      </c>
      <c r="H6" s="101">
        <v>6861</v>
      </c>
      <c r="I6" s="101">
        <v>2618</v>
      </c>
      <c r="J6" s="101">
        <v>910</v>
      </c>
      <c r="K6" s="101">
        <v>296</v>
      </c>
      <c r="L6" s="101">
        <v>1668</v>
      </c>
      <c r="M6" s="101">
        <v>4399</v>
      </c>
      <c r="N6" s="101">
        <v>12202</v>
      </c>
      <c r="O6" s="101">
        <v>8242</v>
      </c>
      <c r="P6" s="101">
        <v>9594</v>
      </c>
      <c r="Q6" s="101">
        <v>5394</v>
      </c>
      <c r="R6" s="101">
        <v>1389</v>
      </c>
      <c r="S6" s="101"/>
      <c r="T6" t="s">
        <v>281</v>
      </c>
      <c r="U6" s="101">
        <f t="shared" si="0"/>
        <v>64285</v>
      </c>
      <c r="V6" s="101">
        <v>49939000</v>
      </c>
      <c r="W6" s="101">
        <v>40847475</v>
      </c>
      <c r="X6" s="101">
        <v>1768</v>
      </c>
      <c r="Y6" s="101">
        <v>3920</v>
      </c>
      <c r="Z6" s="101">
        <v>492</v>
      </c>
      <c r="AA6" s="101">
        <v>773</v>
      </c>
      <c r="AB6" s="101">
        <v>704</v>
      </c>
      <c r="AC6" s="101">
        <v>107</v>
      </c>
      <c r="AD6" s="101">
        <v>51</v>
      </c>
      <c r="AE6" s="101">
        <v>0</v>
      </c>
      <c r="AF6" s="101">
        <v>4</v>
      </c>
      <c r="AG6" s="101">
        <f t="shared" si="1"/>
        <v>47374.474999999999</v>
      </c>
      <c r="AH6" s="101">
        <v>20247</v>
      </c>
      <c r="AI6" s="101">
        <f t="shared" si="2"/>
        <v>2339.8268879340148</v>
      </c>
      <c r="AJ6" t="s">
        <v>465</v>
      </c>
      <c r="AN6" t="s">
        <v>239</v>
      </c>
      <c r="AO6" s="259">
        <v>4055.3422786877009</v>
      </c>
      <c r="AP6" t="s">
        <v>439</v>
      </c>
      <c r="AR6" t="s">
        <v>465</v>
      </c>
      <c r="AS6">
        <v>1907</v>
      </c>
    </row>
    <row r="7" spans="1:45" x14ac:dyDescent="0.25">
      <c r="B7" t="s">
        <v>282</v>
      </c>
      <c r="C7" s="101">
        <v>76235</v>
      </c>
      <c r="D7" s="101">
        <v>3445</v>
      </c>
      <c r="E7" s="101">
        <v>586</v>
      </c>
      <c r="F7" s="101">
        <v>3706</v>
      </c>
      <c r="G7" s="101">
        <v>15342</v>
      </c>
      <c r="H7" s="101">
        <v>9556</v>
      </c>
      <c r="I7" s="101">
        <v>2202</v>
      </c>
      <c r="J7" s="101">
        <v>4324</v>
      </c>
      <c r="K7" s="101">
        <v>72</v>
      </c>
      <c r="L7" s="101">
        <v>1387</v>
      </c>
      <c r="M7" s="101">
        <v>3761</v>
      </c>
      <c r="N7" s="101">
        <v>7661</v>
      </c>
      <c r="O7" s="101">
        <v>8634</v>
      </c>
      <c r="P7" s="101">
        <v>6295</v>
      </c>
      <c r="Q7" s="101">
        <v>8190</v>
      </c>
      <c r="R7" s="101">
        <v>1074</v>
      </c>
      <c r="S7" s="101"/>
      <c r="T7" t="s">
        <v>282</v>
      </c>
      <c r="U7" s="101">
        <f t="shared" si="0"/>
        <v>68498</v>
      </c>
      <c r="V7" s="101">
        <v>49341000</v>
      </c>
      <c r="W7" s="101">
        <v>41760520</v>
      </c>
      <c r="X7" s="101">
        <v>3401</v>
      </c>
      <c r="Y7" s="101">
        <v>4351</v>
      </c>
      <c r="Z7" s="101">
        <v>650</v>
      </c>
      <c r="AA7" s="101">
        <v>213</v>
      </c>
      <c r="AB7" s="101">
        <v>485</v>
      </c>
      <c r="AC7" s="101">
        <v>41</v>
      </c>
      <c r="AD7" s="101">
        <v>0</v>
      </c>
      <c r="AE7" s="101">
        <v>0</v>
      </c>
      <c r="AF7" s="101">
        <v>155</v>
      </c>
      <c r="AG7" s="101">
        <f t="shared" si="1"/>
        <v>51621.52</v>
      </c>
      <c r="AH7" s="101">
        <v>26710</v>
      </c>
      <c r="AI7" s="101">
        <f t="shared" si="2"/>
        <v>1932.6664170722577</v>
      </c>
      <c r="AJ7" t="s">
        <v>465</v>
      </c>
      <c r="AN7" t="s">
        <v>164</v>
      </c>
      <c r="AO7" s="259">
        <v>2918.387107490968</v>
      </c>
      <c r="AP7" t="s">
        <v>439</v>
      </c>
      <c r="AR7" t="s">
        <v>465</v>
      </c>
      <c r="AS7">
        <v>2408</v>
      </c>
    </row>
    <row r="8" spans="1:45" x14ac:dyDescent="0.25">
      <c r="B8" t="s">
        <v>237</v>
      </c>
      <c r="C8" s="101">
        <v>495798</v>
      </c>
      <c r="D8" s="101">
        <v>3139</v>
      </c>
      <c r="E8" s="101">
        <v>5108</v>
      </c>
      <c r="F8" s="101">
        <v>21752</v>
      </c>
      <c r="G8" s="101">
        <v>64975</v>
      </c>
      <c r="H8" s="101">
        <v>24002</v>
      </c>
      <c r="I8" s="101">
        <v>15745</v>
      </c>
      <c r="J8" s="101">
        <v>25739</v>
      </c>
      <c r="K8" s="101">
        <v>12211</v>
      </c>
      <c r="L8" s="101">
        <v>14992</v>
      </c>
      <c r="M8" s="101">
        <v>49819</v>
      </c>
      <c r="N8" s="101">
        <v>78625</v>
      </c>
      <c r="O8" s="101">
        <v>47669</v>
      </c>
      <c r="P8" s="101">
        <v>85770</v>
      </c>
      <c r="Q8" s="101">
        <v>37593</v>
      </c>
      <c r="R8" s="101">
        <v>8659</v>
      </c>
      <c r="S8" s="101"/>
      <c r="T8" t="s">
        <v>237</v>
      </c>
      <c r="U8" s="101">
        <f t="shared" si="0"/>
        <v>465799</v>
      </c>
      <c r="V8" s="101">
        <v>354628000</v>
      </c>
      <c r="W8" s="101">
        <v>255438868</v>
      </c>
      <c r="X8" s="101">
        <v>11850</v>
      </c>
      <c r="Y8" s="101">
        <v>18008</v>
      </c>
      <c r="Z8" s="101">
        <v>1712</v>
      </c>
      <c r="AA8" s="101">
        <v>503</v>
      </c>
      <c r="AB8" s="101">
        <v>4117</v>
      </c>
      <c r="AC8" s="101">
        <v>955</v>
      </c>
      <c r="AD8" s="101">
        <v>655</v>
      </c>
      <c r="AE8" s="101">
        <v>13234</v>
      </c>
      <c r="AF8" s="101">
        <v>1600</v>
      </c>
      <c r="AG8" s="101">
        <f t="shared" si="1"/>
        <v>313975.86800000002</v>
      </c>
      <c r="AH8" s="101">
        <v>112923</v>
      </c>
      <c r="AI8" s="101">
        <f t="shared" si="2"/>
        <v>2780.4421419905598</v>
      </c>
      <c r="AJ8" t="s">
        <v>439</v>
      </c>
      <c r="AN8" t="s">
        <v>165</v>
      </c>
      <c r="AO8" s="259">
        <v>3102.9891082208123</v>
      </c>
      <c r="AP8" t="s">
        <v>439</v>
      </c>
    </row>
    <row r="9" spans="1:45" x14ac:dyDescent="0.25">
      <c r="B9" t="s">
        <v>139</v>
      </c>
      <c r="C9" s="101">
        <v>379372</v>
      </c>
      <c r="D9" s="101">
        <v>4909</v>
      </c>
      <c r="E9" s="101">
        <v>2176</v>
      </c>
      <c r="F9" s="101">
        <v>13860</v>
      </c>
      <c r="G9" s="101">
        <v>93017</v>
      </c>
      <c r="H9" s="101">
        <v>16401</v>
      </c>
      <c r="I9" s="101">
        <v>7249</v>
      </c>
      <c r="J9" s="101">
        <v>11251</v>
      </c>
      <c r="K9" s="101">
        <v>11374</v>
      </c>
      <c r="L9" s="101">
        <v>9074</v>
      </c>
      <c r="M9" s="101">
        <v>12894</v>
      </c>
      <c r="N9" s="101">
        <v>59962</v>
      </c>
      <c r="O9" s="101">
        <v>57064</v>
      </c>
      <c r="P9" s="101">
        <v>53741</v>
      </c>
      <c r="Q9" s="101">
        <v>23765</v>
      </c>
      <c r="R9" s="101">
        <v>2635</v>
      </c>
      <c r="S9" s="101"/>
      <c r="T9" t="s">
        <v>139</v>
      </c>
      <c r="U9" s="101">
        <f t="shared" si="0"/>
        <v>358427</v>
      </c>
      <c r="V9" s="101">
        <v>278527000</v>
      </c>
      <c r="W9" s="101">
        <v>195268940</v>
      </c>
      <c r="X9" s="101">
        <v>12418</v>
      </c>
      <c r="Y9" s="101">
        <v>9310</v>
      </c>
      <c r="Z9" s="101">
        <v>1498</v>
      </c>
      <c r="AA9" s="101">
        <v>431</v>
      </c>
      <c r="AB9" s="101">
        <v>1418</v>
      </c>
      <c r="AC9" s="101">
        <v>224</v>
      </c>
      <c r="AD9" s="101">
        <v>467</v>
      </c>
      <c r="AE9" s="101">
        <v>1720</v>
      </c>
      <c r="AF9" s="101">
        <v>240</v>
      </c>
      <c r="AG9" s="101">
        <f t="shared" si="1"/>
        <v>247442.94</v>
      </c>
      <c r="AH9" s="101">
        <v>74752</v>
      </c>
      <c r="AI9" s="101">
        <f t="shared" si="2"/>
        <v>3310.1848779965753</v>
      </c>
      <c r="AJ9" t="s">
        <v>439</v>
      </c>
      <c r="AN9" t="s">
        <v>105</v>
      </c>
      <c r="AO9" s="259">
        <v>2905.9848994957028</v>
      </c>
      <c r="AP9" t="s">
        <v>439</v>
      </c>
    </row>
    <row r="10" spans="1:45" x14ac:dyDescent="0.25">
      <c r="B10" t="s">
        <v>427</v>
      </c>
      <c r="C10" s="101">
        <v>1202050</v>
      </c>
      <c r="D10" s="101">
        <v>124025</v>
      </c>
      <c r="E10" s="101">
        <v>23033</v>
      </c>
      <c r="F10" s="101">
        <v>33372</v>
      </c>
      <c r="G10" s="101">
        <v>194083</v>
      </c>
      <c r="H10" s="101">
        <v>50337</v>
      </c>
      <c r="I10" s="101">
        <v>23183</v>
      </c>
      <c r="J10" s="101">
        <v>62188</v>
      </c>
      <c r="K10" s="101">
        <v>8910</v>
      </c>
      <c r="L10" s="101">
        <v>40565</v>
      </c>
      <c r="M10" s="101">
        <v>73790</v>
      </c>
      <c r="N10" s="101">
        <v>135684</v>
      </c>
      <c r="O10" s="101">
        <v>147193</v>
      </c>
      <c r="P10" s="101">
        <v>172458</v>
      </c>
      <c r="Q10" s="101">
        <v>85450</v>
      </c>
      <c r="R10" s="101">
        <v>27779</v>
      </c>
      <c r="S10" s="101"/>
      <c r="T10" t="s">
        <v>427</v>
      </c>
      <c r="U10" s="101">
        <f t="shared" si="0"/>
        <v>1021620</v>
      </c>
      <c r="V10" s="101">
        <v>734165000</v>
      </c>
      <c r="W10" s="101">
        <v>494929444</v>
      </c>
      <c r="X10" s="101">
        <v>24906</v>
      </c>
      <c r="Y10" s="101">
        <v>42705</v>
      </c>
      <c r="Z10" s="101">
        <v>4143</v>
      </c>
      <c r="AA10" s="101">
        <v>0</v>
      </c>
      <c r="AB10" s="101">
        <v>11538</v>
      </c>
      <c r="AC10" s="101">
        <v>835</v>
      </c>
      <c r="AD10" s="101">
        <v>1718</v>
      </c>
      <c r="AE10" s="101">
        <v>23673</v>
      </c>
      <c r="AF10" s="101">
        <v>2978</v>
      </c>
      <c r="AG10" s="101">
        <f t="shared" si="1"/>
        <v>669888.44400000002</v>
      </c>
      <c r="AH10" s="101">
        <v>229570</v>
      </c>
      <c r="AI10" s="101">
        <f t="shared" si="2"/>
        <v>2918.0138694080238</v>
      </c>
      <c r="AJ10" t="s">
        <v>439</v>
      </c>
      <c r="AN10" t="s">
        <v>345</v>
      </c>
      <c r="AO10" s="259">
        <v>3534.6296712999892</v>
      </c>
      <c r="AP10" t="s">
        <v>439</v>
      </c>
    </row>
    <row r="11" spans="1:45" x14ac:dyDescent="0.25">
      <c r="B11" t="s">
        <v>283</v>
      </c>
      <c r="C11" s="101">
        <v>418222</v>
      </c>
      <c r="D11" s="101">
        <v>14709</v>
      </c>
      <c r="E11" s="101">
        <v>7101</v>
      </c>
      <c r="F11" s="101">
        <v>19185</v>
      </c>
      <c r="G11" s="101">
        <v>88535</v>
      </c>
      <c r="H11" s="101">
        <v>24248</v>
      </c>
      <c r="I11" s="101">
        <v>9871</v>
      </c>
      <c r="J11" s="101">
        <v>16813</v>
      </c>
      <c r="K11" s="101">
        <v>7819</v>
      </c>
      <c r="L11" s="101">
        <v>16656</v>
      </c>
      <c r="M11" s="101">
        <v>22818</v>
      </c>
      <c r="N11" s="101">
        <v>51406</v>
      </c>
      <c r="O11" s="101">
        <v>44797</v>
      </c>
      <c r="P11" s="101">
        <v>53418</v>
      </c>
      <c r="Q11" s="101">
        <v>31184</v>
      </c>
      <c r="R11" s="101">
        <v>9662</v>
      </c>
      <c r="S11" s="101"/>
      <c r="T11" t="s">
        <v>283</v>
      </c>
      <c r="U11" s="101">
        <f t="shared" si="0"/>
        <v>377227</v>
      </c>
      <c r="V11" s="101">
        <v>281535000</v>
      </c>
      <c r="W11" s="101">
        <v>226293401</v>
      </c>
      <c r="X11" s="101">
        <v>15840</v>
      </c>
      <c r="Y11" s="101">
        <v>14725</v>
      </c>
      <c r="Z11" s="101">
        <v>2292</v>
      </c>
      <c r="AA11" s="101">
        <v>900</v>
      </c>
      <c r="AB11" s="101">
        <v>5725</v>
      </c>
      <c r="AC11" s="101">
        <v>219</v>
      </c>
      <c r="AD11" s="101">
        <v>300</v>
      </c>
      <c r="AE11" s="101">
        <v>3772</v>
      </c>
      <c r="AF11" s="101">
        <v>912</v>
      </c>
      <c r="AG11" s="101">
        <f t="shared" si="1"/>
        <v>277300.40100000001</v>
      </c>
      <c r="AH11" s="101">
        <v>115746</v>
      </c>
      <c r="AI11" s="101">
        <f t="shared" si="2"/>
        <v>2395.7666010056505</v>
      </c>
      <c r="AJ11" t="s">
        <v>465</v>
      </c>
      <c r="AN11" t="s">
        <v>352</v>
      </c>
      <c r="AO11" s="259">
        <v>2847.4461961299344</v>
      </c>
      <c r="AP11" t="s">
        <v>439</v>
      </c>
    </row>
    <row r="12" spans="1:45" x14ac:dyDescent="0.25">
      <c r="B12" t="s">
        <v>341</v>
      </c>
      <c r="C12" s="101">
        <v>30487</v>
      </c>
      <c r="D12" s="101">
        <v>657</v>
      </c>
      <c r="E12" s="101">
        <v>642</v>
      </c>
      <c r="F12" s="101">
        <v>887</v>
      </c>
      <c r="G12" s="101">
        <v>1122</v>
      </c>
      <c r="H12" s="101">
        <v>6592</v>
      </c>
      <c r="I12" s="101">
        <v>1337</v>
      </c>
      <c r="J12" s="101">
        <v>1582</v>
      </c>
      <c r="K12" s="101">
        <v>186</v>
      </c>
      <c r="L12" s="101">
        <v>631</v>
      </c>
      <c r="M12" s="101">
        <v>2822</v>
      </c>
      <c r="N12" s="101">
        <v>3082</v>
      </c>
      <c r="O12" s="101">
        <v>1743</v>
      </c>
      <c r="P12" s="101">
        <v>3686</v>
      </c>
      <c r="Q12" s="101">
        <v>4370</v>
      </c>
      <c r="R12" s="101">
        <v>1148</v>
      </c>
      <c r="S12" s="101"/>
      <c r="T12" t="s">
        <v>341</v>
      </c>
      <c r="U12" s="101">
        <f t="shared" si="0"/>
        <v>28301</v>
      </c>
      <c r="V12" s="101">
        <v>20972000</v>
      </c>
      <c r="W12" s="101">
        <v>18249606</v>
      </c>
      <c r="X12" s="101">
        <v>1769</v>
      </c>
      <c r="Y12" s="101">
        <v>1363</v>
      </c>
      <c r="Z12" s="101">
        <v>160</v>
      </c>
      <c r="AA12" s="101">
        <v>19</v>
      </c>
      <c r="AB12" s="101">
        <v>398</v>
      </c>
      <c r="AC12" s="101">
        <v>89</v>
      </c>
      <c r="AD12" s="101">
        <v>300</v>
      </c>
      <c r="AE12" s="101">
        <v>0</v>
      </c>
      <c r="AF12" s="101">
        <v>25</v>
      </c>
      <c r="AG12" s="101">
        <f t="shared" si="1"/>
        <v>21455.606</v>
      </c>
      <c r="AH12" s="101">
        <v>10510</v>
      </c>
      <c r="AI12" s="101">
        <f t="shared" si="2"/>
        <v>2041.4468125594672</v>
      </c>
      <c r="AJ12" t="s">
        <v>465</v>
      </c>
      <c r="AN12" t="s">
        <v>400</v>
      </c>
      <c r="AO12" s="259">
        <v>2822.733173513494</v>
      </c>
      <c r="AP12" t="s">
        <v>439</v>
      </c>
    </row>
    <row r="13" spans="1:45" x14ac:dyDescent="0.25">
      <c r="B13" t="s">
        <v>591</v>
      </c>
      <c r="C13" s="101">
        <v>189493</v>
      </c>
      <c r="D13" s="101">
        <v>15695</v>
      </c>
      <c r="E13" s="101">
        <v>2503</v>
      </c>
      <c r="F13" s="101">
        <v>7961</v>
      </c>
      <c r="G13" s="101">
        <v>45898</v>
      </c>
      <c r="H13" s="101">
        <v>14115</v>
      </c>
      <c r="I13" s="101">
        <v>4325</v>
      </c>
      <c r="J13" s="101">
        <v>9896</v>
      </c>
      <c r="K13" s="101">
        <v>1083</v>
      </c>
      <c r="L13" s="101">
        <v>4069</v>
      </c>
      <c r="M13" s="101">
        <v>9844</v>
      </c>
      <c r="N13" s="101">
        <v>17990</v>
      </c>
      <c r="O13" s="101">
        <v>17228</v>
      </c>
      <c r="P13" s="101">
        <v>20680</v>
      </c>
      <c r="Q13" s="101">
        <v>16729</v>
      </c>
      <c r="R13" s="101">
        <v>1477</v>
      </c>
      <c r="S13" s="101"/>
      <c r="T13" t="s">
        <v>591</v>
      </c>
      <c r="U13" s="101">
        <f t="shared" si="0"/>
        <v>163334</v>
      </c>
      <c r="V13" s="101">
        <v>126988000</v>
      </c>
      <c r="W13" s="101">
        <v>103905647</v>
      </c>
      <c r="X13" s="101">
        <v>7085</v>
      </c>
      <c r="Y13" s="101">
        <v>7732</v>
      </c>
      <c r="Z13" s="101">
        <v>1218</v>
      </c>
      <c r="AA13" s="101">
        <v>963</v>
      </c>
      <c r="AB13" s="101">
        <v>2789</v>
      </c>
      <c r="AC13" s="101">
        <v>1172</v>
      </c>
      <c r="AD13" s="101">
        <v>418</v>
      </c>
      <c r="AE13" s="101">
        <v>0</v>
      </c>
      <c r="AF13" s="101">
        <v>854</v>
      </c>
      <c r="AG13" s="101">
        <f t="shared" si="1"/>
        <v>118020.647</v>
      </c>
      <c r="AH13" s="101">
        <v>58736</v>
      </c>
      <c r="AI13" s="101">
        <f t="shared" si="2"/>
        <v>2009.3408982566059</v>
      </c>
      <c r="AJ13" t="s">
        <v>465</v>
      </c>
      <c r="AN13" t="s">
        <v>245</v>
      </c>
      <c r="AO13" s="259">
        <v>2942.2361662695262</v>
      </c>
      <c r="AP13" t="s">
        <v>439</v>
      </c>
    </row>
    <row r="14" spans="1:45" x14ac:dyDescent="0.25">
      <c r="B14" t="s">
        <v>126</v>
      </c>
      <c r="C14" s="101">
        <v>29250</v>
      </c>
      <c r="D14" s="101">
        <v>6</v>
      </c>
      <c r="E14" s="101">
        <v>1203</v>
      </c>
      <c r="F14" s="101">
        <v>2512</v>
      </c>
      <c r="G14" s="101">
        <v>10673</v>
      </c>
      <c r="H14" s="101">
        <v>2490</v>
      </c>
      <c r="I14" s="101">
        <v>904</v>
      </c>
      <c r="J14" s="101">
        <v>2109</v>
      </c>
      <c r="K14" s="101">
        <v>1013</v>
      </c>
      <c r="L14" s="101">
        <v>823</v>
      </c>
      <c r="M14" s="101">
        <v>1725</v>
      </c>
      <c r="N14" s="101">
        <v>312</v>
      </c>
      <c r="O14" s="101">
        <v>466</v>
      </c>
      <c r="P14" s="101">
        <v>1582</v>
      </c>
      <c r="Q14" s="101">
        <v>1454</v>
      </c>
      <c r="R14" s="101">
        <v>1978</v>
      </c>
      <c r="S14" s="101"/>
      <c r="T14" t="s">
        <v>126</v>
      </c>
      <c r="U14" s="101">
        <f t="shared" si="0"/>
        <v>25529</v>
      </c>
      <c r="V14" s="101">
        <v>14760000</v>
      </c>
      <c r="W14" s="101">
        <v>11148791</v>
      </c>
      <c r="X14" s="101">
        <v>855</v>
      </c>
      <c r="Y14" s="101">
        <v>1509</v>
      </c>
      <c r="Z14" s="101">
        <v>58</v>
      </c>
      <c r="AA14" s="101">
        <v>50</v>
      </c>
      <c r="AB14" s="101">
        <v>238</v>
      </c>
      <c r="AC14" s="101">
        <v>91</v>
      </c>
      <c r="AD14" s="101">
        <v>4112</v>
      </c>
      <c r="AE14" s="101">
        <v>0</v>
      </c>
      <c r="AF14" s="101">
        <v>109</v>
      </c>
      <c r="AG14" s="101">
        <f t="shared" si="1"/>
        <v>14895.790999999997</v>
      </c>
      <c r="AH14" s="101">
        <v>3807</v>
      </c>
      <c r="AI14" s="101">
        <f t="shared" si="2"/>
        <v>3912.7373259784604</v>
      </c>
      <c r="AJ14" t="s">
        <v>465</v>
      </c>
      <c r="AN14" t="s">
        <v>142</v>
      </c>
      <c r="AO14" s="259">
        <v>2739.160544961218</v>
      </c>
      <c r="AP14" t="s">
        <v>439</v>
      </c>
    </row>
    <row r="15" spans="1:45" x14ac:dyDescent="0.25">
      <c r="B15" t="s">
        <v>212</v>
      </c>
      <c r="C15" s="101">
        <v>732258</v>
      </c>
      <c r="D15" s="101">
        <v>21934</v>
      </c>
      <c r="E15" s="101">
        <v>5009</v>
      </c>
      <c r="F15" s="101">
        <v>21527</v>
      </c>
      <c r="G15" s="101">
        <v>122946</v>
      </c>
      <c r="H15" s="101">
        <v>42238</v>
      </c>
      <c r="I15" s="101">
        <v>12759</v>
      </c>
      <c r="J15" s="101">
        <v>25912</v>
      </c>
      <c r="K15" s="101">
        <v>22299</v>
      </c>
      <c r="L15" s="101">
        <v>31776</v>
      </c>
      <c r="M15" s="101">
        <v>67588</v>
      </c>
      <c r="N15" s="101">
        <v>100744</v>
      </c>
      <c r="O15" s="101">
        <v>89468</v>
      </c>
      <c r="P15" s="101">
        <v>105737</v>
      </c>
      <c r="Q15" s="101">
        <v>54543</v>
      </c>
      <c r="R15" s="101">
        <v>7778</v>
      </c>
      <c r="S15" s="101"/>
      <c r="T15" t="s">
        <v>212</v>
      </c>
      <c r="U15" s="101">
        <f t="shared" si="0"/>
        <v>683788</v>
      </c>
      <c r="V15" s="101">
        <v>493830000</v>
      </c>
      <c r="W15" s="101">
        <v>356380371</v>
      </c>
      <c r="X15" s="101">
        <v>16939</v>
      </c>
      <c r="Y15" s="101">
        <v>25693</v>
      </c>
      <c r="Z15" s="101">
        <v>2899</v>
      </c>
      <c r="AA15" s="101">
        <v>4401</v>
      </c>
      <c r="AB15" s="101">
        <v>6105</v>
      </c>
      <c r="AC15" s="101">
        <v>1239</v>
      </c>
      <c r="AD15" s="101">
        <v>1152</v>
      </c>
      <c r="AE15" s="101">
        <v>3867</v>
      </c>
      <c r="AF15" s="101">
        <v>2287</v>
      </c>
      <c r="AG15" s="101">
        <f t="shared" si="1"/>
        <v>481756.37100000004</v>
      </c>
      <c r="AH15" s="101">
        <v>163310</v>
      </c>
      <c r="AI15" s="101">
        <f t="shared" si="2"/>
        <v>2949.9502235013169</v>
      </c>
      <c r="AJ15" t="s">
        <v>439</v>
      </c>
      <c r="AN15" t="s">
        <v>173</v>
      </c>
      <c r="AO15" s="259">
        <v>2814.2901079136695</v>
      </c>
      <c r="AP15" t="s">
        <v>439</v>
      </c>
    </row>
    <row r="16" spans="1:45" x14ac:dyDescent="0.25">
      <c r="B16" t="s">
        <v>238</v>
      </c>
      <c r="C16" s="101">
        <v>375880</v>
      </c>
      <c r="D16" s="101">
        <v>24364</v>
      </c>
      <c r="E16" s="101">
        <v>2766</v>
      </c>
      <c r="F16" s="101">
        <v>13698</v>
      </c>
      <c r="G16" s="101">
        <v>116346</v>
      </c>
      <c r="H16" s="101">
        <v>29574</v>
      </c>
      <c r="I16" s="101">
        <v>9252</v>
      </c>
      <c r="J16" s="101">
        <v>12407</v>
      </c>
      <c r="K16" s="101">
        <v>3733</v>
      </c>
      <c r="L16" s="101">
        <v>10746</v>
      </c>
      <c r="M16" s="101">
        <v>27588</v>
      </c>
      <c r="N16" s="101">
        <v>30616</v>
      </c>
      <c r="O16" s="101">
        <v>30940</v>
      </c>
      <c r="P16" s="101">
        <v>33460</v>
      </c>
      <c r="Q16" s="101">
        <v>20795</v>
      </c>
      <c r="R16" s="101">
        <v>9595</v>
      </c>
      <c r="S16" s="101"/>
      <c r="T16" t="s">
        <v>238</v>
      </c>
      <c r="U16" s="101">
        <f t="shared" si="0"/>
        <v>335052</v>
      </c>
      <c r="V16" s="101">
        <v>205155000</v>
      </c>
      <c r="W16" s="101">
        <v>168731020</v>
      </c>
      <c r="X16" s="101">
        <v>9548</v>
      </c>
      <c r="Y16" s="101">
        <v>12581</v>
      </c>
      <c r="Z16" s="101">
        <v>2978</v>
      </c>
      <c r="AA16" s="101">
        <v>5044</v>
      </c>
      <c r="AB16" s="101">
        <v>2189</v>
      </c>
      <c r="AC16" s="101">
        <v>299</v>
      </c>
      <c r="AD16" s="101">
        <v>3020</v>
      </c>
      <c r="AE16" s="101">
        <v>4402</v>
      </c>
      <c r="AF16" s="101">
        <v>1453</v>
      </c>
      <c r="AG16" s="101">
        <f t="shared" si="1"/>
        <v>257114.02000000002</v>
      </c>
      <c r="AH16" s="101">
        <v>95862</v>
      </c>
      <c r="AI16" s="101">
        <f t="shared" si="2"/>
        <v>2682.1265986522294</v>
      </c>
      <c r="AJ16" t="s">
        <v>465</v>
      </c>
      <c r="AN16" t="s">
        <v>174</v>
      </c>
      <c r="AO16" s="259">
        <v>3012.6221545020067</v>
      </c>
      <c r="AP16" t="s">
        <v>439</v>
      </c>
    </row>
    <row r="17" spans="2:42" x14ac:dyDescent="0.25">
      <c r="B17" t="s">
        <v>239</v>
      </c>
      <c r="C17" s="101">
        <v>6836006</v>
      </c>
      <c r="D17" s="101">
        <v>356407</v>
      </c>
      <c r="E17" s="101">
        <v>120829</v>
      </c>
      <c r="F17" s="101">
        <v>232955</v>
      </c>
      <c r="G17" s="101">
        <v>1615177</v>
      </c>
      <c r="H17" s="101">
        <v>374740</v>
      </c>
      <c r="I17" s="101">
        <v>157971</v>
      </c>
      <c r="J17" s="101">
        <v>546914</v>
      </c>
      <c r="K17" s="101">
        <v>232579</v>
      </c>
      <c r="L17" s="101">
        <v>194636</v>
      </c>
      <c r="M17" s="101">
        <v>412147</v>
      </c>
      <c r="N17" s="101">
        <v>1033042</v>
      </c>
      <c r="O17" s="101">
        <v>397869</v>
      </c>
      <c r="P17" s="101">
        <v>760224</v>
      </c>
      <c r="Q17" s="101">
        <v>292689</v>
      </c>
      <c r="R17" s="101">
        <v>107827</v>
      </c>
      <c r="S17" s="101"/>
      <c r="T17" t="s">
        <v>239</v>
      </c>
      <c r="U17" s="101">
        <f t="shared" si="0"/>
        <v>6125815</v>
      </c>
      <c r="V17" s="101">
        <v>3941035000</v>
      </c>
      <c r="W17" s="101">
        <v>2764100917</v>
      </c>
      <c r="X17" s="101">
        <v>111174</v>
      </c>
      <c r="Y17" s="101">
        <v>198170</v>
      </c>
      <c r="Z17" s="101">
        <v>24843</v>
      </c>
      <c r="AA17" s="101">
        <v>8206</v>
      </c>
      <c r="AB17" s="101">
        <v>63269</v>
      </c>
      <c r="AC17" s="101">
        <v>53627</v>
      </c>
      <c r="AD17" s="101">
        <v>265696</v>
      </c>
      <c r="AE17" s="101">
        <v>409258</v>
      </c>
      <c r="AF17" s="101">
        <v>19677</v>
      </c>
      <c r="AG17" s="101">
        <f t="shared" si="1"/>
        <v>3794960.9169999994</v>
      </c>
      <c r="AH17" s="101">
        <v>935793</v>
      </c>
      <c r="AI17" s="101">
        <f t="shared" si="2"/>
        <v>4055.3422786877009</v>
      </c>
      <c r="AJ17" t="s">
        <v>439</v>
      </c>
      <c r="AN17" t="s">
        <v>289</v>
      </c>
      <c r="AO17" s="259">
        <v>3583.4089639958647</v>
      </c>
      <c r="AP17" t="s">
        <v>439</v>
      </c>
    </row>
    <row r="18" spans="2:42" x14ac:dyDescent="0.25">
      <c r="B18" t="s">
        <v>164</v>
      </c>
      <c r="C18" s="101">
        <v>747480</v>
      </c>
      <c r="D18" s="101">
        <v>10682</v>
      </c>
      <c r="E18" s="101">
        <v>7561</v>
      </c>
      <c r="F18" s="101">
        <v>27248</v>
      </c>
      <c r="G18" s="101">
        <v>144904</v>
      </c>
      <c r="H18" s="101">
        <v>33411</v>
      </c>
      <c r="I18" s="101">
        <v>20608</v>
      </c>
      <c r="J18" s="101">
        <v>15031</v>
      </c>
      <c r="K18" s="101">
        <v>19175</v>
      </c>
      <c r="L18" s="101">
        <v>26837</v>
      </c>
      <c r="M18" s="101">
        <v>53414</v>
      </c>
      <c r="N18" s="101">
        <v>100833</v>
      </c>
      <c r="O18" s="101">
        <v>97962</v>
      </c>
      <c r="P18" s="101">
        <v>132444</v>
      </c>
      <c r="Q18" s="101">
        <v>48336</v>
      </c>
      <c r="R18" s="101">
        <v>9034</v>
      </c>
      <c r="S18" s="101"/>
      <c r="T18" t="s">
        <v>164</v>
      </c>
      <c r="U18" s="101">
        <f t="shared" si="0"/>
        <v>701989</v>
      </c>
      <c r="V18" s="101">
        <v>539338000</v>
      </c>
      <c r="W18" s="101">
        <v>386953086</v>
      </c>
      <c r="X18" s="101">
        <v>14043</v>
      </c>
      <c r="Y18" s="101">
        <v>23418</v>
      </c>
      <c r="Z18" s="101">
        <v>3929</v>
      </c>
      <c r="AA18" s="101">
        <v>1802</v>
      </c>
      <c r="AB18" s="101">
        <v>5549</v>
      </c>
      <c r="AC18" s="101">
        <v>1090</v>
      </c>
      <c r="AD18" s="101">
        <v>2389</v>
      </c>
      <c r="AE18" s="101">
        <v>4374</v>
      </c>
      <c r="AF18" s="101">
        <v>1078</v>
      </c>
      <c r="AG18" s="101">
        <f t="shared" si="1"/>
        <v>491932.08600000001</v>
      </c>
      <c r="AH18" s="101">
        <v>168563</v>
      </c>
      <c r="AI18" s="101">
        <f t="shared" si="2"/>
        <v>2918.387107490968</v>
      </c>
      <c r="AJ18" t="s">
        <v>439</v>
      </c>
      <c r="AN18" t="s">
        <v>177</v>
      </c>
      <c r="AO18" s="259">
        <v>2373.7347861775925</v>
      </c>
      <c r="AP18" t="s">
        <v>439</v>
      </c>
    </row>
    <row r="19" spans="2:42" x14ac:dyDescent="0.25">
      <c r="B19" t="s">
        <v>165</v>
      </c>
      <c r="C19" s="101">
        <v>1028921</v>
      </c>
      <c r="D19" s="101">
        <v>92826</v>
      </c>
      <c r="E19" s="101">
        <v>10499</v>
      </c>
      <c r="F19" s="101">
        <v>39864</v>
      </c>
      <c r="G19" s="101">
        <v>123161</v>
      </c>
      <c r="H19" s="101">
        <v>54095</v>
      </c>
      <c r="I19" s="101">
        <v>23718</v>
      </c>
      <c r="J19" s="101">
        <v>35270</v>
      </c>
      <c r="K19" s="101">
        <v>6661</v>
      </c>
      <c r="L19" s="101">
        <v>35782</v>
      </c>
      <c r="M19" s="101">
        <v>79068</v>
      </c>
      <c r="N19" s="101">
        <v>200121</v>
      </c>
      <c r="O19" s="101">
        <v>88947</v>
      </c>
      <c r="P19" s="101">
        <v>167836</v>
      </c>
      <c r="Q19" s="101">
        <v>61961</v>
      </c>
      <c r="R19" s="101">
        <v>9112</v>
      </c>
      <c r="S19" s="101"/>
      <c r="T19" t="s">
        <v>165</v>
      </c>
      <c r="U19" s="101">
        <f t="shared" si="0"/>
        <v>885732</v>
      </c>
      <c r="V19" s="101">
        <v>727530000</v>
      </c>
      <c r="W19" s="101">
        <v>448518262</v>
      </c>
      <c r="X19" s="101">
        <v>18096</v>
      </c>
      <c r="Y19" s="101">
        <v>25685</v>
      </c>
      <c r="Z19" s="101">
        <v>3439</v>
      </c>
      <c r="AA19" s="101">
        <v>0</v>
      </c>
      <c r="AB19" s="101">
        <v>3761</v>
      </c>
      <c r="AC19" s="101">
        <v>1287</v>
      </c>
      <c r="AD19" s="101">
        <v>1882</v>
      </c>
      <c r="AE19" s="101">
        <v>27217</v>
      </c>
      <c r="AF19" s="101">
        <v>11</v>
      </c>
      <c r="AG19" s="101">
        <f t="shared" si="1"/>
        <v>525342.26199999999</v>
      </c>
      <c r="AH19" s="101">
        <v>169302</v>
      </c>
      <c r="AI19" s="101">
        <f t="shared" si="2"/>
        <v>3102.9891082208123</v>
      </c>
      <c r="AJ19" t="s">
        <v>439</v>
      </c>
      <c r="AN19" t="s">
        <v>719</v>
      </c>
      <c r="AO19" s="259">
        <v>4796.2451967063125</v>
      </c>
      <c r="AP19" t="s">
        <v>439</v>
      </c>
    </row>
    <row r="20" spans="2:42" x14ac:dyDescent="0.25">
      <c r="B20" t="s">
        <v>105</v>
      </c>
      <c r="C20" s="101">
        <v>386693</v>
      </c>
      <c r="D20" s="101">
        <v>7015</v>
      </c>
      <c r="E20" s="101">
        <v>3360</v>
      </c>
      <c r="F20" s="101">
        <v>12454</v>
      </c>
      <c r="G20" s="101">
        <v>70770</v>
      </c>
      <c r="H20" s="101">
        <v>10080</v>
      </c>
      <c r="I20" s="101">
        <v>6704</v>
      </c>
      <c r="J20" s="101">
        <v>10878</v>
      </c>
      <c r="K20" s="101">
        <v>8091</v>
      </c>
      <c r="L20" s="101">
        <v>10815</v>
      </c>
      <c r="M20" s="101">
        <v>26473</v>
      </c>
      <c r="N20" s="101">
        <v>75844</v>
      </c>
      <c r="O20" s="101">
        <v>34779</v>
      </c>
      <c r="P20" s="101">
        <v>89819</v>
      </c>
      <c r="Q20" s="101">
        <v>14926</v>
      </c>
      <c r="R20" s="101">
        <v>4685</v>
      </c>
      <c r="S20" s="101"/>
      <c r="T20" t="s">
        <v>105</v>
      </c>
      <c r="U20" s="101">
        <f t="shared" si="0"/>
        <v>363864</v>
      </c>
      <c r="V20" s="101">
        <v>307798000</v>
      </c>
      <c r="W20" s="101">
        <v>173459807</v>
      </c>
      <c r="X20" s="101">
        <v>6393</v>
      </c>
      <c r="Y20" s="101">
        <v>8623</v>
      </c>
      <c r="Z20" s="101">
        <v>1514</v>
      </c>
      <c r="AA20" s="101">
        <v>595</v>
      </c>
      <c r="AB20" s="101">
        <v>1884</v>
      </c>
      <c r="AC20" s="101">
        <v>143</v>
      </c>
      <c r="AD20" s="101">
        <v>700</v>
      </c>
      <c r="AE20" s="101">
        <v>4866</v>
      </c>
      <c r="AF20" s="101">
        <v>241</v>
      </c>
      <c r="AG20" s="101">
        <f t="shared" si="1"/>
        <v>204566.807</v>
      </c>
      <c r="AH20" s="101">
        <v>70395</v>
      </c>
      <c r="AI20" s="101">
        <f t="shared" si="2"/>
        <v>2905.9848994957028</v>
      </c>
      <c r="AJ20" t="s">
        <v>439</v>
      </c>
      <c r="AN20" t="s">
        <v>359</v>
      </c>
      <c r="AO20" s="259">
        <v>2905.0642952933904</v>
      </c>
      <c r="AP20" t="s">
        <v>439</v>
      </c>
    </row>
    <row r="21" spans="2:42" x14ac:dyDescent="0.25">
      <c r="B21" t="s">
        <v>342</v>
      </c>
      <c r="C21" s="101">
        <v>56385</v>
      </c>
      <c r="D21" s="101">
        <v>290</v>
      </c>
      <c r="E21" s="101">
        <v>0</v>
      </c>
      <c r="F21" s="101">
        <v>2274</v>
      </c>
      <c r="G21" s="101">
        <v>14328</v>
      </c>
      <c r="H21" s="101">
        <v>5280</v>
      </c>
      <c r="I21" s="101">
        <v>1298</v>
      </c>
      <c r="J21" s="101">
        <v>2598</v>
      </c>
      <c r="K21" s="101">
        <v>489</v>
      </c>
      <c r="L21" s="101">
        <v>1509</v>
      </c>
      <c r="M21" s="101">
        <v>3018</v>
      </c>
      <c r="N21" s="101">
        <v>7203</v>
      </c>
      <c r="O21" s="101">
        <v>6224</v>
      </c>
      <c r="P21" s="101">
        <v>7252</v>
      </c>
      <c r="Q21" s="101">
        <v>3467</v>
      </c>
      <c r="R21" s="101">
        <v>1155</v>
      </c>
      <c r="S21" s="101"/>
      <c r="T21" t="s">
        <v>342</v>
      </c>
      <c r="U21" s="101">
        <f t="shared" si="0"/>
        <v>53821</v>
      </c>
      <c r="V21" s="101">
        <v>38506000</v>
      </c>
      <c r="W21" s="101">
        <v>31263565</v>
      </c>
      <c r="X21" s="101">
        <v>3091</v>
      </c>
      <c r="Y21" s="101">
        <v>1139</v>
      </c>
      <c r="Z21" s="101">
        <v>279</v>
      </c>
      <c r="AA21" s="101">
        <v>0</v>
      </c>
      <c r="AB21" s="101">
        <v>1014</v>
      </c>
      <c r="AC21" s="101">
        <v>49</v>
      </c>
      <c r="AD21" s="101">
        <v>507</v>
      </c>
      <c r="AE21" s="101">
        <v>0</v>
      </c>
      <c r="AF21" s="101">
        <v>118</v>
      </c>
      <c r="AG21" s="101">
        <f t="shared" si="1"/>
        <v>40381.565000000002</v>
      </c>
      <c r="AH21" s="101">
        <v>17390</v>
      </c>
      <c r="AI21" s="101">
        <f t="shared" si="2"/>
        <v>2322.1141460609547</v>
      </c>
      <c r="AJ21" t="s">
        <v>465</v>
      </c>
      <c r="AN21" t="s">
        <v>108</v>
      </c>
      <c r="AO21" s="259">
        <v>2834.6036026180968</v>
      </c>
      <c r="AP21" t="s">
        <v>439</v>
      </c>
    </row>
    <row r="22" spans="2:42" x14ac:dyDescent="0.25">
      <c r="B22" t="s">
        <v>343</v>
      </c>
      <c r="C22" s="101">
        <v>25091</v>
      </c>
      <c r="D22" s="101">
        <v>372</v>
      </c>
      <c r="E22" s="101">
        <v>289</v>
      </c>
      <c r="F22" s="101">
        <v>824</v>
      </c>
      <c r="G22" s="101">
        <v>789</v>
      </c>
      <c r="H22" s="101">
        <v>5718</v>
      </c>
      <c r="I22" s="101">
        <v>1071</v>
      </c>
      <c r="J22" s="101">
        <v>1151</v>
      </c>
      <c r="K22" s="101">
        <v>222</v>
      </c>
      <c r="L22" s="101">
        <v>622</v>
      </c>
      <c r="M22" s="101">
        <v>1886</v>
      </c>
      <c r="N22" s="101">
        <v>2351</v>
      </c>
      <c r="O22" s="101">
        <v>1586</v>
      </c>
      <c r="P22" s="101">
        <v>3592</v>
      </c>
      <c r="Q22" s="101">
        <v>3444</v>
      </c>
      <c r="R22" s="101">
        <v>1174</v>
      </c>
      <c r="S22" s="101"/>
      <c r="T22" t="s">
        <v>343</v>
      </c>
      <c r="U22" s="101">
        <f t="shared" si="0"/>
        <v>23606</v>
      </c>
      <c r="V22" s="101">
        <v>17556000</v>
      </c>
      <c r="W22" s="101">
        <v>15640286</v>
      </c>
      <c r="X22" s="101">
        <v>740</v>
      </c>
      <c r="Y22" s="101">
        <v>811</v>
      </c>
      <c r="Z22" s="101">
        <v>70</v>
      </c>
      <c r="AA22" s="101">
        <v>0</v>
      </c>
      <c r="AB22" s="101">
        <v>410</v>
      </c>
      <c r="AC22" s="101">
        <v>42</v>
      </c>
      <c r="AD22" s="101">
        <v>168</v>
      </c>
      <c r="AE22" s="101">
        <v>1</v>
      </c>
      <c r="AF22" s="101">
        <v>11</v>
      </c>
      <c r="AG22" s="101">
        <f t="shared" si="1"/>
        <v>19437.286</v>
      </c>
      <c r="AH22" s="101">
        <v>7205</v>
      </c>
      <c r="AI22" s="101">
        <f t="shared" si="2"/>
        <v>2697.7496183206108</v>
      </c>
      <c r="AJ22" t="s">
        <v>465</v>
      </c>
      <c r="AN22" t="s">
        <v>144</v>
      </c>
      <c r="AO22" s="259">
        <v>3353.6275525604146</v>
      </c>
      <c r="AP22" t="s">
        <v>439</v>
      </c>
    </row>
    <row r="23" spans="2:42" x14ac:dyDescent="0.25">
      <c r="B23" t="s">
        <v>213</v>
      </c>
      <c r="C23" s="101">
        <v>78446</v>
      </c>
      <c r="D23" s="101">
        <v>0</v>
      </c>
      <c r="E23" s="101">
        <v>303</v>
      </c>
      <c r="F23" s="101">
        <v>2699</v>
      </c>
      <c r="G23" s="101">
        <v>17690</v>
      </c>
      <c r="H23" s="101">
        <v>6832</v>
      </c>
      <c r="I23" s="101">
        <v>2241</v>
      </c>
      <c r="J23" s="101">
        <v>2287</v>
      </c>
      <c r="K23" s="101">
        <v>180</v>
      </c>
      <c r="L23" s="101">
        <v>1849</v>
      </c>
      <c r="M23" s="101">
        <v>5119</v>
      </c>
      <c r="N23" s="101">
        <v>13486</v>
      </c>
      <c r="O23" s="101">
        <v>7158</v>
      </c>
      <c r="P23" s="101">
        <v>7835</v>
      </c>
      <c r="Q23" s="101">
        <v>9062</v>
      </c>
      <c r="R23" s="101">
        <v>1705</v>
      </c>
      <c r="S23" s="101"/>
      <c r="T23" t="s">
        <v>213</v>
      </c>
      <c r="U23" s="101">
        <f t="shared" si="0"/>
        <v>75444</v>
      </c>
      <c r="V23" s="101">
        <v>54346000</v>
      </c>
      <c r="W23" s="101">
        <v>46941991</v>
      </c>
      <c r="X23" s="101">
        <v>3555</v>
      </c>
      <c r="Y23" s="101">
        <v>5475</v>
      </c>
      <c r="Z23" s="101">
        <v>516</v>
      </c>
      <c r="AA23" s="101">
        <v>507</v>
      </c>
      <c r="AB23" s="101">
        <v>513</v>
      </c>
      <c r="AC23" s="101">
        <v>61</v>
      </c>
      <c r="AD23" s="101">
        <v>107</v>
      </c>
      <c r="AE23" s="101">
        <v>24</v>
      </c>
      <c r="AF23" s="101">
        <v>62</v>
      </c>
      <c r="AG23" s="101">
        <f t="shared" si="1"/>
        <v>57219.991000000009</v>
      </c>
      <c r="AH23" s="101">
        <v>25187</v>
      </c>
      <c r="AI23" s="101">
        <f t="shared" si="2"/>
        <v>2271.8065271767186</v>
      </c>
      <c r="AJ23" t="s">
        <v>116</v>
      </c>
      <c r="AN23" t="s">
        <v>329</v>
      </c>
      <c r="AO23" s="286">
        <v>3054.365009345795</v>
      </c>
      <c r="AP23" t="s">
        <v>439</v>
      </c>
    </row>
    <row r="24" spans="2:42" x14ac:dyDescent="0.25">
      <c r="B24" t="s">
        <v>284</v>
      </c>
      <c r="C24" s="101">
        <v>147709</v>
      </c>
      <c r="D24" s="101">
        <v>5359</v>
      </c>
      <c r="E24" s="101">
        <v>2920</v>
      </c>
      <c r="F24" s="101">
        <v>8445</v>
      </c>
      <c r="G24" s="101">
        <v>28397</v>
      </c>
      <c r="H24" s="101">
        <v>17728</v>
      </c>
      <c r="I24" s="101">
        <v>4276</v>
      </c>
      <c r="J24" s="101">
        <v>6200</v>
      </c>
      <c r="K24" s="101">
        <v>106</v>
      </c>
      <c r="L24" s="101">
        <v>3230</v>
      </c>
      <c r="M24" s="101">
        <v>10596</v>
      </c>
      <c r="N24" s="101">
        <v>10372</v>
      </c>
      <c r="O24" s="101">
        <v>21877</v>
      </c>
      <c r="P24" s="101">
        <v>12215</v>
      </c>
      <c r="Q24" s="101">
        <v>14366</v>
      </c>
      <c r="R24" s="101">
        <v>1622</v>
      </c>
      <c r="S24" s="101"/>
      <c r="T24" t="s">
        <v>284</v>
      </c>
      <c r="U24" s="101">
        <f t="shared" si="0"/>
        <v>130985</v>
      </c>
      <c r="V24" s="101">
        <v>96796000</v>
      </c>
      <c r="W24" s="101">
        <v>86546464</v>
      </c>
      <c r="X24" s="101">
        <v>4342</v>
      </c>
      <c r="Y24" s="101">
        <v>8253</v>
      </c>
      <c r="Z24" s="101">
        <v>1040</v>
      </c>
      <c r="AA24" s="101">
        <v>748</v>
      </c>
      <c r="AB24" s="101">
        <v>1546</v>
      </c>
      <c r="AC24" s="101">
        <v>139</v>
      </c>
      <c r="AD24" s="101">
        <v>83</v>
      </c>
      <c r="AE24" s="101">
        <v>63</v>
      </c>
      <c r="AF24" s="101">
        <v>1275</v>
      </c>
      <c r="AG24" s="101">
        <f t="shared" si="1"/>
        <v>103246.46400000001</v>
      </c>
      <c r="AH24" s="101">
        <v>48568</v>
      </c>
      <c r="AI24" s="101">
        <f t="shared" si="2"/>
        <v>2125.8125514742219</v>
      </c>
      <c r="AJ24" t="s">
        <v>465</v>
      </c>
      <c r="AN24" t="s">
        <v>291</v>
      </c>
      <c r="AO24" s="259">
        <v>2934.6200453001134</v>
      </c>
      <c r="AP24" t="s">
        <v>439</v>
      </c>
    </row>
    <row r="25" spans="2:42" x14ac:dyDescent="0.25">
      <c r="B25" t="s">
        <v>166</v>
      </c>
      <c r="C25" s="101">
        <v>190872</v>
      </c>
      <c r="D25" s="101">
        <v>0</v>
      </c>
      <c r="E25" s="101">
        <v>6262</v>
      </c>
      <c r="F25" s="101">
        <v>14243</v>
      </c>
      <c r="G25" s="101">
        <v>56852</v>
      </c>
      <c r="H25" s="101">
        <v>6302</v>
      </c>
      <c r="I25" s="101">
        <v>5411</v>
      </c>
      <c r="J25" s="101">
        <v>6316</v>
      </c>
      <c r="K25" s="101">
        <v>859</v>
      </c>
      <c r="L25" s="101">
        <v>5753</v>
      </c>
      <c r="M25" s="101">
        <v>13478</v>
      </c>
      <c r="N25" s="101">
        <v>13595</v>
      </c>
      <c r="O25" s="101">
        <v>21191</v>
      </c>
      <c r="P25" s="101">
        <v>23176</v>
      </c>
      <c r="Q25" s="101">
        <v>11022</v>
      </c>
      <c r="R25" s="101">
        <v>6412</v>
      </c>
      <c r="S25" s="101"/>
      <c r="T25" t="s">
        <v>166</v>
      </c>
      <c r="U25" s="101">
        <f t="shared" si="0"/>
        <v>170367</v>
      </c>
      <c r="V25" s="101">
        <v>136688000</v>
      </c>
      <c r="W25" s="101">
        <v>109964549</v>
      </c>
      <c r="X25" s="101">
        <v>6295</v>
      </c>
      <c r="Y25" s="101">
        <v>7772</v>
      </c>
      <c r="Z25" s="101">
        <v>1297</v>
      </c>
      <c r="AA25" s="101">
        <v>1157</v>
      </c>
      <c r="AB25" s="101">
        <v>3586</v>
      </c>
      <c r="AC25" s="101">
        <v>163</v>
      </c>
      <c r="AD25" s="101">
        <v>992</v>
      </c>
      <c r="AE25" s="101">
        <v>871</v>
      </c>
      <c r="AF25" s="101">
        <v>376</v>
      </c>
      <c r="AG25" s="101">
        <f t="shared" si="1"/>
        <v>121134.549</v>
      </c>
      <c r="AH25" s="101">
        <v>63160</v>
      </c>
      <c r="AI25" s="101">
        <f t="shared" si="2"/>
        <v>1917.8997625079164</v>
      </c>
      <c r="AJ25" t="s">
        <v>465</v>
      </c>
      <c r="AN25" t="s">
        <v>292</v>
      </c>
      <c r="AO25" s="259">
        <v>2908.2433364691128</v>
      </c>
      <c r="AP25" t="s">
        <v>439</v>
      </c>
    </row>
    <row r="26" spans="2:42" x14ac:dyDescent="0.25">
      <c r="B26" t="s">
        <v>826</v>
      </c>
      <c r="C26" s="101">
        <v>56134</v>
      </c>
      <c r="D26" s="101">
        <v>903</v>
      </c>
      <c r="E26" s="101">
        <v>477</v>
      </c>
      <c r="F26" s="101">
        <v>2052</v>
      </c>
      <c r="G26" s="101">
        <v>12438</v>
      </c>
      <c r="H26" s="101">
        <v>3872</v>
      </c>
      <c r="I26" s="101">
        <v>1668</v>
      </c>
      <c r="J26" s="101">
        <v>1448</v>
      </c>
      <c r="K26" s="101">
        <v>412</v>
      </c>
      <c r="L26" s="101">
        <v>825</v>
      </c>
      <c r="M26" s="101">
        <v>3955</v>
      </c>
      <c r="N26" s="101">
        <v>8612</v>
      </c>
      <c r="O26" s="101">
        <v>5243</v>
      </c>
      <c r="P26" s="101">
        <v>7065</v>
      </c>
      <c r="Q26" s="101">
        <v>6857</v>
      </c>
      <c r="R26" s="101">
        <v>307</v>
      </c>
      <c r="S26" s="101"/>
      <c r="T26" t="s">
        <v>826</v>
      </c>
      <c r="U26" s="101">
        <f t="shared" si="0"/>
        <v>52702</v>
      </c>
      <c r="V26" s="101">
        <v>37313000</v>
      </c>
      <c r="W26" s="101">
        <v>30294559</v>
      </c>
      <c r="X26" s="101">
        <v>2082</v>
      </c>
      <c r="Y26" s="101">
        <v>2454</v>
      </c>
      <c r="Z26" s="101">
        <v>391</v>
      </c>
      <c r="AA26" s="101">
        <v>56</v>
      </c>
      <c r="AB26" s="101">
        <v>508</v>
      </c>
      <c r="AC26" s="101">
        <v>41</v>
      </c>
      <c r="AD26" s="101">
        <v>39</v>
      </c>
      <c r="AE26" s="101">
        <v>0</v>
      </c>
      <c r="AF26" s="101">
        <v>3</v>
      </c>
      <c r="AG26" s="101">
        <f t="shared" si="1"/>
        <v>40109.559000000001</v>
      </c>
      <c r="AH26" s="101">
        <v>16245</v>
      </c>
      <c r="AI26" s="101">
        <f t="shared" si="2"/>
        <v>2469.0402585410898</v>
      </c>
      <c r="AJ26" t="s">
        <v>116</v>
      </c>
      <c r="AN26" t="s">
        <v>721</v>
      </c>
      <c r="AO26" s="259">
        <v>3301.1996103052611</v>
      </c>
      <c r="AP26" t="s">
        <v>439</v>
      </c>
    </row>
    <row r="27" spans="2:42" x14ac:dyDescent="0.25">
      <c r="B27" t="s">
        <v>592</v>
      </c>
      <c r="C27" s="101">
        <v>112645</v>
      </c>
      <c r="D27" s="101">
        <v>285</v>
      </c>
      <c r="E27" s="101">
        <v>1340</v>
      </c>
      <c r="F27" s="101">
        <v>7540</v>
      </c>
      <c r="G27" s="101">
        <v>21220</v>
      </c>
      <c r="H27" s="101">
        <v>9046</v>
      </c>
      <c r="I27" s="101">
        <v>3617</v>
      </c>
      <c r="J27" s="101">
        <v>3373</v>
      </c>
      <c r="K27" s="101">
        <v>456</v>
      </c>
      <c r="L27" s="101">
        <v>2250</v>
      </c>
      <c r="M27" s="101">
        <v>6476</v>
      </c>
      <c r="N27" s="101">
        <v>18524</v>
      </c>
      <c r="O27" s="101">
        <v>13597</v>
      </c>
      <c r="P27" s="101">
        <v>13412</v>
      </c>
      <c r="Q27" s="101">
        <v>10089</v>
      </c>
      <c r="R27" s="101">
        <v>1420</v>
      </c>
      <c r="S27" s="101"/>
      <c r="T27" t="s">
        <v>592</v>
      </c>
      <c r="U27" s="101">
        <f t="shared" si="0"/>
        <v>103480</v>
      </c>
      <c r="V27" s="101">
        <v>82463000</v>
      </c>
      <c r="W27" s="101">
        <v>66844370</v>
      </c>
      <c r="X27" s="101">
        <v>6304</v>
      </c>
      <c r="Y27" s="101">
        <v>5725</v>
      </c>
      <c r="Z27" s="101">
        <v>707</v>
      </c>
      <c r="AA27" s="101">
        <v>129</v>
      </c>
      <c r="AB27" s="101">
        <v>957</v>
      </c>
      <c r="AC27" s="101">
        <v>117</v>
      </c>
      <c r="AD27" s="101">
        <v>363</v>
      </c>
      <c r="AE27" s="101">
        <v>0</v>
      </c>
      <c r="AF27" s="101">
        <v>46</v>
      </c>
      <c r="AG27" s="101">
        <f t="shared" si="1"/>
        <v>73513.37</v>
      </c>
      <c r="AH27" s="101">
        <v>35817</v>
      </c>
      <c r="AI27" s="101">
        <f t="shared" si="2"/>
        <v>2052.4714521037495</v>
      </c>
      <c r="AJ27" t="s">
        <v>116</v>
      </c>
      <c r="AN27" t="s">
        <v>250</v>
      </c>
      <c r="AO27" s="259">
        <v>2564.1523761525004</v>
      </c>
      <c r="AP27" t="s">
        <v>439</v>
      </c>
    </row>
    <row r="28" spans="2:42" x14ac:dyDescent="0.25">
      <c r="B28" t="s">
        <v>399</v>
      </c>
      <c r="C28" s="101">
        <v>48369</v>
      </c>
      <c r="D28" s="101">
        <v>394</v>
      </c>
      <c r="E28" s="101">
        <v>1</v>
      </c>
      <c r="F28" s="101">
        <v>1396</v>
      </c>
      <c r="G28" s="101">
        <v>14990</v>
      </c>
      <c r="H28" s="101">
        <v>3635</v>
      </c>
      <c r="I28" s="101">
        <v>1346</v>
      </c>
      <c r="J28" s="101">
        <v>1160</v>
      </c>
      <c r="K28" s="101">
        <v>470</v>
      </c>
      <c r="L28" s="101">
        <v>1135</v>
      </c>
      <c r="M28" s="101">
        <v>2323</v>
      </c>
      <c r="N28" s="101">
        <v>5669</v>
      </c>
      <c r="O28" s="101">
        <v>6017</v>
      </c>
      <c r="P28" s="101">
        <v>5903</v>
      </c>
      <c r="Q28" s="101">
        <v>3051</v>
      </c>
      <c r="R28" s="101">
        <v>879</v>
      </c>
      <c r="S28" s="101"/>
      <c r="T28" t="s">
        <v>399</v>
      </c>
      <c r="U28" s="101">
        <f t="shared" si="0"/>
        <v>46578</v>
      </c>
      <c r="V28" s="101">
        <v>35813000</v>
      </c>
      <c r="W28" s="101">
        <v>29284146</v>
      </c>
      <c r="X28" s="101">
        <v>1248</v>
      </c>
      <c r="Y28" s="101">
        <v>1377</v>
      </c>
      <c r="Z28" s="101">
        <v>152</v>
      </c>
      <c r="AA28" s="101">
        <v>55</v>
      </c>
      <c r="AB28" s="101">
        <v>130</v>
      </c>
      <c r="AC28" s="101">
        <v>68</v>
      </c>
      <c r="AD28" s="101">
        <v>1181</v>
      </c>
      <c r="AE28" s="101">
        <v>0</v>
      </c>
      <c r="AF28" s="101">
        <v>80</v>
      </c>
      <c r="AG28" s="101">
        <f t="shared" si="1"/>
        <v>35758.146000000001</v>
      </c>
      <c r="AH28" s="101">
        <v>13525</v>
      </c>
      <c r="AI28" s="101">
        <f t="shared" si="2"/>
        <v>2643.8555268022183</v>
      </c>
      <c r="AJ28" t="s">
        <v>116</v>
      </c>
      <c r="AN28" t="s">
        <v>181</v>
      </c>
      <c r="AO28" s="259">
        <v>3068.529558617935</v>
      </c>
      <c r="AP28" t="s">
        <v>439</v>
      </c>
    </row>
    <row r="29" spans="2:42" x14ac:dyDescent="0.25">
      <c r="B29" t="s">
        <v>523</v>
      </c>
      <c r="C29" s="101">
        <v>120589</v>
      </c>
      <c r="D29" s="101">
        <v>21</v>
      </c>
      <c r="E29" s="101">
        <v>1199</v>
      </c>
      <c r="F29" s="101">
        <v>0</v>
      </c>
      <c r="G29" s="101">
        <v>25026</v>
      </c>
      <c r="H29" s="101">
        <v>8758</v>
      </c>
      <c r="I29" s="101">
        <v>3238</v>
      </c>
      <c r="J29" s="101">
        <v>6344</v>
      </c>
      <c r="K29" s="101">
        <v>515</v>
      </c>
      <c r="L29" s="101">
        <v>3957</v>
      </c>
      <c r="M29" s="101">
        <v>6894</v>
      </c>
      <c r="N29" s="101">
        <v>23661</v>
      </c>
      <c r="O29" s="101">
        <v>12813</v>
      </c>
      <c r="P29" s="101">
        <v>15211</v>
      </c>
      <c r="Q29" s="101">
        <v>10510</v>
      </c>
      <c r="R29" s="101">
        <v>2442</v>
      </c>
      <c r="S29" s="101"/>
      <c r="T29" t="s">
        <v>523</v>
      </c>
      <c r="U29" s="101">
        <f t="shared" si="0"/>
        <v>119369</v>
      </c>
      <c r="V29" s="101">
        <v>90685000</v>
      </c>
      <c r="W29" s="101">
        <v>70707721</v>
      </c>
      <c r="X29" s="101">
        <v>4471</v>
      </c>
      <c r="Y29" s="101">
        <v>4817</v>
      </c>
      <c r="Z29" s="101">
        <v>688</v>
      </c>
      <c r="AA29" s="101">
        <v>75</v>
      </c>
      <c r="AB29" s="101">
        <v>843</v>
      </c>
      <c r="AC29" s="101">
        <v>176</v>
      </c>
      <c r="AD29" s="101">
        <v>725</v>
      </c>
      <c r="AE29" s="101">
        <v>69</v>
      </c>
      <c r="AF29" s="101">
        <v>191</v>
      </c>
      <c r="AG29" s="101">
        <f t="shared" si="1"/>
        <v>87336.721000000005</v>
      </c>
      <c r="AH29" s="101">
        <v>35556</v>
      </c>
      <c r="AI29" s="101">
        <f t="shared" si="2"/>
        <v>2456.3145741928224</v>
      </c>
      <c r="AJ29" t="s">
        <v>116</v>
      </c>
      <c r="AN29" t="s">
        <v>128</v>
      </c>
      <c r="AO29" s="259">
        <v>3321.5858112276374</v>
      </c>
      <c r="AP29" t="s">
        <v>439</v>
      </c>
    </row>
    <row r="30" spans="2:42" x14ac:dyDescent="0.25">
      <c r="B30" t="s">
        <v>344</v>
      </c>
      <c r="C30" s="101">
        <v>59523</v>
      </c>
      <c r="D30" s="101">
        <v>3568</v>
      </c>
      <c r="E30" s="101">
        <v>511</v>
      </c>
      <c r="F30" s="101">
        <v>3095</v>
      </c>
      <c r="G30" s="101">
        <v>11004</v>
      </c>
      <c r="H30" s="101">
        <v>5995</v>
      </c>
      <c r="I30" s="101">
        <v>1656</v>
      </c>
      <c r="J30" s="101">
        <v>1833</v>
      </c>
      <c r="K30" s="101">
        <v>847</v>
      </c>
      <c r="L30" s="101">
        <v>1380</v>
      </c>
      <c r="M30" s="101">
        <v>4548</v>
      </c>
      <c r="N30" s="101">
        <v>8145</v>
      </c>
      <c r="O30" s="101">
        <v>4723</v>
      </c>
      <c r="P30" s="101">
        <v>7445</v>
      </c>
      <c r="Q30" s="101">
        <v>4185</v>
      </c>
      <c r="R30" s="101">
        <v>588</v>
      </c>
      <c r="S30" s="101"/>
      <c r="T30" t="s">
        <v>344</v>
      </c>
      <c r="U30" s="101">
        <f t="shared" si="0"/>
        <v>52349</v>
      </c>
      <c r="V30" s="101">
        <v>39745000</v>
      </c>
      <c r="W30" s="101">
        <v>34076303</v>
      </c>
      <c r="X30" s="101">
        <v>2136</v>
      </c>
      <c r="Y30" s="101">
        <v>1898</v>
      </c>
      <c r="Z30" s="101">
        <v>877</v>
      </c>
      <c r="AA30" s="101">
        <v>14</v>
      </c>
      <c r="AB30" s="101">
        <v>887</v>
      </c>
      <c r="AC30" s="101">
        <v>118</v>
      </c>
      <c r="AD30" s="101">
        <v>1340</v>
      </c>
      <c r="AE30" s="101">
        <v>0</v>
      </c>
      <c r="AF30" s="101">
        <v>1294</v>
      </c>
      <c r="AG30" s="101">
        <f t="shared" si="1"/>
        <v>38116.303</v>
      </c>
      <c r="AH30" s="101">
        <v>19260</v>
      </c>
      <c r="AI30" s="101">
        <f t="shared" si="2"/>
        <v>1979.0396157840082</v>
      </c>
      <c r="AJ30" t="s">
        <v>465</v>
      </c>
      <c r="AN30" t="s">
        <v>129</v>
      </c>
      <c r="AO30" s="259">
        <v>2843.6095566825438</v>
      </c>
      <c r="AP30" t="s">
        <v>439</v>
      </c>
    </row>
    <row r="31" spans="2:42" x14ac:dyDescent="0.25">
      <c r="B31" t="s">
        <v>434</v>
      </c>
      <c r="C31" s="101">
        <v>43533</v>
      </c>
      <c r="D31" s="101">
        <v>16</v>
      </c>
      <c r="E31" s="101">
        <v>391</v>
      </c>
      <c r="F31" s="101">
        <v>2028</v>
      </c>
      <c r="G31" s="101">
        <v>12550</v>
      </c>
      <c r="H31" s="101">
        <v>5039</v>
      </c>
      <c r="I31" s="101">
        <v>1461</v>
      </c>
      <c r="J31" s="101">
        <v>758</v>
      </c>
      <c r="K31" s="101">
        <v>221</v>
      </c>
      <c r="L31" s="101">
        <v>923</v>
      </c>
      <c r="M31" s="101">
        <v>1503</v>
      </c>
      <c r="N31" s="101">
        <v>6403</v>
      </c>
      <c r="O31" s="101">
        <v>4451</v>
      </c>
      <c r="P31" s="101">
        <v>4415</v>
      </c>
      <c r="Q31" s="101">
        <v>3209</v>
      </c>
      <c r="R31" s="101">
        <v>165</v>
      </c>
      <c r="S31" s="101"/>
      <c r="T31" t="s">
        <v>434</v>
      </c>
      <c r="U31" s="101">
        <f t="shared" si="0"/>
        <v>41098</v>
      </c>
      <c r="V31" s="101">
        <v>32840000</v>
      </c>
      <c r="W31" s="101">
        <v>27204370</v>
      </c>
      <c r="X31" s="101">
        <v>1788</v>
      </c>
      <c r="Y31" s="101">
        <v>1229</v>
      </c>
      <c r="Z31" s="101">
        <v>235</v>
      </c>
      <c r="AA31" s="101">
        <v>10</v>
      </c>
      <c r="AB31" s="101">
        <v>221</v>
      </c>
      <c r="AC31" s="101">
        <v>35</v>
      </c>
      <c r="AD31" s="101">
        <v>683</v>
      </c>
      <c r="AE31" s="101">
        <v>0</v>
      </c>
      <c r="AF31" s="101">
        <v>630</v>
      </c>
      <c r="AG31" s="101">
        <f t="shared" si="1"/>
        <v>30631.369999999995</v>
      </c>
      <c r="AH31" s="101">
        <v>13063</v>
      </c>
      <c r="AI31" s="101">
        <f t="shared" si="2"/>
        <v>2344.8955063920994</v>
      </c>
      <c r="AJ31" t="s">
        <v>116</v>
      </c>
      <c r="AN31" t="s">
        <v>405</v>
      </c>
      <c r="AO31" s="259">
        <v>3256.2838402998377</v>
      </c>
      <c r="AP31" t="s">
        <v>439</v>
      </c>
    </row>
    <row r="32" spans="2:42" x14ac:dyDescent="0.25">
      <c r="B32" t="s">
        <v>435</v>
      </c>
      <c r="C32" s="101">
        <v>102632</v>
      </c>
      <c r="D32" s="101">
        <v>2237</v>
      </c>
      <c r="E32" s="101">
        <v>1320</v>
      </c>
      <c r="F32" s="101">
        <v>4789</v>
      </c>
      <c r="G32" s="101">
        <v>1615</v>
      </c>
      <c r="H32" s="101">
        <v>17220</v>
      </c>
      <c r="I32" s="101">
        <v>5049</v>
      </c>
      <c r="J32" s="101">
        <v>7278</v>
      </c>
      <c r="K32" s="101">
        <v>541</v>
      </c>
      <c r="L32" s="101">
        <v>2330</v>
      </c>
      <c r="M32" s="101">
        <v>9954</v>
      </c>
      <c r="N32" s="101">
        <v>11131</v>
      </c>
      <c r="O32" s="101">
        <v>9941</v>
      </c>
      <c r="P32" s="101">
        <v>12717</v>
      </c>
      <c r="Q32" s="101">
        <v>10327</v>
      </c>
      <c r="R32" s="101">
        <v>6183</v>
      </c>
      <c r="S32" s="101"/>
      <c r="T32" t="s">
        <v>435</v>
      </c>
      <c r="U32" s="101">
        <f t="shared" si="0"/>
        <v>94286</v>
      </c>
      <c r="V32" s="101">
        <v>59375000</v>
      </c>
      <c r="W32" s="101">
        <v>49135434</v>
      </c>
      <c r="X32" s="101">
        <v>4154</v>
      </c>
      <c r="Y32" s="101">
        <v>5167</v>
      </c>
      <c r="Z32" s="101">
        <v>673</v>
      </c>
      <c r="AA32" s="101">
        <v>469</v>
      </c>
      <c r="AB32" s="101">
        <v>1424</v>
      </c>
      <c r="AC32" s="101">
        <v>163</v>
      </c>
      <c r="AD32" s="101">
        <v>3704</v>
      </c>
      <c r="AE32" s="101">
        <v>6108</v>
      </c>
      <c r="AF32" s="101">
        <v>225</v>
      </c>
      <c r="AG32" s="101">
        <f t="shared" si="1"/>
        <v>61959.434000000008</v>
      </c>
      <c r="AH32" s="101">
        <v>29718</v>
      </c>
      <c r="AI32" s="101">
        <f t="shared" si="2"/>
        <v>2084.9126455346932</v>
      </c>
      <c r="AJ32" t="s">
        <v>465</v>
      </c>
      <c r="AN32" t="s">
        <v>370</v>
      </c>
      <c r="AO32" s="259">
        <v>2727.5292624818726</v>
      </c>
      <c r="AP32" t="s">
        <v>439</v>
      </c>
    </row>
    <row r="33" spans="2:42" x14ac:dyDescent="0.25">
      <c r="B33" t="s">
        <v>345</v>
      </c>
      <c r="C33" s="101">
        <v>374390</v>
      </c>
      <c r="D33" s="101">
        <v>4275</v>
      </c>
      <c r="E33" s="101">
        <v>3857</v>
      </c>
      <c r="F33" s="101">
        <v>12262</v>
      </c>
      <c r="G33" s="101">
        <v>61419</v>
      </c>
      <c r="H33" s="101">
        <v>67937</v>
      </c>
      <c r="I33" s="101">
        <v>6628</v>
      </c>
      <c r="J33" s="101">
        <v>14237</v>
      </c>
      <c r="K33" s="101">
        <v>2993</v>
      </c>
      <c r="L33" s="101">
        <v>11987</v>
      </c>
      <c r="M33" s="101">
        <v>19169</v>
      </c>
      <c r="N33" s="101">
        <v>58458</v>
      </c>
      <c r="O33" s="101">
        <v>25298</v>
      </c>
      <c r="P33" s="101">
        <v>63159</v>
      </c>
      <c r="Q33" s="101">
        <v>21385</v>
      </c>
      <c r="R33" s="101">
        <v>1326</v>
      </c>
      <c r="S33" s="101"/>
      <c r="T33" t="s">
        <v>345</v>
      </c>
      <c r="U33" s="101">
        <f t="shared" si="0"/>
        <v>353996</v>
      </c>
      <c r="V33" s="101">
        <v>231759000</v>
      </c>
      <c r="W33" s="101">
        <v>162048557</v>
      </c>
      <c r="X33" s="101">
        <v>15005</v>
      </c>
      <c r="Y33" s="101">
        <v>10686</v>
      </c>
      <c r="Z33" s="101">
        <v>1824</v>
      </c>
      <c r="AA33" s="101">
        <v>35</v>
      </c>
      <c r="AB33" s="101">
        <v>1185</v>
      </c>
      <c r="AC33" s="101">
        <v>732</v>
      </c>
      <c r="AD33" s="101">
        <v>594</v>
      </c>
      <c r="AE33" s="101">
        <v>5724</v>
      </c>
      <c r="AF33" s="101">
        <v>313</v>
      </c>
      <c r="AG33" s="101">
        <f t="shared" si="1"/>
        <v>248187.55700000003</v>
      </c>
      <c r="AH33" s="101">
        <v>70216</v>
      </c>
      <c r="AI33" s="101">
        <f t="shared" si="2"/>
        <v>3534.6296712999892</v>
      </c>
      <c r="AJ33" t="s">
        <v>439</v>
      </c>
      <c r="AN33" t="s">
        <v>722</v>
      </c>
      <c r="AO33" s="259">
        <v>3146.9824374731006</v>
      </c>
      <c r="AP33" t="s">
        <v>439</v>
      </c>
    </row>
    <row r="34" spans="2:42" x14ac:dyDescent="0.25">
      <c r="B34" t="s">
        <v>167</v>
      </c>
      <c r="C34" s="101">
        <v>145604</v>
      </c>
      <c r="D34" s="101">
        <v>1019</v>
      </c>
      <c r="E34" s="101">
        <v>1561</v>
      </c>
      <c r="F34" s="101">
        <v>6290</v>
      </c>
      <c r="G34" s="101">
        <v>34128</v>
      </c>
      <c r="H34" s="101">
        <v>12967</v>
      </c>
      <c r="I34" s="101">
        <v>3323</v>
      </c>
      <c r="J34" s="101">
        <v>4179</v>
      </c>
      <c r="K34" s="101">
        <v>2001</v>
      </c>
      <c r="L34" s="101">
        <v>2416</v>
      </c>
      <c r="M34" s="101">
        <v>6811</v>
      </c>
      <c r="N34" s="101">
        <v>20383</v>
      </c>
      <c r="O34" s="101">
        <v>14392</v>
      </c>
      <c r="P34" s="101">
        <v>24129</v>
      </c>
      <c r="Q34" s="101">
        <v>11847</v>
      </c>
      <c r="R34" s="101">
        <v>158</v>
      </c>
      <c r="S34" s="101"/>
      <c r="T34" t="s">
        <v>167</v>
      </c>
      <c r="U34" s="101">
        <f t="shared" si="0"/>
        <v>136734</v>
      </c>
      <c r="V34" s="101">
        <v>108169000</v>
      </c>
      <c r="W34" s="101">
        <v>88672169</v>
      </c>
      <c r="X34" s="101">
        <v>7805</v>
      </c>
      <c r="Y34" s="101">
        <v>3352</v>
      </c>
      <c r="Z34" s="101">
        <v>516</v>
      </c>
      <c r="AA34" s="101">
        <v>265</v>
      </c>
      <c r="AB34" s="101">
        <v>1247</v>
      </c>
      <c r="AC34" s="101">
        <v>100</v>
      </c>
      <c r="AD34" s="101">
        <v>538</v>
      </c>
      <c r="AE34" s="101">
        <v>11</v>
      </c>
      <c r="AF34" s="101">
        <v>35</v>
      </c>
      <c r="AG34" s="101">
        <f t="shared" si="1"/>
        <v>103368.16899999999</v>
      </c>
      <c r="AH34" s="101">
        <v>43922</v>
      </c>
      <c r="AI34" s="101">
        <f t="shared" si="2"/>
        <v>2353.4485906834843</v>
      </c>
      <c r="AJ34" t="s">
        <v>116</v>
      </c>
      <c r="AN34" t="s">
        <v>256</v>
      </c>
      <c r="AO34" s="259">
        <v>2422.0197878135896</v>
      </c>
      <c r="AP34" t="s">
        <v>439</v>
      </c>
    </row>
    <row r="35" spans="2:42" x14ac:dyDescent="0.25">
      <c r="B35" t="s">
        <v>346</v>
      </c>
      <c r="C35" s="101">
        <v>94697</v>
      </c>
      <c r="D35" s="101">
        <v>6083</v>
      </c>
      <c r="E35" s="101">
        <v>55</v>
      </c>
      <c r="F35" s="101">
        <v>3112</v>
      </c>
      <c r="G35" s="101">
        <v>19847</v>
      </c>
      <c r="H35" s="101">
        <v>5677</v>
      </c>
      <c r="I35" s="101">
        <v>2756</v>
      </c>
      <c r="J35" s="101">
        <v>3273</v>
      </c>
      <c r="K35" s="101">
        <v>785</v>
      </c>
      <c r="L35" s="101">
        <v>1957</v>
      </c>
      <c r="M35" s="101">
        <v>5132</v>
      </c>
      <c r="N35" s="101">
        <v>13602</v>
      </c>
      <c r="O35" s="101">
        <v>9663</v>
      </c>
      <c r="P35" s="101">
        <v>12037</v>
      </c>
      <c r="Q35" s="101">
        <v>8582</v>
      </c>
      <c r="R35" s="101">
        <v>2136</v>
      </c>
      <c r="S35" s="101"/>
      <c r="T35" t="s">
        <v>346</v>
      </c>
      <c r="U35" s="101">
        <f t="shared" si="0"/>
        <v>85447</v>
      </c>
      <c r="V35" s="101">
        <v>68738000</v>
      </c>
      <c r="W35" s="101">
        <v>55093682</v>
      </c>
      <c r="X35" s="101">
        <v>2885</v>
      </c>
      <c r="Y35" s="101">
        <v>3741</v>
      </c>
      <c r="Z35" s="101">
        <v>571</v>
      </c>
      <c r="AA35" s="101">
        <v>42</v>
      </c>
      <c r="AB35" s="101">
        <v>1135</v>
      </c>
      <c r="AC35" s="101">
        <v>242</v>
      </c>
      <c r="AD35" s="101">
        <v>172</v>
      </c>
      <c r="AE35" s="101">
        <v>0</v>
      </c>
      <c r="AF35" s="101">
        <v>243</v>
      </c>
      <c r="AG35" s="101">
        <f t="shared" si="1"/>
        <v>62771.682000000001</v>
      </c>
      <c r="AH35" s="101">
        <v>32618</v>
      </c>
      <c r="AI35" s="101">
        <f t="shared" si="2"/>
        <v>1924.4491385124777</v>
      </c>
      <c r="AJ35" t="s">
        <v>465</v>
      </c>
      <c r="AN35" t="s">
        <v>109</v>
      </c>
      <c r="AO35" s="259">
        <v>2796.77054307149</v>
      </c>
      <c r="AP35" t="s">
        <v>439</v>
      </c>
    </row>
    <row r="36" spans="2:42" x14ac:dyDescent="0.25">
      <c r="B36" t="s">
        <v>347</v>
      </c>
      <c r="C36" s="101">
        <v>107812</v>
      </c>
      <c r="D36" s="101">
        <v>14038</v>
      </c>
      <c r="E36" s="101">
        <v>181</v>
      </c>
      <c r="F36" s="101">
        <v>3330</v>
      </c>
      <c r="G36" s="101">
        <v>27372</v>
      </c>
      <c r="H36" s="101">
        <v>7235</v>
      </c>
      <c r="I36" s="101">
        <v>2271</v>
      </c>
      <c r="J36" s="101">
        <v>2044</v>
      </c>
      <c r="K36" s="101">
        <v>885</v>
      </c>
      <c r="L36" s="101">
        <v>1788</v>
      </c>
      <c r="M36" s="101">
        <v>5316</v>
      </c>
      <c r="N36" s="101">
        <v>12198</v>
      </c>
      <c r="O36" s="101">
        <v>11551</v>
      </c>
      <c r="P36" s="101">
        <v>9435</v>
      </c>
      <c r="Q36" s="101">
        <v>8836</v>
      </c>
      <c r="R36" s="101">
        <v>1332</v>
      </c>
      <c r="S36" s="101"/>
      <c r="T36" t="s">
        <v>347</v>
      </c>
      <c r="U36" s="101">
        <f t="shared" si="0"/>
        <v>90263</v>
      </c>
      <c r="V36" s="101">
        <v>66708000</v>
      </c>
      <c r="W36" s="101">
        <v>54882641</v>
      </c>
      <c r="X36" s="101">
        <v>2927</v>
      </c>
      <c r="Y36" s="101">
        <v>5381</v>
      </c>
      <c r="Z36" s="101">
        <v>616</v>
      </c>
      <c r="AA36" s="101">
        <v>4</v>
      </c>
      <c r="AB36" s="101">
        <v>1168</v>
      </c>
      <c r="AC36" s="101">
        <v>678</v>
      </c>
      <c r="AD36" s="101">
        <v>252</v>
      </c>
      <c r="AE36" s="101">
        <v>0</v>
      </c>
      <c r="AF36" s="101">
        <v>100</v>
      </c>
      <c r="AG36" s="101">
        <f t="shared" si="1"/>
        <v>67311.641000000003</v>
      </c>
      <c r="AH36" s="101">
        <v>31652</v>
      </c>
      <c r="AI36" s="101">
        <f t="shared" si="2"/>
        <v>2126.6157272842161</v>
      </c>
      <c r="AJ36" t="s">
        <v>465</v>
      </c>
      <c r="AN36" t="s">
        <v>258</v>
      </c>
      <c r="AO36" s="260">
        <v>2482.297409598948</v>
      </c>
      <c r="AP36" s="164" t="s">
        <v>439</v>
      </c>
    </row>
    <row r="37" spans="2:42" x14ac:dyDescent="0.25">
      <c r="B37" t="s">
        <v>168</v>
      </c>
      <c r="C37" s="101">
        <v>85958</v>
      </c>
      <c r="D37" s="101">
        <v>263</v>
      </c>
      <c r="E37" s="101">
        <v>1387</v>
      </c>
      <c r="F37" s="101">
        <v>2548</v>
      </c>
      <c r="G37" s="101">
        <v>19123</v>
      </c>
      <c r="H37" s="101">
        <v>8407</v>
      </c>
      <c r="I37" s="101">
        <v>1981</v>
      </c>
      <c r="J37" s="101">
        <v>2718</v>
      </c>
      <c r="K37" s="101">
        <v>244</v>
      </c>
      <c r="L37" s="101">
        <v>1249</v>
      </c>
      <c r="M37" s="101">
        <v>4786</v>
      </c>
      <c r="N37" s="101">
        <v>13479</v>
      </c>
      <c r="O37" s="101">
        <v>8952</v>
      </c>
      <c r="P37" s="101">
        <v>12725</v>
      </c>
      <c r="Q37" s="101">
        <v>6225</v>
      </c>
      <c r="R37" s="101">
        <v>1871</v>
      </c>
      <c r="S37" s="101"/>
      <c r="T37" t="s">
        <v>168</v>
      </c>
      <c r="U37" s="101">
        <f t="shared" si="0"/>
        <v>81760</v>
      </c>
      <c r="V37" s="101">
        <v>60008000</v>
      </c>
      <c r="W37" s="101">
        <v>46407984</v>
      </c>
      <c r="X37" s="101">
        <v>2811</v>
      </c>
      <c r="Y37" s="101">
        <v>2828</v>
      </c>
      <c r="Z37" s="101">
        <v>368</v>
      </c>
      <c r="AA37" s="101">
        <v>54</v>
      </c>
      <c r="AB37" s="101">
        <v>784</v>
      </c>
      <c r="AC37" s="101">
        <v>43</v>
      </c>
      <c r="AD37" s="101">
        <v>280</v>
      </c>
      <c r="AE37" s="101">
        <v>0</v>
      </c>
      <c r="AF37" s="101">
        <v>485</v>
      </c>
      <c r="AG37" s="101">
        <f t="shared" si="1"/>
        <v>60506.983999999997</v>
      </c>
      <c r="AH37" s="101">
        <v>26742</v>
      </c>
      <c r="AI37" s="101">
        <f t="shared" si="2"/>
        <v>2262.6199985042254</v>
      </c>
      <c r="AJ37" t="s">
        <v>465</v>
      </c>
      <c r="AN37" t="s">
        <v>149</v>
      </c>
      <c r="AO37" s="260">
        <v>2578.9928193700143</v>
      </c>
      <c r="AP37" s="164" t="s">
        <v>439</v>
      </c>
    </row>
    <row r="38" spans="2:42" x14ac:dyDescent="0.25">
      <c r="B38" t="s">
        <v>241</v>
      </c>
      <c r="C38" s="101">
        <v>157432</v>
      </c>
      <c r="D38" s="101">
        <v>3</v>
      </c>
      <c r="E38" s="101">
        <v>3172</v>
      </c>
      <c r="F38" s="101">
        <v>6420</v>
      </c>
      <c r="G38" s="101">
        <v>32482</v>
      </c>
      <c r="H38" s="101">
        <v>9071</v>
      </c>
      <c r="I38" s="101">
        <v>4998</v>
      </c>
      <c r="J38" s="101">
        <v>7368</v>
      </c>
      <c r="K38" s="101">
        <v>1156</v>
      </c>
      <c r="L38" s="101">
        <v>4102</v>
      </c>
      <c r="M38" s="101">
        <v>9959</v>
      </c>
      <c r="N38" s="101">
        <v>26844</v>
      </c>
      <c r="O38" s="101">
        <v>17467</v>
      </c>
      <c r="P38" s="101">
        <v>17739</v>
      </c>
      <c r="Q38" s="101">
        <v>14489</v>
      </c>
      <c r="R38" s="101">
        <v>2162</v>
      </c>
      <c r="S38" s="101"/>
      <c r="T38" t="s">
        <v>241</v>
      </c>
      <c r="U38" s="101">
        <f t="shared" si="0"/>
        <v>147837</v>
      </c>
      <c r="V38" s="101">
        <v>121028000</v>
      </c>
      <c r="W38" s="101">
        <v>93650658</v>
      </c>
      <c r="X38" s="101">
        <v>4364</v>
      </c>
      <c r="Y38" s="101">
        <v>6385</v>
      </c>
      <c r="Z38" s="101">
        <v>847</v>
      </c>
      <c r="AA38" s="101">
        <v>598</v>
      </c>
      <c r="AB38" s="101">
        <v>785</v>
      </c>
      <c r="AC38" s="101">
        <v>657</v>
      </c>
      <c r="AD38" s="101">
        <v>172</v>
      </c>
      <c r="AE38" s="101">
        <v>2069</v>
      </c>
      <c r="AF38" s="101">
        <v>220</v>
      </c>
      <c r="AG38" s="101">
        <f t="shared" si="1"/>
        <v>104362.658</v>
      </c>
      <c r="AH38" s="101">
        <v>43005</v>
      </c>
      <c r="AI38" s="101">
        <f t="shared" si="2"/>
        <v>2426.7563771654459</v>
      </c>
      <c r="AJ38" t="s">
        <v>116</v>
      </c>
      <c r="AN38" t="s">
        <v>407</v>
      </c>
      <c r="AO38" s="259">
        <v>3035.9148730350666</v>
      </c>
      <c r="AP38" t="s">
        <v>439</v>
      </c>
    </row>
    <row r="39" spans="2:42" x14ac:dyDescent="0.25">
      <c r="B39" t="s">
        <v>348</v>
      </c>
      <c r="C39" s="101">
        <v>69684</v>
      </c>
      <c r="D39" s="101">
        <v>2431</v>
      </c>
      <c r="E39" s="101">
        <v>2222</v>
      </c>
      <c r="F39" s="101">
        <v>4759</v>
      </c>
      <c r="G39" s="101">
        <v>11072</v>
      </c>
      <c r="H39" s="101">
        <v>4149</v>
      </c>
      <c r="I39" s="101">
        <v>1750</v>
      </c>
      <c r="J39" s="101">
        <v>2299</v>
      </c>
      <c r="K39" s="101">
        <v>498</v>
      </c>
      <c r="L39" s="101">
        <v>1886</v>
      </c>
      <c r="M39" s="101">
        <v>5478</v>
      </c>
      <c r="N39" s="101">
        <v>11626</v>
      </c>
      <c r="O39" s="101">
        <v>4415</v>
      </c>
      <c r="P39" s="101">
        <v>10081</v>
      </c>
      <c r="Q39" s="101">
        <v>5770</v>
      </c>
      <c r="R39" s="101">
        <v>1248</v>
      </c>
      <c r="S39" s="101"/>
      <c r="T39" t="s">
        <v>348</v>
      </c>
      <c r="U39" s="101">
        <f t="shared" si="0"/>
        <v>60272</v>
      </c>
      <c r="V39" s="101">
        <v>49521000</v>
      </c>
      <c r="W39" s="101">
        <v>37944240</v>
      </c>
      <c r="X39" s="101">
        <v>2229</v>
      </c>
      <c r="Y39" s="101">
        <v>1508</v>
      </c>
      <c r="Z39" s="101">
        <v>282</v>
      </c>
      <c r="AA39" s="101">
        <v>0</v>
      </c>
      <c r="AB39" s="101">
        <v>812</v>
      </c>
      <c r="AC39" s="101">
        <v>92</v>
      </c>
      <c r="AD39" s="101">
        <v>1559</v>
      </c>
      <c r="AE39" s="101">
        <v>4</v>
      </c>
      <c r="AF39" s="101">
        <v>109</v>
      </c>
      <c r="AG39" s="101">
        <f t="shared" si="1"/>
        <v>42100.24</v>
      </c>
      <c r="AH39" s="101">
        <v>21009</v>
      </c>
      <c r="AI39" s="101">
        <f t="shared" si="2"/>
        <v>2003.9145128278358</v>
      </c>
      <c r="AJ39" t="s">
        <v>465</v>
      </c>
      <c r="AN39" t="s">
        <v>408</v>
      </c>
      <c r="AO39" s="259">
        <v>2706.2950881953866</v>
      </c>
      <c r="AP39" t="s">
        <v>439</v>
      </c>
    </row>
    <row r="40" spans="2:42" x14ac:dyDescent="0.25">
      <c r="B40" t="s">
        <v>242</v>
      </c>
      <c r="C40" s="101">
        <v>41439</v>
      </c>
      <c r="D40" s="101">
        <v>0</v>
      </c>
      <c r="E40" s="101">
        <v>0</v>
      </c>
      <c r="F40" s="101">
        <v>1142</v>
      </c>
      <c r="G40" s="101">
        <v>1212</v>
      </c>
      <c r="H40" s="101">
        <v>7507</v>
      </c>
      <c r="I40" s="101">
        <v>1835</v>
      </c>
      <c r="J40" s="101">
        <v>1602</v>
      </c>
      <c r="K40" s="101">
        <v>85</v>
      </c>
      <c r="L40" s="101">
        <v>1234</v>
      </c>
      <c r="M40" s="101">
        <v>2653</v>
      </c>
      <c r="N40" s="101">
        <v>3365</v>
      </c>
      <c r="O40" s="101">
        <v>3578</v>
      </c>
      <c r="P40" s="101">
        <v>12391</v>
      </c>
      <c r="Q40" s="101">
        <v>3553</v>
      </c>
      <c r="R40" s="101">
        <v>1282</v>
      </c>
      <c r="S40" s="101"/>
      <c r="T40" t="s">
        <v>242</v>
      </c>
      <c r="U40" s="101">
        <f t="shared" si="0"/>
        <v>40297</v>
      </c>
      <c r="V40" s="101">
        <v>31651000</v>
      </c>
      <c r="W40" s="101">
        <v>19458143</v>
      </c>
      <c r="X40" s="101">
        <v>1409</v>
      </c>
      <c r="Y40" s="101">
        <v>1845</v>
      </c>
      <c r="Z40" s="101">
        <v>312</v>
      </c>
      <c r="AA40" s="101">
        <v>150</v>
      </c>
      <c r="AB40" s="101">
        <v>809</v>
      </c>
      <c r="AC40" s="101">
        <v>56</v>
      </c>
      <c r="AD40" s="101">
        <v>10</v>
      </c>
      <c r="AE40" s="101">
        <v>0</v>
      </c>
      <c r="AF40" s="101">
        <v>105</v>
      </c>
      <c r="AG40" s="101">
        <f t="shared" si="1"/>
        <v>23408.143</v>
      </c>
      <c r="AH40" s="101">
        <v>12951</v>
      </c>
      <c r="AI40" s="101">
        <f t="shared" si="2"/>
        <v>1807.4390394564127</v>
      </c>
      <c r="AJ40" t="s">
        <v>465</v>
      </c>
      <c r="AN40" t="s">
        <v>130</v>
      </c>
      <c r="AO40" s="259">
        <v>3097.7275525121181</v>
      </c>
      <c r="AP40" t="s">
        <v>439</v>
      </c>
    </row>
    <row r="41" spans="2:42" x14ac:dyDescent="0.25">
      <c r="B41" t="s">
        <v>243</v>
      </c>
      <c r="C41" s="101">
        <v>79004</v>
      </c>
      <c r="D41" s="101">
        <v>0</v>
      </c>
      <c r="E41" s="101">
        <v>412</v>
      </c>
      <c r="F41" s="101">
        <v>2689</v>
      </c>
      <c r="G41" s="101">
        <v>23020</v>
      </c>
      <c r="H41" s="101">
        <v>9671</v>
      </c>
      <c r="I41" s="101">
        <v>2638</v>
      </c>
      <c r="J41" s="101">
        <v>3506</v>
      </c>
      <c r="K41" s="101">
        <v>194</v>
      </c>
      <c r="L41" s="101">
        <v>1676</v>
      </c>
      <c r="M41" s="101">
        <v>4113</v>
      </c>
      <c r="N41" s="101">
        <v>6338</v>
      </c>
      <c r="O41" s="101">
        <v>6010</v>
      </c>
      <c r="P41" s="101">
        <v>9720</v>
      </c>
      <c r="Q41" s="101">
        <v>7594</v>
      </c>
      <c r="R41" s="101">
        <v>1423</v>
      </c>
      <c r="S41" s="101"/>
      <c r="T41" t="s">
        <v>243</v>
      </c>
      <c r="U41" s="101">
        <f t="shared" si="0"/>
        <v>75903</v>
      </c>
      <c r="V41" s="101">
        <v>39006000</v>
      </c>
      <c r="W41" s="101">
        <v>32182317</v>
      </c>
      <c r="X41" s="101">
        <v>3621</v>
      </c>
      <c r="Y41" s="101">
        <v>4982</v>
      </c>
      <c r="Z41" s="101">
        <v>528</v>
      </c>
      <c r="AA41" s="101">
        <v>338</v>
      </c>
      <c r="AB41" s="101">
        <v>663</v>
      </c>
      <c r="AC41" s="101">
        <v>72</v>
      </c>
      <c r="AD41" s="101">
        <v>2195</v>
      </c>
      <c r="AE41" s="101">
        <v>2612</v>
      </c>
      <c r="AF41" s="101">
        <v>300</v>
      </c>
      <c r="AG41" s="101">
        <f t="shared" si="1"/>
        <v>53768.316999999995</v>
      </c>
      <c r="AH41" s="101">
        <v>23583</v>
      </c>
      <c r="AI41" s="101">
        <f t="shared" si="2"/>
        <v>2279.9608616376199</v>
      </c>
      <c r="AJ41" t="s">
        <v>465</v>
      </c>
      <c r="AN41" t="s">
        <v>301</v>
      </c>
      <c r="AO41" s="259">
        <v>3027.682918239379</v>
      </c>
      <c r="AP41" t="s">
        <v>439</v>
      </c>
    </row>
    <row r="42" spans="2:42" x14ac:dyDescent="0.25">
      <c r="B42" t="s">
        <v>285</v>
      </c>
      <c r="C42" s="101">
        <v>116278</v>
      </c>
      <c r="D42" s="101">
        <v>1602</v>
      </c>
      <c r="E42" s="101">
        <v>2881</v>
      </c>
      <c r="F42" s="101">
        <v>7451</v>
      </c>
      <c r="G42" s="101">
        <v>19856</v>
      </c>
      <c r="H42" s="101">
        <v>8099</v>
      </c>
      <c r="I42" s="101">
        <v>3355</v>
      </c>
      <c r="J42" s="101">
        <v>5371</v>
      </c>
      <c r="K42" s="101">
        <v>629</v>
      </c>
      <c r="L42" s="101">
        <v>3560</v>
      </c>
      <c r="M42" s="101">
        <v>5856</v>
      </c>
      <c r="N42" s="101">
        <v>13257</v>
      </c>
      <c r="O42" s="101">
        <v>15778</v>
      </c>
      <c r="P42" s="101">
        <v>14814</v>
      </c>
      <c r="Q42" s="101">
        <v>11246</v>
      </c>
      <c r="R42" s="101">
        <v>2523</v>
      </c>
      <c r="S42" s="101"/>
      <c r="T42" t="s">
        <v>285</v>
      </c>
      <c r="U42" s="101">
        <f t="shared" si="0"/>
        <v>104344</v>
      </c>
      <c r="V42" s="101">
        <v>82185000</v>
      </c>
      <c r="W42" s="101">
        <v>62070697</v>
      </c>
      <c r="X42" s="101">
        <v>5786</v>
      </c>
      <c r="Y42" s="101">
        <v>5933</v>
      </c>
      <c r="Z42" s="101">
        <v>687</v>
      </c>
      <c r="AA42" s="101">
        <v>427</v>
      </c>
      <c r="AB42" s="101">
        <v>2216</v>
      </c>
      <c r="AC42" s="101">
        <v>165</v>
      </c>
      <c r="AD42" s="101">
        <v>1016</v>
      </c>
      <c r="AE42" s="101">
        <v>13</v>
      </c>
      <c r="AF42" s="101">
        <v>138</v>
      </c>
      <c r="AG42" s="101">
        <f t="shared" si="1"/>
        <v>67848.697</v>
      </c>
      <c r="AH42" s="101">
        <v>37220</v>
      </c>
      <c r="AI42" s="101">
        <f t="shared" si="2"/>
        <v>1822.9096453519612</v>
      </c>
      <c r="AJ42" t="s">
        <v>465</v>
      </c>
      <c r="AN42" t="s">
        <v>429</v>
      </c>
      <c r="AO42" s="259">
        <v>3501.6626968201876</v>
      </c>
      <c r="AP42" t="s">
        <v>439</v>
      </c>
    </row>
    <row r="43" spans="2:42" x14ac:dyDescent="0.25">
      <c r="B43" t="s">
        <v>349</v>
      </c>
      <c r="C43" s="101">
        <v>49562</v>
      </c>
      <c r="D43" s="101">
        <v>15684</v>
      </c>
      <c r="E43" s="101">
        <v>216</v>
      </c>
      <c r="F43" s="101">
        <v>1239</v>
      </c>
      <c r="G43" s="101">
        <v>7209</v>
      </c>
      <c r="H43" s="101">
        <v>3373</v>
      </c>
      <c r="I43" s="101">
        <v>961</v>
      </c>
      <c r="J43" s="101">
        <v>731</v>
      </c>
      <c r="K43" s="101">
        <v>3015</v>
      </c>
      <c r="L43" s="101">
        <v>595</v>
      </c>
      <c r="M43" s="101">
        <v>1541</v>
      </c>
      <c r="N43" s="101">
        <v>4043</v>
      </c>
      <c r="O43" s="101">
        <v>2492</v>
      </c>
      <c r="P43" s="101">
        <v>4121</v>
      </c>
      <c r="Q43" s="101">
        <v>4095</v>
      </c>
      <c r="R43" s="101">
        <v>247</v>
      </c>
      <c r="S43" s="101"/>
      <c r="T43" t="s">
        <v>349</v>
      </c>
      <c r="U43" s="101">
        <f t="shared" si="0"/>
        <v>32423</v>
      </c>
      <c r="V43" s="101">
        <v>23425000</v>
      </c>
      <c r="W43" s="101">
        <v>19581624</v>
      </c>
      <c r="X43" s="101">
        <v>1369</v>
      </c>
      <c r="Y43" s="101">
        <v>1542</v>
      </c>
      <c r="Z43" s="101">
        <v>229</v>
      </c>
      <c r="AA43" s="101">
        <v>98</v>
      </c>
      <c r="AB43" s="101">
        <v>185</v>
      </c>
      <c r="AC43" s="101">
        <v>93</v>
      </c>
      <c r="AD43" s="101">
        <v>40</v>
      </c>
      <c r="AE43" s="101">
        <v>0</v>
      </c>
      <c r="AF43" s="101">
        <v>16</v>
      </c>
      <c r="AG43" s="101">
        <f t="shared" si="1"/>
        <v>25007.624</v>
      </c>
      <c r="AH43" s="101">
        <v>11461</v>
      </c>
      <c r="AI43" s="101">
        <f t="shared" si="2"/>
        <v>2181.9757438268912</v>
      </c>
      <c r="AJ43" t="s">
        <v>465</v>
      </c>
      <c r="AN43" t="s">
        <v>411</v>
      </c>
      <c r="AO43" s="259">
        <v>2901.3525774672544</v>
      </c>
      <c r="AP43" t="s">
        <v>439</v>
      </c>
    </row>
    <row r="44" spans="2:42" x14ac:dyDescent="0.25">
      <c r="B44" t="s">
        <v>106</v>
      </c>
      <c r="C44" s="101">
        <v>95793</v>
      </c>
      <c r="D44" s="101">
        <v>1539</v>
      </c>
      <c r="E44" s="101">
        <v>1016</v>
      </c>
      <c r="F44" s="101">
        <v>6936</v>
      </c>
      <c r="G44" s="101">
        <v>21648</v>
      </c>
      <c r="H44" s="101">
        <v>7995</v>
      </c>
      <c r="I44" s="101">
        <v>2055</v>
      </c>
      <c r="J44" s="101">
        <v>1217</v>
      </c>
      <c r="K44" s="101">
        <v>503</v>
      </c>
      <c r="L44" s="101">
        <v>3580</v>
      </c>
      <c r="M44" s="101">
        <v>4273</v>
      </c>
      <c r="N44" s="101">
        <v>15674</v>
      </c>
      <c r="O44" s="101">
        <v>12948</v>
      </c>
      <c r="P44" s="101">
        <v>9754</v>
      </c>
      <c r="Q44" s="101">
        <v>6160</v>
      </c>
      <c r="R44" s="101">
        <v>495</v>
      </c>
      <c r="S44" s="101"/>
      <c r="T44" t="s">
        <v>106</v>
      </c>
      <c r="U44" s="101">
        <f t="shared" si="0"/>
        <v>86302</v>
      </c>
      <c r="V44" s="101">
        <v>70742000</v>
      </c>
      <c r="W44" s="101">
        <v>56478017</v>
      </c>
      <c r="X44" s="101">
        <v>3213</v>
      </c>
      <c r="Y44" s="101">
        <v>2847</v>
      </c>
      <c r="Z44" s="101">
        <v>445</v>
      </c>
      <c r="AA44" s="101">
        <v>201</v>
      </c>
      <c r="AB44" s="101">
        <v>449</v>
      </c>
      <c r="AC44" s="101">
        <v>29</v>
      </c>
      <c r="AD44" s="101">
        <v>1948</v>
      </c>
      <c r="AE44" s="101">
        <v>0</v>
      </c>
      <c r="AF44" s="101">
        <v>67</v>
      </c>
      <c r="AG44" s="101">
        <f t="shared" si="1"/>
        <v>62839.016999999993</v>
      </c>
      <c r="AH44" s="101">
        <v>26052</v>
      </c>
      <c r="AI44" s="101">
        <f t="shared" si="2"/>
        <v>2412.0611469368951</v>
      </c>
      <c r="AJ44" t="s">
        <v>116</v>
      </c>
      <c r="AN44" t="s">
        <v>110</v>
      </c>
      <c r="AO44" s="259">
        <v>2642.8037092151676</v>
      </c>
      <c r="AP44" t="s">
        <v>439</v>
      </c>
    </row>
    <row r="45" spans="2:42" x14ac:dyDescent="0.25">
      <c r="B45" t="s">
        <v>140</v>
      </c>
      <c r="C45" s="101">
        <v>78597</v>
      </c>
      <c r="D45" s="101">
        <v>2605</v>
      </c>
      <c r="E45" s="101">
        <v>1018</v>
      </c>
      <c r="F45" s="101">
        <v>3243</v>
      </c>
      <c r="G45" s="101">
        <v>15049</v>
      </c>
      <c r="H45" s="101">
        <v>8518</v>
      </c>
      <c r="I45" s="101">
        <v>2061</v>
      </c>
      <c r="J45" s="101">
        <v>1745</v>
      </c>
      <c r="K45" s="101">
        <v>563</v>
      </c>
      <c r="L45" s="101">
        <v>1816</v>
      </c>
      <c r="M45" s="101">
        <v>5465</v>
      </c>
      <c r="N45" s="101">
        <v>12047</v>
      </c>
      <c r="O45" s="101">
        <v>8647</v>
      </c>
      <c r="P45" s="101">
        <v>9361</v>
      </c>
      <c r="Q45" s="101">
        <v>5859</v>
      </c>
      <c r="R45" s="101">
        <v>600</v>
      </c>
      <c r="S45" s="101"/>
      <c r="T45" t="s">
        <v>140</v>
      </c>
      <c r="U45" s="101">
        <f t="shared" si="0"/>
        <v>71731</v>
      </c>
      <c r="V45" s="101">
        <v>54954000</v>
      </c>
      <c r="W45" s="101">
        <v>45099124</v>
      </c>
      <c r="X45" s="101">
        <v>2082</v>
      </c>
      <c r="Y45" s="101">
        <v>2528</v>
      </c>
      <c r="Z45" s="101">
        <v>359</v>
      </c>
      <c r="AA45" s="101">
        <v>127</v>
      </c>
      <c r="AB45" s="101">
        <v>453</v>
      </c>
      <c r="AC45" s="101">
        <v>134</v>
      </c>
      <c r="AD45" s="101">
        <v>0</v>
      </c>
      <c r="AE45" s="101">
        <v>10</v>
      </c>
      <c r="AF45" s="101">
        <v>10</v>
      </c>
      <c r="AG45" s="101">
        <f t="shared" si="1"/>
        <v>56173.124000000003</v>
      </c>
      <c r="AH45" s="101">
        <v>24738</v>
      </c>
      <c r="AI45" s="101">
        <f t="shared" si="2"/>
        <v>2270.7221279003961</v>
      </c>
      <c r="AJ45" t="s">
        <v>116</v>
      </c>
      <c r="AN45" t="s">
        <v>725</v>
      </c>
      <c r="AO45" s="259">
        <v>2811.5530727370588</v>
      </c>
      <c r="AP45" t="s">
        <v>439</v>
      </c>
    </row>
    <row r="46" spans="2:42" x14ac:dyDescent="0.25">
      <c r="B46" t="s">
        <v>328</v>
      </c>
      <c r="C46" s="101">
        <v>77907</v>
      </c>
      <c r="D46" s="101">
        <v>2081</v>
      </c>
      <c r="E46" s="101">
        <v>1147</v>
      </c>
      <c r="F46" s="101">
        <v>3029</v>
      </c>
      <c r="G46" s="101">
        <v>17240</v>
      </c>
      <c r="H46" s="101">
        <v>8880</v>
      </c>
      <c r="I46" s="101">
        <v>2310</v>
      </c>
      <c r="J46" s="101">
        <v>2861</v>
      </c>
      <c r="K46" s="101">
        <v>236</v>
      </c>
      <c r="L46" s="101">
        <v>2102</v>
      </c>
      <c r="M46" s="101">
        <v>2646</v>
      </c>
      <c r="N46" s="101">
        <v>7764</v>
      </c>
      <c r="O46" s="101">
        <v>10106</v>
      </c>
      <c r="P46" s="101">
        <v>11137</v>
      </c>
      <c r="Q46" s="101">
        <v>6087</v>
      </c>
      <c r="R46" s="101">
        <v>281</v>
      </c>
      <c r="S46" s="101"/>
      <c r="T46" t="s">
        <v>328</v>
      </c>
      <c r="U46" s="101">
        <f t="shared" si="0"/>
        <v>71650</v>
      </c>
      <c r="V46" s="101">
        <v>53069000</v>
      </c>
      <c r="W46" s="101">
        <v>44924694</v>
      </c>
      <c r="X46" s="101">
        <v>2015</v>
      </c>
      <c r="Y46" s="101">
        <v>3591</v>
      </c>
      <c r="Z46" s="101">
        <v>661</v>
      </c>
      <c r="AA46" s="101">
        <v>332</v>
      </c>
      <c r="AB46" s="101">
        <v>515</v>
      </c>
      <c r="AC46" s="101">
        <v>65</v>
      </c>
      <c r="AD46" s="101">
        <v>0</v>
      </c>
      <c r="AE46" s="101">
        <v>0</v>
      </c>
      <c r="AF46" s="101">
        <v>214</v>
      </c>
      <c r="AG46" s="101">
        <f t="shared" si="1"/>
        <v>56112.694000000003</v>
      </c>
      <c r="AH46" s="101">
        <v>23127</v>
      </c>
      <c r="AI46" s="101">
        <f t="shared" si="2"/>
        <v>2426.2850348078005</v>
      </c>
      <c r="AJ46" t="s">
        <v>465</v>
      </c>
      <c r="AN46" t="s">
        <v>595</v>
      </c>
      <c r="AO46" s="259">
        <v>3194.7626356437581</v>
      </c>
      <c r="AP46" t="s">
        <v>439</v>
      </c>
    </row>
    <row r="47" spans="2:42" x14ac:dyDescent="0.25">
      <c r="B47" t="s">
        <v>351</v>
      </c>
      <c r="C47" s="101">
        <v>120836</v>
      </c>
      <c r="D47" s="101">
        <v>1683</v>
      </c>
      <c r="E47" s="101">
        <v>462</v>
      </c>
      <c r="F47" s="101">
        <v>8443</v>
      </c>
      <c r="G47" s="101">
        <v>1687</v>
      </c>
      <c r="H47" s="101">
        <v>9446</v>
      </c>
      <c r="I47" s="101">
        <v>3782</v>
      </c>
      <c r="J47" s="101">
        <v>7797</v>
      </c>
      <c r="K47" s="101">
        <v>4508</v>
      </c>
      <c r="L47" s="101">
        <v>3897</v>
      </c>
      <c r="M47" s="101">
        <v>9538</v>
      </c>
      <c r="N47" s="101">
        <v>23024</v>
      </c>
      <c r="O47" s="101">
        <v>11887</v>
      </c>
      <c r="P47" s="101">
        <v>17112</v>
      </c>
      <c r="Q47" s="101">
        <v>12287</v>
      </c>
      <c r="R47" s="101">
        <v>5283</v>
      </c>
      <c r="S47" s="101"/>
      <c r="T47" t="s">
        <v>351</v>
      </c>
      <c r="U47" s="101">
        <f t="shared" si="0"/>
        <v>110248</v>
      </c>
      <c r="V47" s="101">
        <v>86867000</v>
      </c>
      <c r="W47" s="101">
        <v>66978956</v>
      </c>
      <c r="X47" s="101">
        <v>3639</v>
      </c>
      <c r="Y47" s="101">
        <v>3678</v>
      </c>
      <c r="Z47" s="101">
        <v>677</v>
      </c>
      <c r="AA47" s="101">
        <v>205</v>
      </c>
      <c r="AB47" s="101">
        <v>1076</v>
      </c>
      <c r="AC47" s="101">
        <v>198</v>
      </c>
      <c r="AD47" s="101">
        <v>73</v>
      </c>
      <c r="AE47" s="101">
        <v>190</v>
      </c>
      <c r="AF47" s="101">
        <v>41</v>
      </c>
      <c r="AG47" s="101">
        <f t="shared" si="1"/>
        <v>80582.956000000006</v>
      </c>
      <c r="AH47" s="101">
        <v>34237</v>
      </c>
      <c r="AI47" s="101">
        <f t="shared" si="2"/>
        <v>2353.6804042410258</v>
      </c>
      <c r="AJ47" t="s">
        <v>116</v>
      </c>
      <c r="AN47" t="s">
        <v>191</v>
      </c>
      <c r="AO47" s="259">
        <v>3033.8260460046249</v>
      </c>
      <c r="AP47" t="s">
        <v>439</v>
      </c>
    </row>
    <row r="48" spans="2:42" x14ac:dyDescent="0.25">
      <c r="B48" t="s">
        <v>352</v>
      </c>
      <c r="C48" s="101">
        <v>883626</v>
      </c>
      <c r="D48" s="101">
        <v>8559</v>
      </c>
      <c r="E48" s="101">
        <v>7769</v>
      </c>
      <c r="F48" s="101">
        <v>32252</v>
      </c>
      <c r="G48" s="101">
        <v>223578</v>
      </c>
      <c r="H48" s="101">
        <v>51452</v>
      </c>
      <c r="I48" s="101">
        <v>18282</v>
      </c>
      <c r="J48" s="101">
        <v>26634</v>
      </c>
      <c r="K48" s="101">
        <v>14488</v>
      </c>
      <c r="L48" s="101">
        <v>36384</v>
      </c>
      <c r="M48" s="101">
        <v>55231</v>
      </c>
      <c r="N48" s="101">
        <v>103165</v>
      </c>
      <c r="O48" s="101">
        <v>106925</v>
      </c>
      <c r="P48" s="101">
        <v>135203</v>
      </c>
      <c r="Q48" s="101">
        <v>46539</v>
      </c>
      <c r="R48" s="101">
        <v>17165</v>
      </c>
      <c r="S48" s="101"/>
      <c r="T48" t="s">
        <v>352</v>
      </c>
      <c r="U48" s="101">
        <f t="shared" si="0"/>
        <v>835046</v>
      </c>
      <c r="V48" s="101">
        <v>610340000</v>
      </c>
      <c r="W48" s="101">
        <v>405542655</v>
      </c>
      <c r="X48" s="101">
        <v>19014</v>
      </c>
      <c r="Y48" s="101">
        <v>29862</v>
      </c>
      <c r="Z48" s="101">
        <v>6540</v>
      </c>
      <c r="AA48" s="101">
        <v>0</v>
      </c>
      <c r="AB48" s="101">
        <v>6584</v>
      </c>
      <c r="AC48" s="101">
        <v>1436</v>
      </c>
      <c r="AD48" s="101">
        <v>1665</v>
      </c>
      <c r="AE48" s="101">
        <v>25997</v>
      </c>
      <c r="AF48" s="101">
        <v>1456</v>
      </c>
      <c r="AG48" s="101">
        <f t="shared" si="1"/>
        <v>537694.65500000003</v>
      </c>
      <c r="AH48" s="101">
        <v>188834</v>
      </c>
      <c r="AI48" s="101">
        <f t="shared" si="2"/>
        <v>2847.4461961299344</v>
      </c>
      <c r="AJ48" t="s">
        <v>439</v>
      </c>
      <c r="AN48" t="s">
        <v>121</v>
      </c>
      <c r="AO48" s="259">
        <v>3143.1379624014548</v>
      </c>
      <c r="AP48" t="s">
        <v>439</v>
      </c>
    </row>
    <row r="49" spans="2:42" x14ac:dyDescent="0.25">
      <c r="B49" t="s">
        <v>169</v>
      </c>
      <c r="C49" s="101">
        <v>107609</v>
      </c>
      <c r="D49" s="101">
        <v>169</v>
      </c>
      <c r="E49" s="101">
        <v>432</v>
      </c>
      <c r="F49" s="101">
        <v>3681</v>
      </c>
      <c r="G49" s="101">
        <v>31414</v>
      </c>
      <c r="H49" s="101">
        <v>8782</v>
      </c>
      <c r="I49" s="101">
        <v>3015</v>
      </c>
      <c r="J49" s="101">
        <v>3979</v>
      </c>
      <c r="K49" s="101">
        <v>464</v>
      </c>
      <c r="L49" s="101">
        <v>2160</v>
      </c>
      <c r="M49" s="101">
        <v>5202</v>
      </c>
      <c r="N49" s="101">
        <v>9977</v>
      </c>
      <c r="O49" s="101">
        <v>12988</v>
      </c>
      <c r="P49" s="101">
        <v>14268</v>
      </c>
      <c r="Q49" s="101">
        <v>9528</v>
      </c>
      <c r="R49" s="101">
        <v>1550</v>
      </c>
      <c r="S49" s="101"/>
      <c r="T49" t="s">
        <v>169</v>
      </c>
      <c r="U49" s="101">
        <f t="shared" si="0"/>
        <v>103327</v>
      </c>
      <c r="V49" s="101">
        <v>80824000</v>
      </c>
      <c r="W49" s="101">
        <v>67764251</v>
      </c>
      <c r="X49" s="101">
        <v>4461</v>
      </c>
      <c r="Y49" s="101">
        <v>4061</v>
      </c>
      <c r="Z49" s="101">
        <v>666</v>
      </c>
      <c r="AA49" s="101">
        <v>147</v>
      </c>
      <c r="AB49" s="101">
        <v>1714</v>
      </c>
      <c r="AC49" s="101">
        <v>84</v>
      </c>
      <c r="AD49" s="101">
        <v>342</v>
      </c>
      <c r="AE49" s="101">
        <v>0</v>
      </c>
      <c r="AF49" s="101">
        <v>31</v>
      </c>
      <c r="AG49" s="101">
        <f t="shared" si="1"/>
        <v>78761.251000000004</v>
      </c>
      <c r="AH49" s="101">
        <v>36007</v>
      </c>
      <c r="AI49" s="101">
        <f t="shared" si="2"/>
        <v>2187.3872024884049</v>
      </c>
      <c r="AJ49" t="s">
        <v>465</v>
      </c>
      <c r="AN49" t="s">
        <v>381</v>
      </c>
      <c r="AO49" s="259">
        <v>2799.066878077977</v>
      </c>
      <c r="AP49" t="s">
        <v>439</v>
      </c>
    </row>
    <row r="50" spans="2:42" x14ac:dyDescent="0.25">
      <c r="B50" t="s">
        <v>170</v>
      </c>
      <c r="C50" s="101">
        <v>68433</v>
      </c>
      <c r="D50" s="101">
        <v>200</v>
      </c>
      <c r="E50" s="101">
        <v>723</v>
      </c>
      <c r="F50" s="101">
        <v>2796</v>
      </c>
      <c r="G50" s="101">
        <v>20099</v>
      </c>
      <c r="H50" s="101">
        <v>5419</v>
      </c>
      <c r="I50" s="101">
        <v>1612</v>
      </c>
      <c r="J50" s="101">
        <v>1970</v>
      </c>
      <c r="K50" s="101">
        <v>247</v>
      </c>
      <c r="L50" s="101">
        <v>1396</v>
      </c>
      <c r="M50" s="101">
        <v>4123</v>
      </c>
      <c r="N50" s="101">
        <v>7798</v>
      </c>
      <c r="O50" s="101">
        <v>7142</v>
      </c>
      <c r="P50" s="101">
        <v>7895</v>
      </c>
      <c r="Q50" s="101">
        <v>5878</v>
      </c>
      <c r="R50" s="101">
        <v>1135</v>
      </c>
      <c r="S50" s="101"/>
      <c r="T50" t="s">
        <v>170</v>
      </c>
      <c r="U50" s="101">
        <f t="shared" si="0"/>
        <v>64714</v>
      </c>
      <c r="V50" s="101">
        <v>49753000</v>
      </c>
      <c r="W50" s="101">
        <v>40624968</v>
      </c>
      <c r="X50" s="101">
        <v>3643</v>
      </c>
      <c r="Y50" s="101">
        <v>1920</v>
      </c>
      <c r="Z50" s="101">
        <v>401</v>
      </c>
      <c r="AA50" s="101">
        <v>124</v>
      </c>
      <c r="AB50" s="101">
        <v>771</v>
      </c>
      <c r="AC50" s="101">
        <v>115</v>
      </c>
      <c r="AD50" s="101">
        <v>1330</v>
      </c>
      <c r="AE50" s="101">
        <v>0</v>
      </c>
      <c r="AF50" s="101">
        <v>11</v>
      </c>
      <c r="AG50" s="101">
        <f t="shared" si="1"/>
        <v>47270.968000000001</v>
      </c>
      <c r="AH50" s="101">
        <v>21394</v>
      </c>
      <c r="AI50" s="101">
        <f t="shared" si="2"/>
        <v>2209.5432364214266</v>
      </c>
      <c r="AJ50" t="s">
        <v>116</v>
      </c>
      <c r="AN50" t="s">
        <v>122</v>
      </c>
      <c r="AO50" s="259">
        <v>3282.8493381468111</v>
      </c>
      <c r="AP50" t="s">
        <v>439</v>
      </c>
    </row>
    <row r="51" spans="2:42" x14ac:dyDescent="0.25">
      <c r="B51" t="s">
        <v>400</v>
      </c>
      <c r="C51" s="101">
        <v>123082</v>
      </c>
      <c r="D51" s="101">
        <v>6417</v>
      </c>
      <c r="E51" s="101">
        <v>459</v>
      </c>
      <c r="F51" s="101">
        <v>3277</v>
      </c>
      <c r="G51" s="101">
        <v>21753</v>
      </c>
      <c r="H51" s="101">
        <v>7861</v>
      </c>
      <c r="I51" s="101">
        <v>2802</v>
      </c>
      <c r="J51" s="101">
        <v>2607</v>
      </c>
      <c r="K51" s="101">
        <v>807</v>
      </c>
      <c r="L51" s="101">
        <v>3569</v>
      </c>
      <c r="M51" s="101">
        <v>4430</v>
      </c>
      <c r="N51" s="101">
        <v>32594</v>
      </c>
      <c r="O51" s="101">
        <v>13960</v>
      </c>
      <c r="P51" s="101">
        <v>14133</v>
      </c>
      <c r="Q51" s="101">
        <v>7616</v>
      </c>
      <c r="R51" s="101">
        <v>797</v>
      </c>
      <c r="S51" s="101"/>
      <c r="T51" t="s">
        <v>400</v>
      </c>
      <c r="U51" s="101">
        <f t="shared" si="0"/>
        <v>112929</v>
      </c>
      <c r="V51" s="101">
        <v>96034000</v>
      </c>
      <c r="W51" s="101">
        <v>70761667</v>
      </c>
      <c r="X51" s="101">
        <v>4369</v>
      </c>
      <c r="Y51" s="101">
        <v>4407</v>
      </c>
      <c r="Z51" s="101">
        <v>490</v>
      </c>
      <c r="AA51" s="101">
        <v>65</v>
      </c>
      <c r="AB51" s="101">
        <v>274</v>
      </c>
      <c r="AC51" s="101">
        <v>103</v>
      </c>
      <c r="AD51" s="101">
        <v>212</v>
      </c>
      <c r="AE51" s="101">
        <v>0</v>
      </c>
      <c r="AF51" s="101">
        <v>24</v>
      </c>
      <c r="AG51" s="101">
        <f t="shared" si="1"/>
        <v>77712.667000000001</v>
      </c>
      <c r="AH51" s="101">
        <v>27531</v>
      </c>
      <c r="AI51" s="101">
        <f t="shared" si="2"/>
        <v>2822.733173513494</v>
      </c>
      <c r="AJ51" t="s">
        <v>439</v>
      </c>
      <c r="AN51" t="s">
        <v>417</v>
      </c>
      <c r="AO51" s="259">
        <v>2884.8506867885085</v>
      </c>
      <c r="AP51" t="s">
        <v>439</v>
      </c>
    </row>
    <row r="52" spans="2:42" x14ac:dyDescent="0.25">
      <c r="B52" t="s">
        <v>214</v>
      </c>
      <c r="C52" s="101">
        <v>61644</v>
      </c>
      <c r="D52" s="101">
        <v>14848</v>
      </c>
      <c r="E52" s="101">
        <v>577</v>
      </c>
      <c r="F52" s="101">
        <v>1823</v>
      </c>
      <c r="G52" s="101">
        <v>12838</v>
      </c>
      <c r="H52" s="101">
        <v>3662</v>
      </c>
      <c r="I52" s="101">
        <v>1608</v>
      </c>
      <c r="J52" s="101">
        <v>2296</v>
      </c>
      <c r="K52" s="101">
        <v>121</v>
      </c>
      <c r="L52" s="101">
        <v>876</v>
      </c>
      <c r="M52" s="101">
        <v>3000</v>
      </c>
      <c r="N52" s="101">
        <v>4950</v>
      </c>
      <c r="O52" s="101">
        <v>3981</v>
      </c>
      <c r="P52" s="101">
        <v>4093</v>
      </c>
      <c r="Q52" s="101">
        <v>5089</v>
      </c>
      <c r="R52" s="101">
        <v>1882</v>
      </c>
      <c r="S52" s="101"/>
      <c r="T52" t="s">
        <v>214</v>
      </c>
      <c r="U52" s="101">
        <f t="shared" si="0"/>
        <v>44396</v>
      </c>
      <c r="V52" s="101">
        <v>28503000</v>
      </c>
      <c r="W52" s="101">
        <v>23838627</v>
      </c>
      <c r="X52" s="101">
        <v>2138</v>
      </c>
      <c r="Y52" s="101">
        <v>2685</v>
      </c>
      <c r="Z52" s="101">
        <v>329</v>
      </c>
      <c r="AA52" s="101">
        <v>31</v>
      </c>
      <c r="AB52" s="101">
        <v>2108</v>
      </c>
      <c r="AC52" s="101">
        <v>131</v>
      </c>
      <c r="AD52" s="101">
        <v>283</v>
      </c>
      <c r="AE52" s="101">
        <v>6</v>
      </c>
      <c r="AF52" s="101">
        <v>5</v>
      </c>
      <c r="AG52" s="101">
        <f t="shared" si="1"/>
        <v>32015.627</v>
      </c>
      <c r="AH52" s="101">
        <v>16281</v>
      </c>
      <c r="AI52" s="101">
        <f t="shared" si="2"/>
        <v>1966.4410662735704</v>
      </c>
      <c r="AJ52" s="140" t="s">
        <v>465</v>
      </c>
      <c r="AN52" t="s">
        <v>383</v>
      </c>
      <c r="AO52" s="259">
        <v>2922.580208949847</v>
      </c>
      <c r="AP52" t="s">
        <v>439</v>
      </c>
    </row>
    <row r="53" spans="2:42" x14ac:dyDescent="0.25">
      <c r="B53" t="s">
        <v>215</v>
      </c>
      <c r="C53" s="101">
        <v>67878</v>
      </c>
      <c r="D53" s="101">
        <v>8369</v>
      </c>
      <c r="E53" s="101">
        <v>1035</v>
      </c>
      <c r="F53" s="101">
        <v>2711</v>
      </c>
      <c r="G53" s="101">
        <v>12174</v>
      </c>
      <c r="H53" s="101">
        <v>2681</v>
      </c>
      <c r="I53" s="101">
        <v>1674</v>
      </c>
      <c r="J53" s="101">
        <v>2296</v>
      </c>
      <c r="K53" s="101">
        <v>201</v>
      </c>
      <c r="L53" s="101">
        <v>2172</v>
      </c>
      <c r="M53" s="101">
        <v>4680</v>
      </c>
      <c r="N53" s="101">
        <v>6255</v>
      </c>
      <c r="O53" s="101">
        <v>10598</v>
      </c>
      <c r="P53" s="101">
        <v>5984</v>
      </c>
      <c r="Q53" s="101">
        <v>6863</v>
      </c>
      <c r="R53" s="101">
        <v>185</v>
      </c>
      <c r="S53" s="101"/>
      <c r="T53" t="s">
        <v>215</v>
      </c>
      <c r="U53" s="101">
        <f t="shared" si="0"/>
        <v>55763</v>
      </c>
      <c r="V53" s="101">
        <v>43079000</v>
      </c>
      <c r="W53" s="101">
        <v>36761302</v>
      </c>
      <c r="X53" s="101">
        <v>1938</v>
      </c>
      <c r="Y53" s="101">
        <v>2895</v>
      </c>
      <c r="Z53" s="101">
        <v>357</v>
      </c>
      <c r="AA53" s="101">
        <v>473</v>
      </c>
      <c r="AB53" s="101">
        <v>655</v>
      </c>
      <c r="AC53" s="101">
        <v>323</v>
      </c>
      <c r="AD53" s="101">
        <v>0</v>
      </c>
      <c r="AE53" s="101">
        <v>66</v>
      </c>
      <c r="AF53" s="101">
        <v>119</v>
      </c>
      <c r="AG53" s="101">
        <f t="shared" si="1"/>
        <v>42619.302000000003</v>
      </c>
      <c r="AH53" s="101">
        <v>22690</v>
      </c>
      <c r="AI53" s="101">
        <f t="shared" si="2"/>
        <v>1878.3297487880122</v>
      </c>
      <c r="AJ53" t="s">
        <v>465</v>
      </c>
      <c r="AN53" t="s">
        <v>314</v>
      </c>
      <c r="AO53" s="259">
        <v>4065.3855651242693</v>
      </c>
      <c r="AP53" t="s">
        <v>439</v>
      </c>
    </row>
    <row r="54" spans="2:42" x14ac:dyDescent="0.25">
      <c r="B54" t="s">
        <v>171</v>
      </c>
      <c r="C54" s="101">
        <v>84950</v>
      </c>
      <c r="D54" s="101">
        <v>75</v>
      </c>
      <c r="E54" s="101">
        <v>9</v>
      </c>
      <c r="F54" s="101">
        <v>1974</v>
      </c>
      <c r="G54" s="101">
        <v>18522</v>
      </c>
      <c r="H54" s="101">
        <v>8618</v>
      </c>
      <c r="I54" s="101">
        <v>2987</v>
      </c>
      <c r="J54" s="101">
        <v>4906</v>
      </c>
      <c r="K54" s="101">
        <v>214</v>
      </c>
      <c r="L54" s="101">
        <v>2475</v>
      </c>
      <c r="M54" s="101">
        <v>4087</v>
      </c>
      <c r="N54" s="101">
        <v>7420</v>
      </c>
      <c r="O54" s="101">
        <v>8773</v>
      </c>
      <c r="P54" s="101">
        <v>12242</v>
      </c>
      <c r="Q54" s="101">
        <v>8594</v>
      </c>
      <c r="R54" s="101">
        <v>4054</v>
      </c>
      <c r="S54" s="101"/>
      <c r="T54" t="s">
        <v>171</v>
      </c>
      <c r="U54" s="101">
        <f t="shared" si="0"/>
        <v>82892</v>
      </c>
      <c r="V54" s="101">
        <v>61207000</v>
      </c>
      <c r="W54" s="101">
        <v>47786614</v>
      </c>
      <c r="X54" s="101">
        <v>3206</v>
      </c>
      <c r="Y54" s="101">
        <v>0</v>
      </c>
      <c r="Z54" s="101">
        <v>566</v>
      </c>
      <c r="AA54" s="101">
        <v>151</v>
      </c>
      <c r="AB54" s="101">
        <v>1273</v>
      </c>
      <c r="AC54" s="101">
        <v>430</v>
      </c>
      <c r="AD54" s="101">
        <v>410</v>
      </c>
      <c r="AE54" s="101">
        <v>1</v>
      </c>
      <c r="AF54" s="101">
        <v>134</v>
      </c>
      <c r="AG54" s="101">
        <f t="shared" si="1"/>
        <v>63300.614000000001</v>
      </c>
      <c r="AH54" s="101">
        <v>27976</v>
      </c>
      <c r="AI54" s="101">
        <f t="shared" si="2"/>
        <v>2262.6756505576209</v>
      </c>
      <c r="AJ54" t="s">
        <v>465</v>
      </c>
      <c r="AN54" t="s">
        <v>441</v>
      </c>
      <c r="AO54" s="259">
        <v>3641.4106864830342</v>
      </c>
      <c r="AP54" t="s">
        <v>439</v>
      </c>
    </row>
    <row r="55" spans="2:42" x14ac:dyDescent="0.25">
      <c r="B55" t="s">
        <v>287</v>
      </c>
      <c r="C55" s="101">
        <v>285674</v>
      </c>
      <c r="D55" s="101">
        <v>5556</v>
      </c>
      <c r="E55" s="101">
        <v>1937</v>
      </c>
      <c r="F55" s="101">
        <v>11542</v>
      </c>
      <c r="G55" s="101">
        <v>51886</v>
      </c>
      <c r="H55" s="101">
        <v>11635</v>
      </c>
      <c r="I55" s="101">
        <v>7888</v>
      </c>
      <c r="J55" s="101">
        <v>5137</v>
      </c>
      <c r="K55" s="101">
        <v>945</v>
      </c>
      <c r="L55" s="101">
        <v>7735</v>
      </c>
      <c r="M55" s="101">
        <v>18878</v>
      </c>
      <c r="N55" s="101">
        <v>59451</v>
      </c>
      <c r="O55" s="101">
        <v>37524</v>
      </c>
      <c r="P55" s="101">
        <v>46252</v>
      </c>
      <c r="Q55" s="101">
        <v>16897</v>
      </c>
      <c r="R55" s="101">
        <v>2411</v>
      </c>
      <c r="S55" s="101"/>
      <c r="T55" t="s">
        <v>287</v>
      </c>
      <c r="U55" s="101">
        <f t="shared" si="0"/>
        <v>266639</v>
      </c>
      <c r="V55" s="101">
        <v>218495000</v>
      </c>
      <c r="W55" s="101">
        <v>159518997</v>
      </c>
      <c r="X55" s="101">
        <v>4210</v>
      </c>
      <c r="Y55" s="101">
        <v>8379</v>
      </c>
      <c r="Z55" s="101">
        <v>1708</v>
      </c>
      <c r="AA55" s="101">
        <v>0</v>
      </c>
      <c r="AB55" s="101">
        <v>800</v>
      </c>
      <c r="AC55" s="101">
        <v>245</v>
      </c>
      <c r="AD55" s="101">
        <v>55</v>
      </c>
      <c r="AE55" s="101">
        <v>0</v>
      </c>
      <c r="AF55" s="101">
        <v>22</v>
      </c>
      <c r="AG55" s="101">
        <f t="shared" si="1"/>
        <v>192243.997</v>
      </c>
      <c r="AH55" s="101">
        <v>68673</v>
      </c>
      <c r="AI55" s="101">
        <f t="shared" si="2"/>
        <v>2799.4116610603878</v>
      </c>
      <c r="AJ55" t="s">
        <v>116</v>
      </c>
      <c r="AN55" t="s">
        <v>476</v>
      </c>
      <c r="AO55" s="259">
        <v>3094.5524180320258</v>
      </c>
      <c r="AP55" t="s">
        <v>439</v>
      </c>
    </row>
    <row r="56" spans="2:42" x14ac:dyDescent="0.25">
      <c r="B56" t="s">
        <v>244</v>
      </c>
      <c r="C56" s="101">
        <v>95948</v>
      </c>
      <c r="D56" s="101">
        <v>476</v>
      </c>
      <c r="E56" s="101">
        <v>1894</v>
      </c>
      <c r="F56" s="101">
        <v>3559</v>
      </c>
      <c r="G56" s="101">
        <v>1862</v>
      </c>
      <c r="H56" s="101">
        <v>19426</v>
      </c>
      <c r="I56" s="101">
        <v>4183</v>
      </c>
      <c r="J56" s="101">
        <v>6187</v>
      </c>
      <c r="K56" s="101">
        <v>588</v>
      </c>
      <c r="L56" s="101">
        <v>2105</v>
      </c>
      <c r="M56" s="101">
        <v>8620</v>
      </c>
      <c r="N56" s="101">
        <v>12150</v>
      </c>
      <c r="O56" s="101">
        <v>10946</v>
      </c>
      <c r="P56" s="101">
        <v>9762</v>
      </c>
      <c r="Q56" s="101">
        <v>10588</v>
      </c>
      <c r="R56" s="101">
        <v>3602</v>
      </c>
      <c r="S56" s="101"/>
      <c r="T56" t="s">
        <v>244</v>
      </c>
      <c r="U56" s="101">
        <f t="shared" si="0"/>
        <v>90019</v>
      </c>
      <c r="V56" s="101">
        <v>66322000</v>
      </c>
      <c r="W56" s="101">
        <v>57423331</v>
      </c>
      <c r="X56" s="101">
        <v>3917</v>
      </c>
      <c r="Y56" s="101">
        <v>4643</v>
      </c>
      <c r="Z56" s="101">
        <v>776</v>
      </c>
      <c r="AA56" s="101">
        <v>260</v>
      </c>
      <c r="AB56" s="101">
        <v>1480</v>
      </c>
      <c r="AC56" s="101">
        <v>108</v>
      </c>
      <c r="AD56" s="101">
        <v>1657</v>
      </c>
      <c r="AE56" s="101">
        <v>0</v>
      </c>
      <c r="AF56" s="101">
        <v>97</v>
      </c>
      <c r="AG56" s="101">
        <f t="shared" si="1"/>
        <v>68182.331000000006</v>
      </c>
      <c r="AH56" s="101">
        <v>36616</v>
      </c>
      <c r="AI56" s="101">
        <f t="shared" si="2"/>
        <v>1862.0911896438715</v>
      </c>
      <c r="AJ56" t="s">
        <v>465</v>
      </c>
      <c r="AN56" t="s">
        <v>419</v>
      </c>
      <c r="AO56" s="259">
        <v>3309.0402867430025</v>
      </c>
      <c r="AP56" t="s">
        <v>439</v>
      </c>
    </row>
    <row r="57" spans="2:42" x14ac:dyDescent="0.25">
      <c r="B57" t="s">
        <v>107</v>
      </c>
      <c r="C57" s="101">
        <v>137531</v>
      </c>
      <c r="D57" s="101">
        <v>6923</v>
      </c>
      <c r="E57" s="101">
        <v>1800</v>
      </c>
      <c r="F57" s="101">
        <v>8423</v>
      </c>
      <c r="G57" s="101">
        <v>26963</v>
      </c>
      <c r="H57" s="101">
        <v>10164</v>
      </c>
      <c r="I57" s="101">
        <v>3116</v>
      </c>
      <c r="J57" s="101">
        <v>6549</v>
      </c>
      <c r="K57" s="101">
        <v>734</v>
      </c>
      <c r="L57" s="101">
        <v>2475</v>
      </c>
      <c r="M57" s="101">
        <v>5656</v>
      </c>
      <c r="N57" s="101">
        <v>22688</v>
      </c>
      <c r="O57" s="101">
        <v>11227</v>
      </c>
      <c r="P57" s="101">
        <v>14373</v>
      </c>
      <c r="Q57" s="101">
        <v>10560</v>
      </c>
      <c r="R57" s="101">
        <v>5880</v>
      </c>
      <c r="S57" s="101"/>
      <c r="T57" t="s">
        <v>107</v>
      </c>
      <c r="U57" s="101">
        <f t="shared" si="0"/>
        <v>120385</v>
      </c>
      <c r="V57" s="101">
        <v>98959000</v>
      </c>
      <c r="W57" s="101">
        <v>80618283</v>
      </c>
      <c r="X57" s="101">
        <v>3872</v>
      </c>
      <c r="Y57" s="101">
        <v>5024</v>
      </c>
      <c r="Z57" s="101">
        <v>690</v>
      </c>
      <c r="AA57" s="101">
        <v>481</v>
      </c>
      <c r="AB57" s="101">
        <v>1218</v>
      </c>
      <c r="AC57" s="101">
        <v>145</v>
      </c>
      <c r="AD57" s="101">
        <v>2030</v>
      </c>
      <c r="AE57" s="101">
        <v>0</v>
      </c>
      <c r="AF57" s="101">
        <v>117</v>
      </c>
      <c r="AG57" s="101">
        <f t="shared" si="1"/>
        <v>88467.282999999996</v>
      </c>
      <c r="AH57" s="101">
        <v>35868</v>
      </c>
      <c r="AI57" s="101">
        <f t="shared" si="2"/>
        <v>2466.4682446749193</v>
      </c>
      <c r="AJ57" t="s">
        <v>116</v>
      </c>
      <c r="AN57" t="s">
        <v>134</v>
      </c>
      <c r="AO57" s="259">
        <v>2789.7057710832823</v>
      </c>
      <c r="AP57" t="s">
        <v>439</v>
      </c>
    </row>
    <row r="58" spans="2:42" x14ac:dyDescent="0.25">
      <c r="B58" t="s">
        <v>353</v>
      </c>
      <c r="C58" s="101">
        <v>72025</v>
      </c>
      <c r="D58" s="101">
        <v>3366</v>
      </c>
      <c r="E58" s="101">
        <v>1005</v>
      </c>
      <c r="F58" s="101">
        <v>2641</v>
      </c>
      <c r="G58" s="101">
        <v>12608</v>
      </c>
      <c r="H58" s="101">
        <v>9640</v>
      </c>
      <c r="I58" s="101">
        <v>1801</v>
      </c>
      <c r="J58" s="101">
        <v>2445</v>
      </c>
      <c r="K58" s="101">
        <v>929</v>
      </c>
      <c r="L58" s="101">
        <v>1463</v>
      </c>
      <c r="M58" s="101">
        <v>3804</v>
      </c>
      <c r="N58" s="101">
        <v>9739</v>
      </c>
      <c r="O58" s="101">
        <v>7263</v>
      </c>
      <c r="P58" s="101">
        <v>8874</v>
      </c>
      <c r="Q58" s="101">
        <v>4555</v>
      </c>
      <c r="R58" s="101">
        <v>1892</v>
      </c>
      <c r="S58" s="101"/>
      <c r="T58" t="s">
        <v>353</v>
      </c>
      <c r="U58" s="101">
        <f t="shared" si="0"/>
        <v>65013</v>
      </c>
      <c r="V58" s="187">
        <v>51120000</v>
      </c>
      <c r="W58" s="101">
        <v>41042894</v>
      </c>
      <c r="X58" s="101">
        <v>2350</v>
      </c>
      <c r="Y58" s="101">
        <v>2230</v>
      </c>
      <c r="Z58" s="101">
        <v>466</v>
      </c>
      <c r="AA58" s="101">
        <v>55</v>
      </c>
      <c r="AB58" s="101">
        <v>634</v>
      </c>
      <c r="AC58" s="101">
        <v>72</v>
      </c>
      <c r="AD58" s="101">
        <v>253</v>
      </c>
      <c r="AE58" s="101">
        <v>0</v>
      </c>
      <c r="AF58" s="101">
        <v>205</v>
      </c>
      <c r="AG58" s="101">
        <f t="shared" si="1"/>
        <v>48670.894</v>
      </c>
      <c r="AH58" s="101">
        <v>21739</v>
      </c>
      <c r="AI58" s="101">
        <f t="shared" si="2"/>
        <v>2238.8745572473435</v>
      </c>
      <c r="AJ58" t="s">
        <v>465</v>
      </c>
      <c r="AN58" t="s">
        <v>123</v>
      </c>
      <c r="AO58" s="259">
        <v>3183.3320330784832</v>
      </c>
      <c r="AP58" t="s">
        <v>439</v>
      </c>
    </row>
    <row r="59" spans="2:42" x14ac:dyDescent="0.25">
      <c r="B59" t="s">
        <v>172</v>
      </c>
      <c r="C59" s="101">
        <v>104379</v>
      </c>
      <c r="D59" s="101">
        <v>2999</v>
      </c>
      <c r="E59" s="101">
        <v>1373</v>
      </c>
      <c r="F59" s="101">
        <v>4169</v>
      </c>
      <c r="G59" s="101">
        <v>18854</v>
      </c>
      <c r="H59" s="101">
        <v>10498</v>
      </c>
      <c r="I59" s="101">
        <v>3122</v>
      </c>
      <c r="J59" s="101">
        <v>2436</v>
      </c>
      <c r="K59" s="101">
        <v>589</v>
      </c>
      <c r="L59" s="101">
        <v>2531</v>
      </c>
      <c r="M59" s="101">
        <v>6476</v>
      </c>
      <c r="N59" s="101">
        <v>17735</v>
      </c>
      <c r="O59" s="101">
        <v>11527</v>
      </c>
      <c r="P59" s="101">
        <v>12122</v>
      </c>
      <c r="Q59" s="101">
        <v>7980</v>
      </c>
      <c r="R59" s="101">
        <v>1968</v>
      </c>
      <c r="S59" s="101"/>
      <c r="T59" t="s">
        <v>172</v>
      </c>
      <c r="U59" s="101">
        <f t="shared" si="0"/>
        <v>95838</v>
      </c>
      <c r="V59" s="101">
        <v>79540000</v>
      </c>
      <c r="W59" s="101">
        <v>61427199</v>
      </c>
      <c r="X59" s="101">
        <v>4228</v>
      </c>
      <c r="Y59" s="101">
        <v>0</v>
      </c>
      <c r="Z59" s="101">
        <v>581</v>
      </c>
      <c r="AA59" s="101">
        <v>0</v>
      </c>
      <c r="AB59" s="101">
        <v>1200</v>
      </c>
      <c r="AC59" s="101">
        <v>140</v>
      </c>
      <c r="AD59" s="101">
        <v>26</v>
      </c>
      <c r="AE59" s="101">
        <v>697</v>
      </c>
      <c r="AF59" s="101">
        <v>71</v>
      </c>
      <c r="AG59" s="101">
        <f t="shared" si="1"/>
        <v>70782.198999999993</v>
      </c>
      <c r="AH59" s="101">
        <v>30293</v>
      </c>
      <c r="AI59" s="101">
        <f t="shared" si="2"/>
        <v>2336.5859769583731</v>
      </c>
      <c r="AJ59" t="s">
        <v>116</v>
      </c>
      <c r="AN59" t="s">
        <v>202</v>
      </c>
      <c r="AO59" s="259">
        <v>2887.8130547076776</v>
      </c>
      <c r="AP59" t="s">
        <v>439</v>
      </c>
    </row>
    <row r="60" spans="2:42" x14ac:dyDescent="0.25">
      <c r="B60" t="s">
        <v>141</v>
      </c>
      <c r="C60" s="101">
        <v>100731</v>
      </c>
      <c r="D60" s="101">
        <v>1547</v>
      </c>
      <c r="E60" s="101">
        <v>629</v>
      </c>
      <c r="F60" s="101">
        <v>2811</v>
      </c>
      <c r="G60" s="101">
        <v>29065</v>
      </c>
      <c r="H60" s="101">
        <v>8985</v>
      </c>
      <c r="I60" s="101">
        <v>2404</v>
      </c>
      <c r="J60" s="101">
        <v>2037</v>
      </c>
      <c r="K60" s="101">
        <v>263</v>
      </c>
      <c r="L60" s="101">
        <v>1671</v>
      </c>
      <c r="M60" s="101">
        <v>4326</v>
      </c>
      <c r="N60" s="101">
        <v>6098</v>
      </c>
      <c r="O60" s="101">
        <v>9518</v>
      </c>
      <c r="P60" s="101">
        <v>22746</v>
      </c>
      <c r="Q60" s="101">
        <v>8011</v>
      </c>
      <c r="R60" s="101">
        <v>620</v>
      </c>
      <c r="S60" s="101"/>
      <c r="T60" t="s">
        <v>141</v>
      </c>
      <c r="U60" s="101">
        <f t="shared" si="0"/>
        <v>95744</v>
      </c>
      <c r="V60" s="101">
        <v>76891000</v>
      </c>
      <c r="W60" s="101">
        <v>53694319</v>
      </c>
      <c r="X60" s="101">
        <v>1761</v>
      </c>
      <c r="Y60" s="101">
        <v>3014</v>
      </c>
      <c r="Z60" s="101">
        <v>629</v>
      </c>
      <c r="AA60" s="101">
        <v>309</v>
      </c>
      <c r="AB60" s="101">
        <v>1301</v>
      </c>
      <c r="AC60" s="101">
        <v>175</v>
      </c>
      <c r="AD60" s="101">
        <v>207</v>
      </c>
      <c r="AE60" s="101">
        <v>0</v>
      </c>
      <c r="AF60" s="101">
        <v>63</v>
      </c>
      <c r="AG60" s="101">
        <f t="shared" si="1"/>
        <v>65088.319000000003</v>
      </c>
      <c r="AH60" s="101">
        <v>30051</v>
      </c>
      <c r="AI60" s="101">
        <f t="shared" si="2"/>
        <v>2165.92855479019</v>
      </c>
      <c r="AJ60" t="s">
        <v>465</v>
      </c>
      <c r="AN60" t="s">
        <v>389</v>
      </c>
      <c r="AO60" s="259">
        <v>2978.1036208700334</v>
      </c>
      <c r="AP60" t="s">
        <v>439</v>
      </c>
    </row>
    <row r="61" spans="2:42" x14ac:dyDescent="0.25">
      <c r="B61" t="s">
        <v>127</v>
      </c>
      <c r="C61" s="101">
        <v>72712</v>
      </c>
      <c r="D61" s="101">
        <v>931</v>
      </c>
      <c r="E61" s="101">
        <v>1059</v>
      </c>
      <c r="F61" s="101">
        <v>2086</v>
      </c>
      <c r="G61" s="101">
        <v>17143</v>
      </c>
      <c r="H61" s="101">
        <v>5675</v>
      </c>
      <c r="I61" s="101">
        <v>1616</v>
      </c>
      <c r="J61" s="101">
        <v>2485</v>
      </c>
      <c r="K61" s="101">
        <v>256</v>
      </c>
      <c r="L61" s="101">
        <v>1898</v>
      </c>
      <c r="M61" s="101">
        <v>2873</v>
      </c>
      <c r="N61" s="101">
        <v>14585</v>
      </c>
      <c r="O61" s="101">
        <v>6954</v>
      </c>
      <c r="P61" s="101">
        <v>9891</v>
      </c>
      <c r="Q61" s="101">
        <v>4675</v>
      </c>
      <c r="R61" s="101">
        <v>585</v>
      </c>
      <c r="S61" s="101"/>
      <c r="T61" t="s">
        <v>127</v>
      </c>
      <c r="U61" s="101">
        <f t="shared" si="0"/>
        <v>68636</v>
      </c>
      <c r="V61" s="101">
        <v>60245000</v>
      </c>
      <c r="W61" s="101">
        <v>43194084</v>
      </c>
      <c r="X61" s="101">
        <v>1554</v>
      </c>
      <c r="Y61" s="101">
        <v>2026</v>
      </c>
      <c r="Z61" s="101">
        <v>294</v>
      </c>
      <c r="AA61" s="101">
        <v>0</v>
      </c>
      <c r="AB61" s="101">
        <v>263</v>
      </c>
      <c r="AC61" s="101">
        <v>34</v>
      </c>
      <c r="AD61" s="101">
        <v>47</v>
      </c>
      <c r="AE61" s="101">
        <v>2</v>
      </c>
      <c r="AF61" s="101">
        <v>66</v>
      </c>
      <c r="AG61" s="101">
        <f t="shared" si="1"/>
        <v>47299.084000000003</v>
      </c>
      <c r="AH61" s="101">
        <v>19138</v>
      </c>
      <c r="AI61" s="101">
        <f t="shared" si="2"/>
        <v>2471.474762253109</v>
      </c>
      <c r="AJ61" t="s">
        <v>116</v>
      </c>
      <c r="AN61" t="s">
        <v>728</v>
      </c>
      <c r="AO61" s="259">
        <v>3142.1272649992702</v>
      </c>
      <c r="AP61" t="s">
        <v>439</v>
      </c>
    </row>
    <row r="62" spans="2:42" x14ac:dyDescent="0.25">
      <c r="B62" t="s">
        <v>216</v>
      </c>
      <c r="C62" s="101">
        <v>137324</v>
      </c>
      <c r="D62" s="101">
        <v>2917</v>
      </c>
      <c r="E62" s="101">
        <v>1630</v>
      </c>
      <c r="F62" s="101">
        <v>5517</v>
      </c>
      <c r="G62" s="101">
        <v>23404</v>
      </c>
      <c r="H62" s="101">
        <v>11853</v>
      </c>
      <c r="I62" s="101">
        <v>3703</v>
      </c>
      <c r="J62" s="101">
        <v>2958</v>
      </c>
      <c r="K62" s="101">
        <v>444</v>
      </c>
      <c r="L62" s="101">
        <v>3234</v>
      </c>
      <c r="M62" s="101">
        <v>8007</v>
      </c>
      <c r="N62" s="101">
        <v>18627</v>
      </c>
      <c r="O62" s="101">
        <v>14174</v>
      </c>
      <c r="P62" s="101">
        <v>20189</v>
      </c>
      <c r="Q62" s="101">
        <v>11317</v>
      </c>
      <c r="R62" s="101">
        <v>1383</v>
      </c>
      <c r="S62" s="101"/>
      <c r="T62" t="s">
        <v>216</v>
      </c>
      <c r="U62" s="101">
        <f t="shared" si="0"/>
        <v>127260</v>
      </c>
      <c r="V62" s="101">
        <v>88000000</v>
      </c>
      <c r="W62" s="101">
        <v>74070040.694220096</v>
      </c>
      <c r="X62" s="101">
        <v>5094</v>
      </c>
      <c r="Y62" s="101">
        <v>6145</v>
      </c>
      <c r="Z62" s="101">
        <v>870</v>
      </c>
      <c r="AA62" s="101">
        <v>532</v>
      </c>
      <c r="AB62" s="101">
        <v>1449</v>
      </c>
      <c r="AC62" s="101">
        <v>251</v>
      </c>
      <c r="AD62" s="101">
        <v>335</v>
      </c>
      <c r="AE62" s="101">
        <v>0</v>
      </c>
      <c r="AF62" s="101">
        <v>0</v>
      </c>
      <c r="AG62" s="101">
        <f t="shared" si="1"/>
        <v>98654.040694220093</v>
      </c>
      <c r="AH62" s="101">
        <v>43794</v>
      </c>
      <c r="AI62" s="101">
        <f t="shared" si="2"/>
        <v>2252.6839451573296</v>
      </c>
      <c r="AJ62" t="s">
        <v>465</v>
      </c>
      <c r="AN62" t="s">
        <v>421</v>
      </c>
      <c r="AO62" s="259">
        <v>2573.5688467299051</v>
      </c>
      <c r="AP62" t="s">
        <v>439</v>
      </c>
    </row>
    <row r="63" spans="2:42" x14ac:dyDescent="0.25">
      <c r="B63" t="s">
        <v>525</v>
      </c>
      <c r="C63" s="101">
        <v>170683</v>
      </c>
      <c r="D63" s="101">
        <v>361</v>
      </c>
      <c r="E63" s="101">
        <v>2541</v>
      </c>
      <c r="F63" s="101">
        <v>8103</v>
      </c>
      <c r="G63" s="101">
        <v>47949</v>
      </c>
      <c r="H63" s="101">
        <v>12380</v>
      </c>
      <c r="I63" s="101">
        <v>4839</v>
      </c>
      <c r="J63" s="101">
        <v>9940</v>
      </c>
      <c r="K63" s="101">
        <v>1096</v>
      </c>
      <c r="L63" s="101">
        <v>3381</v>
      </c>
      <c r="M63" s="101">
        <v>10353</v>
      </c>
      <c r="N63" s="101">
        <v>24528</v>
      </c>
      <c r="O63" s="101">
        <v>14469</v>
      </c>
      <c r="P63" s="101">
        <v>17355</v>
      </c>
      <c r="Q63" s="101">
        <v>12481</v>
      </c>
      <c r="R63" s="101">
        <v>907</v>
      </c>
      <c r="S63" s="101"/>
      <c r="T63" t="s">
        <v>525</v>
      </c>
      <c r="U63" s="101">
        <f t="shared" si="0"/>
        <v>159678</v>
      </c>
      <c r="V63" s="101">
        <v>127701000</v>
      </c>
      <c r="W63" s="101">
        <v>110168404</v>
      </c>
      <c r="X63" s="101">
        <v>5707</v>
      </c>
      <c r="Y63" s="101">
        <v>6384</v>
      </c>
      <c r="Z63" s="101">
        <v>478</v>
      </c>
      <c r="AA63" s="101">
        <v>454</v>
      </c>
      <c r="AB63" s="101">
        <v>1345</v>
      </c>
      <c r="AC63" s="101">
        <v>905</v>
      </c>
      <c r="AD63" s="101">
        <v>1700</v>
      </c>
      <c r="AE63" s="101">
        <v>0</v>
      </c>
      <c r="AF63" s="101">
        <v>354</v>
      </c>
      <c r="AG63" s="101">
        <f t="shared" si="1"/>
        <v>124818.40399999998</v>
      </c>
      <c r="AH63" s="101">
        <v>52234</v>
      </c>
      <c r="AI63" s="101">
        <f t="shared" si="2"/>
        <v>2389.6007198376533</v>
      </c>
      <c r="AJ63" t="s">
        <v>116</v>
      </c>
      <c r="AN63" t="s">
        <v>124</v>
      </c>
      <c r="AO63" s="259">
        <v>3344.951784166426</v>
      </c>
      <c r="AP63" t="s">
        <v>439</v>
      </c>
    </row>
    <row r="64" spans="2:42" x14ac:dyDescent="0.25">
      <c r="B64" t="s">
        <v>217</v>
      </c>
      <c r="C64" s="101">
        <v>140406</v>
      </c>
      <c r="D64" s="101">
        <v>813</v>
      </c>
      <c r="E64" s="101">
        <v>3010</v>
      </c>
      <c r="F64" s="101">
        <v>4974</v>
      </c>
      <c r="G64" s="101">
        <v>37644</v>
      </c>
      <c r="H64" s="101">
        <v>12918</v>
      </c>
      <c r="I64" s="101">
        <v>3884</v>
      </c>
      <c r="J64" s="101">
        <v>8023</v>
      </c>
      <c r="K64" s="101">
        <v>334</v>
      </c>
      <c r="L64" s="101">
        <v>3862</v>
      </c>
      <c r="M64" s="101">
        <v>8388</v>
      </c>
      <c r="N64" s="101">
        <v>9826</v>
      </c>
      <c r="O64" s="101">
        <v>17415</v>
      </c>
      <c r="P64" s="101">
        <v>15388</v>
      </c>
      <c r="Q64" s="101">
        <v>8277</v>
      </c>
      <c r="R64" s="101">
        <v>5650</v>
      </c>
      <c r="S64" s="101"/>
      <c r="T64" t="s">
        <v>217</v>
      </c>
      <c r="U64" s="101">
        <f t="shared" si="0"/>
        <v>131609</v>
      </c>
      <c r="V64" s="101">
        <v>96326000</v>
      </c>
      <c r="W64" s="101">
        <v>78426925</v>
      </c>
      <c r="X64" s="101">
        <v>5758</v>
      </c>
      <c r="Y64" s="101">
        <v>6515</v>
      </c>
      <c r="Z64" s="101">
        <v>899</v>
      </c>
      <c r="AA64" s="101">
        <v>71</v>
      </c>
      <c r="AB64" s="101">
        <v>2159</v>
      </c>
      <c r="AC64" s="101">
        <v>378</v>
      </c>
      <c r="AD64" s="101">
        <v>823</v>
      </c>
      <c r="AE64" s="101">
        <v>37</v>
      </c>
      <c r="AF64" s="101">
        <v>65</v>
      </c>
      <c r="AG64" s="101">
        <f t="shared" si="1"/>
        <v>97004.925000000003</v>
      </c>
      <c r="AH64" s="101">
        <v>45924</v>
      </c>
      <c r="AI64" s="101">
        <f t="shared" si="2"/>
        <v>2112.2925921087012</v>
      </c>
      <c r="AJ64" t="s">
        <v>465</v>
      </c>
      <c r="AN64" t="s">
        <v>423</v>
      </c>
      <c r="AO64" s="259">
        <v>3118.6219826508436</v>
      </c>
      <c r="AP64" t="s">
        <v>439</v>
      </c>
    </row>
    <row r="65" spans="2:45" x14ac:dyDescent="0.25">
      <c r="B65" t="s">
        <v>115</v>
      </c>
      <c r="C65" s="101">
        <v>73191</v>
      </c>
      <c r="D65" s="101">
        <v>192</v>
      </c>
      <c r="E65" s="101">
        <v>343</v>
      </c>
      <c r="F65" s="101">
        <v>2912</v>
      </c>
      <c r="G65" s="101">
        <v>1610</v>
      </c>
      <c r="H65" s="101">
        <v>13684</v>
      </c>
      <c r="I65" s="101">
        <v>2415</v>
      </c>
      <c r="J65" s="101">
        <v>3142</v>
      </c>
      <c r="K65" s="101">
        <v>1183</v>
      </c>
      <c r="L65" s="101">
        <v>2374</v>
      </c>
      <c r="M65" s="101">
        <v>6720</v>
      </c>
      <c r="N65" s="101">
        <v>7637</v>
      </c>
      <c r="O65" s="101">
        <v>6401</v>
      </c>
      <c r="P65" s="101">
        <v>12999</v>
      </c>
      <c r="Q65" s="101">
        <v>8334</v>
      </c>
      <c r="R65" s="101">
        <v>3245</v>
      </c>
      <c r="S65" s="101"/>
      <c r="T65" t="s">
        <v>115</v>
      </c>
      <c r="U65" s="101">
        <f t="shared" si="0"/>
        <v>69744</v>
      </c>
      <c r="V65" s="101">
        <v>54673000</v>
      </c>
      <c r="W65" s="101">
        <v>46749917</v>
      </c>
      <c r="X65" s="101">
        <v>2729</v>
      </c>
      <c r="Y65" s="101">
        <v>2613</v>
      </c>
      <c r="Z65" s="101">
        <v>393</v>
      </c>
      <c r="AA65" s="101">
        <v>300</v>
      </c>
      <c r="AB65" s="101">
        <v>666</v>
      </c>
      <c r="AC65" s="101">
        <v>58</v>
      </c>
      <c r="AD65" s="101">
        <v>406</v>
      </c>
      <c r="AE65" s="101">
        <v>0</v>
      </c>
      <c r="AF65" s="101">
        <v>23</v>
      </c>
      <c r="AG65" s="101">
        <f t="shared" si="1"/>
        <v>54632.917000000001</v>
      </c>
      <c r="AH65" s="101">
        <v>24665</v>
      </c>
      <c r="AI65" s="101">
        <f t="shared" si="2"/>
        <v>2214.9976484897629</v>
      </c>
      <c r="AJ65" t="s">
        <v>465</v>
      </c>
      <c r="AN65" t="s">
        <v>424</v>
      </c>
      <c r="AO65" s="259">
        <v>2536.018522651194</v>
      </c>
      <c r="AP65" t="s">
        <v>439</v>
      </c>
    </row>
    <row r="66" spans="2:45" x14ac:dyDescent="0.25">
      <c r="B66" t="s">
        <v>288</v>
      </c>
      <c r="C66" s="101">
        <v>506203</v>
      </c>
      <c r="D66" s="101">
        <v>10873</v>
      </c>
      <c r="E66" s="101">
        <v>5956</v>
      </c>
      <c r="F66" s="101">
        <v>18360</v>
      </c>
      <c r="G66" s="101">
        <v>89588</v>
      </c>
      <c r="H66" s="101">
        <v>34692</v>
      </c>
      <c r="I66" s="101">
        <v>11916</v>
      </c>
      <c r="J66" s="101">
        <v>20935</v>
      </c>
      <c r="K66" s="101">
        <v>5406</v>
      </c>
      <c r="L66" s="101">
        <v>9615</v>
      </c>
      <c r="M66" s="101">
        <v>27035</v>
      </c>
      <c r="N66" s="101">
        <v>89559</v>
      </c>
      <c r="O66" s="101">
        <v>40886</v>
      </c>
      <c r="P66" s="101">
        <v>92174</v>
      </c>
      <c r="Q66" s="101">
        <v>39243</v>
      </c>
      <c r="R66" s="101">
        <v>9965</v>
      </c>
      <c r="S66" s="101"/>
      <c r="T66" t="s">
        <v>288</v>
      </c>
      <c r="U66" s="101">
        <f t="shared" si="0"/>
        <v>471014</v>
      </c>
      <c r="V66" s="101">
        <v>356762000</v>
      </c>
      <c r="W66" s="101">
        <v>249140524</v>
      </c>
      <c r="X66" s="101">
        <v>14374</v>
      </c>
      <c r="Y66" s="101">
        <v>18826</v>
      </c>
      <c r="Z66" s="101">
        <v>1989</v>
      </c>
      <c r="AA66" s="101">
        <v>0</v>
      </c>
      <c r="AB66" s="101">
        <v>4059</v>
      </c>
      <c r="AC66" s="101">
        <v>269</v>
      </c>
      <c r="AD66" s="101">
        <v>1682</v>
      </c>
      <c r="AE66" s="101">
        <v>9009</v>
      </c>
      <c r="AF66" s="101">
        <v>914</v>
      </c>
      <c r="AG66" s="101">
        <f t="shared" si="1"/>
        <v>312270.52399999998</v>
      </c>
      <c r="AH66" s="101">
        <v>110224</v>
      </c>
      <c r="AI66" s="101">
        <f t="shared" si="2"/>
        <v>2833.0538176803598</v>
      </c>
      <c r="AJ66" t="s">
        <v>116</v>
      </c>
      <c r="AN66" t="s">
        <v>340</v>
      </c>
      <c r="AO66" s="259">
        <v>3230.6881227058211</v>
      </c>
      <c r="AP66" t="s">
        <v>439</v>
      </c>
    </row>
    <row r="67" spans="2:45" x14ac:dyDescent="0.25">
      <c r="B67" t="s">
        <v>245</v>
      </c>
      <c r="C67" s="101">
        <v>266472</v>
      </c>
      <c r="D67" s="101">
        <v>3537</v>
      </c>
      <c r="E67" s="101">
        <v>2854</v>
      </c>
      <c r="F67" s="101">
        <v>9595</v>
      </c>
      <c r="G67" s="101">
        <v>47968</v>
      </c>
      <c r="H67" s="101">
        <v>14314</v>
      </c>
      <c r="I67" s="101">
        <v>6022</v>
      </c>
      <c r="J67" s="101">
        <v>12160</v>
      </c>
      <c r="K67" s="101">
        <v>3043</v>
      </c>
      <c r="L67" s="101">
        <v>8896</v>
      </c>
      <c r="M67" s="101">
        <v>19319</v>
      </c>
      <c r="N67" s="101">
        <v>41713</v>
      </c>
      <c r="O67" s="101">
        <v>38493</v>
      </c>
      <c r="P67" s="101">
        <v>38738</v>
      </c>
      <c r="Q67" s="101">
        <v>18655</v>
      </c>
      <c r="R67" s="101">
        <v>1165</v>
      </c>
      <c r="S67" s="101"/>
      <c r="T67" t="s">
        <v>245</v>
      </c>
      <c r="U67" s="101">
        <f t="shared" ref="U67:U130" si="3">SUM(C67,-D67,-E67,-F67)</f>
        <v>250486</v>
      </c>
      <c r="V67" s="101">
        <v>200777000</v>
      </c>
      <c r="W67" s="101">
        <v>141319390</v>
      </c>
      <c r="X67" s="101">
        <v>6386</v>
      </c>
      <c r="Y67" s="101">
        <v>12290</v>
      </c>
      <c r="Z67" s="101">
        <v>1397</v>
      </c>
      <c r="AA67" s="101">
        <v>323</v>
      </c>
      <c r="AB67" s="101">
        <v>1825</v>
      </c>
      <c r="AC67" s="101">
        <v>72</v>
      </c>
      <c r="AD67" s="101">
        <v>1306</v>
      </c>
      <c r="AE67" s="101">
        <v>54</v>
      </c>
      <c r="AF67" s="101">
        <v>683</v>
      </c>
      <c r="AG67" s="101">
        <f t="shared" ref="AG67:AG130" si="4">SUM(U67,-V67/1000,W67/1000,-X67,-Y67,-Z67,-AA67,-AB67,-AC67,-AD67,-AE67,-AF67)</f>
        <v>166692.39000000001</v>
      </c>
      <c r="AH67" s="101">
        <v>56655</v>
      </c>
      <c r="AI67" s="101">
        <f t="shared" ref="AI67:AI130" si="5">AG67*1000/AH67</f>
        <v>2942.2361662695262</v>
      </c>
      <c r="AJ67" t="s">
        <v>439</v>
      </c>
      <c r="AN67" t="s">
        <v>426</v>
      </c>
      <c r="AO67" s="259">
        <v>2740.9413367589241</v>
      </c>
      <c r="AP67" t="s">
        <v>439</v>
      </c>
    </row>
    <row r="68" spans="2:45" x14ac:dyDescent="0.25">
      <c r="B68" t="s">
        <v>355</v>
      </c>
      <c r="C68" s="101">
        <v>115052</v>
      </c>
      <c r="D68" s="101">
        <v>9708</v>
      </c>
      <c r="E68" s="101">
        <v>1244</v>
      </c>
      <c r="F68" s="101">
        <v>4630</v>
      </c>
      <c r="G68" s="101">
        <v>25961</v>
      </c>
      <c r="H68" s="101">
        <v>6737</v>
      </c>
      <c r="I68" s="101">
        <v>2507</v>
      </c>
      <c r="J68" s="101">
        <v>3938</v>
      </c>
      <c r="K68" s="101">
        <v>4056</v>
      </c>
      <c r="L68" s="101">
        <v>3436</v>
      </c>
      <c r="M68" s="101">
        <v>5822</v>
      </c>
      <c r="N68" s="101">
        <v>14717</v>
      </c>
      <c r="O68" s="101">
        <v>7555</v>
      </c>
      <c r="P68" s="101">
        <v>14206</v>
      </c>
      <c r="Q68" s="101">
        <v>8039</v>
      </c>
      <c r="R68" s="101">
        <v>2496</v>
      </c>
      <c r="S68" s="101"/>
      <c r="T68" t="s">
        <v>355</v>
      </c>
      <c r="U68" s="101">
        <f t="shared" si="3"/>
        <v>99470</v>
      </c>
      <c r="V68" s="101">
        <v>76819000</v>
      </c>
      <c r="W68" s="101">
        <v>62427564</v>
      </c>
      <c r="X68" s="101">
        <v>4667</v>
      </c>
      <c r="Y68" s="101">
        <v>2583</v>
      </c>
      <c r="Z68" s="101">
        <v>620</v>
      </c>
      <c r="AA68" s="101">
        <v>40</v>
      </c>
      <c r="AB68" s="101">
        <v>1666</v>
      </c>
      <c r="AC68" s="101">
        <v>177</v>
      </c>
      <c r="AD68" s="101">
        <v>460</v>
      </c>
      <c r="AE68" s="101">
        <v>26</v>
      </c>
      <c r="AF68" s="101">
        <v>181</v>
      </c>
      <c r="AG68" s="101">
        <f t="shared" si="4"/>
        <v>74658.563999999998</v>
      </c>
      <c r="AH68" s="101">
        <v>33388</v>
      </c>
      <c r="AI68" s="101">
        <f t="shared" si="5"/>
        <v>2236.0897328381457</v>
      </c>
      <c r="AJ68" t="s">
        <v>116</v>
      </c>
      <c r="AN68" t="s">
        <v>279</v>
      </c>
      <c r="AO68" s="259">
        <v>2666.8669709553765</v>
      </c>
      <c r="AP68" t="s">
        <v>439</v>
      </c>
    </row>
    <row r="69" spans="2:45" x14ac:dyDescent="0.25">
      <c r="B69" t="s">
        <v>142</v>
      </c>
      <c r="C69" s="101">
        <v>463602</v>
      </c>
      <c r="D69" s="101">
        <v>13550</v>
      </c>
      <c r="E69" s="101">
        <v>5505</v>
      </c>
      <c r="F69" s="101">
        <v>15423</v>
      </c>
      <c r="G69" s="101">
        <v>83831</v>
      </c>
      <c r="H69" s="101">
        <v>33705</v>
      </c>
      <c r="I69" s="101">
        <v>9889</v>
      </c>
      <c r="J69" s="101">
        <v>19316</v>
      </c>
      <c r="K69" s="101">
        <v>6383</v>
      </c>
      <c r="L69" s="101">
        <v>9495</v>
      </c>
      <c r="M69" s="101">
        <v>35757</v>
      </c>
      <c r="N69" s="101">
        <v>83775</v>
      </c>
      <c r="O69" s="101">
        <v>40240</v>
      </c>
      <c r="P69" s="101">
        <v>72281</v>
      </c>
      <c r="Q69" s="101">
        <v>33020</v>
      </c>
      <c r="R69" s="101">
        <v>1432</v>
      </c>
      <c r="S69" s="101"/>
      <c r="T69" t="s">
        <v>142</v>
      </c>
      <c r="U69" s="101">
        <f t="shared" si="3"/>
        <v>429124</v>
      </c>
      <c r="V69" s="101">
        <v>344179000</v>
      </c>
      <c r="W69" s="101">
        <v>241657184</v>
      </c>
      <c r="X69" s="101">
        <v>9891</v>
      </c>
      <c r="Y69" s="101">
        <v>14482</v>
      </c>
      <c r="Z69" s="101">
        <v>2014</v>
      </c>
      <c r="AA69" s="101">
        <v>187</v>
      </c>
      <c r="AB69" s="101">
        <v>5350</v>
      </c>
      <c r="AC69" s="101">
        <v>904</v>
      </c>
      <c r="AD69" s="101">
        <v>463</v>
      </c>
      <c r="AE69" s="101">
        <v>6194</v>
      </c>
      <c r="AF69" s="101">
        <v>1420</v>
      </c>
      <c r="AG69" s="101">
        <f t="shared" si="4"/>
        <v>285697.18400000001</v>
      </c>
      <c r="AH69" s="101">
        <v>104301</v>
      </c>
      <c r="AI69" s="101">
        <f t="shared" si="5"/>
        <v>2739.160544961218</v>
      </c>
      <c r="AJ69" t="s">
        <v>439</v>
      </c>
      <c r="AN69" t="s">
        <v>324</v>
      </c>
      <c r="AO69" s="259">
        <v>3145.358524253315</v>
      </c>
      <c r="AP69" t="s">
        <v>439</v>
      </c>
    </row>
    <row r="70" spans="2:45" x14ac:dyDescent="0.25">
      <c r="B70" t="s">
        <v>246</v>
      </c>
      <c r="C70" s="101">
        <v>106548</v>
      </c>
      <c r="D70" s="101">
        <v>1167</v>
      </c>
      <c r="E70" s="101">
        <v>1330</v>
      </c>
      <c r="F70" s="101">
        <v>6090</v>
      </c>
      <c r="G70" s="101">
        <v>25171</v>
      </c>
      <c r="H70" s="101">
        <v>14721</v>
      </c>
      <c r="I70" s="101">
        <v>2440</v>
      </c>
      <c r="J70" s="101">
        <v>4972</v>
      </c>
      <c r="K70" s="101">
        <v>379</v>
      </c>
      <c r="L70" s="101">
        <v>1792</v>
      </c>
      <c r="M70" s="101">
        <v>4749</v>
      </c>
      <c r="N70" s="101">
        <v>12040</v>
      </c>
      <c r="O70" s="101">
        <v>11177</v>
      </c>
      <c r="P70" s="101">
        <v>7511</v>
      </c>
      <c r="Q70" s="101">
        <v>11864</v>
      </c>
      <c r="R70" s="101">
        <v>1145</v>
      </c>
      <c r="S70" s="101"/>
      <c r="T70" t="s">
        <v>246</v>
      </c>
      <c r="U70" s="101">
        <f t="shared" si="3"/>
        <v>97961</v>
      </c>
      <c r="V70" s="101">
        <v>72758000</v>
      </c>
      <c r="W70" s="101">
        <v>60107029</v>
      </c>
      <c r="X70" s="101">
        <v>4240</v>
      </c>
      <c r="Y70" s="101">
        <v>5908</v>
      </c>
      <c r="Z70" s="101">
        <v>571</v>
      </c>
      <c r="AA70" s="101">
        <v>2</v>
      </c>
      <c r="AB70" s="101">
        <v>982</v>
      </c>
      <c r="AC70" s="101">
        <v>90</v>
      </c>
      <c r="AD70" s="101">
        <v>825</v>
      </c>
      <c r="AE70" s="101">
        <v>1363</v>
      </c>
      <c r="AF70" s="101">
        <v>388</v>
      </c>
      <c r="AG70" s="101">
        <f t="shared" si="4"/>
        <v>70941.02900000001</v>
      </c>
      <c r="AH70" s="101">
        <v>33256</v>
      </c>
      <c r="AI70" s="101">
        <f t="shared" si="5"/>
        <v>2133.1798472456103</v>
      </c>
      <c r="AJ70" t="s">
        <v>116</v>
      </c>
      <c r="AN70" t="s">
        <v>211</v>
      </c>
      <c r="AO70" s="259">
        <v>3026.0207594110689</v>
      </c>
      <c r="AP70" t="s">
        <v>439</v>
      </c>
    </row>
    <row r="71" spans="2:45" x14ac:dyDescent="0.25">
      <c r="B71" t="s">
        <v>772</v>
      </c>
      <c r="C71" s="101">
        <v>297174</v>
      </c>
      <c r="D71" s="101">
        <v>9422</v>
      </c>
      <c r="E71" s="101">
        <v>1015</v>
      </c>
      <c r="F71" s="101">
        <v>10292</v>
      </c>
      <c r="G71" s="101">
        <v>60634</v>
      </c>
      <c r="H71" s="101">
        <v>21675</v>
      </c>
      <c r="I71" s="101">
        <v>7282</v>
      </c>
      <c r="J71" s="101">
        <v>15042</v>
      </c>
      <c r="K71" s="101">
        <v>2918</v>
      </c>
      <c r="L71" s="101">
        <v>9031</v>
      </c>
      <c r="M71" s="101">
        <v>20792</v>
      </c>
      <c r="N71" s="101">
        <v>42652</v>
      </c>
      <c r="O71" s="101">
        <v>42386</v>
      </c>
      <c r="P71" s="101">
        <v>27642</v>
      </c>
      <c r="Q71" s="101">
        <v>24202</v>
      </c>
      <c r="R71" s="101">
        <v>2189</v>
      </c>
      <c r="S71" s="101"/>
      <c r="T71" t="s">
        <v>772</v>
      </c>
      <c r="U71" s="101">
        <f t="shared" si="3"/>
        <v>276445</v>
      </c>
      <c r="V71" s="101">
        <v>207146000</v>
      </c>
      <c r="W71" s="101">
        <v>174821544</v>
      </c>
      <c r="X71" s="101">
        <v>13771</v>
      </c>
      <c r="Y71" s="101">
        <v>10331</v>
      </c>
      <c r="Z71" s="101">
        <v>1639</v>
      </c>
      <c r="AA71" s="101">
        <v>422</v>
      </c>
      <c r="AB71" s="101">
        <v>2208</v>
      </c>
      <c r="AC71" s="101">
        <v>332</v>
      </c>
      <c r="AD71" s="101">
        <v>80</v>
      </c>
      <c r="AE71" s="101">
        <v>470</v>
      </c>
      <c r="AF71" s="101">
        <v>0</v>
      </c>
      <c r="AG71" s="101">
        <f t="shared" si="4"/>
        <v>214867.54399999999</v>
      </c>
      <c r="AH71" s="101">
        <v>90745</v>
      </c>
      <c r="AI71" s="101">
        <f t="shared" si="5"/>
        <v>2367.8168934927544</v>
      </c>
      <c r="AJ71" t="s">
        <v>116</v>
      </c>
      <c r="AN71" t="s">
        <v>162</v>
      </c>
      <c r="AO71" s="259">
        <v>2894.653642681013</v>
      </c>
      <c r="AP71" t="s">
        <v>439</v>
      </c>
      <c r="AQ71">
        <f>_xlfn.QUARTILE.INC(AO2:AO77,3)</f>
        <v>3237.0870521043253</v>
      </c>
      <c r="AR71">
        <f>5%*AQ71</f>
        <v>161.85435260521626</v>
      </c>
      <c r="AS71">
        <f>SUM(AQ71:AR71)</f>
        <v>3398.9414047095415</v>
      </c>
    </row>
    <row r="72" spans="2:45" x14ac:dyDescent="0.25">
      <c r="B72" t="s">
        <v>143</v>
      </c>
      <c r="C72" s="101">
        <v>79603</v>
      </c>
      <c r="D72" s="101">
        <v>2354</v>
      </c>
      <c r="E72" s="101">
        <v>360</v>
      </c>
      <c r="F72" s="101">
        <v>3013</v>
      </c>
      <c r="G72" s="101">
        <v>1144</v>
      </c>
      <c r="H72" s="101">
        <v>16278</v>
      </c>
      <c r="I72" s="101">
        <v>4999</v>
      </c>
      <c r="J72" s="101">
        <v>4283</v>
      </c>
      <c r="K72" s="101">
        <v>1563</v>
      </c>
      <c r="L72" s="101">
        <v>2439</v>
      </c>
      <c r="M72" s="101">
        <v>7344</v>
      </c>
      <c r="N72" s="101">
        <v>8338</v>
      </c>
      <c r="O72" s="101">
        <v>7277</v>
      </c>
      <c r="P72" s="101">
        <v>11994</v>
      </c>
      <c r="Q72" s="101">
        <v>5670</v>
      </c>
      <c r="R72" s="101">
        <v>2547</v>
      </c>
      <c r="S72" s="101"/>
      <c r="T72" t="s">
        <v>143</v>
      </c>
      <c r="U72" s="101">
        <f t="shared" si="3"/>
        <v>73876</v>
      </c>
      <c r="V72" s="101">
        <v>54020000</v>
      </c>
      <c r="W72" s="101">
        <v>46646808</v>
      </c>
      <c r="X72" s="101">
        <v>3573</v>
      </c>
      <c r="Y72" s="101">
        <v>2126</v>
      </c>
      <c r="Z72" s="101">
        <v>634</v>
      </c>
      <c r="AA72" s="101">
        <v>0</v>
      </c>
      <c r="AB72" s="101">
        <v>767</v>
      </c>
      <c r="AC72" s="101">
        <v>73</v>
      </c>
      <c r="AD72" s="101">
        <v>562</v>
      </c>
      <c r="AE72" s="101">
        <v>2</v>
      </c>
      <c r="AF72" s="101">
        <v>39</v>
      </c>
      <c r="AG72" s="101">
        <f t="shared" si="4"/>
        <v>58726.80799999999</v>
      </c>
      <c r="AH72" s="101">
        <v>26727</v>
      </c>
      <c r="AI72" s="101">
        <f t="shared" si="5"/>
        <v>2197.283945074269</v>
      </c>
      <c r="AJ72" t="s">
        <v>465</v>
      </c>
      <c r="AN72" t="s">
        <v>126</v>
      </c>
      <c r="AO72" s="259">
        <v>3912.7373259784604</v>
      </c>
      <c r="AP72" t="s">
        <v>439</v>
      </c>
      <c r="AQ72">
        <f>_xlfn.QUARTILE.INC(AO2:AO77,1)</f>
        <v>2813.6058491195167</v>
      </c>
      <c r="AR72">
        <f>5%*AQ72</f>
        <v>140.68029245597583</v>
      </c>
      <c r="AS72">
        <f>SUM(AQ72,-AR72)</f>
        <v>2672.9255566635411</v>
      </c>
    </row>
    <row r="73" spans="2:45" x14ac:dyDescent="0.25">
      <c r="B73" t="s">
        <v>173</v>
      </c>
      <c r="C73" s="101">
        <v>47186</v>
      </c>
      <c r="D73" s="101">
        <v>13</v>
      </c>
      <c r="E73" s="101">
        <v>118</v>
      </c>
      <c r="F73" s="101">
        <v>1669</v>
      </c>
      <c r="G73" s="101">
        <v>9820</v>
      </c>
      <c r="H73" s="101">
        <v>2431</v>
      </c>
      <c r="I73" s="101">
        <v>1121</v>
      </c>
      <c r="J73" s="101">
        <v>1259</v>
      </c>
      <c r="K73" s="101">
        <v>318</v>
      </c>
      <c r="L73" s="101">
        <v>1123</v>
      </c>
      <c r="M73" s="101">
        <v>2190</v>
      </c>
      <c r="N73" s="101">
        <v>7871</v>
      </c>
      <c r="O73" s="101">
        <v>8011</v>
      </c>
      <c r="P73" s="101">
        <v>7175</v>
      </c>
      <c r="Q73" s="101">
        <v>3289</v>
      </c>
      <c r="R73" s="101">
        <v>778</v>
      </c>
      <c r="S73" s="101"/>
      <c r="T73" t="s">
        <v>173</v>
      </c>
      <c r="U73" s="101">
        <f t="shared" si="3"/>
        <v>45386</v>
      </c>
      <c r="V73" s="101">
        <v>36297000</v>
      </c>
      <c r="W73" s="101">
        <v>27431906</v>
      </c>
      <c r="X73" s="101">
        <v>1412</v>
      </c>
      <c r="Y73" s="101">
        <v>1758</v>
      </c>
      <c r="Z73" s="101">
        <v>157</v>
      </c>
      <c r="AA73" s="101">
        <v>77</v>
      </c>
      <c r="AB73" s="101">
        <v>355</v>
      </c>
      <c r="AC73" s="101">
        <v>148</v>
      </c>
      <c r="AD73" s="101">
        <v>421</v>
      </c>
      <c r="AE73" s="101">
        <v>720</v>
      </c>
      <c r="AF73" s="101">
        <v>178</v>
      </c>
      <c r="AG73" s="101">
        <f t="shared" si="4"/>
        <v>31294.906000000003</v>
      </c>
      <c r="AH73" s="101">
        <v>11120</v>
      </c>
      <c r="AI73" s="101">
        <f t="shared" si="5"/>
        <v>2814.2901079136695</v>
      </c>
      <c r="AJ73" t="s">
        <v>439</v>
      </c>
      <c r="AN73" t="s">
        <v>135</v>
      </c>
      <c r="AO73" s="259">
        <v>3844.6158846231974</v>
      </c>
      <c r="AP73" t="s">
        <v>439</v>
      </c>
    </row>
    <row r="74" spans="2:45" x14ac:dyDescent="0.25">
      <c r="B74" t="s">
        <v>174</v>
      </c>
      <c r="C74" s="101">
        <v>309504</v>
      </c>
      <c r="D74" s="101">
        <v>11107</v>
      </c>
      <c r="E74" s="101">
        <v>3076</v>
      </c>
      <c r="F74" s="101">
        <v>10247</v>
      </c>
      <c r="G74" s="101">
        <v>39171</v>
      </c>
      <c r="H74" s="101">
        <v>24580</v>
      </c>
      <c r="I74" s="101">
        <v>5307</v>
      </c>
      <c r="J74" s="101">
        <v>10110</v>
      </c>
      <c r="K74" s="101">
        <v>20344</v>
      </c>
      <c r="L74" s="101">
        <v>6710</v>
      </c>
      <c r="M74" s="101">
        <v>17525</v>
      </c>
      <c r="N74" s="101">
        <v>42052</v>
      </c>
      <c r="O74" s="101">
        <v>36737</v>
      </c>
      <c r="P74" s="101">
        <v>63387</v>
      </c>
      <c r="Q74" s="101">
        <v>16548</v>
      </c>
      <c r="R74" s="101">
        <v>2603</v>
      </c>
      <c r="S74" s="101"/>
      <c r="T74" t="s">
        <v>174</v>
      </c>
      <c r="U74" s="101">
        <f t="shared" si="3"/>
        <v>285074</v>
      </c>
      <c r="V74" s="101">
        <v>217268000</v>
      </c>
      <c r="W74" s="101">
        <v>136550973</v>
      </c>
      <c r="X74" s="101">
        <v>6839</v>
      </c>
      <c r="Y74" s="101">
        <v>9104</v>
      </c>
      <c r="Z74" s="101">
        <v>1105</v>
      </c>
      <c r="AA74" s="101">
        <v>0</v>
      </c>
      <c r="AB74" s="101">
        <v>1994</v>
      </c>
      <c r="AC74" s="101">
        <v>299</v>
      </c>
      <c r="AD74" s="101">
        <v>95</v>
      </c>
      <c r="AE74" s="101">
        <v>3888</v>
      </c>
      <c r="AF74" s="101">
        <v>122</v>
      </c>
      <c r="AG74" s="101">
        <f t="shared" si="4"/>
        <v>180910.973</v>
      </c>
      <c r="AH74" s="101">
        <v>60051</v>
      </c>
      <c r="AI74" s="101">
        <f t="shared" si="5"/>
        <v>3012.6221545020067</v>
      </c>
      <c r="AJ74" t="s">
        <v>439</v>
      </c>
      <c r="AN74" t="s">
        <v>133</v>
      </c>
      <c r="AO74" s="259">
        <v>8386.6301652892562</v>
      </c>
      <c r="AP74" t="s">
        <v>439</v>
      </c>
    </row>
    <row r="75" spans="2:45" x14ac:dyDescent="0.25">
      <c r="B75" t="s">
        <v>356</v>
      </c>
      <c r="C75" s="101">
        <v>81404</v>
      </c>
      <c r="D75" s="101">
        <v>5433</v>
      </c>
      <c r="E75" s="101">
        <v>1107</v>
      </c>
      <c r="F75" s="101">
        <v>3222</v>
      </c>
      <c r="G75" s="101">
        <v>21589</v>
      </c>
      <c r="H75" s="101">
        <v>6512</v>
      </c>
      <c r="I75" s="101">
        <v>1888</v>
      </c>
      <c r="J75" s="101">
        <v>1393</v>
      </c>
      <c r="K75" s="101">
        <v>796</v>
      </c>
      <c r="L75" s="101">
        <v>2097</v>
      </c>
      <c r="M75" s="101">
        <v>5156</v>
      </c>
      <c r="N75" s="101">
        <v>8728</v>
      </c>
      <c r="O75" s="101">
        <v>7532</v>
      </c>
      <c r="P75" s="101">
        <v>10055</v>
      </c>
      <c r="Q75" s="101">
        <v>5520</v>
      </c>
      <c r="R75" s="101">
        <v>376</v>
      </c>
      <c r="S75" s="101"/>
      <c r="T75" t="s">
        <v>356</v>
      </c>
      <c r="U75" s="101">
        <f t="shared" si="3"/>
        <v>71642</v>
      </c>
      <c r="V75" s="101">
        <v>58399000</v>
      </c>
      <c r="W75" s="101">
        <v>49348592</v>
      </c>
      <c r="X75" s="101">
        <v>2512</v>
      </c>
      <c r="Y75" s="101">
        <v>4267</v>
      </c>
      <c r="Z75" s="101">
        <v>624</v>
      </c>
      <c r="AA75" s="101">
        <v>134</v>
      </c>
      <c r="AB75" s="101">
        <v>609</v>
      </c>
      <c r="AC75" s="101">
        <v>69</v>
      </c>
      <c r="AD75" s="101">
        <v>140</v>
      </c>
      <c r="AE75" s="101">
        <v>1</v>
      </c>
      <c r="AF75" s="101">
        <v>0</v>
      </c>
      <c r="AG75" s="101">
        <f t="shared" si="4"/>
        <v>54235.591999999997</v>
      </c>
      <c r="AH75" s="101">
        <v>27565</v>
      </c>
      <c r="AI75" s="101">
        <f t="shared" si="5"/>
        <v>1967.5527661890078</v>
      </c>
      <c r="AJ75" t="s">
        <v>465</v>
      </c>
      <c r="AN75" t="s">
        <v>271</v>
      </c>
      <c r="AO75" s="259">
        <v>2875.3432533949726</v>
      </c>
      <c r="AP75" t="s">
        <v>439</v>
      </c>
    </row>
    <row r="76" spans="2:45" x14ac:dyDescent="0.25">
      <c r="B76" t="s">
        <v>289</v>
      </c>
      <c r="C76" s="101">
        <v>779249</v>
      </c>
      <c r="D76" s="101">
        <v>75626</v>
      </c>
      <c r="E76" s="101">
        <v>7399</v>
      </c>
      <c r="F76" s="101">
        <v>22421</v>
      </c>
      <c r="G76" s="101">
        <v>120763</v>
      </c>
      <c r="H76" s="101">
        <v>42906</v>
      </c>
      <c r="I76" s="101">
        <v>20336</v>
      </c>
      <c r="J76" s="101">
        <v>19974</v>
      </c>
      <c r="K76" s="101">
        <v>28941</v>
      </c>
      <c r="L76" s="101">
        <v>23217</v>
      </c>
      <c r="M76" s="101">
        <v>41326</v>
      </c>
      <c r="N76" s="101">
        <v>136844</v>
      </c>
      <c r="O76" s="101">
        <v>60519</v>
      </c>
      <c r="P76" s="101">
        <v>122099</v>
      </c>
      <c r="Q76" s="101">
        <v>42883</v>
      </c>
      <c r="R76" s="101">
        <v>13995</v>
      </c>
      <c r="S76" s="101"/>
      <c r="T76" t="s">
        <v>289</v>
      </c>
      <c r="U76" s="101">
        <f t="shared" si="3"/>
        <v>673803</v>
      </c>
      <c r="V76" s="101">
        <v>472392000</v>
      </c>
      <c r="W76" s="101">
        <v>300765041</v>
      </c>
      <c r="X76" s="101">
        <v>16100</v>
      </c>
      <c r="Y76" s="101">
        <v>19796</v>
      </c>
      <c r="Z76" s="101">
        <v>2764</v>
      </c>
      <c r="AA76" s="101">
        <v>2447</v>
      </c>
      <c r="AB76" s="101">
        <v>5185</v>
      </c>
      <c r="AC76" s="101">
        <v>1536</v>
      </c>
      <c r="AD76" s="101">
        <v>1601</v>
      </c>
      <c r="AE76" s="101">
        <v>12262</v>
      </c>
      <c r="AF76" s="101">
        <v>274</v>
      </c>
      <c r="AG76" s="101">
        <f t="shared" si="4"/>
        <v>440211.04100000003</v>
      </c>
      <c r="AH76" s="101">
        <v>122847</v>
      </c>
      <c r="AI76" s="101">
        <f t="shared" si="5"/>
        <v>3583.4089639958647</v>
      </c>
      <c r="AJ76" t="s">
        <v>439</v>
      </c>
      <c r="AN76" t="s">
        <v>137</v>
      </c>
      <c r="AO76" s="259">
        <v>5109.9018151815189</v>
      </c>
      <c r="AP76" t="s">
        <v>439</v>
      </c>
    </row>
    <row r="77" spans="2:45" x14ac:dyDescent="0.25">
      <c r="B77" t="s">
        <v>247</v>
      </c>
      <c r="C77" s="101">
        <v>57698</v>
      </c>
      <c r="D77" s="101">
        <v>104</v>
      </c>
      <c r="E77" s="101">
        <v>0</v>
      </c>
      <c r="F77" s="101">
        <v>2028</v>
      </c>
      <c r="G77" s="101">
        <v>2279</v>
      </c>
      <c r="H77" s="101">
        <v>9987</v>
      </c>
      <c r="I77" s="101">
        <v>2215</v>
      </c>
      <c r="J77" s="101">
        <v>3429</v>
      </c>
      <c r="K77" s="101">
        <v>319</v>
      </c>
      <c r="L77" s="101">
        <v>973</v>
      </c>
      <c r="M77" s="101">
        <v>4890</v>
      </c>
      <c r="N77" s="101">
        <v>6709</v>
      </c>
      <c r="O77" s="101">
        <v>8132</v>
      </c>
      <c r="P77" s="101">
        <v>7649</v>
      </c>
      <c r="Q77" s="101">
        <v>6514</v>
      </c>
      <c r="R77" s="101">
        <v>2470</v>
      </c>
      <c r="S77" s="101"/>
      <c r="T77" t="s">
        <v>247</v>
      </c>
      <c r="U77" s="101">
        <f t="shared" si="3"/>
        <v>55566</v>
      </c>
      <c r="V77" s="101">
        <v>42525000</v>
      </c>
      <c r="W77" s="101">
        <v>36959694</v>
      </c>
      <c r="X77" s="101">
        <v>1631</v>
      </c>
      <c r="Y77" s="101">
        <v>3367</v>
      </c>
      <c r="Z77" s="101">
        <v>366</v>
      </c>
      <c r="AA77" s="101">
        <v>36</v>
      </c>
      <c r="AB77" s="101">
        <v>415</v>
      </c>
      <c r="AC77" s="101">
        <v>100</v>
      </c>
      <c r="AD77" s="101">
        <v>126</v>
      </c>
      <c r="AE77" s="101">
        <v>0</v>
      </c>
      <c r="AF77" s="101">
        <v>23</v>
      </c>
      <c r="AG77" s="101">
        <f t="shared" si="4"/>
        <v>43936.694000000003</v>
      </c>
      <c r="AH77" s="101">
        <v>20485</v>
      </c>
      <c r="AI77" s="101">
        <f t="shared" si="5"/>
        <v>2144.8227483524529</v>
      </c>
      <c r="AJ77" t="s">
        <v>465</v>
      </c>
      <c r="AN77" t="s">
        <v>200</v>
      </c>
      <c r="AO77" s="259">
        <v>2698.628540305011</v>
      </c>
      <c r="AP77" t="s">
        <v>439</v>
      </c>
    </row>
    <row r="78" spans="2:45" x14ac:dyDescent="0.25">
      <c r="B78" t="s">
        <v>357</v>
      </c>
      <c r="C78" s="101">
        <v>77130</v>
      </c>
      <c r="D78" s="101">
        <v>499</v>
      </c>
      <c r="E78" s="101">
        <v>0</v>
      </c>
      <c r="F78" s="101">
        <v>4877</v>
      </c>
      <c r="G78" s="101">
        <v>18568</v>
      </c>
      <c r="H78" s="101">
        <v>6705</v>
      </c>
      <c r="I78" s="101">
        <v>2182</v>
      </c>
      <c r="J78" s="101">
        <v>3266</v>
      </c>
      <c r="K78" s="101">
        <v>685</v>
      </c>
      <c r="L78" s="101">
        <v>1675</v>
      </c>
      <c r="M78" s="101">
        <v>4702</v>
      </c>
      <c r="N78" s="101">
        <v>6612</v>
      </c>
      <c r="O78" s="101">
        <v>9758</v>
      </c>
      <c r="P78" s="101">
        <v>9469</v>
      </c>
      <c r="Q78" s="101">
        <v>6766</v>
      </c>
      <c r="R78" s="101">
        <v>1366</v>
      </c>
      <c r="S78" s="101"/>
      <c r="T78" t="s">
        <v>357</v>
      </c>
      <c r="U78" s="101">
        <f t="shared" si="3"/>
        <v>71754</v>
      </c>
      <c r="V78" s="101">
        <v>56797000</v>
      </c>
      <c r="W78" s="101">
        <v>48736519</v>
      </c>
      <c r="X78" s="101">
        <v>3833</v>
      </c>
      <c r="Y78" s="101">
        <v>3926</v>
      </c>
      <c r="Z78" s="101">
        <v>598</v>
      </c>
      <c r="AA78" s="101">
        <v>127</v>
      </c>
      <c r="AB78" s="101">
        <v>969</v>
      </c>
      <c r="AC78" s="101">
        <v>176</v>
      </c>
      <c r="AD78" s="101">
        <v>325</v>
      </c>
      <c r="AE78" s="101">
        <v>2</v>
      </c>
      <c r="AF78" s="101">
        <v>265</v>
      </c>
      <c r="AG78" s="101">
        <f t="shared" si="4"/>
        <v>53472.519</v>
      </c>
      <c r="AH78" s="101">
        <v>28294</v>
      </c>
      <c r="AI78" s="101">
        <f t="shared" si="5"/>
        <v>1889.8889870643952</v>
      </c>
      <c r="AJ78" t="s">
        <v>465</v>
      </c>
      <c r="AN78" t="s">
        <v>236</v>
      </c>
      <c r="AO78" s="259">
        <v>2274.6362130747689</v>
      </c>
      <c r="AP78" t="s">
        <v>465</v>
      </c>
    </row>
    <row r="79" spans="2:45" x14ac:dyDescent="0.25">
      <c r="B79" t="s">
        <v>428</v>
      </c>
      <c r="C79" s="101">
        <v>151312</v>
      </c>
      <c r="D79" s="101">
        <v>1328</v>
      </c>
      <c r="E79" s="101">
        <v>327</v>
      </c>
      <c r="F79" s="101">
        <v>5026</v>
      </c>
      <c r="G79" s="101">
        <v>45877</v>
      </c>
      <c r="H79" s="101">
        <v>10509</v>
      </c>
      <c r="I79" s="101">
        <v>3695</v>
      </c>
      <c r="J79" s="101">
        <v>5888</v>
      </c>
      <c r="K79" s="101">
        <v>855</v>
      </c>
      <c r="L79" s="101">
        <v>4905</v>
      </c>
      <c r="M79" s="101">
        <v>14728</v>
      </c>
      <c r="N79" s="101">
        <v>16767</v>
      </c>
      <c r="O79" s="101">
        <v>16060</v>
      </c>
      <c r="P79" s="101">
        <v>14765</v>
      </c>
      <c r="Q79" s="101">
        <v>9107</v>
      </c>
      <c r="R79" s="101">
        <v>1475</v>
      </c>
      <c r="S79" s="101"/>
      <c r="T79" t="s">
        <v>428</v>
      </c>
      <c r="U79" s="101">
        <f t="shared" si="3"/>
        <v>144631</v>
      </c>
      <c r="V79" s="101">
        <v>107156000</v>
      </c>
      <c r="W79" s="101">
        <v>86206927</v>
      </c>
      <c r="X79" s="101">
        <v>3717</v>
      </c>
      <c r="Y79" s="101">
        <v>7009</v>
      </c>
      <c r="Z79" s="101">
        <v>459</v>
      </c>
      <c r="AA79" s="101">
        <v>401</v>
      </c>
      <c r="AB79" s="101">
        <v>799</v>
      </c>
      <c r="AC79" s="101">
        <v>166</v>
      </c>
      <c r="AD79" s="101">
        <v>2258</v>
      </c>
      <c r="AE79" s="101">
        <v>52</v>
      </c>
      <c r="AF79" s="101">
        <v>824</v>
      </c>
      <c r="AG79" s="101">
        <f t="shared" si="4"/>
        <v>107996.927</v>
      </c>
      <c r="AH79" s="101">
        <v>44883</v>
      </c>
      <c r="AI79" s="101">
        <f t="shared" si="5"/>
        <v>2406.1877993895237</v>
      </c>
      <c r="AJ79" t="s">
        <v>465</v>
      </c>
      <c r="AN79" t="s">
        <v>281</v>
      </c>
      <c r="AO79" s="259">
        <v>2339.8268879340148</v>
      </c>
      <c r="AP79" t="s">
        <v>465</v>
      </c>
    </row>
    <row r="80" spans="2:45" x14ac:dyDescent="0.25">
      <c r="B80" t="s">
        <v>175</v>
      </c>
      <c r="C80" s="101">
        <v>73647</v>
      </c>
      <c r="D80" s="101">
        <v>5329</v>
      </c>
      <c r="E80" s="101">
        <v>856</v>
      </c>
      <c r="F80" s="101">
        <v>2952</v>
      </c>
      <c r="G80" s="101">
        <v>1214</v>
      </c>
      <c r="H80" s="101">
        <v>10239</v>
      </c>
      <c r="I80" s="101">
        <v>2191</v>
      </c>
      <c r="J80" s="101">
        <v>2285</v>
      </c>
      <c r="K80" s="101">
        <v>429</v>
      </c>
      <c r="L80" s="101">
        <v>1635</v>
      </c>
      <c r="M80" s="101">
        <v>5234</v>
      </c>
      <c r="N80" s="101">
        <v>10668</v>
      </c>
      <c r="O80" s="101">
        <v>7954</v>
      </c>
      <c r="P80" s="101">
        <v>15539</v>
      </c>
      <c r="Q80" s="101">
        <v>5338</v>
      </c>
      <c r="R80" s="101">
        <v>1784</v>
      </c>
      <c r="S80" s="101"/>
      <c r="T80" t="s">
        <v>175</v>
      </c>
      <c r="U80" s="101">
        <f t="shared" si="3"/>
        <v>64510</v>
      </c>
      <c r="V80" s="101">
        <v>50086000</v>
      </c>
      <c r="W80" s="101">
        <v>39074401</v>
      </c>
      <c r="X80" s="101">
        <v>2382</v>
      </c>
      <c r="Y80" s="101">
        <v>2046</v>
      </c>
      <c r="Z80" s="101">
        <v>416</v>
      </c>
      <c r="AA80" s="101">
        <v>31</v>
      </c>
      <c r="AB80" s="101">
        <v>958</v>
      </c>
      <c r="AC80" s="101">
        <v>105</v>
      </c>
      <c r="AD80" s="101">
        <v>23</v>
      </c>
      <c r="AE80" s="101">
        <v>0</v>
      </c>
      <c r="AF80" s="101">
        <v>120</v>
      </c>
      <c r="AG80" s="101">
        <f t="shared" si="4"/>
        <v>47417.400999999998</v>
      </c>
      <c r="AH80" s="101">
        <v>19748</v>
      </c>
      <c r="AI80" s="101">
        <f t="shared" si="5"/>
        <v>2401.1242151103911</v>
      </c>
      <c r="AJ80" t="s">
        <v>116</v>
      </c>
      <c r="AN80" t="s">
        <v>282</v>
      </c>
      <c r="AO80" s="259">
        <v>1932.6664170722577</v>
      </c>
      <c r="AP80" t="s">
        <v>465</v>
      </c>
    </row>
    <row r="81" spans="2:42" x14ac:dyDescent="0.25">
      <c r="B81" t="s">
        <v>176</v>
      </c>
      <c r="C81" s="101">
        <v>82068</v>
      </c>
      <c r="D81" s="101">
        <v>283</v>
      </c>
      <c r="E81" s="101">
        <v>305</v>
      </c>
      <c r="F81" s="101">
        <v>3188</v>
      </c>
      <c r="G81" s="101">
        <v>1331</v>
      </c>
      <c r="H81" s="101">
        <v>17179</v>
      </c>
      <c r="I81" s="101">
        <v>1977</v>
      </c>
      <c r="J81" s="101">
        <v>3427</v>
      </c>
      <c r="K81" s="101">
        <v>2002</v>
      </c>
      <c r="L81" s="101">
        <v>1879</v>
      </c>
      <c r="M81" s="101">
        <v>5163</v>
      </c>
      <c r="N81" s="101">
        <v>12122</v>
      </c>
      <c r="O81" s="101">
        <v>11912</v>
      </c>
      <c r="P81" s="101">
        <v>11474</v>
      </c>
      <c r="Q81" s="101">
        <v>6230</v>
      </c>
      <c r="R81" s="101">
        <v>3596</v>
      </c>
      <c r="S81" s="101"/>
      <c r="T81" t="s">
        <v>176</v>
      </c>
      <c r="U81" s="101">
        <f t="shared" si="3"/>
        <v>78292</v>
      </c>
      <c r="V81" s="101">
        <v>58098000</v>
      </c>
      <c r="W81" s="101">
        <v>47689872</v>
      </c>
      <c r="X81" s="101">
        <v>2439</v>
      </c>
      <c r="Y81" s="101">
        <v>3700</v>
      </c>
      <c r="Z81" s="101">
        <v>430</v>
      </c>
      <c r="AA81" s="101">
        <v>195</v>
      </c>
      <c r="AB81" s="101">
        <v>814</v>
      </c>
      <c r="AC81" s="101">
        <v>128</v>
      </c>
      <c r="AD81" s="101">
        <v>169</v>
      </c>
      <c r="AE81" s="101">
        <v>1</v>
      </c>
      <c r="AF81" s="101">
        <v>26</v>
      </c>
      <c r="AG81" s="101">
        <f t="shared" si="4"/>
        <v>59981.872000000003</v>
      </c>
      <c r="AH81" s="101">
        <v>24937</v>
      </c>
      <c r="AI81" s="101">
        <f t="shared" si="5"/>
        <v>2405.3363275454144</v>
      </c>
      <c r="AJ81" t="s">
        <v>465</v>
      </c>
      <c r="AN81" t="s">
        <v>283</v>
      </c>
      <c r="AO81" s="259">
        <v>2395.7666010056505</v>
      </c>
      <c r="AP81" t="s">
        <v>465</v>
      </c>
    </row>
    <row r="82" spans="2:42" x14ac:dyDescent="0.25">
      <c r="B82" t="s">
        <v>401</v>
      </c>
      <c r="C82" s="101">
        <v>109020</v>
      </c>
      <c r="D82" s="101">
        <v>63</v>
      </c>
      <c r="E82" s="101">
        <v>638</v>
      </c>
      <c r="F82" s="101">
        <v>4346</v>
      </c>
      <c r="G82" s="101">
        <v>15121</v>
      </c>
      <c r="H82" s="101">
        <v>10208</v>
      </c>
      <c r="I82" s="101">
        <v>2926</v>
      </c>
      <c r="J82" s="101">
        <v>3518</v>
      </c>
      <c r="K82" s="101">
        <v>7556</v>
      </c>
      <c r="L82" s="101">
        <v>2489</v>
      </c>
      <c r="M82" s="101">
        <v>6131</v>
      </c>
      <c r="N82" s="101">
        <v>17762</v>
      </c>
      <c r="O82" s="101">
        <v>12175</v>
      </c>
      <c r="P82" s="101">
        <v>13529</v>
      </c>
      <c r="Q82" s="101">
        <v>7992</v>
      </c>
      <c r="R82" s="101">
        <v>4566</v>
      </c>
      <c r="S82" s="101"/>
      <c r="T82" t="s">
        <v>401</v>
      </c>
      <c r="U82" s="101">
        <f t="shared" si="3"/>
        <v>103973</v>
      </c>
      <c r="V82" s="101">
        <v>76313000</v>
      </c>
      <c r="W82" s="101">
        <v>62846745</v>
      </c>
      <c r="X82" s="101">
        <v>4708</v>
      </c>
      <c r="Y82" s="101">
        <v>3846</v>
      </c>
      <c r="Z82" s="101">
        <v>915</v>
      </c>
      <c r="AA82" s="101">
        <v>51</v>
      </c>
      <c r="AB82" s="101">
        <v>2138</v>
      </c>
      <c r="AC82" s="101">
        <v>86</v>
      </c>
      <c r="AD82" s="101">
        <v>513</v>
      </c>
      <c r="AE82" s="101">
        <v>0</v>
      </c>
      <c r="AF82" s="101">
        <v>587</v>
      </c>
      <c r="AG82" s="101">
        <f t="shared" si="4"/>
        <v>77662.744999999995</v>
      </c>
      <c r="AH82" s="101">
        <v>32273</v>
      </c>
      <c r="AI82" s="101">
        <f t="shared" si="5"/>
        <v>2406.4309174852042</v>
      </c>
      <c r="AJ82" t="s">
        <v>116</v>
      </c>
      <c r="AN82" t="s">
        <v>341</v>
      </c>
      <c r="AO82" s="259">
        <v>2041.4468125594672</v>
      </c>
      <c r="AP82" t="s">
        <v>465</v>
      </c>
    </row>
    <row r="83" spans="2:42" x14ac:dyDescent="0.25">
      <c r="B83" t="s">
        <v>248</v>
      </c>
      <c r="C83" s="101">
        <v>116806</v>
      </c>
      <c r="D83" s="101">
        <v>563</v>
      </c>
      <c r="E83" s="101">
        <v>1393</v>
      </c>
      <c r="F83" s="101">
        <v>8411</v>
      </c>
      <c r="G83" s="101">
        <v>36447</v>
      </c>
      <c r="H83" s="101">
        <v>5685</v>
      </c>
      <c r="I83" s="101">
        <v>4290</v>
      </c>
      <c r="J83" s="101">
        <v>8992</v>
      </c>
      <c r="K83" s="101">
        <v>254</v>
      </c>
      <c r="L83" s="101">
        <v>2776</v>
      </c>
      <c r="M83" s="101">
        <v>7719</v>
      </c>
      <c r="N83" s="101">
        <v>6780</v>
      </c>
      <c r="O83" s="101">
        <v>12014</v>
      </c>
      <c r="P83" s="101">
        <v>11395</v>
      </c>
      <c r="Q83" s="101">
        <v>8492</v>
      </c>
      <c r="R83" s="101">
        <v>1595</v>
      </c>
      <c r="S83" s="101"/>
      <c r="T83" t="s">
        <v>248</v>
      </c>
      <c r="U83" s="101">
        <f t="shared" si="3"/>
        <v>106439</v>
      </c>
      <c r="V83" s="101">
        <v>80019000</v>
      </c>
      <c r="W83" s="101">
        <v>65927998</v>
      </c>
      <c r="X83" s="101">
        <v>4065</v>
      </c>
      <c r="Y83" s="101">
        <v>6145</v>
      </c>
      <c r="Z83" s="101">
        <v>504</v>
      </c>
      <c r="AA83" s="101">
        <v>178</v>
      </c>
      <c r="AB83" s="101">
        <v>1000</v>
      </c>
      <c r="AC83" s="101">
        <v>366</v>
      </c>
      <c r="AD83" s="101">
        <v>1666</v>
      </c>
      <c r="AE83" s="101">
        <v>261</v>
      </c>
      <c r="AF83" s="101">
        <v>99</v>
      </c>
      <c r="AG83" s="101">
        <f t="shared" si="4"/>
        <v>78063.998000000007</v>
      </c>
      <c r="AH83" s="101">
        <v>37145</v>
      </c>
      <c r="AI83" s="101">
        <f t="shared" si="5"/>
        <v>2101.6017768205679</v>
      </c>
      <c r="AJ83" t="s">
        <v>465</v>
      </c>
      <c r="AN83" t="s">
        <v>591</v>
      </c>
      <c r="AO83" s="259">
        <v>2009.3408982566059</v>
      </c>
      <c r="AP83" t="s">
        <v>465</v>
      </c>
    </row>
    <row r="84" spans="2:42" x14ac:dyDescent="0.25">
      <c r="B84" t="s">
        <v>177</v>
      </c>
      <c r="C84" s="101">
        <v>474488</v>
      </c>
      <c r="D84" s="101">
        <v>10608</v>
      </c>
      <c r="E84" s="101">
        <v>8160</v>
      </c>
      <c r="F84" s="101">
        <v>16383</v>
      </c>
      <c r="G84" s="101">
        <v>90909</v>
      </c>
      <c r="H84" s="101">
        <v>27707</v>
      </c>
      <c r="I84" s="101">
        <v>11280</v>
      </c>
      <c r="J84" s="101">
        <v>15987</v>
      </c>
      <c r="K84" s="101">
        <v>11198</v>
      </c>
      <c r="L84" s="101">
        <v>12462</v>
      </c>
      <c r="M84" s="101">
        <v>30737</v>
      </c>
      <c r="N84" s="101">
        <v>53901</v>
      </c>
      <c r="O84" s="101">
        <v>46691</v>
      </c>
      <c r="P84" s="101">
        <v>88013</v>
      </c>
      <c r="Q84" s="101">
        <v>38803</v>
      </c>
      <c r="R84" s="101">
        <v>11649</v>
      </c>
      <c r="S84" s="101"/>
      <c r="T84" t="s">
        <v>177</v>
      </c>
      <c r="U84" s="101">
        <f t="shared" si="3"/>
        <v>439337</v>
      </c>
      <c r="V84" s="101">
        <v>342559000</v>
      </c>
      <c r="W84" s="101">
        <v>239964032</v>
      </c>
      <c r="X84" s="101">
        <v>12900</v>
      </c>
      <c r="Y84" s="101">
        <v>15052</v>
      </c>
      <c r="Z84" s="101">
        <v>2173</v>
      </c>
      <c r="AA84" s="101">
        <v>1489</v>
      </c>
      <c r="AB84" s="101">
        <v>4999</v>
      </c>
      <c r="AC84" s="101">
        <v>833</v>
      </c>
      <c r="AD84" s="101">
        <v>1629</v>
      </c>
      <c r="AE84" s="101">
        <v>1634</v>
      </c>
      <c r="AF84" s="101">
        <v>1068</v>
      </c>
      <c r="AG84" s="101">
        <f t="shared" si="4"/>
        <v>294965.03200000001</v>
      </c>
      <c r="AH84" s="101">
        <v>124262</v>
      </c>
      <c r="AI84" s="101">
        <f t="shared" si="5"/>
        <v>2373.7347861775925</v>
      </c>
      <c r="AJ84" t="s">
        <v>439</v>
      </c>
      <c r="AN84" t="s">
        <v>238</v>
      </c>
      <c r="AO84" s="259">
        <v>2682.1265986522294</v>
      </c>
      <c r="AP84" t="s">
        <v>465</v>
      </c>
    </row>
    <row r="85" spans="2:42" x14ac:dyDescent="0.25">
      <c r="B85" t="s">
        <v>218</v>
      </c>
      <c r="C85" s="101">
        <v>32028</v>
      </c>
      <c r="D85" s="101">
        <v>689</v>
      </c>
      <c r="E85" s="101">
        <v>651</v>
      </c>
      <c r="F85" s="101">
        <v>1366</v>
      </c>
      <c r="G85" s="101">
        <v>1532</v>
      </c>
      <c r="H85" s="101">
        <v>6637</v>
      </c>
      <c r="I85" s="101">
        <v>1243</v>
      </c>
      <c r="J85" s="101">
        <v>1144</v>
      </c>
      <c r="K85" s="101">
        <v>92</v>
      </c>
      <c r="L85" s="101">
        <v>824</v>
      </c>
      <c r="M85" s="101">
        <v>2556</v>
      </c>
      <c r="N85" s="101">
        <v>2671</v>
      </c>
      <c r="O85" s="101">
        <v>3161</v>
      </c>
      <c r="P85" s="101">
        <v>5380</v>
      </c>
      <c r="Q85" s="101">
        <v>2786</v>
      </c>
      <c r="R85" s="101">
        <v>1296</v>
      </c>
      <c r="S85" s="101"/>
      <c r="T85" t="s">
        <v>218</v>
      </c>
      <c r="U85" s="101">
        <f t="shared" si="3"/>
        <v>29322</v>
      </c>
      <c r="V85" s="101">
        <v>20363000</v>
      </c>
      <c r="W85" s="101">
        <v>15887143</v>
      </c>
      <c r="X85" s="101">
        <v>1083</v>
      </c>
      <c r="Y85" s="101">
        <v>1615</v>
      </c>
      <c r="Z85" s="101">
        <v>192</v>
      </c>
      <c r="AA85" s="101">
        <v>15</v>
      </c>
      <c r="AB85" s="101">
        <v>1298</v>
      </c>
      <c r="AC85" s="101">
        <v>52</v>
      </c>
      <c r="AD85" s="101">
        <v>146</v>
      </c>
      <c r="AE85" s="101">
        <v>2</v>
      </c>
      <c r="AF85" s="101">
        <v>75</v>
      </c>
      <c r="AG85" s="101">
        <f t="shared" si="4"/>
        <v>20368.143</v>
      </c>
      <c r="AH85" s="101">
        <v>9927</v>
      </c>
      <c r="AI85" s="101">
        <f t="shared" si="5"/>
        <v>2051.7923844061652</v>
      </c>
      <c r="AJ85" t="s">
        <v>465</v>
      </c>
      <c r="AN85" t="s">
        <v>342</v>
      </c>
      <c r="AO85" s="259">
        <v>2322.1141460609547</v>
      </c>
      <c r="AP85" t="s">
        <v>465</v>
      </c>
    </row>
    <row r="86" spans="2:42" x14ac:dyDescent="0.25">
      <c r="B86" t="s">
        <v>719</v>
      </c>
      <c r="C86" s="101">
        <v>308016</v>
      </c>
      <c r="D86" s="101">
        <v>7637</v>
      </c>
      <c r="E86" s="101">
        <v>1617</v>
      </c>
      <c r="F86" s="101">
        <v>9456</v>
      </c>
      <c r="G86" s="101">
        <v>64516</v>
      </c>
      <c r="H86" s="101">
        <v>19722</v>
      </c>
      <c r="I86" s="101">
        <v>10452</v>
      </c>
      <c r="J86" s="101">
        <v>8979</v>
      </c>
      <c r="K86" s="101">
        <v>860</v>
      </c>
      <c r="L86" s="101">
        <v>6189</v>
      </c>
      <c r="M86" s="101">
        <v>13194</v>
      </c>
      <c r="N86" s="101">
        <v>37897</v>
      </c>
      <c r="O86" s="101">
        <v>20507</v>
      </c>
      <c r="P86" s="101">
        <v>22787</v>
      </c>
      <c r="Q86" s="101">
        <v>17270</v>
      </c>
      <c r="R86" s="101">
        <v>66933</v>
      </c>
      <c r="S86" s="101"/>
      <c r="T86" t="s">
        <v>719</v>
      </c>
      <c r="U86" s="101">
        <f t="shared" si="3"/>
        <v>289306</v>
      </c>
      <c r="V86" s="101">
        <v>178189000</v>
      </c>
      <c r="W86" s="101">
        <v>120434136</v>
      </c>
      <c r="X86" s="101">
        <v>5120</v>
      </c>
      <c r="Y86" s="101">
        <v>6326</v>
      </c>
      <c r="Z86" s="101">
        <v>847</v>
      </c>
      <c r="AA86" s="101">
        <v>349</v>
      </c>
      <c r="AB86" s="101">
        <v>3020</v>
      </c>
      <c r="AC86" s="101">
        <v>542</v>
      </c>
      <c r="AD86" s="101">
        <v>232</v>
      </c>
      <c r="AE86" s="101">
        <v>2</v>
      </c>
      <c r="AF86" s="101">
        <v>179</v>
      </c>
      <c r="AG86" s="101">
        <f t="shared" si="4"/>
        <v>214934.136</v>
      </c>
      <c r="AH86" s="101">
        <v>44813</v>
      </c>
      <c r="AI86" s="101">
        <f t="shared" si="5"/>
        <v>4796.2451967063125</v>
      </c>
      <c r="AJ86" t="s">
        <v>439</v>
      </c>
      <c r="AN86" t="s">
        <v>343</v>
      </c>
      <c r="AO86" s="259">
        <v>2697.7496183206108</v>
      </c>
      <c r="AP86" t="s">
        <v>465</v>
      </c>
    </row>
    <row r="87" spans="2:42" x14ac:dyDescent="0.25">
      <c r="B87" t="s">
        <v>358</v>
      </c>
      <c r="C87" s="101">
        <v>61078</v>
      </c>
      <c r="D87" s="101">
        <v>1666</v>
      </c>
      <c r="E87" s="101">
        <v>215</v>
      </c>
      <c r="F87" s="101">
        <v>3977</v>
      </c>
      <c r="G87" s="101">
        <v>11621</v>
      </c>
      <c r="H87" s="101">
        <v>5696</v>
      </c>
      <c r="I87" s="101">
        <v>1710</v>
      </c>
      <c r="J87" s="101">
        <v>2947</v>
      </c>
      <c r="K87" s="101">
        <v>522</v>
      </c>
      <c r="L87" s="101">
        <v>1007</v>
      </c>
      <c r="M87" s="101">
        <v>3438</v>
      </c>
      <c r="N87" s="101">
        <v>9720</v>
      </c>
      <c r="O87" s="101">
        <v>2793</v>
      </c>
      <c r="P87" s="101">
        <v>6488</v>
      </c>
      <c r="Q87" s="101">
        <v>4495</v>
      </c>
      <c r="R87" s="101">
        <v>4783</v>
      </c>
      <c r="S87" s="101"/>
      <c r="T87" t="s">
        <v>358</v>
      </c>
      <c r="U87" s="101">
        <f t="shared" si="3"/>
        <v>55220</v>
      </c>
      <c r="V87" s="101">
        <v>42623000</v>
      </c>
      <c r="W87" s="101">
        <v>34923983</v>
      </c>
      <c r="X87" s="101">
        <v>2437</v>
      </c>
      <c r="Y87" s="101">
        <v>1702</v>
      </c>
      <c r="Z87" s="101">
        <v>356</v>
      </c>
      <c r="AA87" s="101">
        <v>0</v>
      </c>
      <c r="AB87" s="101">
        <v>577</v>
      </c>
      <c r="AC87" s="101">
        <v>167</v>
      </c>
      <c r="AD87" s="101">
        <v>726</v>
      </c>
      <c r="AE87" s="101">
        <v>6</v>
      </c>
      <c r="AF87" s="101">
        <v>379</v>
      </c>
      <c r="AG87" s="101">
        <f t="shared" si="4"/>
        <v>41170.983</v>
      </c>
      <c r="AH87" s="101">
        <v>20389</v>
      </c>
      <c r="AI87" s="101">
        <f t="shared" si="5"/>
        <v>2019.2742655353377</v>
      </c>
      <c r="AJ87" s="140" t="s">
        <v>465</v>
      </c>
      <c r="AN87" t="s">
        <v>284</v>
      </c>
      <c r="AO87" s="259">
        <v>2125.8125514742219</v>
      </c>
      <c r="AP87" t="s">
        <v>465</v>
      </c>
    </row>
    <row r="88" spans="2:42" x14ac:dyDescent="0.25">
      <c r="B88" t="s">
        <v>402</v>
      </c>
      <c r="C88" s="101">
        <v>78781</v>
      </c>
      <c r="D88" s="101">
        <v>689</v>
      </c>
      <c r="E88" s="101">
        <v>1830</v>
      </c>
      <c r="F88" s="101">
        <v>4639</v>
      </c>
      <c r="G88" s="101">
        <v>18835</v>
      </c>
      <c r="H88" s="101">
        <v>9899</v>
      </c>
      <c r="I88" s="101">
        <v>2649</v>
      </c>
      <c r="J88" s="101">
        <v>2032</v>
      </c>
      <c r="K88" s="101">
        <v>443</v>
      </c>
      <c r="L88" s="101">
        <v>1179</v>
      </c>
      <c r="M88" s="101">
        <v>5036</v>
      </c>
      <c r="N88" s="101">
        <v>7762</v>
      </c>
      <c r="O88" s="101">
        <v>6181</v>
      </c>
      <c r="P88" s="101">
        <v>8462</v>
      </c>
      <c r="Q88" s="101">
        <v>7823</v>
      </c>
      <c r="R88" s="101">
        <v>1322</v>
      </c>
      <c r="S88" s="101"/>
      <c r="T88" t="s">
        <v>402</v>
      </c>
      <c r="U88" s="101">
        <f t="shared" si="3"/>
        <v>71623</v>
      </c>
      <c r="V88" s="101">
        <v>55084000</v>
      </c>
      <c r="W88" s="101">
        <v>45299736</v>
      </c>
      <c r="X88" s="101">
        <v>3756</v>
      </c>
      <c r="Y88" s="101">
        <v>3913</v>
      </c>
      <c r="Z88" s="101">
        <v>499</v>
      </c>
      <c r="AA88" s="101">
        <v>134</v>
      </c>
      <c r="AB88" s="101">
        <v>463</v>
      </c>
      <c r="AC88" s="101">
        <v>40</v>
      </c>
      <c r="AD88" s="101">
        <v>1187</v>
      </c>
      <c r="AE88" s="101">
        <v>8</v>
      </c>
      <c r="AF88" s="101">
        <v>50</v>
      </c>
      <c r="AG88" s="101">
        <f t="shared" si="4"/>
        <v>51788.735999999997</v>
      </c>
      <c r="AH88" s="101">
        <v>26180</v>
      </c>
      <c r="AI88" s="101">
        <f t="shared" si="5"/>
        <v>1978.1793735676088</v>
      </c>
      <c r="AJ88" t="s">
        <v>465</v>
      </c>
      <c r="AN88" t="s">
        <v>166</v>
      </c>
      <c r="AO88" s="259">
        <v>1917.8997625079164</v>
      </c>
      <c r="AP88" t="s">
        <v>465</v>
      </c>
    </row>
    <row r="89" spans="2:42" x14ac:dyDescent="0.25">
      <c r="B89" t="s">
        <v>359</v>
      </c>
      <c r="C89" s="101">
        <v>1208937</v>
      </c>
      <c r="D89" s="101">
        <v>50171</v>
      </c>
      <c r="E89" s="101">
        <v>8913</v>
      </c>
      <c r="F89" s="101">
        <v>44873</v>
      </c>
      <c r="G89" s="101">
        <v>423723</v>
      </c>
      <c r="H89" s="101">
        <v>41270</v>
      </c>
      <c r="I89" s="101">
        <v>27825</v>
      </c>
      <c r="J89" s="101">
        <v>53946</v>
      </c>
      <c r="K89" s="101">
        <v>20052</v>
      </c>
      <c r="L89" s="101">
        <v>39084</v>
      </c>
      <c r="M89" s="101">
        <v>84057</v>
      </c>
      <c r="N89" s="101">
        <v>202720</v>
      </c>
      <c r="O89" s="101">
        <v>49166</v>
      </c>
      <c r="P89" s="101">
        <v>65094</v>
      </c>
      <c r="Q89" s="101">
        <v>91340</v>
      </c>
      <c r="R89" s="101">
        <v>6703</v>
      </c>
      <c r="S89" s="101"/>
      <c r="T89" t="s">
        <v>359</v>
      </c>
      <c r="U89" s="101">
        <f t="shared" si="3"/>
        <v>1104980</v>
      </c>
      <c r="V89" s="101">
        <v>866244000</v>
      </c>
      <c r="W89" s="101">
        <v>591511883</v>
      </c>
      <c r="X89" s="101">
        <v>26671</v>
      </c>
      <c r="Y89" s="101">
        <v>34006</v>
      </c>
      <c r="Z89" s="101">
        <v>5255</v>
      </c>
      <c r="AA89" s="101">
        <v>624</v>
      </c>
      <c r="AB89" s="101">
        <v>9193</v>
      </c>
      <c r="AC89" s="101">
        <v>1535</v>
      </c>
      <c r="AD89" s="101">
        <v>5400</v>
      </c>
      <c r="AE89" s="101">
        <v>21831</v>
      </c>
      <c r="AF89" s="101">
        <v>2215</v>
      </c>
      <c r="AG89" s="101">
        <f t="shared" si="4"/>
        <v>723517.88300000003</v>
      </c>
      <c r="AH89" s="101">
        <v>249054</v>
      </c>
      <c r="AI89" s="101">
        <f t="shared" si="5"/>
        <v>2905.0642952933904</v>
      </c>
      <c r="AJ89" t="s">
        <v>439</v>
      </c>
      <c r="AN89" t="s">
        <v>344</v>
      </c>
      <c r="AO89" s="259">
        <v>1979.0396157840082</v>
      </c>
      <c r="AP89" t="s">
        <v>465</v>
      </c>
    </row>
    <row r="90" spans="2:42" x14ac:dyDescent="0.25">
      <c r="B90" t="s">
        <v>178</v>
      </c>
      <c r="C90" s="101">
        <v>78119</v>
      </c>
      <c r="D90" s="101">
        <v>-5</v>
      </c>
      <c r="E90" s="101">
        <v>673</v>
      </c>
      <c r="F90" s="101">
        <v>3180</v>
      </c>
      <c r="G90" s="101">
        <v>20695</v>
      </c>
      <c r="H90" s="101">
        <v>3917</v>
      </c>
      <c r="I90" s="101">
        <v>1929</v>
      </c>
      <c r="J90" s="101">
        <v>2147</v>
      </c>
      <c r="K90" s="101">
        <v>908</v>
      </c>
      <c r="L90" s="101">
        <v>1714</v>
      </c>
      <c r="M90" s="101">
        <v>4215</v>
      </c>
      <c r="N90" s="101">
        <v>10671</v>
      </c>
      <c r="O90" s="101">
        <v>11133</v>
      </c>
      <c r="P90" s="101">
        <v>9553</v>
      </c>
      <c r="Q90" s="101">
        <v>6651</v>
      </c>
      <c r="R90" s="101">
        <v>738</v>
      </c>
      <c r="S90" s="101"/>
      <c r="T90" t="s">
        <v>178</v>
      </c>
      <c r="U90" s="101">
        <f t="shared" si="3"/>
        <v>74271</v>
      </c>
      <c r="V90" s="101">
        <v>57749000</v>
      </c>
      <c r="W90" s="101">
        <v>45353941</v>
      </c>
      <c r="X90" s="101">
        <v>2709</v>
      </c>
      <c r="Y90" s="101">
        <v>2716</v>
      </c>
      <c r="Z90" s="101">
        <v>373</v>
      </c>
      <c r="AA90" s="101">
        <v>720</v>
      </c>
      <c r="AB90" s="101">
        <v>648</v>
      </c>
      <c r="AC90" s="101">
        <v>362</v>
      </c>
      <c r="AD90" s="101">
        <v>380</v>
      </c>
      <c r="AE90" s="101">
        <v>40</v>
      </c>
      <c r="AF90" s="101">
        <v>187</v>
      </c>
      <c r="AG90" s="101">
        <f t="shared" si="4"/>
        <v>53740.940999999999</v>
      </c>
      <c r="AH90" s="101">
        <v>23903</v>
      </c>
      <c r="AI90" s="101">
        <f t="shared" si="5"/>
        <v>2248.2927247625821</v>
      </c>
      <c r="AJ90" t="s">
        <v>465</v>
      </c>
      <c r="AN90" t="s">
        <v>435</v>
      </c>
      <c r="AO90" s="259">
        <v>2084.9126455346932</v>
      </c>
      <c r="AP90" t="s">
        <v>465</v>
      </c>
    </row>
    <row r="91" spans="2:42" x14ac:dyDescent="0.25">
      <c r="B91" t="s">
        <v>108</v>
      </c>
      <c r="C91" s="101">
        <v>510522</v>
      </c>
      <c r="D91" s="101">
        <v>4768</v>
      </c>
      <c r="E91" s="101">
        <v>11926</v>
      </c>
      <c r="F91" s="101">
        <v>20651</v>
      </c>
      <c r="G91" s="101">
        <v>86434</v>
      </c>
      <c r="H91" s="101">
        <v>24891</v>
      </c>
      <c r="I91" s="101">
        <v>9826</v>
      </c>
      <c r="J91" s="101">
        <v>18009</v>
      </c>
      <c r="K91" s="101">
        <v>6747</v>
      </c>
      <c r="L91" s="101">
        <v>12454</v>
      </c>
      <c r="M91" s="101">
        <v>28498</v>
      </c>
      <c r="N91" s="101">
        <v>105657</v>
      </c>
      <c r="O91" s="101">
        <v>56060</v>
      </c>
      <c r="P91" s="101">
        <v>84088</v>
      </c>
      <c r="Q91" s="101">
        <v>33762</v>
      </c>
      <c r="R91" s="101">
        <v>6751</v>
      </c>
      <c r="S91" s="101"/>
      <c r="T91" t="s">
        <v>108</v>
      </c>
      <c r="U91" s="101">
        <f t="shared" si="3"/>
        <v>473177</v>
      </c>
      <c r="V91" s="101">
        <v>399385000</v>
      </c>
      <c r="W91" s="101">
        <v>277451346</v>
      </c>
      <c r="X91" s="101">
        <v>12080</v>
      </c>
      <c r="Y91" s="101">
        <v>15531</v>
      </c>
      <c r="Z91" s="101">
        <v>1873</v>
      </c>
      <c r="AA91" s="101">
        <v>875</v>
      </c>
      <c r="AB91" s="101">
        <v>3328</v>
      </c>
      <c r="AC91" s="101">
        <v>299</v>
      </c>
      <c r="AD91" s="101">
        <v>709</v>
      </c>
      <c r="AE91" s="101">
        <v>4643</v>
      </c>
      <c r="AF91" s="101">
        <v>955</v>
      </c>
      <c r="AG91" s="101">
        <f t="shared" si="4"/>
        <v>310950.34600000002</v>
      </c>
      <c r="AH91" s="101">
        <v>109698</v>
      </c>
      <c r="AI91" s="101">
        <f t="shared" si="5"/>
        <v>2834.6036026180968</v>
      </c>
      <c r="AJ91" t="s">
        <v>439</v>
      </c>
      <c r="AN91" t="s">
        <v>346</v>
      </c>
      <c r="AO91" s="259">
        <v>1924.4491385124777</v>
      </c>
      <c r="AP91" t="s">
        <v>465</v>
      </c>
    </row>
    <row r="92" spans="2:42" x14ac:dyDescent="0.25">
      <c r="B92" t="s">
        <v>249</v>
      </c>
      <c r="C92" s="101">
        <v>73440</v>
      </c>
      <c r="D92" s="101">
        <v>-22</v>
      </c>
      <c r="E92" s="101">
        <v>1129</v>
      </c>
      <c r="F92" s="101">
        <v>1726</v>
      </c>
      <c r="G92" s="101">
        <v>1622</v>
      </c>
      <c r="H92" s="101">
        <v>11128</v>
      </c>
      <c r="I92" s="101">
        <v>2349</v>
      </c>
      <c r="J92" s="101">
        <v>6129</v>
      </c>
      <c r="K92" s="101">
        <v>1105</v>
      </c>
      <c r="L92" s="101">
        <v>1385</v>
      </c>
      <c r="M92" s="101">
        <v>5888</v>
      </c>
      <c r="N92" s="101">
        <v>10400</v>
      </c>
      <c r="O92" s="101">
        <v>10738</v>
      </c>
      <c r="P92" s="101">
        <v>11258</v>
      </c>
      <c r="Q92" s="101">
        <v>6682</v>
      </c>
      <c r="R92" s="101">
        <v>1923</v>
      </c>
      <c r="S92" s="101"/>
      <c r="T92" t="s">
        <v>249</v>
      </c>
      <c r="U92" s="101">
        <f t="shared" si="3"/>
        <v>70607</v>
      </c>
      <c r="V92" s="101">
        <v>52583000</v>
      </c>
      <c r="W92" s="101">
        <v>44564291</v>
      </c>
      <c r="X92" s="101">
        <v>2149</v>
      </c>
      <c r="Y92" s="101">
        <v>3621</v>
      </c>
      <c r="Z92" s="101">
        <v>358</v>
      </c>
      <c r="AA92" s="101">
        <v>227</v>
      </c>
      <c r="AB92" s="101">
        <v>401</v>
      </c>
      <c r="AC92" s="101">
        <v>871</v>
      </c>
      <c r="AD92" s="101">
        <v>870</v>
      </c>
      <c r="AE92" s="101">
        <v>170</v>
      </c>
      <c r="AF92" s="101">
        <v>309</v>
      </c>
      <c r="AG92" s="101">
        <f t="shared" si="4"/>
        <v>53612.290999999997</v>
      </c>
      <c r="AH92" s="101">
        <v>18843</v>
      </c>
      <c r="AI92" s="101">
        <f t="shared" si="5"/>
        <v>2845.2099453377914</v>
      </c>
      <c r="AJ92" t="s">
        <v>116</v>
      </c>
      <c r="AN92" t="s">
        <v>347</v>
      </c>
      <c r="AO92" s="259">
        <v>2126.6157272842161</v>
      </c>
      <c r="AP92" t="s">
        <v>465</v>
      </c>
    </row>
    <row r="93" spans="2:42" x14ac:dyDescent="0.25">
      <c r="B93" t="s">
        <v>144</v>
      </c>
      <c r="C93" s="101">
        <v>911620</v>
      </c>
      <c r="D93" s="101">
        <v>29536</v>
      </c>
      <c r="E93" s="101">
        <v>8844</v>
      </c>
      <c r="F93" s="101">
        <v>22803</v>
      </c>
      <c r="G93" s="101">
        <v>180064</v>
      </c>
      <c r="H93" s="101">
        <v>50970</v>
      </c>
      <c r="I93" s="101">
        <v>21927</v>
      </c>
      <c r="J93" s="101">
        <v>27515</v>
      </c>
      <c r="K93" s="101">
        <v>5888</v>
      </c>
      <c r="L93" s="101">
        <v>24016</v>
      </c>
      <c r="M93" s="101">
        <v>52988</v>
      </c>
      <c r="N93" s="101">
        <v>140868</v>
      </c>
      <c r="O93" s="101">
        <v>113137</v>
      </c>
      <c r="P93" s="101">
        <v>159189</v>
      </c>
      <c r="Q93" s="101">
        <v>61430</v>
      </c>
      <c r="R93" s="101">
        <v>12445</v>
      </c>
      <c r="S93" s="101"/>
      <c r="T93" t="s">
        <v>144</v>
      </c>
      <c r="U93" s="101">
        <f t="shared" si="3"/>
        <v>850437</v>
      </c>
      <c r="V93" s="101">
        <v>652116000</v>
      </c>
      <c r="W93" s="101">
        <v>415779836</v>
      </c>
      <c r="X93" s="101">
        <v>22813</v>
      </c>
      <c r="Y93" s="101">
        <v>21041</v>
      </c>
      <c r="Z93" s="101">
        <v>4073</v>
      </c>
      <c r="AA93" s="101">
        <v>608</v>
      </c>
      <c r="AB93" s="101">
        <v>4146</v>
      </c>
      <c r="AC93" s="101">
        <v>443</v>
      </c>
      <c r="AD93" s="101">
        <v>820</v>
      </c>
      <c r="AE93" s="101">
        <v>15307</v>
      </c>
      <c r="AF93" s="101">
        <v>432</v>
      </c>
      <c r="AG93" s="101">
        <f t="shared" si="4"/>
        <v>544417.83600000001</v>
      </c>
      <c r="AH93" s="101">
        <v>162337</v>
      </c>
      <c r="AI93" s="101">
        <f t="shared" si="5"/>
        <v>3353.6275525604146</v>
      </c>
      <c r="AJ93" t="s">
        <v>439</v>
      </c>
      <c r="AN93" t="s">
        <v>168</v>
      </c>
      <c r="AO93" s="259">
        <v>2262.6199985042254</v>
      </c>
      <c r="AP93" t="s">
        <v>465</v>
      </c>
    </row>
    <row r="94" spans="2:42" x14ac:dyDescent="0.25">
      <c r="B94" t="s">
        <v>179</v>
      </c>
      <c r="C94" s="101">
        <v>111040</v>
      </c>
      <c r="D94" s="101">
        <v>250</v>
      </c>
      <c r="E94" s="101">
        <v>266</v>
      </c>
      <c r="F94" s="101">
        <v>4519</v>
      </c>
      <c r="G94" s="101">
        <v>21885</v>
      </c>
      <c r="H94" s="101">
        <v>8440</v>
      </c>
      <c r="I94" s="101">
        <v>2800</v>
      </c>
      <c r="J94" s="101">
        <v>3672</v>
      </c>
      <c r="K94" s="101">
        <v>294</v>
      </c>
      <c r="L94" s="101">
        <v>3034</v>
      </c>
      <c r="M94" s="101">
        <v>6262</v>
      </c>
      <c r="N94" s="101">
        <v>16631</v>
      </c>
      <c r="O94" s="101">
        <v>11245</v>
      </c>
      <c r="P94" s="101">
        <v>20619</v>
      </c>
      <c r="Q94" s="101">
        <v>10643</v>
      </c>
      <c r="R94" s="101">
        <v>480</v>
      </c>
      <c r="S94" s="101"/>
      <c r="T94" t="s">
        <v>179</v>
      </c>
      <c r="U94" s="101">
        <f t="shared" si="3"/>
        <v>106005</v>
      </c>
      <c r="V94" s="101">
        <v>86921000</v>
      </c>
      <c r="W94" s="101">
        <v>65982505</v>
      </c>
      <c r="X94" s="101">
        <v>3513</v>
      </c>
      <c r="Y94" s="101">
        <v>5627</v>
      </c>
      <c r="Z94" s="101">
        <v>715</v>
      </c>
      <c r="AA94" s="101">
        <v>985</v>
      </c>
      <c r="AB94" s="101">
        <v>816</v>
      </c>
      <c r="AC94" s="101">
        <v>143</v>
      </c>
      <c r="AD94" s="101">
        <v>862</v>
      </c>
      <c r="AE94" s="101">
        <v>1</v>
      </c>
      <c r="AF94" s="101">
        <v>156</v>
      </c>
      <c r="AG94" s="101">
        <f t="shared" si="4"/>
        <v>72248.505000000005</v>
      </c>
      <c r="AH94" s="101">
        <v>33469</v>
      </c>
      <c r="AI94" s="101">
        <f t="shared" si="5"/>
        <v>2158.6693656816756</v>
      </c>
      <c r="AJ94" t="s">
        <v>116</v>
      </c>
      <c r="AN94" t="s">
        <v>348</v>
      </c>
      <c r="AO94" s="259">
        <v>2003.9145128278358</v>
      </c>
      <c r="AP94" t="s">
        <v>465</v>
      </c>
    </row>
    <row r="95" spans="2:42" x14ac:dyDescent="0.25">
      <c r="B95" t="s">
        <v>180</v>
      </c>
      <c r="C95" s="101">
        <v>101132</v>
      </c>
      <c r="D95" s="101">
        <v>93</v>
      </c>
      <c r="E95" s="101">
        <v>927</v>
      </c>
      <c r="F95" s="101">
        <v>5258</v>
      </c>
      <c r="G95" s="101">
        <v>15017</v>
      </c>
      <c r="H95" s="101">
        <v>15142</v>
      </c>
      <c r="I95" s="101">
        <v>2327</v>
      </c>
      <c r="J95" s="101">
        <v>1826</v>
      </c>
      <c r="K95" s="101">
        <v>618</v>
      </c>
      <c r="L95" s="101">
        <v>1976</v>
      </c>
      <c r="M95" s="101">
        <v>7489</v>
      </c>
      <c r="N95" s="101">
        <v>14058</v>
      </c>
      <c r="O95" s="101">
        <v>11874</v>
      </c>
      <c r="P95" s="101">
        <v>12774</v>
      </c>
      <c r="Q95" s="101">
        <v>9811</v>
      </c>
      <c r="R95" s="101">
        <v>1942</v>
      </c>
      <c r="S95" s="101"/>
      <c r="T95" t="s">
        <v>180</v>
      </c>
      <c r="U95" s="101">
        <f t="shared" si="3"/>
        <v>94854</v>
      </c>
      <c r="V95" s="101">
        <v>69050000</v>
      </c>
      <c r="W95" s="101">
        <v>56223732</v>
      </c>
      <c r="X95" s="101">
        <v>2925</v>
      </c>
      <c r="Y95" s="101">
        <v>2560</v>
      </c>
      <c r="Z95" s="101">
        <v>407</v>
      </c>
      <c r="AA95" s="101">
        <v>433</v>
      </c>
      <c r="AB95" s="101">
        <v>934</v>
      </c>
      <c r="AC95" s="101">
        <v>231</v>
      </c>
      <c r="AD95" s="101">
        <v>1354</v>
      </c>
      <c r="AE95" s="101">
        <v>0</v>
      </c>
      <c r="AF95" s="101">
        <v>296</v>
      </c>
      <c r="AG95" s="101">
        <f t="shared" si="4"/>
        <v>72887.732000000004</v>
      </c>
      <c r="AH95" s="101">
        <v>28127</v>
      </c>
      <c r="AI95" s="101">
        <f t="shared" si="5"/>
        <v>2591.3795285668575</v>
      </c>
      <c r="AJ95" t="s">
        <v>116</v>
      </c>
      <c r="AN95" t="s">
        <v>242</v>
      </c>
      <c r="AO95" s="259">
        <v>1807.4390394564127</v>
      </c>
      <c r="AP95" t="s">
        <v>465</v>
      </c>
    </row>
    <row r="96" spans="2:42" x14ac:dyDescent="0.25">
      <c r="B96" t="s">
        <v>360</v>
      </c>
      <c r="C96" s="101">
        <v>158056</v>
      </c>
      <c r="D96" s="101">
        <v>1547</v>
      </c>
      <c r="E96" s="101">
        <v>2235</v>
      </c>
      <c r="F96" s="101">
        <v>6832</v>
      </c>
      <c r="G96" s="101">
        <v>32971</v>
      </c>
      <c r="H96" s="101">
        <v>7470</v>
      </c>
      <c r="I96" s="101">
        <v>3233</v>
      </c>
      <c r="J96" s="101">
        <v>5359</v>
      </c>
      <c r="K96" s="101">
        <v>319</v>
      </c>
      <c r="L96" s="101">
        <v>5358</v>
      </c>
      <c r="M96" s="101">
        <v>9202</v>
      </c>
      <c r="N96" s="101">
        <v>34788</v>
      </c>
      <c r="O96" s="101">
        <v>18240</v>
      </c>
      <c r="P96" s="101">
        <v>19773</v>
      </c>
      <c r="Q96" s="101">
        <v>10020</v>
      </c>
      <c r="R96" s="101">
        <v>709</v>
      </c>
      <c r="S96" s="101"/>
      <c r="T96" t="s">
        <v>360</v>
      </c>
      <c r="U96" s="101">
        <f t="shared" si="3"/>
        <v>147442</v>
      </c>
      <c r="V96" s="101">
        <v>117417000</v>
      </c>
      <c r="W96" s="101">
        <v>91468957</v>
      </c>
      <c r="X96" s="101">
        <v>3177</v>
      </c>
      <c r="Y96" s="101">
        <v>5995</v>
      </c>
      <c r="Z96" s="101">
        <v>923</v>
      </c>
      <c r="AA96" s="101">
        <v>97</v>
      </c>
      <c r="AB96" s="101">
        <v>956</v>
      </c>
      <c r="AC96" s="101">
        <v>541</v>
      </c>
      <c r="AD96" s="101">
        <v>84</v>
      </c>
      <c r="AE96" s="101">
        <v>2725</v>
      </c>
      <c r="AF96" s="101">
        <v>189</v>
      </c>
      <c r="AG96" s="101">
        <f t="shared" si="4"/>
        <v>106806.95699999999</v>
      </c>
      <c r="AH96" s="101">
        <v>45475</v>
      </c>
      <c r="AI96" s="101">
        <f t="shared" si="5"/>
        <v>2348.6961407366684</v>
      </c>
      <c r="AJ96" t="s">
        <v>116</v>
      </c>
      <c r="AN96" t="s">
        <v>243</v>
      </c>
      <c r="AO96" s="259">
        <v>2279.9608616376199</v>
      </c>
      <c r="AP96" t="s">
        <v>465</v>
      </c>
    </row>
    <row r="97" spans="2:42" x14ac:dyDescent="0.25">
      <c r="B97" t="s">
        <v>361</v>
      </c>
      <c r="C97" s="101">
        <v>79363</v>
      </c>
      <c r="D97" s="101">
        <v>3415</v>
      </c>
      <c r="E97" s="101">
        <v>835</v>
      </c>
      <c r="F97" s="101">
        <v>2772</v>
      </c>
      <c r="G97" s="101">
        <v>17321</v>
      </c>
      <c r="H97" s="101">
        <v>5500</v>
      </c>
      <c r="I97" s="101">
        <v>1714</v>
      </c>
      <c r="J97" s="101">
        <v>2828</v>
      </c>
      <c r="K97" s="101">
        <v>478</v>
      </c>
      <c r="L97" s="101">
        <v>1730</v>
      </c>
      <c r="M97" s="101">
        <v>4937</v>
      </c>
      <c r="N97" s="101">
        <v>9894</v>
      </c>
      <c r="O97" s="101">
        <v>10114</v>
      </c>
      <c r="P97" s="101">
        <v>10783</v>
      </c>
      <c r="Q97" s="101">
        <v>6495</v>
      </c>
      <c r="R97" s="101">
        <v>547</v>
      </c>
      <c r="S97" s="101"/>
      <c r="T97" t="s">
        <v>361</v>
      </c>
      <c r="U97" s="101">
        <f t="shared" si="3"/>
        <v>72341</v>
      </c>
      <c r="V97" s="101">
        <v>57500000</v>
      </c>
      <c r="W97" s="101">
        <v>42529311</v>
      </c>
      <c r="X97" s="101">
        <v>2613</v>
      </c>
      <c r="Y97" s="101">
        <v>2913</v>
      </c>
      <c r="Z97" s="101">
        <v>415</v>
      </c>
      <c r="AA97" s="101">
        <v>50</v>
      </c>
      <c r="AB97" s="101">
        <v>1006</v>
      </c>
      <c r="AC97" s="101">
        <v>58</v>
      </c>
      <c r="AD97" s="101">
        <v>44</v>
      </c>
      <c r="AE97" s="101">
        <v>5</v>
      </c>
      <c r="AF97" s="101">
        <v>159</v>
      </c>
      <c r="AG97" s="101">
        <f t="shared" si="4"/>
        <v>50107.311000000002</v>
      </c>
      <c r="AH97" s="101">
        <v>21948</v>
      </c>
      <c r="AI97" s="101">
        <f t="shared" si="5"/>
        <v>2283.0012301804263</v>
      </c>
      <c r="AJ97" t="s">
        <v>116</v>
      </c>
      <c r="AN97" t="s">
        <v>285</v>
      </c>
      <c r="AO97" s="259">
        <v>1822.9096453519612</v>
      </c>
      <c r="AP97" t="s">
        <v>465</v>
      </c>
    </row>
    <row r="98" spans="2:42" x14ac:dyDescent="0.25">
      <c r="B98" t="s">
        <v>362</v>
      </c>
      <c r="C98" s="101">
        <v>147942</v>
      </c>
      <c r="D98" s="101">
        <v>24947</v>
      </c>
      <c r="E98" s="101">
        <v>1109</v>
      </c>
      <c r="F98" s="101">
        <v>6361</v>
      </c>
      <c r="G98" s="101">
        <v>22845</v>
      </c>
      <c r="H98" s="101">
        <v>14041</v>
      </c>
      <c r="I98" s="101">
        <v>3184</v>
      </c>
      <c r="J98" s="101">
        <v>3157</v>
      </c>
      <c r="K98" s="101">
        <v>675</v>
      </c>
      <c r="L98" s="101">
        <v>2457</v>
      </c>
      <c r="M98" s="101">
        <v>7894</v>
      </c>
      <c r="N98" s="101">
        <v>21961</v>
      </c>
      <c r="O98" s="101">
        <v>16584</v>
      </c>
      <c r="P98" s="101">
        <v>12928</v>
      </c>
      <c r="Q98" s="101">
        <v>9116</v>
      </c>
      <c r="R98" s="101">
        <v>683</v>
      </c>
      <c r="S98" s="101"/>
      <c r="T98" t="s">
        <v>362</v>
      </c>
      <c r="U98" s="101">
        <f t="shared" si="3"/>
        <v>115525</v>
      </c>
      <c r="V98" s="101">
        <v>93530000</v>
      </c>
      <c r="W98" s="101">
        <v>76766436</v>
      </c>
      <c r="X98" s="101">
        <v>4254</v>
      </c>
      <c r="Y98" s="101">
        <v>5920</v>
      </c>
      <c r="Z98" s="101">
        <v>768</v>
      </c>
      <c r="AA98" s="101">
        <v>0</v>
      </c>
      <c r="AB98" s="101">
        <v>845</v>
      </c>
      <c r="AC98" s="101">
        <v>67</v>
      </c>
      <c r="AD98" s="101">
        <v>819</v>
      </c>
      <c r="AE98" s="101">
        <v>445</v>
      </c>
      <c r="AF98" s="101">
        <v>80</v>
      </c>
      <c r="AG98" s="101">
        <f t="shared" si="4"/>
        <v>85563.436000000002</v>
      </c>
      <c r="AH98" s="101">
        <v>40765</v>
      </c>
      <c r="AI98" s="101">
        <f t="shared" si="5"/>
        <v>2098.9436035815038</v>
      </c>
      <c r="AJ98" t="s">
        <v>116</v>
      </c>
      <c r="AN98" t="s">
        <v>349</v>
      </c>
      <c r="AO98" s="259">
        <v>2181.9757438268912</v>
      </c>
      <c r="AP98" t="s">
        <v>465</v>
      </c>
    </row>
    <row r="99" spans="2:42" x14ac:dyDescent="0.25">
      <c r="B99" t="s">
        <v>363</v>
      </c>
      <c r="C99" s="101">
        <v>104667</v>
      </c>
      <c r="D99" s="101">
        <v>1816</v>
      </c>
      <c r="E99" s="101">
        <v>2590</v>
      </c>
      <c r="F99" s="101">
        <v>4135</v>
      </c>
      <c r="G99" s="101">
        <v>22153</v>
      </c>
      <c r="H99" s="101">
        <v>5067</v>
      </c>
      <c r="I99" s="101">
        <v>2366</v>
      </c>
      <c r="J99" s="101">
        <v>5214</v>
      </c>
      <c r="K99" s="101">
        <v>3415</v>
      </c>
      <c r="L99" s="101">
        <v>2545</v>
      </c>
      <c r="M99" s="101">
        <v>5996</v>
      </c>
      <c r="N99" s="101">
        <v>17464</v>
      </c>
      <c r="O99" s="101">
        <v>8081</v>
      </c>
      <c r="P99" s="101">
        <v>12550</v>
      </c>
      <c r="Q99" s="101">
        <v>8630</v>
      </c>
      <c r="R99" s="101">
        <v>2645</v>
      </c>
      <c r="S99" s="101"/>
      <c r="T99" t="s">
        <v>363</v>
      </c>
      <c r="U99" s="101">
        <f t="shared" si="3"/>
        <v>96126</v>
      </c>
      <c r="V99" s="101">
        <v>73876000</v>
      </c>
      <c r="W99" s="101">
        <v>59969150</v>
      </c>
      <c r="X99" s="101">
        <v>3315</v>
      </c>
      <c r="Y99" s="101">
        <v>3170</v>
      </c>
      <c r="Z99" s="101">
        <v>603</v>
      </c>
      <c r="AA99" s="101">
        <v>21</v>
      </c>
      <c r="AB99" s="101">
        <v>1325</v>
      </c>
      <c r="AC99" s="101">
        <v>249</v>
      </c>
      <c r="AD99" s="101">
        <v>263</v>
      </c>
      <c r="AE99" s="101">
        <v>10</v>
      </c>
      <c r="AF99" s="101">
        <v>31</v>
      </c>
      <c r="AG99" s="101">
        <f t="shared" si="4"/>
        <v>73232.149999999994</v>
      </c>
      <c r="AH99" s="101">
        <v>31534</v>
      </c>
      <c r="AI99" s="101">
        <f t="shared" si="5"/>
        <v>2322.3235238155639</v>
      </c>
      <c r="AJ99" t="s">
        <v>116</v>
      </c>
      <c r="AN99" t="s">
        <v>328</v>
      </c>
      <c r="AO99" s="259">
        <v>2426.2850348078005</v>
      </c>
      <c r="AP99" t="s">
        <v>465</v>
      </c>
    </row>
    <row r="100" spans="2:42" x14ac:dyDescent="0.25">
      <c r="B100" t="s">
        <v>403</v>
      </c>
      <c r="C100" s="101">
        <v>69484</v>
      </c>
      <c r="D100" s="101">
        <v>779</v>
      </c>
      <c r="E100" s="101">
        <v>292</v>
      </c>
      <c r="F100" s="101">
        <v>3065</v>
      </c>
      <c r="G100" s="101">
        <v>14377</v>
      </c>
      <c r="H100" s="101">
        <v>6367</v>
      </c>
      <c r="I100" s="101">
        <v>1627</v>
      </c>
      <c r="J100" s="101">
        <v>1044</v>
      </c>
      <c r="K100" s="101">
        <v>912</v>
      </c>
      <c r="L100" s="101">
        <v>780</v>
      </c>
      <c r="M100" s="101">
        <v>4367</v>
      </c>
      <c r="N100" s="101">
        <v>12599</v>
      </c>
      <c r="O100" s="101">
        <v>5468</v>
      </c>
      <c r="P100" s="101">
        <v>13032</v>
      </c>
      <c r="Q100" s="101">
        <v>4051</v>
      </c>
      <c r="R100" s="101">
        <v>724</v>
      </c>
      <c r="S100" s="101"/>
      <c r="T100" t="s">
        <v>403</v>
      </c>
      <c r="U100" s="101">
        <f t="shared" si="3"/>
        <v>65348</v>
      </c>
      <c r="V100" s="101">
        <v>56654000</v>
      </c>
      <c r="W100" s="101">
        <v>35931044</v>
      </c>
      <c r="X100" s="101">
        <v>2018</v>
      </c>
      <c r="Y100" s="101">
        <v>1925</v>
      </c>
      <c r="Z100" s="101">
        <v>332</v>
      </c>
      <c r="AA100" s="101">
        <v>45</v>
      </c>
      <c r="AB100" s="101">
        <v>370</v>
      </c>
      <c r="AC100" s="101">
        <v>69</v>
      </c>
      <c r="AD100" s="101">
        <v>2000</v>
      </c>
      <c r="AE100" s="101">
        <v>5</v>
      </c>
      <c r="AF100" s="101">
        <v>39</v>
      </c>
      <c r="AG100" s="101">
        <f t="shared" si="4"/>
        <v>37822.044000000002</v>
      </c>
      <c r="AH100" s="101">
        <v>17783</v>
      </c>
      <c r="AI100" s="101">
        <f t="shared" si="5"/>
        <v>2126.8652083450488</v>
      </c>
      <c r="AJ100" t="s">
        <v>116</v>
      </c>
      <c r="AN100" t="s">
        <v>169</v>
      </c>
      <c r="AO100" s="259">
        <v>2187.3872024884049</v>
      </c>
      <c r="AP100" t="s">
        <v>465</v>
      </c>
    </row>
    <row r="101" spans="2:42" x14ac:dyDescent="0.25">
      <c r="B101" t="s">
        <v>364</v>
      </c>
      <c r="C101" s="101">
        <v>94279</v>
      </c>
      <c r="D101" s="101">
        <v>11211</v>
      </c>
      <c r="E101" s="101">
        <v>970</v>
      </c>
      <c r="F101" s="101">
        <v>2999</v>
      </c>
      <c r="G101" s="101">
        <v>1129</v>
      </c>
      <c r="H101" s="101">
        <v>15009</v>
      </c>
      <c r="I101" s="101">
        <v>3532</v>
      </c>
      <c r="J101" s="101">
        <v>3023</v>
      </c>
      <c r="K101" s="101">
        <v>41</v>
      </c>
      <c r="L101" s="101">
        <v>2277</v>
      </c>
      <c r="M101" s="101">
        <v>7871</v>
      </c>
      <c r="N101" s="101">
        <v>12843</v>
      </c>
      <c r="O101" s="101">
        <v>9512</v>
      </c>
      <c r="P101" s="101">
        <v>13479</v>
      </c>
      <c r="Q101" s="101">
        <v>7294</v>
      </c>
      <c r="R101" s="101">
        <v>3089</v>
      </c>
      <c r="S101" s="101"/>
      <c r="T101" t="s">
        <v>364</v>
      </c>
      <c r="U101" s="101">
        <f t="shared" si="3"/>
        <v>79099</v>
      </c>
      <c r="V101" s="101">
        <v>63233000</v>
      </c>
      <c r="W101" s="101">
        <v>49927062</v>
      </c>
      <c r="X101" s="101">
        <v>1787</v>
      </c>
      <c r="Y101" s="101">
        <v>2486</v>
      </c>
      <c r="Z101" s="101">
        <v>207</v>
      </c>
      <c r="AA101" s="101">
        <v>0</v>
      </c>
      <c r="AB101" s="101">
        <v>676</v>
      </c>
      <c r="AC101" s="101">
        <v>101</v>
      </c>
      <c r="AD101" s="101">
        <v>503</v>
      </c>
      <c r="AE101" s="101">
        <v>15</v>
      </c>
      <c r="AF101" s="101">
        <v>2</v>
      </c>
      <c r="AG101" s="101">
        <f t="shared" si="4"/>
        <v>60016.062000000005</v>
      </c>
      <c r="AH101" s="101">
        <v>28611</v>
      </c>
      <c r="AI101" s="101">
        <f t="shared" si="5"/>
        <v>2097.6569151724862</v>
      </c>
      <c r="AJ101" t="s">
        <v>116</v>
      </c>
      <c r="AN101" t="s">
        <v>214</v>
      </c>
      <c r="AO101" s="259">
        <v>1966.4410662735704</v>
      </c>
      <c r="AP101" t="s">
        <v>465</v>
      </c>
    </row>
    <row r="102" spans="2:42" x14ac:dyDescent="0.25">
      <c r="B102" t="s">
        <v>290</v>
      </c>
      <c r="C102" s="101">
        <v>179325</v>
      </c>
      <c r="D102" s="101">
        <v>379</v>
      </c>
      <c r="E102" s="101">
        <v>1506</v>
      </c>
      <c r="F102" s="101">
        <v>8257</v>
      </c>
      <c r="G102" s="101">
        <v>46429</v>
      </c>
      <c r="H102" s="101">
        <v>12420</v>
      </c>
      <c r="I102" s="101">
        <v>5768</v>
      </c>
      <c r="J102" s="101">
        <v>11051</v>
      </c>
      <c r="K102" s="101">
        <v>2289</v>
      </c>
      <c r="L102" s="101">
        <v>3646</v>
      </c>
      <c r="M102" s="101">
        <v>12273</v>
      </c>
      <c r="N102" s="101">
        <v>13518</v>
      </c>
      <c r="O102" s="101">
        <v>14954</v>
      </c>
      <c r="P102" s="101">
        <v>27269</v>
      </c>
      <c r="Q102" s="101">
        <v>18444</v>
      </c>
      <c r="R102" s="101">
        <v>1122</v>
      </c>
      <c r="S102" s="101"/>
      <c r="T102" t="s">
        <v>290</v>
      </c>
      <c r="U102" s="101">
        <f t="shared" si="3"/>
        <v>169183</v>
      </c>
      <c r="V102" s="101">
        <v>132501000</v>
      </c>
      <c r="W102" s="101">
        <v>99134545</v>
      </c>
      <c r="X102" s="101">
        <v>6548</v>
      </c>
      <c r="Y102" s="101">
        <v>7254</v>
      </c>
      <c r="Z102" s="101">
        <v>1055</v>
      </c>
      <c r="AA102" s="101">
        <v>1047</v>
      </c>
      <c r="AB102" s="101">
        <v>1802</v>
      </c>
      <c r="AC102" s="101">
        <v>438</v>
      </c>
      <c r="AD102" s="101">
        <v>3651</v>
      </c>
      <c r="AE102" s="101">
        <v>14</v>
      </c>
      <c r="AF102" s="101">
        <v>486</v>
      </c>
      <c r="AG102" s="101">
        <f t="shared" si="4"/>
        <v>113521.54499999998</v>
      </c>
      <c r="AH102" s="101">
        <v>52208</v>
      </c>
      <c r="AI102" s="101">
        <f t="shared" si="5"/>
        <v>2174.4089986209005</v>
      </c>
      <c r="AJ102" t="s">
        <v>465</v>
      </c>
      <c r="AN102" t="s">
        <v>215</v>
      </c>
      <c r="AO102" s="259">
        <v>1878.3297487880122</v>
      </c>
      <c r="AP102" t="s">
        <v>465</v>
      </c>
    </row>
    <row r="103" spans="2:42" x14ac:dyDescent="0.25">
      <c r="B103" t="s">
        <v>329</v>
      </c>
      <c r="C103" s="101">
        <v>198642</v>
      </c>
      <c r="D103" s="101">
        <v>3150</v>
      </c>
      <c r="E103" s="101">
        <v>3295</v>
      </c>
      <c r="F103" s="101">
        <v>8491</v>
      </c>
      <c r="G103" s="101">
        <v>35103</v>
      </c>
      <c r="H103" s="101">
        <v>6265</v>
      </c>
      <c r="I103" s="101">
        <v>4172</v>
      </c>
      <c r="J103" s="101">
        <v>9041</v>
      </c>
      <c r="K103" s="101">
        <v>9613</v>
      </c>
      <c r="L103" s="101">
        <v>5007</v>
      </c>
      <c r="M103" s="101">
        <v>9662</v>
      </c>
      <c r="N103" s="101">
        <v>31047</v>
      </c>
      <c r="O103" s="101">
        <v>22779</v>
      </c>
      <c r="P103" s="101">
        <v>36598</v>
      </c>
      <c r="Q103" s="101">
        <v>13086</v>
      </c>
      <c r="R103" s="101">
        <v>1333</v>
      </c>
      <c r="S103" s="101"/>
      <c r="T103" t="s">
        <v>329</v>
      </c>
      <c r="U103" s="101">
        <f t="shared" si="3"/>
        <v>183706</v>
      </c>
      <c r="V103" s="101">
        <v>136808000</v>
      </c>
      <c r="W103" s="101">
        <v>97688396</v>
      </c>
      <c r="X103" s="101">
        <v>6778</v>
      </c>
      <c r="Y103" s="101">
        <v>5118</v>
      </c>
      <c r="Z103" s="101">
        <v>887</v>
      </c>
      <c r="AA103" s="101">
        <v>516</v>
      </c>
      <c r="AB103" s="101">
        <v>1903</v>
      </c>
      <c r="AC103" s="101">
        <v>502</v>
      </c>
      <c r="AD103" s="101">
        <v>351</v>
      </c>
      <c r="AE103" s="101">
        <v>4581</v>
      </c>
      <c r="AF103" s="101">
        <v>1394</v>
      </c>
      <c r="AG103" s="101">
        <f t="shared" si="4"/>
        <v>122556.39600000001</v>
      </c>
      <c r="AH103" s="101">
        <v>40125</v>
      </c>
      <c r="AI103" s="101">
        <f t="shared" si="5"/>
        <v>3054.365009345795</v>
      </c>
      <c r="AJ103" t="s">
        <v>439</v>
      </c>
      <c r="AN103" t="s">
        <v>171</v>
      </c>
      <c r="AO103" s="259">
        <v>2262.6756505576209</v>
      </c>
      <c r="AP103" t="s">
        <v>465</v>
      </c>
    </row>
    <row r="104" spans="2:42" x14ac:dyDescent="0.25">
      <c r="B104" t="s">
        <v>365</v>
      </c>
      <c r="C104" s="101">
        <v>69331</v>
      </c>
      <c r="D104" s="101">
        <v>1423</v>
      </c>
      <c r="E104" s="101">
        <v>223</v>
      </c>
      <c r="F104" s="101">
        <v>4027</v>
      </c>
      <c r="G104" s="101">
        <v>17167</v>
      </c>
      <c r="H104" s="101">
        <v>4868</v>
      </c>
      <c r="I104" s="101">
        <v>1791</v>
      </c>
      <c r="J104" s="101">
        <v>2760</v>
      </c>
      <c r="K104" s="101">
        <v>327</v>
      </c>
      <c r="L104" s="101">
        <v>2074</v>
      </c>
      <c r="M104" s="101">
        <v>4209</v>
      </c>
      <c r="N104" s="101">
        <v>8870</v>
      </c>
      <c r="O104" s="101">
        <v>9247</v>
      </c>
      <c r="P104" s="101">
        <v>6856</v>
      </c>
      <c r="Q104" s="101">
        <v>5453</v>
      </c>
      <c r="R104" s="101">
        <v>36</v>
      </c>
      <c r="S104" s="101"/>
      <c r="T104" t="s">
        <v>365</v>
      </c>
      <c r="U104" s="101">
        <f t="shared" si="3"/>
        <v>63658</v>
      </c>
      <c r="V104" s="101">
        <v>53938000</v>
      </c>
      <c r="W104" s="101">
        <v>45628373</v>
      </c>
      <c r="X104" s="101">
        <v>2607</v>
      </c>
      <c r="Y104" s="101">
        <v>2213</v>
      </c>
      <c r="Z104" s="101">
        <v>550</v>
      </c>
      <c r="AA104" s="101">
        <v>0</v>
      </c>
      <c r="AB104" s="101">
        <v>1126</v>
      </c>
      <c r="AC104" s="101">
        <v>176</v>
      </c>
      <c r="AD104" s="101">
        <v>125</v>
      </c>
      <c r="AE104" s="101">
        <v>2</v>
      </c>
      <c r="AF104" s="101">
        <v>74</v>
      </c>
      <c r="AG104" s="101">
        <f t="shared" si="4"/>
        <v>48475.373</v>
      </c>
      <c r="AH104" s="101">
        <v>24461</v>
      </c>
      <c r="AI104" s="101">
        <f t="shared" si="5"/>
        <v>1981.7412616000981</v>
      </c>
      <c r="AJ104" t="s">
        <v>465</v>
      </c>
      <c r="AN104" t="s">
        <v>244</v>
      </c>
      <c r="AO104" s="259">
        <v>1862.0911896438715</v>
      </c>
      <c r="AP104" t="s">
        <v>465</v>
      </c>
    </row>
    <row r="105" spans="2:42" x14ac:dyDescent="0.25">
      <c r="B105" t="s">
        <v>486</v>
      </c>
      <c r="C105" s="101">
        <v>175834</v>
      </c>
      <c r="D105" s="101">
        <v>927</v>
      </c>
      <c r="E105" s="101">
        <v>37</v>
      </c>
      <c r="F105" s="101">
        <v>14475</v>
      </c>
      <c r="G105" s="101">
        <v>44476</v>
      </c>
      <c r="H105" s="101">
        <v>13402</v>
      </c>
      <c r="I105" s="101">
        <v>6729</v>
      </c>
      <c r="J105" s="101">
        <v>8221</v>
      </c>
      <c r="K105" s="101">
        <v>1376</v>
      </c>
      <c r="L105" s="101">
        <v>4691</v>
      </c>
      <c r="M105" s="101">
        <v>11567</v>
      </c>
      <c r="N105" s="101">
        <v>16543</v>
      </c>
      <c r="O105" s="101">
        <v>14368</v>
      </c>
      <c r="P105" s="101">
        <v>20138</v>
      </c>
      <c r="Q105" s="101">
        <v>18926</v>
      </c>
      <c r="R105" s="101">
        <v>-42</v>
      </c>
      <c r="S105" s="101"/>
      <c r="T105" t="s">
        <v>486</v>
      </c>
      <c r="U105" s="101">
        <f t="shared" si="3"/>
        <v>160395</v>
      </c>
      <c r="V105" s="101">
        <v>125908000</v>
      </c>
      <c r="W105" s="101">
        <v>108851557</v>
      </c>
      <c r="X105" s="101">
        <v>7310</v>
      </c>
      <c r="Y105" s="101">
        <v>9498</v>
      </c>
      <c r="Z105" s="101">
        <v>1262</v>
      </c>
      <c r="AA105" s="101">
        <v>769</v>
      </c>
      <c r="AB105" s="101">
        <v>2875</v>
      </c>
      <c r="AC105" s="101">
        <v>76</v>
      </c>
      <c r="AD105" s="101">
        <v>346</v>
      </c>
      <c r="AE105" s="101">
        <v>3603</v>
      </c>
      <c r="AF105" s="101">
        <v>448</v>
      </c>
      <c r="AG105" s="101">
        <f t="shared" si="4"/>
        <v>117151.557</v>
      </c>
      <c r="AH105" s="101">
        <v>61015</v>
      </c>
      <c r="AI105" s="101">
        <f t="shared" si="5"/>
        <v>1920.0451856100958</v>
      </c>
      <c r="AJ105" t="s">
        <v>465</v>
      </c>
      <c r="AN105" t="s">
        <v>353</v>
      </c>
      <c r="AO105" s="286">
        <v>2239</v>
      </c>
      <c r="AP105" t="s">
        <v>465</v>
      </c>
    </row>
    <row r="106" spans="2:42" x14ac:dyDescent="0.25">
      <c r="B106" t="s">
        <v>291</v>
      </c>
      <c r="C106" s="101">
        <v>176639</v>
      </c>
      <c r="D106" s="101">
        <v>125</v>
      </c>
      <c r="E106" s="101">
        <v>3552</v>
      </c>
      <c r="F106" s="101">
        <v>6845</v>
      </c>
      <c r="G106" s="101">
        <v>32918</v>
      </c>
      <c r="H106" s="101">
        <v>7264</v>
      </c>
      <c r="I106" s="101">
        <v>4851</v>
      </c>
      <c r="J106" s="101">
        <v>8411</v>
      </c>
      <c r="K106" s="101">
        <v>14769</v>
      </c>
      <c r="L106" s="101">
        <v>7157</v>
      </c>
      <c r="M106" s="101">
        <v>7651</v>
      </c>
      <c r="N106" s="101">
        <v>32400</v>
      </c>
      <c r="O106" s="101">
        <v>15212</v>
      </c>
      <c r="P106" s="101">
        <v>22159</v>
      </c>
      <c r="Q106" s="101">
        <v>11902</v>
      </c>
      <c r="R106" s="101">
        <v>1423</v>
      </c>
      <c r="S106" s="101"/>
      <c r="T106" t="s">
        <v>291</v>
      </c>
      <c r="U106" s="101">
        <f t="shared" si="3"/>
        <v>166117</v>
      </c>
      <c r="V106" s="101">
        <v>121807000</v>
      </c>
      <c r="W106" s="101">
        <v>88682858</v>
      </c>
      <c r="X106" s="101">
        <v>3962</v>
      </c>
      <c r="Y106" s="101">
        <v>6628</v>
      </c>
      <c r="Z106" s="101">
        <v>738</v>
      </c>
      <c r="AA106" s="101">
        <v>344</v>
      </c>
      <c r="AB106" s="101">
        <v>1176</v>
      </c>
      <c r="AC106" s="101">
        <v>1622</v>
      </c>
      <c r="AD106" s="101">
        <v>337</v>
      </c>
      <c r="AE106" s="101">
        <v>3627</v>
      </c>
      <c r="AF106" s="101">
        <v>543</v>
      </c>
      <c r="AG106" s="101">
        <f t="shared" si="4"/>
        <v>114015.85800000001</v>
      </c>
      <c r="AH106" s="101">
        <v>38852</v>
      </c>
      <c r="AI106" s="101">
        <f t="shared" si="5"/>
        <v>2934.6200453001134</v>
      </c>
      <c r="AJ106" t="s">
        <v>439</v>
      </c>
      <c r="AN106" t="s">
        <v>141</v>
      </c>
      <c r="AO106" s="259">
        <v>2165.92855479019</v>
      </c>
      <c r="AP106" t="s">
        <v>465</v>
      </c>
    </row>
    <row r="107" spans="2:42" x14ac:dyDescent="0.25">
      <c r="B107" t="s">
        <v>292</v>
      </c>
      <c r="C107" s="101">
        <v>383519</v>
      </c>
      <c r="D107" s="101">
        <v>9516</v>
      </c>
      <c r="E107" s="101">
        <v>7778</v>
      </c>
      <c r="F107" s="101">
        <v>19288</v>
      </c>
      <c r="G107" s="101">
        <v>65609</v>
      </c>
      <c r="H107" s="101">
        <v>20074</v>
      </c>
      <c r="I107" s="101">
        <v>9777</v>
      </c>
      <c r="J107" s="101">
        <v>17984</v>
      </c>
      <c r="K107" s="101">
        <v>3268</v>
      </c>
      <c r="L107" s="101">
        <v>13514</v>
      </c>
      <c r="M107" s="101">
        <v>27001</v>
      </c>
      <c r="N107" s="101">
        <v>52085</v>
      </c>
      <c r="O107" s="101">
        <v>33913</v>
      </c>
      <c r="P107" s="101">
        <v>62085</v>
      </c>
      <c r="Q107" s="101">
        <v>35293</v>
      </c>
      <c r="R107" s="101">
        <v>6334</v>
      </c>
      <c r="S107" s="101"/>
      <c r="T107" t="s">
        <v>292</v>
      </c>
      <c r="U107" s="101">
        <f t="shared" si="3"/>
        <v>346937</v>
      </c>
      <c r="V107" s="101">
        <v>266202000</v>
      </c>
      <c r="W107" s="101">
        <v>189785312</v>
      </c>
      <c r="X107" s="101">
        <v>20708</v>
      </c>
      <c r="Y107" s="101">
        <v>14710</v>
      </c>
      <c r="Z107" s="101">
        <v>1819</v>
      </c>
      <c r="AA107" s="101">
        <v>0</v>
      </c>
      <c r="AB107" s="101">
        <v>3082</v>
      </c>
      <c r="AC107" s="101">
        <v>413</v>
      </c>
      <c r="AD107" s="101">
        <v>233</v>
      </c>
      <c r="AE107" s="101">
        <v>5713</v>
      </c>
      <c r="AF107" s="101">
        <v>1257</v>
      </c>
      <c r="AG107" s="101">
        <f t="shared" si="4"/>
        <v>222585.31200000003</v>
      </c>
      <c r="AH107" s="101">
        <v>76536</v>
      </c>
      <c r="AI107" s="101">
        <f t="shared" si="5"/>
        <v>2908.2433364691128</v>
      </c>
      <c r="AJ107" t="s">
        <v>439</v>
      </c>
      <c r="AN107" t="s">
        <v>216</v>
      </c>
      <c r="AO107" s="285">
        <v>2482</v>
      </c>
      <c r="AP107" t="s">
        <v>465</v>
      </c>
    </row>
    <row r="108" spans="2:42" x14ac:dyDescent="0.25">
      <c r="B108" t="s">
        <v>721</v>
      </c>
      <c r="C108" s="101">
        <v>1371911</v>
      </c>
      <c r="D108" s="101">
        <v>3824</v>
      </c>
      <c r="E108" s="101">
        <v>34174</v>
      </c>
      <c r="F108" s="101">
        <v>50254</v>
      </c>
      <c r="G108" s="101">
        <v>320599</v>
      </c>
      <c r="H108" s="101">
        <v>82468</v>
      </c>
      <c r="I108" s="101">
        <v>29292</v>
      </c>
      <c r="J108" s="101">
        <v>45637</v>
      </c>
      <c r="K108" s="101">
        <v>10879</v>
      </c>
      <c r="L108" s="101">
        <v>28298</v>
      </c>
      <c r="M108" s="101">
        <v>96476</v>
      </c>
      <c r="N108" s="101">
        <v>236683</v>
      </c>
      <c r="O108" s="101">
        <v>162218</v>
      </c>
      <c r="P108" s="101">
        <v>181782</v>
      </c>
      <c r="Q108" s="101">
        <v>42351</v>
      </c>
      <c r="R108" s="101">
        <v>46976</v>
      </c>
      <c r="S108" s="101"/>
      <c r="T108" t="s">
        <v>721</v>
      </c>
      <c r="U108" s="101">
        <f t="shared" si="3"/>
        <v>1283659</v>
      </c>
      <c r="V108" s="101">
        <v>997848000</v>
      </c>
      <c r="W108" s="101">
        <v>645369773</v>
      </c>
      <c r="X108" s="101">
        <v>22876</v>
      </c>
      <c r="Y108" s="101">
        <v>37468</v>
      </c>
      <c r="Z108" s="101">
        <v>4771</v>
      </c>
      <c r="AA108" s="101">
        <v>1869</v>
      </c>
      <c r="AB108" s="101">
        <v>17408</v>
      </c>
      <c r="AC108" s="101">
        <v>2639</v>
      </c>
      <c r="AD108" s="101">
        <v>2477</v>
      </c>
      <c r="AE108" s="101">
        <v>31415</v>
      </c>
      <c r="AF108" s="101">
        <v>2101</v>
      </c>
      <c r="AG108" s="101">
        <f t="shared" si="4"/>
        <v>808156.77300000004</v>
      </c>
      <c r="AH108" s="101">
        <v>244807</v>
      </c>
      <c r="AI108" s="101">
        <f t="shared" si="5"/>
        <v>3301.1996103052611</v>
      </c>
      <c r="AJ108" t="s">
        <v>439</v>
      </c>
      <c r="AN108" t="s">
        <v>217</v>
      </c>
      <c r="AO108" s="259">
        <v>2112.2925921087012</v>
      </c>
      <c r="AP108" t="s">
        <v>465</v>
      </c>
    </row>
    <row r="109" spans="2:42" x14ac:dyDescent="0.25">
      <c r="B109" t="s">
        <v>404</v>
      </c>
      <c r="C109" s="101">
        <v>49579</v>
      </c>
      <c r="D109" s="101">
        <v>0</v>
      </c>
      <c r="E109" s="101">
        <v>1051</v>
      </c>
      <c r="F109" s="101">
        <v>2777</v>
      </c>
      <c r="G109" s="101">
        <v>13291</v>
      </c>
      <c r="H109" s="101">
        <v>5518</v>
      </c>
      <c r="I109" s="101">
        <v>2162</v>
      </c>
      <c r="J109" s="101">
        <v>1166</v>
      </c>
      <c r="K109" s="101">
        <v>351</v>
      </c>
      <c r="L109" s="101">
        <v>1336</v>
      </c>
      <c r="M109" s="101">
        <v>3004</v>
      </c>
      <c r="N109" s="101">
        <v>6324</v>
      </c>
      <c r="O109" s="101">
        <v>4031</v>
      </c>
      <c r="P109" s="101">
        <v>5035</v>
      </c>
      <c r="Q109" s="101">
        <v>2856</v>
      </c>
      <c r="R109" s="101">
        <v>677</v>
      </c>
      <c r="S109" s="101"/>
      <c r="T109" t="s">
        <v>404</v>
      </c>
      <c r="U109" s="101">
        <f t="shared" si="3"/>
        <v>45751</v>
      </c>
      <c r="V109" s="101">
        <v>34743000</v>
      </c>
      <c r="W109" s="101">
        <v>28898520</v>
      </c>
      <c r="X109" s="101">
        <v>2566</v>
      </c>
      <c r="Y109" s="101">
        <v>2216</v>
      </c>
      <c r="Z109" s="101">
        <v>210</v>
      </c>
      <c r="AA109" s="101">
        <v>15</v>
      </c>
      <c r="AB109" s="101">
        <v>516</v>
      </c>
      <c r="AC109" s="101">
        <v>31</v>
      </c>
      <c r="AD109" s="101">
        <v>2665</v>
      </c>
      <c r="AE109" s="101">
        <v>5</v>
      </c>
      <c r="AF109" s="101">
        <v>4</v>
      </c>
      <c r="AG109" s="101">
        <f t="shared" si="4"/>
        <v>31678.520000000004</v>
      </c>
      <c r="AH109" s="101">
        <v>14016</v>
      </c>
      <c r="AI109" s="101">
        <f t="shared" si="5"/>
        <v>2260.1683789954341</v>
      </c>
      <c r="AJ109" t="s">
        <v>116</v>
      </c>
      <c r="AN109" t="s">
        <v>115</v>
      </c>
      <c r="AO109" s="259">
        <v>2214.9976484897629</v>
      </c>
      <c r="AP109" t="s">
        <v>465</v>
      </c>
    </row>
    <row r="110" spans="2:42" x14ac:dyDescent="0.25">
      <c r="B110" t="s">
        <v>145</v>
      </c>
      <c r="C110" s="101">
        <v>83540</v>
      </c>
      <c r="D110" s="101">
        <v>26</v>
      </c>
      <c r="E110" s="101">
        <v>843</v>
      </c>
      <c r="F110" s="101">
        <v>4402</v>
      </c>
      <c r="G110" s="101">
        <v>16803</v>
      </c>
      <c r="H110" s="101">
        <v>6479</v>
      </c>
      <c r="I110" s="101">
        <v>2322</v>
      </c>
      <c r="J110" s="101">
        <v>2263</v>
      </c>
      <c r="K110" s="101">
        <v>862</v>
      </c>
      <c r="L110" s="101">
        <v>2089</v>
      </c>
      <c r="M110" s="101">
        <v>4665</v>
      </c>
      <c r="N110" s="101">
        <v>11990</v>
      </c>
      <c r="O110" s="101">
        <v>10145</v>
      </c>
      <c r="P110" s="101">
        <v>11130</v>
      </c>
      <c r="Q110" s="101">
        <v>7718</v>
      </c>
      <c r="R110" s="101">
        <v>1803</v>
      </c>
      <c r="S110" s="101"/>
      <c r="T110" t="s">
        <v>145</v>
      </c>
      <c r="U110" s="101">
        <f t="shared" si="3"/>
        <v>78269</v>
      </c>
      <c r="V110" s="101">
        <v>62604000</v>
      </c>
      <c r="W110" s="101">
        <v>48344534</v>
      </c>
      <c r="X110" s="101">
        <v>4292</v>
      </c>
      <c r="Y110" s="101">
        <v>2652</v>
      </c>
      <c r="Z110" s="101">
        <v>467</v>
      </c>
      <c r="AA110" s="101">
        <v>153</v>
      </c>
      <c r="AB110" s="101">
        <v>705</v>
      </c>
      <c r="AC110" s="101">
        <v>46</v>
      </c>
      <c r="AD110" s="101">
        <v>167</v>
      </c>
      <c r="AE110" s="101">
        <v>0</v>
      </c>
      <c r="AF110" s="101">
        <v>11</v>
      </c>
      <c r="AG110" s="101">
        <f t="shared" si="4"/>
        <v>55516.534</v>
      </c>
      <c r="AH110" s="101">
        <v>24223</v>
      </c>
      <c r="AI110" s="101">
        <f t="shared" si="5"/>
        <v>2291.8934070924329</v>
      </c>
      <c r="AJ110" t="s">
        <v>116</v>
      </c>
      <c r="AN110" t="s">
        <v>143</v>
      </c>
      <c r="AO110" s="259">
        <v>2197.283945074269</v>
      </c>
      <c r="AP110" t="s">
        <v>465</v>
      </c>
    </row>
    <row r="111" spans="2:42" x14ac:dyDescent="0.25">
      <c r="B111" t="s">
        <v>250</v>
      </c>
      <c r="C111" s="101">
        <v>764246</v>
      </c>
      <c r="D111" s="101">
        <v>5650</v>
      </c>
      <c r="E111" s="101">
        <v>9581</v>
      </c>
      <c r="F111" s="101">
        <v>38761</v>
      </c>
      <c r="G111" s="101">
        <v>157296</v>
      </c>
      <c r="H111" s="101">
        <v>34991</v>
      </c>
      <c r="I111" s="101">
        <v>21947</v>
      </c>
      <c r="J111" s="101">
        <v>46755</v>
      </c>
      <c r="K111" s="101">
        <v>3864</v>
      </c>
      <c r="L111" s="101">
        <v>20798</v>
      </c>
      <c r="M111" s="101">
        <v>67372</v>
      </c>
      <c r="N111" s="101">
        <v>100381</v>
      </c>
      <c r="O111" s="101">
        <v>53324</v>
      </c>
      <c r="P111" s="101">
        <v>133340</v>
      </c>
      <c r="Q111" s="101">
        <v>57986</v>
      </c>
      <c r="R111" s="101">
        <v>12200</v>
      </c>
      <c r="S111" s="101"/>
      <c r="T111" t="s">
        <v>250</v>
      </c>
      <c r="U111" s="101">
        <f t="shared" si="3"/>
        <v>710254</v>
      </c>
      <c r="V111" s="101">
        <v>538528000</v>
      </c>
      <c r="W111" s="101">
        <v>364696119</v>
      </c>
      <c r="X111" s="101">
        <v>16164</v>
      </c>
      <c r="Y111" s="101">
        <v>31719</v>
      </c>
      <c r="Z111" s="101">
        <v>2784</v>
      </c>
      <c r="AA111" s="101">
        <v>1105</v>
      </c>
      <c r="AB111" s="101">
        <v>12396</v>
      </c>
      <c r="AC111" s="101">
        <v>3334</v>
      </c>
      <c r="AD111" s="101">
        <v>3512</v>
      </c>
      <c r="AE111" s="101">
        <v>29538</v>
      </c>
      <c r="AF111" s="101">
        <v>3413</v>
      </c>
      <c r="AG111" s="101">
        <f t="shared" si="4"/>
        <v>432457.11899999995</v>
      </c>
      <c r="AH111" s="101">
        <v>168655</v>
      </c>
      <c r="AI111" s="101">
        <f t="shared" si="5"/>
        <v>2564.1523761525004</v>
      </c>
      <c r="AJ111" t="s">
        <v>439</v>
      </c>
      <c r="AN111" t="s">
        <v>356</v>
      </c>
      <c r="AO111" s="259">
        <v>1967.5527661890078</v>
      </c>
      <c r="AP111" t="s">
        <v>465</v>
      </c>
    </row>
    <row r="112" spans="2:42" x14ac:dyDescent="0.25">
      <c r="B112" t="s">
        <v>251</v>
      </c>
      <c r="C112" s="101">
        <v>608988</v>
      </c>
      <c r="D112" s="101">
        <v>9801</v>
      </c>
      <c r="E112" s="101">
        <v>11606</v>
      </c>
      <c r="F112" s="101">
        <v>28999</v>
      </c>
      <c r="G112" s="101">
        <v>130161</v>
      </c>
      <c r="H112" s="101">
        <v>6490</v>
      </c>
      <c r="I112" s="101">
        <v>26657</v>
      </c>
      <c r="J112" s="101">
        <v>30528</v>
      </c>
      <c r="K112" s="101">
        <v>5038</v>
      </c>
      <c r="L112" s="101">
        <v>15552</v>
      </c>
      <c r="M112" s="101">
        <v>60098</v>
      </c>
      <c r="N112" s="101">
        <v>65162</v>
      </c>
      <c r="O112" s="101">
        <v>70256</v>
      </c>
      <c r="P112" s="101">
        <v>62416</v>
      </c>
      <c r="Q112" s="101">
        <v>54392</v>
      </c>
      <c r="R112" s="101">
        <v>31832</v>
      </c>
      <c r="S112" s="101"/>
      <c r="T112" t="s">
        <v>251</v>
      </c>
      <c r="U112" s="101">
        <f t="shared" si="3"/>
        <v>558582</v>
      </c>
      <c r="V112" s="101">
        <v>338077000</v>
      </c>
      <c r="W112" s="101">
        <v>277326887</v>
      </c>
      <c r="X112" s="101">
        <v>13809</v>
      </c>
      <c r="Y112" s="101">
        <v>27718</v>
      </c>
      <c r="Z112" s="101">
        <v>4178</v>
      </c>
      <c r="AA112" s="101">
        <v>888</v>
      </c>
      <c r="AB112" s="101">
        <v>10683</v>
      </c>
      <c r="AC112" s="101">
        <v>725</v>
      </c>
      <c r="AD112" s="101">
        <v>15281</v>
      </c>
      <c r="AE112" s="101">
        <v>3221</v>
      </c>
      <c r="AF112" s="101">
        <v>1794</v>
      </c>
      <c r="AG112" s="101">
        <f t="shared" si="4"/>
        <v>419534.88699999999</v>
      </c>
      <c r="AH112" s="101">
        <v>165220</v>
      </c>
      <c r="AI112" s="101">
        <f t="shared" si="5"/>
        <v>2539.2500121050721</v>
      </c>
      <c r="AJ112" t="s">
        <v>465</v>
      </c>
      <c r="AN112" t="s">
        <v>247</v>
      </c>
      <c r="AO112" s="259">
        <v>2144.8227483524529</v>
      </c>
      <c r="AP112" t="s">
        <v>465</v>
      </c>
    </row>
    <row r="113" spans="2:42" x14ac:dyDescent="0.25">
      <c r="B113" t="s">
        <v>368</v>
      </c>
      <c r="C113" s="101">
        <v>112474</v>
      </c>
      <c r="D113" s="101">
        <v>11426</v>
      </c>
      <c r="E113" s="101">
        <v>1791</v>
      </c>
      <c r="F113" s="101">
        <v>3879</v>
      </c>
      <c r="G113" s="101">
        <v>18532</v>
      </c>
      <c r="H113" s="101">
        <v>7733</v>
      </c>
      <c r="I113" s="101">
        <v>2459</v>
      </c>
      <c r="J113" s="101">
        <v>3780</v>
      </c>
      <c r="K113" s="101">
        <v>791</v>
      </c>
      <c r="L113" s="101">
        <v>2679</v>
      </c>
      <c r="M113" s="101">
        <v>5032</v>
      </c>
      <c r="N113" s="101">
        <v>19789</v>
      </c>
      <c r="O113" s="101">
        <v>11235</v>
      </c>
      <c r="P113" s="101">
        <v>14256</v>
      </c>
      <c r="Q113" s="101">
        <v>8345</v>
      </c>
      <c r="R113" s="101">
        <v>747</v>
      </c>
      <c r="S113" s="101"/>
      <c r="T113" t="s">
        <v>368</v>
      </c>
      <c r="U113" s="101">
        <f t="shared" si="3"/>
        <v>95378</v>
      </c>
      <c r="V113" s="101">
        <v>78231000</v>
      </c>
      <c r="W113" s="101">
        <v>59934224</v>
      </c>
      <c r="X113" s="101">
        <v>3442</v>
      </c>
      <c r="Y113" s="101">
        <v>4790</v>
      </c>
      <c r="Z113" s="101">
        <v>750</v>
      </c>
      <c r="AA113" s="101">
        <v>30</v>
      </c>
      <c r="AB113" s="101">
        <v>1213</v>
      </c>
      <c r="AC113" s="101">
        <v>137</v>
      </c>
      <c r="AD113" s="101">
        <v>624</v>
      </c>
      <c r="AE113" s="101">
        <v>1</v>
      </c>
      <c r="AF113" s="101">
        <v>18</v>
      </c>
      <c r="AG113" s="101">
        <f t="shared" si="4"/>
        <v>66076.224000000002</v>
      </c>
      <c r="AH113" s="101">
        <v>31351</v>
      </c>
      <c r="AI113" s="101">
        <f t="shared" si="5"/>
        <v>2107.6273165130301</v>
      </c>
      <c r="AJ113" t="s">
        <v>116</v>
      </c>
      <c r="AN113" t="s">
        <v>357</v>
      </c>
      <c r="AO113" s="259">
        <v>1889.8889870643952</v>
      </c>
      <c r="AP113" t="s">
        <v>465</v>
      </c>
    </row>
    <row r="114" spans="2:42" x14ac:dyDescent="0.25">
      <c r="B114" t="s">
        <v>146</v>
      </c>
      <c r="C114" s="101">
        <v>261380</v>
      </c>
      <c r="D114" s="101">
        <v>13369</v>
      </c>
      <c r="E114" s="101">
        <v>5420</v>
      </c>
      <c r="F114" s="101">
        <v>13094</v>
      </c>
      <c r="G114" s="101">
        <v>47079</v>
      </c>
      <c r="H114" s="101">
        <v>53844</v>
      </c>
      <c r="I114" s="101">
        <v>5306</v>
      </c>
      <c r="J114" s="101">
        <v>7249</v>
      </c>
      <c r="K114" s="101">
        <v>5679</v>
      </c>
      <c r="L114" s="101">
        <v>3956</v>
      </c>
      <c r="M114" s="101">
        <v>11016</v>
      </c>
      <c r="N114" s="101">
        <v>31227</v>
      </c>
      <c r="O114" s="101">
        <v>26919</v>
      </c>
      <c r="P114" s="101">
        <v>20751</v>
      </c>
      <c r="Q114" s="101">
        <v>14277</v>
      </c>
      <c r="R114" s="101">
        <v>2194</v>
      </c>
      <c r="S114" s="101"/>
      <c r="T114" t="s">
        <v>146</v>
      </c>
      <c r="U114" s="101">
        <f t="shared" si="3"/>
        <v>229497</v>
      </c>
      <c r="V114" s="101">
        <v>157229000</v>
      </c>
      <c r="W114" s="101">
        <v>127315183</v>
      </c>
      <c r="X114" s="101">
        <v>8643</v>
      </c>
      <c r="Y114" s="101">
        <v>6160</v>
      </c>
      <c r="Z114" s="101">
        <v>1249</v>
      </c>
      <c r="AA114" s="101">
        <v>496</v>
      </c>
      <c r="AB114" s="101">
        <v>2311</v>
      </c>
      <c r="AC114" s="101">
        <v>296</v>
      </c>
      <c r="AD114" s="101">
        <v>1520</v>
      </c>
      <c r="AE114" s="101">
        <v>1675</v>
      </c>
      <c r="AF114" s="101">
        <v>9</v>
      </c>
      <c r="AG114" s="101">
        <f t="shared" si="4"/>
        <v>177224.18300000002</v>
      </c>
      <c r="AH114" s="101">
        <v>63423</v>
      </c>
      <c r="AI114" s="101">
        <f t="shared" si="5"/>
        <v>2794.3204042697448</v>
      </c>
      <c r="AJ114" t="s">
        <v>116</v>
      </c>
      <c r="AN114" t="s">
        <v>428</v>
      </c>
      <c r="AO114" s="259">
        <v>2406.1877993895237</v>
      </c>
      <c r="AP114" t="s">
        <v>465</v>
      </c>
    </row>
    <row r="115" spans="2:42" x14ac:dyDescent="0.25">
      <c r="B115" t="s">
        <v>181</v>
      </c>
      <c r="C115" s="101">
        <v>224452</v>
      </c>
      <c r="D115" s="101">
        <v>17137</v>
      </c>
      <c r="E115" s="101">
        <v>1451</v>
      </c>
      <c r="F115" s="101">
        <v>7391</v>
      </c>
      <c r="G115" s="101">
        <v>27220</v>
      </c>
      <c r="H115" s="101">
        <v>21306</v>
      </c>
      <c r="I115" s="101">
        <v>4069</v>
      </c>
      <c r="J115" s="101">
        <v>6895</v>
      </c>
      <c r="K115" s="101">
        <v>1848</v>
      </c>
      <c r="L115" s="101">
        <v>7208</v>
      </c>
      <c r="M115" s="101">
        <v>10784</v>
      </c>
      <c r="N115" s="101">
        <v>27904</v>
      </c>
      <c r="O115" s="101">
        <v>27151</v>
      </c>
      <c r="P115" s="101">
        <v>49333</v>
      </c>
      <c r="Q115" s="101">
        <v>13766</v>
      </c>
      <c r="R115" s="101">
        <v>989</v>
      </c>
      <c r="S115" s="101"/>
      <c r="T115" t="s">
        <v>181</v>
      </c>
      <c r="U115" s="101">
        <f t="shared" si="3"/>
        <v>198473</v>
      </c>
      <c r="V115" s="101">
        <v>129040000</v>
      </c>
      <c r="W115" s="101">
        <v>102063275</v>
      </c>
      <c r="X115" s="101">
        <v>4218</v>
      </c>
      <c r="Y115" s="101">
        <v>6076</v>
      </c>
      <c r="Z115" s="101">
        <v>724</v>
      </c>
      <c r="AA115" s="101">
        <v>1188</v>
      </c>
      <c r="AB115" s="101">
        <v>910</v>
      </c>
      <c r="AC115" s="101">
        <v>736</v>
      </c>
      <c r="AD115" s="101">
        <v>322</v>
      </c>
      <c r="AE115" s="101">
        <v>2872</v>
      </c>
      <c r="AF115" s="101">
        <v>809</v>
      </c>
      <c r="AG115" s="101">
        <f t="shared" si="4"/>
        <v>153641.27499999999</v>
      </c>
      <c r="AH115" s="101">
        <v>50070</v>
      </c>
      <c r="AI115" s="101">
        <f t="shared" si="5"/>
        <v>3068.529558617935</v>
      </c>
      <c r="AJ115" t="s">
        <v>439</v>
      </c>
      <c r="AN115" t="s">
        <v>176</v>
      </c>
      <c r="AO115" s="259">
        <v>2405.3363275454144</v>
      </c>
      <c r="AP115" t="s">
        <v>465</v>
      </c>
    </row>
    <row r="116" spans="2:42" x14ac:dyDescent="0.25">
      <c r="B116" t="s">
        <v>293</v>
      </c>
      <c r="C116" s="101">
        <v>58079</v>
      </c>
      <c r="D116" s="101">
        <v>4553</v>
      </c>
      <c r="E116" s="101">
        <v>774</v>
      </c>
      <c r="F116" s="101">
        <v>1810</v>
      </c>
      <c r="G116" s="101">
        <v>12742</v>
      </c>
      <c r="H116" s="101">
        <v>6009</v>
      </c>
      <c r="I116" s="101">
        <v>1928</v>
      </c>
      <c r="J116" s="101">
        <v>1587</v>
      </c>
      <c r="K116" s="101">
        <v>437</v>
      </c>
      <c r="L116" s="101">
        <v>944</v>
      </c>
      <c r="M116" s="101">
        <v>1710</v>
      </c>
      <c r="N116" s="101">
        <v>5693</v>
      </c>
      <c r="O116" s="101">
        <v>7097</v>
      </c>
      <c r="P116" s="101">
        <v>7677</v>
      </c>
      <c r="Q116" s="101">
        <v>4622</v>
      </c>
      <c r="R116" s="101">
        <v>496</v>
      </c>
      <c r="S116" s="101"/>
      <c r="T116" t="s">
        <v>293</v>
      </c>
      <c r="U116" s="101">
        <f t="shared" si="3"/>
        <v>50942</v>
      </c>
      <c r="V116" s="101">
        <v>39993000</v>
      </c>
      <c r="W116" s="101">
        <v>35033534</v>
      </c>
      <c r="X116" s="101">
        <v>1676</v>
      </c>
      <c r="Y116" s="101">
        <v>2879</v>
      </c>
      <c r="Z116" s="101">
        <v>344</v>
      </c>
      <c r="AA116" s="101">
        <v>390</v>
      </c>
      <c r="AB116" s="101">
        <v>416</v>
      </c>
      <c r="AC116" s="101">
        <v>70</v>
      </c>
      <c r="AD116" s="101">
        <v>0</v>
      </c>
      <c r="AE116" s="101">
        <v>0</v>
      </c>
      <c r="AF116" s="101">
        <v>134</v>
      </c>
      <c r="AG116" s="101">
        <f t="shared" si="4"/>
        <v>40073.534</v>
      </c>
      <c r="AH116" s="101">
        <v>19126</v>
      </c>
      <c r="AI116" s="101">
        <f t="shared" si="5"/>
        <v>2095.2386280455926</v>
      </c>
      <c r="AJ116" t="s">
        <v>465</v>
      </c>
      <c r="AN116" t="s">
        <v>248</v>
      </c>
      <c r="AO116" s="259">
        <v>2101.6017768205679</v>
      </c>
      <c r="AP116" t="s">
        <v>465</v>
      </c>
    </row>
    <row r="117" spans="2:42" x14ac:dyDescent="0.25">
      <c r="B117" t="s">
        <v>128</v>
      </c>
      <c r="C117" s="101">
        <v>83392</v>
      </c>
      <c r="D117" s="101">
        <v>0</v>
      </c>
      <c r="E117" s="101">
        <v>549</v>
      </c>
      <c r="F117" s="101">
        <v>3333</v>
      </c>
      <c r="G117" s="101">
        <v>18463</v>
      </c>
      <c r="H117" s="101">
        <v>7379</v>
      </c>
      <c r="I117" s="101">
        <v>1416</v>
      </c>
      <c r="J117" s="101">
        <v>11976</v>
      </c>
      <c r="K117" s="101">
        <v>775</v>
      </c>
      <c r="L117" s="101">
        <v>1940</v>
      </c>
      <c r="M117" s="101">
        <v>4268</v>
      </c>
      <c r="N117" s="101">
        <v>14370</v>
      </c>
      <c r="O117" s="101">
        <v>6434</v>
      </c>
      <c r="P117" s="101">
        <v>7643</v>
      </c>
      <c r="Q117" s="101">
        <v>4292</v>
      </c>
      <c r="R117" s="101">
        <v>554</v>
      </c>
      <c r="S117" s="101"/>
      <c r="T117" t="s">
        <v>128</v>
      </c>
      <c r="U117" s="101">
        <f t="shared" si="3"/>
        <v>79510</v>
      </c>
      <c r="V117" s="101">
        <v>55237000</v>
      </c>
      <c r="W117" s="101">
        <v>43068906</v>
      </c>
      <c r="X117" s="101">
        <v>1826</v>
      </c>
      <c r="Y117" s="101">
        <v>2189</v>
      </c>
      <c r="Z117" s="101">
        <v>196</v>
      </c>
      <c r="AA117" s="101">
        <v>40</v>
      </c>
      <c r="AB117" s="101">
        <v>354</v>
      </c>
      <c r="AC117" s="101">
        <v>313</v>
      </c>
      <c r="AD117" s="101">
        <v>295</v>
      </c>
      <c r="AE117" s="101">
        <v>7610</v>
      </c>
      <c r="AF117" s="101">
        <v>676</v>
      </c>
      <c r="AG117" s="101">
        <f t="shared" si="4"/>
        <v>53842.906000000003</v>
      </c>
      <c r="AH117" s="101">
        <v>16210</v>
      </c>
      <c r="AI117" s="101">
        <f t="shared" si="5"/>
        <v>3321.5858112276374</v>
      </c>
      <c r="AJ117" t="s">
        <v>439</v>
      </c>
      <c r="AN117" t="s">
        <v>218</v>
      </c>
      <c r="AO117" s="259">
        <v>2051.7923844061652</v>
      </c>
      <c r="AP117" t="s">
        <v>465</v>
      </c>
    </row>
    <row r="118" spans="2:42" x14ac:dyDescent="0.25">
      <c r="B118" t="s">
        <v>182</v>
      </c>
      <c r="C118" s="101">
        <v>37543</v>
      </c>
      <c r="D118" s="101">
        <v>0</v>
      </c>
      <c r="E118" s="101">
        <v>572</v>
      </c>
      <c r="F118" s="101">
        <v>1685</v>
      </c>
      <c r="G118" s="101">
        <v>12169</v>
      </c>
      <c r="H118" s="101">
        <v>4031</v>
      </c>
      <c r="I118" s="101">
        <v>908</v>
      </c>
      <c r="J118" s="101">
        <v>959</v>
      </c>
      <c r="K118" s="101">
        <v>188</v>
      </c>
      <c r="L118" s="101">
        <v>962</v>
      </c>
      <c r="M118" s="101">
        <v>2293</v>
      </c>
      <c r="N118" s="101">
        <v>3748</v>
      </c>
      <c r="O118" s="101">
        <v>2700</v>
      </c>
      <c r="P118" s="101">
        <v>3771</v>
      </c>
      <c r="Q118" s="101">
        <v>3295</v>
      </c>
      <c r="R118" s="101">
        <v>262</v>
      </c>
      <c r="S118" s="101"/>
      <c r="T118" t="s">
        <v>182</v>
      </c>
      <c r="U118" s="101">
        <f t="shared" si="3"/>
        <v>35286</v>
      </c>
      <c r="V118" s="101">
        <v>26666000</v>
      </c>
      <c r="W118" s="101">
        <v>22827013</v>
      </c>
      <c r="X118" s="101">
        <v>1542</v>
      </c>
      <c r="Y118" s="101">
        <v>1482</v>
      </c>
      <c r="Z118" s="101">
        <v>186</v>
      </c>
      <c r="AA118" s="101">
        <v>398</v>
      </c>
      <c r="AB118" s="101">
        <v>304</v>
      </c>
      <c r="AC118" s="101">
        <v>180</v>
      </c>
      <c r="AD118" s="101">
        <v>365</v>
      </c>
      <c r="AE118" s="101">
        <v>0</v>
      </c>
      <c r="AF118" s="101">
        <v>35</v>
      </c>
      <c r="AG118" s="101">
        <f t="shared" si="4"/>
        <v>26955.012999999999</v>
      </c>
      <c r="AH118" s="101">
        <v>12744</v>
      </c>
      <c r="AI118" s="101">
        <f t="shared" si="5"/>
        <v>2115.114014438167</v>
      </c>
      <c r="AJ118" t="s">
        <v>465</v>
      </c>
      <c r="AN118" t="s">
        <v>358</v>
      </c>
      <c r="AO118" s="259">
        <v>2019.2742655353377</v>
      </c>
      <c r="AP118" t="s">
        <v>465</v>
      </c>
    </row>
    <row r="119" spans="2:42" x14ac:dyDescent="0.25">
      <c r="B119" t="s">
        <v>252</v>
      </c>
      <c r="C119" s="101">
        <v>132661</v>
      </c>
      <c r="D119" s="101">
        <v>232</v>
      </c>
      <c r="E119" s="101">
        <v>1611</v>
      </c>
      <c r="F119" s="101">
        <v>4446</v>
      </c>
      <c r="G119" s="101">
        <v>28374</v>
      </c>
      <c r="H119" s="101">
        <v>9954</v>
      </c>
      <c r="I119" s="101">
        <v>4226</v>
      </c>
      <c r="J119" s="101">
        <v>3611</v>
      </c>
      <c r="K119" s="101">
        <v>669</v>
      </c>
      <c r="L119" s="101">
        <v>5664</v>
      </c>
      <c r="M119" s="101">
        <v>6809</v>
      </c>
      <c r="N119" s="101">
        <v>23802</v>
      </c>
      <c r="O119" s="101">
        <v>15298</v>
      </c>
      <c r="P119" s="101">
        <v>15756</v>
      </c>
      <c r="Q119" s="101">
        <v>11056</v>
      </c>
      <c r="R119" s="101">
        <v>1153</v>
      </c>
      <c r="S119" s="101"/>
      <c r="T119" t="s">
        <v>252</v>
      </c>
      <c r="U119" s="101">
        <f t="shared" si="3"/>
        <v>126372</v>
      </c>
      <c r="V119" s="101">
        <v>102028000</v>
      </c>
      <c r="W119" s="101">
        <v>79365378</v>
      </c>
      <c r="X119" s="101">
        <v>4180</v>
      </c>
      <c r="Y119" s="101">
        <v>7635</v>
      </c>
      <c r="Z119" s="101">
        <v>805</v>
      </c>
      <c r="AA119" s="101">
        <v>262</v>
      </c>
      <c r="AB119" s="101">
        <v>906</v>
      </c>
      <c r="AC119" s="101">
        <v>131</v>
      </c>
      <c r="AD119" s="101">
        <v>134</v>
      </c>
      <c r="AE119" s="101">
        <v>0</v>
      </c>
      <c r="AF119" s="101">
        <v>259</v>
      </c>
      <c r="AG119" s="101">
        <f t="shared" si="4"/>
        <v>89397.377999999997</v>
      </c>
      <c r="AH119" s="101">
        <v>39387</v>
      </c>
      <c r="AI119" s="101">
        <f t="shared" si="5"/>
        <v>2269.7178764566988</v>
      </c>
      <c r="AJ119" t="s">
        <v>116</v>
      </c>
      <c r="AN119" t="s">
        <v>402</v>
      </c>
      <c r="AO119" s="259">
        <v>1978.1793735676088</v>
      </c>
      <c r="AP119" t="s">
        <v>465</v>
      </c>
    </row>
    <row r="120" spans="2:42" x14ac:dyDescent="0.25">
      <c r="B120" t="s">
        <v>253</v>
      </c>
      <c r="C120" s="101">
        <v>91009</v>
      </c>
      <c r="D120" s="101">
        <v>0</v>
      </c>
      <c r="E120" s="101">
        <v>621</v>
      </c>
      <c r="F120" s="101">
        <v>4717</v>
      </c>
      <c r="G120" s="101">
        <v>21574</v>
      </c>
      <c r="H120" s="101">
        <v>14448</v>
      </c>
      <c r="I120" s="101">
        <v>2434</v>
      </c>
      <c r="J120" s="101">
        <v>4724</v>
      </c>
      <c r="K120" s="101">
        <v>344</v>
      </c>
      <c r="L120" s="101">
        <v>2506</v>
      </c>
      <c r="M120" s="101">
        <v>5281</v>
      </c>
      <c r="N120" s="101">
        <v>7889</v>
      </c>
      <c r="O120" s="101">
        <v>5829</v>
      </c>
      <c r="P120" s="101">
        <v>11746</v>
      </c>
      <c r="Q120" s="101">
        <v>7841</v>
      </c>
      <c r="R120" s="101">
        <v>1055</v>
      </c>
      <c r="S120" s="101"/>
      <c r="T120" t="s">
        <v>253</v>
      </c>
      <c r="U120" s="101">
        <f t="shared" si="3"/>
        <v>85671</v>
      </c>
      <c r="V120" s="101">
        <v>54324000</v>
      </c>
      <c r="W120" s="101">
        <v>45090523</v>
      </c>
      <c r="X120" s="101">
        <v>3801</v>
      </c>
      <c r="Y120" s="101">
        <v>5061</v>
      </c>
      <c r="Z120" s="101">
        <v>569</v>
      </c>
      <c r="AA120" s="101">
        <v>607</v>
      </c>
      <c r="AB120" s="101">
        <v>700</v>
      </c>
      <c r="AC120" s="101">
        <v>91</v>
      </c>
      <c r="AD120" s="101">
        <v>33</v>
      </c>
      <c r="AE120" s="101">
        <v>878</v>
      </c>
      <c r="AF120" s="101">
        <v>203</v>
      </c>
      <c r="AG120" s="101">
        <f t="shared" si="4"/>
        <v>64494.523000000001</v>
      </c>
      <c r="AH120" s="101">
        <v>27639</v>
      </c>
      <c r="AI120" s="101">
        <f t="shared" si="5"/>
        <v>2333.4607981475451</v>
      </c>
      <c r="AJ120" t="s">
        <v>465</v>
      </c>
      <c r="AN120" t="s">
        <v>178</v>
      </c>
      <c r="AO120" s="259">
        <v>2248.2927247625821</v>
      </c>
      <c r="AP120" t="s">
        <v>465</v>
      </c>
    </row>
    <row r="121" spans="2:42" x14ac:dyDescent="0.25">
      <c r="B121" t="s">
        <v>183</v>
      </c>
      <c r="C121" s="101">
        <v>59122</v>
      </c>
      <c r="D121" s="101">
        <v>44</v>
      </c>
      <c r="E121" s="101">
        <v>488</v>
      </c>
      <c r="F121" s="101">
        <v>2350</v>
      </c>
      <c r="G121" s="101">
        <v>15876</v>
      </c>
      <c r="H121" s="101">
        <v>8570</v>
      </c>
      <c r="I121" s="101">
        <v>1449</v>
      </c>
      <c r="J121" s="101">
        <v>1692</v>
      </c>
      <c r="K121" s="101">
        <v>416</v>
      </c>
      <c r="L121" s="101">
        <v>2251</v>
      </c>
      <c r="M121" s="101">
        <v>2827</v>
      </c>
      <c r="N121" s="101">
        <v>6881</v>
      </c>
      <c r="O121" s="101">
        <v>5336</v>
      </c>
      <c r="P121" s="101">
        <v>6364</v>
      </c>
      <c r="Q121" s="101">
        <v>4263</v>
      </c>
      <c r="R121" s="101">
        <v>315</v>
      </c>
      <c r="S121" s="101"/>
      <c r="T121" t="s">
        <v>183</v>
      </c>
      <c r="U121" s="101">
        <f t="shared" si="3"/>
        <v>56240</v>
      </c>
      <c r="V121" s="101">
        <v>44105000</v>
      </c>
      <c r="W121" s="101">
        <v>37381678</v>
      </c>
      <c r="X121" s="101">
        <v>1609</v>
      </c>
      <c r="Y121" s="101">
        <v>2214</v>
      </c>
      <c r="Z121" s="101">
        <v>169</v>
      </c>
      <c r="AA121" s="101">
        <v>296</v>
      </c>
      <c r="AB121" s="101">
        <v>509</v>
      </c>
      <c r="AC121" s="101">
        <v>122</v>
      </c>
      <c r="AD121" s="101">
        <v>305</v>
      </c>
      <c r="AE121" s="101">
        <v>0</v>
      </c>
      <c r="AF121" s="101">
        <v>112</v>
      </c>
      <c r="AG121" s="101">
        <f t="shared" si="4"/>
        <v>44180.678</v>
      </c>
      <c r="AH121" s="101">
        <v>19305</v>
      </c>
      <c r="AI121" s="101">
        <f t="shared" si="5"/>
        <v>2288.5614089614091</v>
      </c>
      <c r="AJ121" t="s">
        <v>465</v>
      </c>
      <c r="AN121" t="s">
        <v>290</v>
      </c>
      <c r="AO121" s="259">
        <v>2174.4089986209005</v>
      </c>
      <c r="AP121" t="s">
        <v>465</v>
      </c>
    </row>
    <row r="122" spans="2:42" x14ac:dyDescent="0.25">
      <c r="B122" t="s">
        <v>129</v>
      </c>
      <c r="C122" s="101">
        <v>229361</v>
      </c>
      <c r="D122" s="101">
        <v>14246</v>
      </c>
      <c r="E122" s="101">
        <v>2920</v>
      </c>
      <c r="F122" s="101">
        <v>10261</v>
      </c>
      <c r="G122" s="101">
        <v>50468</v>
      </c>
      <c r="H122" s="101">
        <v>13822</v>
      </c>
      <c r="I122" s="101">
        <v>4547</v>
      </c>
      <c r="J122" s="101">
        <v>11822</v>
      </c>
      <c r="K122" s="101">
        <v>9334</v>
      </c>
      <c r="L122" s="101">
        <v>5096</v>
      </c>
      <c r="M122" s="101">
        <v>10956</v>
      </c>
      <c r="N122" s="101">
        <v>34678</v>
      </c>
      <c r="O122" s="101">
        <v>19678</v>
      </c>
      <c r="P122" s="101">
        <v>24957</v>
      </c>
      <c r="Q122" s="101">
        <v>14130</v>
      </c>
      <c r="R122" s="101">
        <v>2446</v>
      </c>
      <c r="S122" s="101"/>
      <c r="T122" t="s">
        <v>129</v>
      </c>
      <c r="U122" s="101">
        <f t="shared" si="3"/>
        <v>201934</v>
      </c>
      <c r="V122" s="101">
        <v>151703000</v>
      </c>
      <c r="W122" s="101">
        <v>119015748</v>
      </c>
      <c r="X122" s="101">
        <v>7292</v>
      </c>
      <c r="Y122" s="101">
        <v>6602</v>
      </c>
      <c r="Z122" s="101">
        <v>1021</v>
      </c>
      <c r="AA122" s="101">
        <v>297</v>
      </c>
      <c r="AB122" s="101">
        <v>1837</v>
      </c>
      <c r="AC122" s="101">
        <v>235</v>
      </c>
      <c r="AD122" s="101">
        <v>268</v>
      </c>
      <c r="AE122" s="101">
        <v>3814</v>
      </c>
      <c r="AF122" s="101">
        <v>414</v>
      </c>
      <c r="AG122" s="101">
        <f t="shared" si="4"/>
        <v>147466.74800000002</v>
      </c>
      <c r="AH122" s="101">
        <v>51859</v>
      </c>
      <c r="AI122" s="101">
        <f t="shared" si="5"/>
        <v>2843.6095566825438</v>
      </c>
      <c r="AJ122" t="s">
        <v>439</v>
      </c>
      <c r="AN122" t="s">
        <v>365</v>
      </c>
      <c r="AO122" s="259">
        <v>1981.7412616000981</v>
      </c>
      <c r="AP122" t="s">
        <v>465</v>
      </c>
    </row>
    <row r="123" spans="2:42" x14ac:dyDescent="0.25">
      <c r="B123" t="s">
        <v>405</v>
      </c>
      <c r="C123" s="101">
        <v>490396</v>
      </c>
      <c r="D123" s="101">
        <v>148</v>
      </c>
      <c r="E123" s="101">
        <v>6955</v>
      </c>
      <c r="F123" s="101">
        <v>17483</v>
      </c>
      <c r="G123" s="101">
        <v>88649</v>
      </c>
      <c r="H123" s="101">
        <v>26211</v>
      </c>
      <c r="I123" s="101">
        <v>10262</v>
      </c>
      <c r="J123" s="101">
        <v>9412</v>
      </c>
      <c r="K123" s="101">
        <v>4092</v>
      </c>
      <c r="L123" s="101">
        <v>11313</v>
      </c>
      <c r="M123" s="101">
        <v>32572</v>
      </c>
      <c r="N123" s="101">
        <v>116601</v>
      </c>
      <c r="O123" s="101">
        <v>62529</v>
      </c>
      <c r="P123" s="101">
        <v>78394</v>
      </c>
      <c r="Q123" s="101">
        <v>20122</v>
      </c>
      <c r="R123" s="101">
        <v>5653</v>
      </c>
      <c r="S123" s="101"/>
      <c r="T123" t="s">
        <v>405</v>
      </c>
      <c r="U123" s="101">
        <f t="shared" si="3"/>
        <v>465810</v>
      </c>
      <c r="V123" s="101">
        <v>411520000</v>
      </c>
      <c r="W123" s="101">
        <v>261565424</v>
      </c>
      <c r="X123" s="101">
        <v>10040</v>
      </c>
      <c r="Y123" s="101">
        <v>13803</v>
      </c>
      <c r="Z123" s="101">
        <v>1561</v>
      </c>
      <c r="AA123" s="101">
        <v>490</v>
      </c>
      <c r="AB123" s="101">
        <v>2252</v>
      </c>
      <c r="AC123" s="101">
        <v>169</v>
      </c>
      <c r="AD123" s="101">
        <v>393</v>
      </c>
      <c r="AE123" s="101">
        <v>2061</v>
      </c>
      <c r="AF123" s="101">
        <v>116</v>
      </c>
      <c r="AG123" s="101">
        <f t="shared" si="4"/>
        <v>284970.424</v>
      </c>
      <c r="AH123" s="101">
        <v>87514</v>
      </c>
      <c r="AI123" s="101">
        <f t="shared" si="5"/>
        <v>3256.2838402998377</v>
      </c>
      <c r="AJ123" t="s">
        <v>439</v>
      </c>
      <c r="AN123" t="s">
        <v>486</v>
      </c>
      <c r="AO123" s="259">
        <v>1920.0451856100958</v>
      </c>
      <c r="AP123" t="s">
        <v>465</v>
      </c>
    </row>
    <row r="124" spans="2:42" x14ac:dyDescent="0.25">
      <c r="B124" t="s">
        <v>369</v>
      </c>
      <c r="C124" s="101">
        <v>51871</v>
      </c>
      <c r="D124" s="101">
        <v>31</v>
      </c>
      <c r="E124" s="101">
        <v>800</v>
      </c>
      <c r="F124" s="101">
        <v>2513</v>
      </c>
      <c r="G124" s="101">
        <v>10064</v>
      </c>
      <c r="H124" s="101">
        <v>7139</v>
      </c>
      <c r="I124" s="101">
        <v>1405</v>
      </c>
      <c r="J124" s="101">
        <v>1722</v>
      </c>
      <c r="K124" s="101">
        <v>325</v>
      </c>
      <c r="L124" s="101">
        <v>1182</v>
      </c>
      <c r="M124" s="101">
        <v>1952</v>
      </c>
      <c r="N124" s="101">
        <v>4198</v>
      </c>
      <c r="O124" s="101">
        <v>4334</v>
      </c>
      <c r="P124" s="101">
        <v>9645</v>
      </c>
      <c r="Q124" s="101">
        <v>5444</v>
      </c>
      <c r="R124" s="101">
        <v>1117</v>
      </c>
      <c r="S124" s="101"/>
      <c r="T124" t="s">
        <v>369</v>
      </c>
      <c r="U124" s="101">
        <f t="shared" si="3"/>
        <v>48527</v>
      </c>
      <c r="V124" s="101">
        <v>37968000</v>
      </c>
      <c r="W124" s="101">
        <v>28463841</v>
      </c>
      <c r="X124" s="101">
        <v>2733</v>
      </c>
      <c r="Y124" s="101">
        <v>1845</v>
      </c>
      <c r="Z124" s="101">
        <v>175</v>
      </c>
      <c r="AA124" s="101">
        <v>2</v>
      </c>
      <c r="AB124" s="101">
        <v>405</v>
      </c>
      <c r="AC124" s="101">
        <v>17</v>
      </c>
      <c r="AD124" s="101">
        <v>395</v>
      </c>
      <c r="AE124" s="101">
        <v>0</v>
      </c>
      <c r="AF124" s="101">
        <v>16</v>
      </c>
      <c r="AG124" s="101">
        <f t="shared" si="4"/>
        <v>33434.841</v>
      </c>
      <c r="AH124" s="101">
        <v>17079</v>
      </c>
      <c r="AI124" s="101">
        <f t="shared" si="5"/>
        <v>1957.6580010539258</v>
      </c>
      <c r="AJ124" t="s">
        <v>465</v>
      </c>
      <c r="AN124" t="s">
        <v>251</v>
      </c>
      <c r="AO124" s="259">
        <v>2539.2500121050721</v>
      </c>
      <c r="AP124" t="s">
        <v>465</v>
      </c>
    </row>
    <row r="125" spans="2:42" x14ac:dyDescent="0.25">
      <c r="B125" t="s">
        <v>255</v>
      </c>
      <c r="C125" s="101">
        <v>69057</v>
      </c>
      <c r="D125" s="101">
        <v>2843</v>
      </c>
      <c r="E125" s="101">
        <v>1539</v>
      </c>
      <c r="F125" s="101">
        <v>3048</v>
      </c>
      <c r="G125" s="101">
        <v>1304</v>
      </c>
      <c r="H125" s="101">
        <v>12853</v>
      </c>
      <c r="I125" s="101">
        <v>2619</v>
      </c>
      <c r="J125" s="101">
        <v>3610</v>
      </c>
      <c r="K125" s="101">
        <v>1031</v>
      </c>
      <c r="L125" s="101">
        <v>1675</v>
      </c>
      <c r="M125" s="101">
        <v>4762</v>
      </c>
      <c r="N125" s="101">
        <v>8743</v>
      </c>
      <c r="O125" s="101">
        <v>8106</v>
      </c>
      <c r="P125" s="101">
        <v>7839</v>
      </c>
      <c r="Q125" s="101">
        <v>6461</v>
      </c>
      <c r="R125" s="101">
        <v>2624</v>
      </c>
      <c r="S125" s="101"/>
      <c r="T125" t="s">
        <v>255</v>
      </c>
      <c r="U125" s="101">
        <f t="shared" si="3"/>
        <v>61627</v>
      </c>
      <c r="V125" s="101">
        <v>45770000</v>
      </c>
      <c r="W125" s="101">
        <v>39409991</v>
      </c>
      <c r="X125" s="101">
        <v>2552</v>
      </c>
      <c r="Y125" s="101">
        <v>3313</v>
      </c>
      <c r="Z125" s="101">
        <v>434</v>
      </c>
      <c r="AA125" s="101">
        <v>151</v>
      </c>
      <c r="AB125" s="101">
        <v>678</v>
      </c>
      <c r="AC125" s="101">
        <v>68</v>
      </c>
      <c r="AD125" s="101">
        <v>55</v>
      </c>
      <c r="AE125" s="101">
        <v>0</v>
      </c>
      <c r="AF125" s="101">
        <v>13</v>
      </c>
      <c r="AG125" s="101">
        <f t="shared" si="4"/>
        <v>48002.991000000002</v>
      </c>
      <c r="AH125" s="101">
        <v>24342</v>
      </c>
      <c r="AI125" s="101">
        <f t="shared" si="5"/>
        <v>1972.0232930736997</v>
      </c>
      <c r="AJ125" t="s">
        <v>465</v>
      </c>
      <c r="AN125" t="s">
        <v>293</v>
      </c>
      <c r="AO125" s="259">
        <v>2095.2386280455926</v>
      </c>
      <c r="AP125" t="s">
        <v>465</v>
      </c>
    </row>
    <row r="126" spans="2:42" x14ac:dyDescent="0.25">
      <c r="B126" t="s">
        <v>147</v>
      </c>
      <c r="C126" s="101">
        <v>125365</v>
      </c>
      <c r="D126" s="101">
        <v>2510</v>
      </c>
      <c r="E126" s="101">
        <v>1983</v>
      </c>
      <c r="F126" s="101">
        <v>7194</v>
      </c>
      <c r="G126" s="101">
        <v>34851</v>
      </c>
      <c r="H126" s="101">
        <v>8544</v>
      </c>
      <c r="I126" s="101">
        <v>2983</v>
      </c>
      <c r="J126" s="101">
        <v>4400</v>
      </c>
      <c r="K126" s="101">
        <v>1100</v>
      </c>
      <c r="L126" s="101">
        <v>3522</v>
      </c>
      <c r="M126" s="101">
        <v>7867</v>
      </c>
      <c r="N126" s="101">
        <v>11600</v>
      </c>
      <c r="O126" s="101">
        <v>11208</v>
      </c>
      <c r="P126" s="101">
        <v>19731</v>
      </c>
      <c r="Q126" s="101">
        <v>7403</v>
      </c>
      <c r="R126" s="101">
        <v>469</v>
      </c>
      <c r="S126" s="101"/>
      <c r="T126" t="s">
        <v>147</v>
      </c>
      <c r="U126" s="101">
        <f t="shared" si="3"/>
        <v>113678</v>
      </c>
      <c r="V126" s="101">
        <v>92958000</v>
      </c>
      <c r="W126" s="101">
        <v>72616855</v>
      </c>
      <c r="X126" s="101">
        <v>4852</v>
      </c>
      <c r="Y126" s="101">
        <v>4423</v>
      </c>
      <c r="Z126" s="101">
        <v>749</v>
      </c>
      <c r="AA126" s="101">
        <v>496</v>
      </c>
      <c r="AB126" s="101">
        <v>876</v>
      </c>
      <c r="AC126" s="101">
        <v>166</v>
      </c>
      <c r="AD126" s="101">
        <v>625</v>
      </c>
      <c r="AE126" s="101">
        <v>94</v>
      </c>
      <c r="AF126" s="101">
        <v>184</v>
      </c>
      <c r="AG126" s="101">
        <f t="shared" si="4"/>
        <v>80871.854999999996</v>
      </c>
      <c r="AH126" s="101">
        <v>36211</v>
      </c>
      <c r="AI126" s="101">
        <f t="shared" si="5"/>
        <v>2233.3505012289083</v>
      </c>
      <c r="AJ126" t="s">
        <v>116</v>
      </c>
      <c r="AN126" t="s">
        <v>182</v>
      </c>
      <c r="AO126" s="259">
        <v>2115.114014438167</v>
      </c>
      <c r="AP126" t="s">
        <v>465</v>
      </c>
    </row>
    <row r="127" spans="2:42" x14ac:dyDescent="0.25">
      <c r="B127" t="s">
        <v>370</v>
      </c>
      <c r="C127" s="101">
        <v>438935</v>
      </c>
      <c r="D127" s="101">
        <v>25754</v>
      </c>
      <c r="E127" s="101">
        <v>6303</v>
      </c>
      <c r="F127" s="101">
        <v>16173</v>
      </c>
      <c r="G127" s="101">
        <v>92207</v>
      </c>
      <c r="H127" s="101">
        <v>-24524</v>
      </c>
      <c r="I127" s="101">
        <v>12938</v>
      </c>
      <c r="J127" s="101">
        <v>18299</v>
      </c>
      <c r="K127" s="101">
        <v>11427</v>
      </c>
      <c r="L127" s="101">
        <v>7633</v>
      </c>
      <c r="M127" s="101">
        <v>29811</v>
      </c>
      <c r="N127" s="101">
        <v>93204</v>
      </c>
      <c r="O127" s="101">
        <v>46174</v>
      </c>
      <c r="P127" s="101">
        <v>75087</v>
      </c>
      <c r="Q127" s="101">
        <v>20435</v>
      </c>
      <c r="R127" s="101">
        <v>8014</v>
      </c>
      <c r="S127" s="101"/>
      <c r="T127" t="s">
        <v>370</v>
      </c>
      <c r="U127" s="101">
        <f t="shared" si="3"/>
        <v>390705</v>
      </c>
      <c r="V127" s="101">
        <v>319090000</v>
      </c>
      <c r="W127" s="101">
        <v>222964675</v>
      </c>
      <c r="X127" s="101">
        <v>8295</v>
      </c>
      <c r="Y127" s="101">
        <v>12230</v>
      </c>
      <c r="Z127" s="101">
        <v>2233</v>
      </c>
      <c r="AA127" s="101">
        <v>0</v>
      </c>
      <c r="AB127" s="101">
        <v>3406</v>
      </c>
      <c r="AC127" s="101">
        <v>273</v>
      </c>
      <c r="AD127" s="101">
        <v>202</v>
      </c>
      <c r="AE127" s="101">
        <v>4243</v>
      </c>
      <c r="AF127" s="101">
        <v>382</v>
      </c>
      <c r="AG127" s="101">
        <f t="shared" si="4"/>
        <v>263315.67499999999</v>
      </c>
      <c r="AH127" s="101">
        <v>96540</v>
      </c>
      <c r="AI127" s="101">
        <f t="shared" si="5"/>
        <v>2727.5292624818726</v>
      </c>
      <c r="AJ127" t="s">
        <v>439</v>
      </c>
      <c r="AN127" t="s">
        <v>253</v>
      </c>
      <c r="AO127" s="259">
        <v>2333.4607981475451</v>
      </c>
      <c r="AP127" t="s">
        <v>465</v>
      </c>
    </row>
    <row r="128" spans="2:42" x14ac:dyDescent="0.25">
      <c r="B128" t="s">
        <v>295</v>
      </c>
      <c r="C128" s="101">
        <v>106893</v>
      </c>
      <c r="D128" s="101">
        <v>14086</v>
      </c>
      <c r="E128" s="101">
        <v>1766</v>
      </c>
      <c r="F128" s="101">
        <v>2907</v>
      </c>
      <c r="G128" s="101">
        <v>11558</v>
      </c>
      <c r="H128" s="101">
        <v>8735</v>
      </c>
      <c r="I128" s="101">
        <v>3542</v>
      </c>
      <c r="J128" s="101">
        <v>3543</v>
      </c>
      <c r="K128" s="101">
        <v>4132</v>
      </c>
      <c r="L128" s="101">
        <v>2729</v>
      </c>
      <c r="M128" s="101">
        <v>7101</v>
      </c>
      <c r="N128" s="101">
        <v>11544</v>
      </c>
      <c r="O128" s="101">
        <v>11040</v>
      </c>
      <c r="P128" s="101">
        <v>14113</v>
      </c>
      <c r="Q128" s="101">
        <v>9343</v>
      </c>
      <c r="R128" s="101">
        <v>754</v>
      </c>
      <c r="S128" s="101"/>
      <c r="T128" t="s">
        <v>295</v>
      </c>
      <c r="U128" s="101">
        <f t="shared" si="3"/>
        <v>88134</v>
      </c>
      <c r="V128" s="101">
        <v>68247000</v>
      </c>
      <c r="W128" s="101">
        <v>54685558</v>
      </c>
      <c r="X128" s="101">
        <v>2927</v>
      </c>
      <c r="Y128" s="101">
        <v>5297</v>
      </c>
      <c r="Z128" s="101">
        <v>643</v>
      </c>
      <c r="AA128" s="101">
        <v>367</v>
      </c>
      <c r="AB128" s="101">
        <v>1096</v>
      </c>
      <c r="AC128" s="101">
        <v>168</v>
      </c>
      <c r="AD128" s="101">
        <v>0</v>
      </c>
      <c r="AE128" s="101">
        <v>16</v>
      </c>
      <c r="AF128" s="101">
        <v>0</v>
      </c>
      <c r="AG128" s="101">
        <f t="shared" si="4"/>
        <v>64058.55799999999</v>
      </c>
      <c r="AH128" s="101">
        <v>32852</v>
      </c>
      <c r="AI128" s="101">
        <f t="shared" si="5"/>
        <v>1949.9134908072565</v>
      </c>
      <c r="AJ128" t="s">
        <v>465</v>
      </c>
      <c r="AN128" t="s">
        <v>183</v>
      </c>
      <c r="AO128" s="259">
        <v>2288.5614089614091</v>
      </c>
      <c r="AP128" t="s">
        <v>465</v>
      </c>
    </row>
    <row r="129" spans="2:42" x14ac:dyDescent="0.25">
      <c r="B129" t="s">
        <v>722</v>
      </c>
      <c r="C129" s="101">
        <v>416549</v>
      </c>
      <c r="D129" s="101">
        <v>19599</v>
      </c>
      <c r="E129" s="101">
        <v>12715</v>
      </c>
      <c r="F129" s="101">
        <v>14437</v>
      </c>
      <c r="G129" s="101">
        <v>73976</v>
      </c>
      <c r="H129" s="101">
        <v>24799</v>
      </c>
      <c r="I129" s="101">
        <v>9126</v>
      </c>
      <c r="J129" s="101">
        <v>10394</v>
      </c>
      <c r="K129" s="101">
        <v>11724</v>
      </c>
      <c r="L129" s="101">
        <v>9296</v>
      </c>
      <c r="M129" s="101">
        <v>26552</v>
      </c>
      <c r="N129" s="101">
        <v>70351</v>
      </c>
      <c r="O129" s="101">
        <v>44729</v>
      </c>
      <c r="P129" s="101">
        <v>58342</v>
      </c>
      <c r="Q129" s="101">
        <v>27784</v>
      </c>
      <c r="R129" s="101">
        <v>2725</v>
      </c>
      <c r="S129" s="101"/>
      <c r="T129" t="s">
        <v>722</v>
      </c>
      <c r="U129" s="101">
        <f t="shared" si="3"/>
        <v>369798</v>
      </c>
      <c r="V129" s="101">
        <v>275012000</v>
      </c>
      <c r="W129" s="101">
        <v>200543199</v>
      </c>
      <c r="X129" s="101">
        <v>11806</v>
      </c>
      <c r="Y129" s="101">
        <v>9278</v>
      </c>
      <c r="Z129" s="101">
        <v>2441</v>
      </c>
      <c r="AA129" s="101">
        <v>631</v>
      </c>
      <c r="AB129" s="101">
        <v>2425</v>
      </c>
      <c r="AC129" s="101">
        <v>1492</v>
      </c>
      <c r="AD129" s="101">
        <v>172</v>
      </c>
      <c r="AE129" s="101">
        <v>2182</v>
      </c>
      <c r="AF129" s="101">
        <v>1676</v>
      </c>
      <c r="AG129" s="101">
        <f t="shared" si="4"/>
        <v>263226.19900000002</v>
      </c>
      <c r="AH129" s="101">
        <v>83644</v>
      </c>
      <c r="AI129" s="101">
        <f t="shared" si="5"/>
        <v>3146.9824374731006</v>
      </c>
      <c r="AJ129" t="s">
        <v>439</v>
      </c>
      <c r="AN129" t="s">
        <v>369</v>
      </c>
      <c r="AO129" s="259">
        <v>1957.6580010539258</v>
      </c>
      <c r="AP129" t="s">
        <v>465</v>
      </c>
    </row>
    <row r="130" spans="2:42" x14ac:dyDescent="0.25">
      <c r="B130" t="s">
        <v>593</v>
      </c>
      <c r="C130" s="101">
        <v>215625</v>
      </c>
      <c r="D130" s="101">
        <v>0</v>
      </c>
      <c r="E130" s="101">
        <v>1116</v>
      </c>
      <c r="F130" s="101">
        <v>9834</v>
      </c>
      <c r="G130" s="101">
        <v>61405</v>
      </c>
      <c r="H130" s="101">
        <v>23487</v>
      </c>
      <c r="I130" s="101">
        <v>8379</v>
      </c>
      <c r="J130" s="101">
        <v>9171</v>
      </c>
      <c r="K130" s="101">
        <v>786</v>
      </c>
      <c r="L130" s="101">
        <v>5650</v>
      </c>
      <c r="M130" s="101">
        <v>9909</v>
      </c>
      <c r="N130" s="101">
        <v>26169</v>
      </c>
      <c r="O130" s="101">
        <v>23303</v>
      </c>
      <c r="P130" s="101">
        <v>21388</v>
      </c>
      <c r="Q130" s="101">
        <v>10285</v>
      </c>
      <c r="R130" s="101">
        <v>4743</v>
      </c>
      <c r="S130" s="101"/>
      <c r="T130" t="s">
        <v>593</v>
      </c>
      <c r="U130" s="101">
        <f t="shared" si="3"/>
        <v>204675</v>
      </c>
      <c r="V130" s="101">
        <v>148007000</v>
      </c>
      <c r="W130" s="101">
        <v>112017388</v>
      </c>
      <c r="X130" s="101">
        <v>5157</v>
      </c>
      <c r="Y130" s="101">
        <v>6772</v>
      </c>
      <c r="Z130" s="101">
        <v>930</v>
      </c>
      <c r="AA130" s="101">
        <v>736</v>
      </c>
      <c r="AB130" s="101">
        <v>1843</v>
      </c>
      <c r="AC130" s="101">
        <v>33</v>
      </c>
      <c r="AD130" s="101">
        <v>381</v>
      </c>
      <c r="AE130" s="101">
        <v>4</v>
      </c>
      <c r="AF130" s="101">
        <v>90</v>
      </c>
      <c r="AG130" s="101">
        <f t="shared" si="4"/>
        <v>152739.38800000001</v>
      </c>
      <c r="AH130" s="101">
        <v>48190</v>
      </c>
      <c r="AI130" s="101">
        <f t="shared" si="5"/>
        <v>3169.5245486615481</v>
      </c>
      <c r="AJ130" t="s">
        <v>116</v>
      </c>
      <c r="AN130" t="s">
        <v>255</v>
      </c>
      <c r="AO130" s="259">
        <v>1972.0232930736997</v>
      </c>
      <c r="AP130" t="s">
        <v>465</v>
      </c>
    </row>
    <row r="131" spans="2:42" x14ac:dyDescent="0.25">
      <c r="B131" t="s">
        <v>184</v>
      </c>
      <c r="C131" s="101">
        <v>55815</v>
      </c>
      <c r="D131" s="101">
        <v>310</v>
      </c>
      <c r="E131" s="101">
        <v>1232</v>
      </c>
      <c r="F131" s="101">
        <v>1403</v>
      </c>
      <c r="G131" s="101">
        <v>12616</v>
      </c>
      <c r="H131" s="101">
        <v>5902</v>
      </c>
      <c r="I131" s="101">
        <v>1841</v>
      </c>
      <c r="J131" s="101">
        <v>2033</v>
      </c>
      <c r="K131" s="101">
        <v>257</v>
      </c>
      <c r="L131" s="101">
        <v>990</v>
      </c>
      <c r="M131" s="101">
        <v>3660</v>
      </c>
      <c r="N131" s="101">
        <v>7825</v>
      </c>
      <c r="O131" s="101">
        <v>4452</v>
      </c>
      <c r="P131" s="101">
        <v>6590</v>
      </c>
      <c r="Q131" s="101">
        <v>4870</v>
      </c>
      <c r="R131" s="101">
        <v>1834</v>
      </c>
      <c r="S131" s="101"/>
      <c r="T131" t="s">
        <v>184</v>
      </c>
      <c r="U131" s="101">
        <f t="shared" ref="U131:U194" si="6">SUM(C131,-D131,-E131,-F131)</f>
        <v>52870</v>
      </c>
      <c r="V131" s="101">
        <v>39127000</v>
      </c>
      <c r="W131" s="101">
        <v>29397918</v>
      </c>
      <c r="X131" s="101">
        <v>1345</v>
      </c>
      <c r="Y131" s="101">
        <v>1680</v>
      </c>
      <c r="Z131" s="101">
        <v>391</v>
      </c>
      <c r="AA131" s="101">
        <v>84</v>
      </c>
      <c r="AB131" s="101">
        <v>412</v>
      </c>
      <c r="AC131" s="101">
        <v>62</v>
      </c>
      <c r="AD131" s="101">
        <v>0</v>
      </c>
      <c r="AE131" s="101">
        <v>1</v>
      </c>
      <c r="AF131" s="101">
        <v>111</v>
      </c>
      <c r="AG131" s="101">
        <f t="shared" ref="AG131:AG194" si="7">SUM(U131,-V131/1000,W131/1000,-X131,-Y131,-Z131,-AA131,-AB131,-AC131,-AD131,-AE131,-AF131)</f>
        <v>39054.918000000005</v>
      </c>
      <c r="AH131" s="101">
        <v>16866</v>
      </c>
      <c r="AI131" s="101">
        <f t="shared" ref="AI131:AI194" si="8">AG131*1000/AH131</f>
        <v>2315.6004980434013</v>
      </c>
      <c r="AJ131" t="s">
        <v>465</v>
      </c>
      <c r="AN131" t="s">
        <v>295</v>
      </c>
      <c r="AO131" s="259">
        <v>1949.9134908072565</v>
      </c>
      <c r="AP131" t="s">
        <v>465</v>
      </c>
    </row>
    <row r="132" spans="2:42" x14ac:dyDescent="0.25">
      <c r="B132" t="s">
        <v>371</v>
      </c>
      <c r="C132" s="101">
        <v>139089</v>
      </c>
      <c r="D132" s="101">
        <v>6746</v>
      </c>
      <c r="E132" s="101">
        <v>2197</v>
      </c>
      <c r="F132" s="101">
        <v>4192</v>
      </c>
      <c r="G132" s="101">
        <v>28890</v>
      </c>
      <c r="H132" s="101">
        <v>7389</v>
      </c>
      <c r="I132" s="101">
        <v>3794</v>
      </c>
      <c r="J132" s="101">
        <v>4716</v>
      </c>
      <c r="K132" s="101">
        <v>4227</v>
      </c>
      <c r="L132" s="101">
        <v>2633</v>
      </c>
      <c r="M132" s="101">
        <v>9078</v>
      </c>
      <c r="N132" s="101">
        <v>22359</v>
      </c>
      <c r="O132" s="101">
        <v>14326</v>
      </c>
      <c r="P132" s="101">
        <v>15653</v>
      </c>
      <c r="Q132" s="101">
        <v>12404</v>
      </c>
      <c r="R132" s="101">
        <v>485</v>
      </c>
      <c r="S132" s="101"/>
      <c r="T132" t="s">
        <v>371</v>
      </c>
      <c r="U132" s="101">
        <f t="shared" si="6"/>
        <v>125954</v>
      </c>
      <c r="V132" s="101">
        <v>101855000</v>
      </c>
      <c r="W132" s="101">
        <v>84431775</v>
      </c>
      <c r="X132" s="101">
        <v>5550</v>
      </c>
      <c r="Y132" s="101">
        <v>4315</v>
      </c>
      <c r="Z132" s="101">
        <v>742</v>
      </c>
      <c r="AA132" s="101">
        <v>170</v>
      </c>
      <c r="AB132" s="101">
        <v>1113</v>
      </c>
      <c r="AC132" s="101">
        <v>204</v>
      </c>
      <c r="AD132" s="101">
        <v>150</v>
      </c>
      <c r="AE132" s="101">
        <v>79</v>
      </c>
      <c r="AF132" s="101">
        <v>988</v>
      </c>
      <c r="AG132" s="101">
        <f t="shared" si="7"/>
        <v>95219.774999999994</v>
      </c>
      <c r="AH132" s="101">
        <v>46345</v>
      </c>
      <c r="AI132" s="101">
        <f t="shared" si="8"/>
        <v>2054.58571582695</v>
      </c>
      <c r="AJ132" t="s">
        <v>465</v>
      </c>
      <c r="AN132" t="s">
        <v>184</v>
      </c>
      <c r="AO132" s="259">
        <v>2315.6004980434013</v>
      </c>
      <c r="AP132" t="s">
        <v>465</v>
      </c>
    </row>
    <row r="133" spans="2:42" x14ac:dyDescent="0.25">
      <c r="B133" t="s">
        <v>296</v>
      </c>
      <c r="C133" s="101">
        <v>68820</v>
      </c>
      <c r="D133" s="101">
        <v>561</v>
      </c>
      <c r="E133" s="101">
        <v>55</v>
      </c>
      <c r="F133" s="101">
        <v>3004</v>
      </c>
      <c r="G133" s="101">
        <v>1472</v>
      </c>
      <c r="H133" s="101">
        <v>10829</v>
      </c>
      <c r="I133" s="101">
        <v>2929</v>
      </c>
      <c r="J133" s="101">
        <v>3610</v>
      </c>
      <c r="K133" s="101">
        <v>1025</v>
      </c>
      <c r="L133" s="101">
        <v>1523</v>
      </c>
      <c r="M133" s="101">
        <v>5746</v>
      </c>
      <c r="N133" s="101">
        <v>9014</v>
      </c>
      <c r="O133" s="101">
        <v>8467</v>
      </c>
      <c r="P133" s="101">
        <v>9544</v>
      </c>
      <c r="Q133" s="101">
        <v>9314</v>
      </c>
      <c r="R133" s="101">
        <v>1727</v>
      </c>
      <c r="S133" s="101"/>
      <c r="T133" t="s">
        <v>296</v>
      </c>
      <c r="U133" s="101">
        <f t="shared" si="6"/>
        <v>65200</v>
      </c>
      <c r="V133" s="101">
        <v>52349000</v>
      </c>
      <c r="W133" s="101">
        <v>41094560</v>
      </c>
      <c r="X133" s="101">
        <v>2663</v>
      </c>
      <c r="Y133" s="101">
        <v>5166</v>
      </c>
      <c r="Z133" s="101">
        <v>406</v>
      </c>
      <c r="AA133" s="101">
        <v>81</v>
      </c>
      <c r="AB133" s="101">
        <v>476</v>
      </c>
      <c r="AC133" s="101">
        <v>66</v>
      </c>
      <c r="AD133" s="101">
        <v>0</v>
      </c>
      <c r="AE133" s="101">
        <v>3</v>
      </c>
      <c r="AF133" s="101">
        <v>66</v>
      </c>
      <c r="AG133" s="101">
        <f t="shared" si="7"/>
        <v>45018.559999999998</v>
      </c>
      <c r="AH133" s="101">
        <v>22788</v>
      </c>
      <c r="AI133" s="101">
        <f t="shared" si="8"/>
        <v>1975.5380024574338</v>
      </c>
      <c r="AJ133" t="s">
        <v>116</v>
      </c>
      <c r="AN133" t="s">
        <v>371</v>
      </c>
      <c r="AO133" s="259">
        <v>2054.58571582695</v>
      </c>
      <c r="AP133" t="s">
        <v>465</v>
      </c>
    </row>
    <row r="134" spans="2:42" x14ac:dyDescent="0.25">
      <c r="B134" t="s">
        <v>372</v>
      </c>
      <c r="C134" s="101">
        <v>52415</v>
      </c>
      <c r="D134" s="101">
        <v>4700</v>
      </c>
      <c r="E134" s="101">
        <v>412</v>
      </c>
      <c r="F134" s="101">
        <v>1583</v>
      </c>
      <c r="G134" s="101">
        <v>12879</v>
      </c>
      <c r="H134" s="101">
        <v>4499</v>
      </c>
      <c r="I134" s="101">
        <v>1303</v>
      </c>
      <c r="J134" s="101">
        <v>1374</v>
      </c>
      <c r="K134" s="101">
        <v>227</v>
      </c>
      <c r="L134" s="101">
        <v>1377</v>
      </c>
      <c r="M134" s="101">
        <v>3601</v>
      </c>
      <c r="N134" s="101">
        <v>4129</v>
      </c>
      <c r="O134" s="101">
        <v>2765</v>
      </c>
      <c r="P134" s="101">
        <v>8432</v>
      </c>
      <c r="Q134" s="101">
        <v>4346</v>
      </c>
      <c r="R134" s="101">
        <v>788</v>
      </c>
      <c r="S134" s="101"/>
      <c r="T134" t="s">
        <v>372</v>
      </c>
      <c r="U134" s="101">
        <f t="shared" si="6"/>
        <v>45720</v>
      </c>
      <c r="V134" s="101">
        <v>33492000</v>
      </c>
      <c r="W134" s="101">
        <v>26748941</v>
      </c>
      <c r="X134" s="101">
        <v>1699</v>
      </c>
      <c r="Y134" s="101">
        <v>1600</v>
      </c>
      <c r="Z134" s="101">
        <v>297</v>
      </c>
      <c r="AA134" s="101">
        <v>0</v>
      </c>
      <c r="AB134" s="101">
        <v>769</v>
      </c>
      <c r="AC134" s="101">
        <v>449</v>
      </c>
      <c r="AD134" s="101">
        <v>1419</v>
      </c>
      <c r="AE134" s="101">
        <v>8</v>
      </c>
      <c r="AF134" s="101">
        <v>76</v>
      </c>
      <c r="AG134" s="101">
        <f t="shared" si="7"/>
        <v>32659.940999999999</v>
      </c>
      <c r="AH134" s="101">
        <v>16147</v>
      </c>
      <c r="AI134" s="101">
        <f t="shared" si="8"/>
        <v>2022.6630953118226</v>
      </c>
      <c r="AJ134" t="s">
        <v>465</v>
      </c>
      <c r="AN134" t="s">
        <v>372</v>
      </c>
      <c r="AO134" s="259">
        <v>2022.6630953118226</v>
      </c>
      <c r="AP134" t="s">
        <v>465</v>
      </c>
    </row>
    <row r="135" spans="2:42" x14ac:dyDescent="0.25">
      <c r="B135" t="s">
        <v>256</v>
      </c>
      <c r="C135" s="101">
        <v>382293</v>
      </c>
      <c r="D135" s="101">
        <v>1743</v>
      </c>
      <c r="E135" s="101">
        <v>3874</v>
      </c>
      <c r="F135" s="101">
        <v>10583</v>
      </c>
      <c r="G135" s="101">
        <v>80791</v>
      </c>
      <c r="H135" s="101">
        <v>16141</v>
      </c>
      <c r="I135" s="101">
        <v>11808</v>
      </c>
      <c r="J135" s="101">
        <v>17664</v>
      </c>
      <c r="K135" s="101">
        <v>3747</v>
      </c>
      <c r="L135" s="101">
        <v>16041</v>
      </c>
      <c r="M135" s="101">
        <v>22235</v>
      </c>
      <c r="N135" s="101">
        <v>55212</v>
      </c>
      <c r="O135" s="101">
        <v>32938</v>
      </c>
      <c r="P135" s="101">
        <v>77715</v>
      </c>
      <c r="Q135" s="101">
        <v>28466</v>
      </c>
      <c r="R135" s="101">
        <v>3335</v>
      </c>
      <c r="S135" s="101"/>
      <c r="T135" t="s">
        <v>256</v>
      </c>
      <c r="U135" s="101">
        <f t="shared" si="6"/>
        <v>366093</v>
      </c>
      <c r="V135" s="101">
        <v>298791000</v>
      </c>
      <c r="W135" s="101">
        <v>202189989</v>
      </c>
      <c r="X135" s="101">
        <v>10493</v>
      </c>
      <c r="Y135" s="101">
        <v>14645</v>
      </c>
      <c r="Z135" s="101">
        <v>2354</v>
      </c>
      <c r="AA135" s="101">
        <v>0</v>
      </c>
      <c r="AB135" s="101">
        <v>3135</v>
      </c>
      <c r="AC135" s="101">
        <v>581</v>
      </c>
      <c r="AD135" s="101">
        <v>0</v>
      </c>
      <c r="AE135" s="101">
        <v>8670</v>
      </c>
      <c r="AF135" s="101">
        <v>1094</v>
      </c>
      <c r="AG135" s="101">
        <f t="shared" si="7"/>
        <v>228519.989</v>
      </c>
      <c r="AH135" s="101">
        <v>94351</v>
      </c>
      <c r="AI135" s="101">
        <f t="shared" si="8"/>
        <v>2422.0197878135896</v>
      </c>
      <c r="AJ135" t="s">
        <v>439</v>
      </c>
      <c r="AN135" t="s">
        <v>594</v>
      </c>
      <c r="AO135" s="259">
        <v>2063.9971465714789</v>
      </c>
      <c r="AP135" t="s">
        <v>465</v>
      </c>
    </row>
    <row r="136" spans="2:42" x14ac:dyDescent="0.25">
      <c r="B136" t="s">
        <v>594</v>
      </c>
      <c r="C136" s="101">
        <v>265086</v>
      </c>
      <c r="D136" s="101">
        <v>1570</v>
      </c>
      <c r="E136" s="101">
        <v>1455</v>
      </c>
      <c r="F136" s="101">
        <v>11263</v>
      </c>
      <c r="G136" s="101">
        <v>68707</v>
      </c>
      <c r="H136" s="101">
        <v>20910</v>
      </c>
      <c r="I136" s="101">
        <v>9582</v>
      </c>
      <c r="J136" s="101">
        <v>13273</v>
      </c>
      <c r="K136" s="101">
        <v>2116</v>
      </c>
      <c r="L136" s="101">
        <v>5719</v>
      </c>
      <c r="M136" s="101">
        <v>21623</v>
      </c>
      <c r="N136" s="101">
        <v>20968</v>
      </c>
      <c r="O136" s="101">
        <v>27870</v>
      </c>
      <c r="P136" s="101">
        <v>33587</v>
      </c>
      <c r="Q136" s="101">
        <v>24521</v>
      </c>
      <c r="R136" s="101">
        <v>1922</v>
      </c>
      <c r="S136" s="101"/>
      <c r="T136" t="s">
        <v>594</v>
      </c>
      <c r="U136" s="101">
        <f t="shared" si="6"/>
        <v>250798</v>
      </c>
      <c r="V136" s="101">
        <v>185808000</v>
      </c>
      <c r="W136" s="101">
        <v>153586893</v>
      </c>
      <c r="X136" s="101">
        <v>11002</v>
      </c>
      <c r="Y136" s="101">
        <v>11741</v>
      </c>
      <c r="Z136" s="101">
        <v>1467</v>
      </c>
      <c r="AA136" s="101">
        <v>1548</v>
      </c>
      <c r="AB136" s="101">
        <v>4659</v>
      </c>
      <c r="AC136" s="101">
        <v>541</v>
      </c>
      <c r="AD136" s="101">
        <v>192</v>
      </c>
      <c r="AE136" s="101">
        <v>27</v>
      </c>
      <c r="AF136" s="101">
        <v>55</v>
      </c>
      <c r="AG136" s="101">
        <f t="shared" si="7"/>
        <v>187344.89300000001</v>
      </c>
      <c r="AH136" s="101">
        <v>90768</v>
      </c>
      <c r="AI136" s="101">
        <f t="shared" si="8"/>
        <v>2063.9971465714789</v>
      </c>
      <c r="AJ136" t="s">
        <v>465</v>
      </c>
      <c r="AN136" t="s">
        <v>148</v>
      </c>
      <c r="AO136" s="259">
        <v>2292.547646415655</v>
      </c>
      <c r="AP136" t="s">
        <v>465</v>
      </c>
    </row>
    <row r="137" spans="2:42" x14ac:dyDescent="0.25">
      <c r="B137" t="s">
        <v>148</v>
      </c>
      <c r="C137" s="101">
        <v>117858</v>
      </c>
      <c r="D137" s="101">
        <v>179</v>
      </c>
      <c r="E137" s="101">
        <v>883</v>
      </c>
      <c r="F137" s="101">
        <v>4838</v>
      </c>
      <c r="G137" s="101">
        <v>23446</v>
      </c>
      <c r="H137" s="101">
        <v>10750</v>
      </c>
      <c r="I137" s="101">
        <v>3464</v>
      </c>
      <c r="J137" s="101">
        <v>5774</v>
      </c>
      <c r="K137" s="101">
        <v>1176</v>
      </c>
      <c r="L137" s="101">
        <v>2225</v>
      </c>
      <c r="M137" s="101">
        <v>8085</v>
      </c>
      <c r="N137" s="101">
        <v>14021</v>
      </c>
      <c r="O137" s="101">
        <v>12229</v>
      </c>
      <c r="P137" s="101">
        <v>20518</v>
      </c>
      <c r="Q137" s="101">
        <v>9353</v>
      </c>
      <c r="R137" s="101">
        <v>917</v>
      </c>
      <c r="S137" s="101"/>
      <c r="T137" t="s">
        <v>148</v>
      </c>
      <c r="U137" s="101">
        <f t="shared" si="6"/>
        <v>111958</v>
      </c>
      <c r="V137" s="101">
        <v>84164000</v>
      </c>
      <c r="W137" s="101">
        <v>66864882</v>
      </c>
      <c r="X137" s="101">
        <v>5855</v>
      </c>
      <c r="Y137" s="101">
        <v>4077</v>
      </c>
      <c r="Z137" s="101">
        <v>706</v>
      </c>
      <c r="AA137" s="101">
        <v>271</v>
      </c>
      <c r="AB137" s="101">
        <v>1155</v>
      </c>
      <c r="AC137" s="101">
        <v>318</v>
      </c>
      <c r="AD137" s="101">
        <v>437</v>
      </c>
      <c r="AE137" s="101">
        <v>18</v>
      </c>
      <c r="AF137" s="101">
        <v>49</v>
      </c>
      <c r="AG137" s="101">
        <f t="shared" si="7"/>
        <v>81772.881999999998</v>
      </c>
      <c r="AH137" s="101">
        <v>35669</v>
      </c>
      <c r="AI137" s="101">
        <f t="shared" si="8"/>
        <v>2292.547646415655</v>
      </c>
      <c r="AJ137" t="s">
        <v>465</v>
      </c>
      <c r="AN137" t="s">
        <v>257</v>
      </c>
      <c r="AO137" s="259">
        <v>2251.3647767285534</v>
      </c>
      <c r="AP137" t="s">
        <v>465</v>
      </c>
    </row>
    <row r="138" spans="2:42" x14ac:dyDescent="0.25">
      <c r="B138" t="s">
        <v>257</v>
      </c>
      <c r="C138" s="101">
        <v>156310</v>
      </c>
      <c r="D138" s="101">
        <v>479</v>
      </c>
      <c r="E138" s="101">
        <v>3581</v>
      </c>
      <c r="F138" s="101">
        <v>8785</v>
      </c>
      <c r="G138" s="101">
        <v>35321</v>
      </c>
      <c r="H138" s="101">
        <v>9501</v>
      </c>
      <c r="I138" s="101">
        <v>4938</v>
      </c>
      <c r="J138" s="101">
        <v>4327</v>
      </c>
      <c r="K138" s="101">
        <v>1935</v>
      </c>
      <c r="L138" s="101">
        <v>2916</v>
      </c>
      <c r="M138" s="101">
        <v>11496</v>
      </c>
      <c r="N138" s="101">
        <v>15621</v>
      </c>
      <c r="O138" s="101">
        <v>15095</v>
      </c>
      <c r="P138" s="101">
        <v>21907</v>
      </c>
      <c r="Q138" s="101">
        <v>17821</v>
      </c>
      <c r="R138" s="101">
        <v>2587</v>
      </c>
      <c r="S138" s="101"/>
      <c r="T138" t="s">
        <v>257</v>
      </c>
      <c r="U138" s="101">
        <f t="shared" si="6"/>
        <v>143465</v>
      </c>
      <c r="V138" s="101">
        <v>114927000</v>
      </c>
      <c r="W138" s="101">
        <v>97027217</v>
      </c>
      <c r="X138" s="101">
        <v>3950</v>
      </c>
      <c r="Y138" s="101">
        <v>6261</v>
      </c>
      <c r="Z138" s="101">
        <v>695</v>
      </c>
      <c r="AA138" s="101">
        <v>471</v>
      </c>
      <c r="AB138" s="101">
        <v>1153</v>
      </c>
      <c r="AC138" s="101">
        <v>343</v>
      </c>
      <c r="AD138" s="101">
        <v>134</v>
      </c>
      <c r="AE138" s="101">
        <v>0</v>
      </c>
      <c r="AF138" s="101">
        <v>26</v>
      </c>
      <c r="AG138" s="101">
        <f t="shared" si="7"/>
        <v>112532.217</v>
      </c>
      <c r="AH138" s="101">
        <v>49984</v>
      </c>
      <c r="AI138" s="101">
        <f t="shared" si="8"/>
        <v>2251.3647767285534</v>
      </c>
      <c r="AJ138" t="s">
        <v>465</v>
      </c>
      <c r="AN138" t="s">
        <v>406</v>
      </c>
      <c r="AO138" s="259">
        <v>2409.7673683259554</v>
      </c>
      <c r="AP138" t="s">
        <v>465</v>
      </c>
    </row>
    <row r="139" spans="2:42" x14ac:dyDescent="0.25">
      <c r="B139" t="s">
        <v>109</v>
      </c>
      <c r="C139" s="101">
        <v>233639</v>
      </c>
      <c r="D139" s="101">
        <v>2081</v>
      </c>
      <c r="E139" s="101">
        <v>1820</v>
      </c>
      <c r="F139" s="101">
        <v>8228</v>
      </c>
      <c r="G139" s="101">
        <v>2980</v>
      </c>
      <c r="H139" s="101">
        <v>32514</v>
      </c>
      <c r="I139" s="101">
        <v>5556</v>
      </c>
      <c r="J139" s="101">
        <v>10010</v>
      </c>
      <c r="K139" s="101">
        <v>5318</v>
      </c>
      <c r="L139" s="101">
        <v>9490</v>
      </c>
      <c r="M139" s="101">
        <v>19249</v>
      </c>
      <c r="N139" s="101">
        <v>49665</v>
      </c>
      <c r="O139" s="101">
        <v>26296</v>
      </c>
      <c r="P139" s="101">
        <v>36702</v>
      </c>
      <c r="Q139" s="101">
        <v>15719</v>
      </c>
      <c r="R139" s="101">
        <v>8011</v>
      </c>
      <c r="S139" s="101"/>
      <c r="T139" t="s">
        <v>109</v>
      </c>
      <c r="U139" s="101">
        <f t="shared" si="6"/>
        <v>221510</v>
      </c>
      <c r="V139" s="101">
        <v>183047000</v>
      </c>
      <c r="W139" s="101">
        <v>137869789</v>
      </c>
      <c r="X139" s="101">
        <v>5269</v>
      </c>
      <c r="Y139" s="101">
        <v>5497</v>
      </c>
      <c r="Z139" s="101">
        <v>829</v>
      </c>
      <c r="AA139" s="101">
        <v>1092</v>
      </c>
      <c r="AB139" s="101">
        <v>961</v>
      </c>
      <c r="AC139" s="101">
        <v>174</v>
      </c>
      <c r="AD139" s="101">
        <v>150</v>
      </c>
      <c r="AE139" s="101">
        <v>2857</v>
      </c>
      <c r="AF139" s="101">
        <v>320</v>
      </c>
      <c r="AG139" s="101">
        <f t="shared" si="7"/>
        <v>159183.78899999999</v>
      </c>
      <c r="AH139" s="101">
        <v>56917</v>
      </c>
      <c r="AI139" s="101">
        <f t="shared" si="8"/>
        <v>2796.77054307149</v>
      </c>
      <c r="AJ139" t="s">
        <v>439</v>
      </c>
      <c r="AN139" t="s">
        <v>219</v>
      </c>
      <c r="AO139" s="259">
        <v>2168.2173409496891</v>
      </c>
      <c r="AP139" t="s">
        <v>465</v>
      </c>
    </row>
    <row r="140" spans="2:42" x14ac:dyDescent="0.25">
      <c r="B140" t="s">
        <v>258</v>
      </c>
      <c r="C140" s="101">
        <v>311465</v>
      </c>
      <c r="D140" s="101">
        <v>18991</v>
      </c>
      <c r="E140" s="101">
        <v>4806</v>
      </c>
      <c r="F140" s="101">
        <v>15572</v>
      </c>
      <c r="G140" s="101">
        <v>66136</v>
      </c>
      <c r="H140" s="101">
        <v>13993</v>
      </c>
      <c r="I140" s="101">
        <v>7487</v>
      </c>
      <c r="J140" s="101">
        <v>7031</v>
      </c>
      <c r="K140" s="101">
        <v>1862</v>
      </c>
      <c r="L140" s="101">
        <v>9356</v>
      </c>
      <c r="M140" s="101">
        <v>17104</v>
      </c>
      <c r="N140" s="101">
        <v>44803</v>
      </c>
      <c r="O140" s="101">
        <v>31832</v>
      </c>
      <c r="P140" s="101">
        <v>47615</v>
      </c>
      <c r="Q140" s="101">
        <v>21437</v>
      </c>
      <c r="R140" s="101">
        <v>3440</v>
      </c>
      <c r="S140" s="101"/>
      <c r="T140" t="s">
        <v>258</v>
      </c>
      <c r="U140" s="101">
        <f t="shared" si="6"/>
        <v>272096</v>
      </c>
      <c r="V140" s="101">
        <v>224351000</v>
      </c>
      <c r="W140" s="101">
        <v>171247718</v>
      </c>
      <c r="X140" s="101">
        <v>6711</v>
      </c>
      <c r="Y140" s="101">
        <v>11690</v>
      </c>
      <c r="Z140" s="101">
        <v>1460</v>
      </c>
      <c r="AA140" s="101">
        <v>275</v>
      </c>
      <c r="AB140" s="101">
        <v>1522</v>
      </c>
      <c r="AC140" s="101">
        <v>311</v>
      </c>
      <c r="AD140" s="101">
        <v>477</v>
      </c>
      <c r="AE140" s="101">
        <v>6737</v>
      </c>
      <c r="AF140" s="101">
        <v>1031</v>
      </c>
      <c r="AG140" s="101">
        <f t="shared" si="7"/>
        <v>188778.71799999999</v>
      </c>
      <c r="AH140" s="101">
        <v>76050</v>
      </c>
      <c r="AI140" s="101">
        <f t="shared" si="8"/>
        <v>2482.297409598948</v>
      </c>
      <c r="AJ140" t="s">
        <v>439</v>
      </c>
      <c r="AN140" t="s">
        <v>220</v>
      </c>
      <c r="AO140" s="259">
        <v>2040.914300278869</v>
      </c>
      <c r="AP140" t="s">
        <v>465</v>
      </c>
    </row>
    <row r="141" spans="2:42" x14ac:dyDescent="0.25">
      <c r="B141" t="s">
        <v>406</v>
      </c>
      <c r="C141" s="101">
        <v>160922</v>
      </c>
      <c r="D141" s="101">
        <v>10590</v>
      </c>
      <c r="E141" s="101">
        <v>1569</v>
      </c>
      <c r="F141" s="101">
        <v>6981</v>
      </c>
      <c r="G141" s="101">
        <v>39021</v>
      </c>
      <c r="H141" s="101">
        <v>11947</v>
      </c>
      <c r="I141" s="101">
        <v>6386</v>
      </c>
      <c r="J141" s="101">
        <v>4806</v>
      </c>
      <c r="K141" s="101">
        <v>3073</v>
      </c>
      <c r="L141" s="101">
        <v>2609</v>
      </c>
      <c r="M141" s="101">
        <v>7869</v>
      </c>
      <c r="N141" s="101">
        <v>17095</v>
      </c>
      <c r="O141" s="101">
        <v>11478</v>
      </c>
      <c r="P141" s="101">
        <v>18933</v>
      </c>
      <c r="Q141" s="101">
        <v>16454</v>
      </c>
      <c r="R141" s="101">
        <v>2111</v>
      </c>
      <c r="S141" s="101"/>
      <c r="T141" t="s">
        <v>406</v>
      </c>
      <c r="U141" s="101">
        <f t="shared" si="6"/>
        <v>141782</v>
      </c>
      <c r="V141" s="101">
        <v>95862000</v>
      </c>
      <c r="W141" s="101">
        <v>78583860</v>
      </c>
      <c r="X141" s="101">
        <v>6333</v>
      </c>
      <c r="Y141" s="101">
        <v>4400</v>
      </c>
      <c r="Z141" s="101">
        <v>758</v>
      </c>
      <c r="AA141" s="101">
        <v>15</v>
      </c>
      <c r="AB141" s="101">
        <v>1544</v>
      </c>
      <c r="AC141" s="101">
        <v>226</v>
      </c>
      <c r="AD141" s="101">
        <v>4046</v>
      </c>
      <c r="AE141" s="101">
        <v>1</v>
      </c>
      <c r="AF141" s="101">
        <v>486</v>
      </c>
      <c r="AG141" s="101">
        <f t="shared" si="7"/>
        <v>106694.86</v>
      </c>
      <c r="AH141" s="101">
        <v>44276</v>
      </c>
      <c r="AI141" s="101">
        <f t="shared" si="8"/>
        <v>2409.7673683259554</v>
      </c>
      <c r="AJ141" t="s">
        <v>465</v>
      </c>
      <c r="AN141" t="s">
        <v>297</v>
      </c>
      <c r="AO141" s="259">
        <v>2051.6590684183589</v>
      </c>
      <c r="AP141" t="s">
        <v>465</v>
      </c>
    </row>
    <row r="142" spans="2:42" x14ac:dyDescent="0.25">
      <c r="B142" t="s">
        <v>219</v>
      </c>
      <c r="C142" s="101">
        <v>145386</v>
      </c>
      <c r="D142" s="101">
        <v>1671</v>
      </c>
      <c r="E142" s="101">
        <v>1524</v>
      </c>
      <c r="F142" s="101">
        <v>5890</v>
      </c>
      <c r="G142" s="101">
        <v>35456</v>
      </c>
      <c r="H142" s="101">
        <v>10627</v>
      </c>
      <c r="I142" s="101">
        <v>3838</v>
      </c>
      <c r="J142" s="101">
        <v>7278</v>
      </c>
      <c r="K142" s="101">
        <v>1692</v>
      </c>
      <c r="L142" s="101">
        <v>2687</v>
      </c>
      <c r="M142" s="101">
        <v>9153</v>
      </c>
      <c r="N142" s="101">
        <v>18019</v>
      </c>
      <c r="O142" s="101">
        <v>20614</v>
      </c>
      <c r="P142" s="101">
        <v>14339</v>
      </c>
      <c r="Q142" s="101">
        <v>11978</v>
      </c>
      <c r="R142" s="101">
        <v>620</v>
      </c>
      <c r="S142" s="101"/>
      <c r="T142" t="s">
        <v>219</v>
      </c>
      <c r="U142" s="101">
        <f t="shared" si="6"/>
        <v>136301</v>
      </c>
      <c r="V142" s="101">
        <v>97456000</v>
      </c>
      <c r="W142" s="101">
        <v>84972496</v>
      </c>
      <c r="X142" s="101">
        <v>4009</v>
      </c>
      <c r="Y142" s="101">
        <v>6670</v>
      </c>
      <c r="Z142" s="101">
        <v>1039</v>
      </c>
      <c r="AA142" s="101">
        <v>188</v>
      </c>
      <c r="AB142" s="101">
        <v>680</v>
      </c>
      <c r="AC142" s="101">
        <v>423</v>
      </c>
      <c r="AD142" s="101">
        <v>253</v>
      </c>
      <c r="AE142" s="101">
        <v>19</v>
      </c>
      <c r="AF142" s="101">
        <v>81</v>
      </c>
      <c r="AG142" s="101">
        <f t="shared" si="7"/>
        <v>110455.496</v>
      </c>
      <c r="AH142" s="101">
        <v>50943</v>
      </c>
      <c r="AI142" s="101">
        <f t="shared" si="8"/>
        <v>2168.2173409496891</v>
      </c>
      <c r="AJ142" t="s">
        <v>465</v>
      </c>
      <c r="AN142" t="s">
        <v>331</v>
      </c>
      <c r="AO142" s="259">
        <v>2292.4240632678134</v>
      </c>
      <c r="AP142" t="s">
        <v>465</v>
      </c>
    </row>
    <row r="143" spans="2:42" x14ac:dyDescent="0.25">
      <c r="B143" t="s">
        <v>259</v>
      </c>
      <c r="C143" s="101">
        <v>128041</v>
      </c>
      <c r="D143" s="101">
        <v>433</v>
      </c>
      <c r="E143" s="101">
        <v>1</v>
      </c>
      <c r="F143" s="101">
        <v>9009</v>
      </c>
      <c r="G143" s="101">
        <v>34496</v>
      </c>
      <c r="H143" s="101">
        <v>7754</v>
      </c>
      <c r="I143" s="101">
        <v>4502</v>
      </c>
      <c r="J143" s="101">
        <v>4385</v>
      </c>
      <c r="K143" s="101">
        <v>522</v>
      </c>
      <c r="L143" s="101">
        <v>3709</v>
      </c>
      <c r="M143" s="101">
        <v>8190</v>
      </c>
      <c r="N143" s="101">
        <v>18115</v>
      </c>
      <c r="O143" s="101">
        <v>16583</v>
      </c>
      <c r="P143" s="101">
        <v>11862</v>
      </c>
      <c r="Q143" s="101">
        <v>7619</v>
      </c>
      <c r="R143" s="101">
        <v>861</v>
      </c>
      <c r="S143" s="101"/>
      <c r="T143" t="s">
        <v>259</v>
      </c>
      <c r="U143" s="101">
        <f t="shared" si="6"/>
        <v>118598</v>
      </c>
      <c r="V143" s="101">
        <v>95788000</v>
      </c>
      <c r="W143" s="101">
        <v>80046842</v>
      </c>
      <c r="X143" s="101">
        <v>5446</v>
      </c>
      <c r="Y143" s="101">
        <v>7098</v>
      </c>
      <c r="Z143" s="101">
        <v>530</v>
      </c>
      <c r="AA143" s="101">
        <v>341</v>
      </c>
      <c r="AB143" s="101">
        <v>456</v>
      </c>
      <c r="AC143" s="101">
        <v>186</v>
      </c>
      <c r="AD143" s="101">
        <v>64</v>
      </c>
      <c r="AE143" s="101">
        <v>7</v>
      </c>
      <c r="AF143" s="101">
        <v>862</v>
      </c>
      <c r="AG143" s="101">
        <f t="shared" si="7"/>
        <v>87866.842000000004</v>
      </c>
      <c r="AH143" s="101">
        <v>41197</v>
      </c>
      <c r="AI143" s="101">
        <f t="shared" si="8"/>
        <v>2132.8456441002986</v>
      </c>
      <c r="AJ143" t="s">
        <v>116</v>
      </c>
      <c r="AN143" t="s">
        <v>298</v>
      </c>
      <c r="AO143" s="259">
        <v>2354.7565476634122</v>
      </c>
      <c r="AP143" t="s">
        <v>465</v>
      </c>
    </row>
    <row r="144" spans="2:42" x14ac:dyDescent="0.25">
      <c r="B144" t="s">
        <v>330</v>
      </c>
      <c r="C144" s="101">
        <v>94361</v>
      </c>
      <c r="D144" s="101">
        <v>2127</v>
      </c>
      <c r="E144" s="101">
        <v>1936</v>
      </c>
      <c r="F144" s="101">
        <v>3861</v>
      </c>
      <c r="G144" s="101">
        <v>18192</v>
      </c>
      <c r="H144" s="101">
        <v>7268</v>
      </c>
      <c r="I144" s="101">
        <v>2658</v>
      </c>
      <c r="J144" s="101">
        <v>5113</v>
      </c>
      <c r="K144" s="101">
        <v>367</v>
      </c>
      <c r="L144" s="101">
        <v>2005</v>
      </c>
      <c r="M144" s="101">
        <v>4872</v>
      </c>
      <c r="N144" s="101">
        <v>11277</v>
      </c>
      <c r="O144" s="101">
        <v>12717</v>
      </c>
      <c r="P144" s="101">
        <v>15459</v>
      </c>
      <c r="Q144" s="101">
        <v>5870</v>
      </c>
      <c r="R144" s="101">
        <v>639</v>
      </c>
      <c r="S144" s="101"/>
      <c r="T144" t="s">
        <v>330</v>
      </c>
      <c r="U144" s="101">
        <f t="shared" si="6"/>
        <v>86437</v>
      </c>
      <c r="V144" s="101">
        <v>78085000</v>
      </c>
      <c r="W144" s="101">
        <v>59524282</v>
      </c>
      <c r="X144" s="101">
        <v>3852</v>
      </c>
      <c r="Y144" s="101">
        <v>3845</v>
      </c>
      <c r="Z144" s="101">
        <v>584</v>
      </c>
      <c r="AA144" s="101">
        <v>135</v>
      </c>
      <c r="AB144" s="101">
        <v>787</v>
      </c>
      <c r="AC144" s="101">
        <v>96</v>
      </c>
      <c r="AD144" s="101">
        <v>185</v>
      </c>
      <c r="AE144" s="101">
        <v>797</v>
      </c>
      <c r="AF144" s="101">
        <v>205</v>
      </c>
      <c r="AG144" s="101">
        <f t="shared" si="7"/>
        <v>57390.282000000007</v>
      </c>
      <c r="AH144" s="101">
        <v>27385</v>
      </c>
      <c r="AI144" s="101">
        <f t="shared" si="8"/>
        <v>2095.6831111922588</v>
      </c>
      <c r="AJ144" t="s">
        <v>116</v>
      </c>
      <c r="AN144" t="s">
        <v>260</v>
      </c>
      <c r="AO144" s="259">
        <v>2579.269075799547</v>
      </c>
      <c r="AP144" t="s">
        <v>465</v>
      </c>
    </row>
    <row r="145" spans="2:42" x14ac:dyDescent="0.25">
      <c r="B145" t="s">
        <v>220</v>
      </c>
      <c r="C145" s="101">
        <v>99463</v>
      </c>
      <c r="D145" s="101">
        <v>702</v>
      </c>
      <c r="E145" s="101">
        <v>469</v>
      </c>
      <c r="F145" s="101">
        <v>3635</v>
      </c>
      <c r="G145" s="101">
        <v>22593</v>
      </c>
      <c r="H145" s="101">
        <v>6776</v>
      </c>
      <c r="I145" s="101">
        <v>2588</v>
      </c>
      <c r="J145" s="101">
        <v>4378</v>
      </c>
      <c r="K145" s="101">
        <v>433</v>
      </c>
      <c r="L145" s="101">
        <v>2137</v>
      </c>
      <c r="M145" s="101">
        <v>7252</v>
      </c>
      <c r="N145" s="101">
        <v>15355</v>
      </c>
      <c r="O145" s="101">
        <v>10149</v>
      </c>
      <c r="P145" s="101">
        <v>10016</v>
      </c>
      <c r="Q145" s="101">
        <v>10659</v>
      </c>
      <c r="R145" s="101">
        <v>2321</v>
      </c>
      <c r="S145" s="101"/>
      <c r="T145" t="s">
        <v>220</v>
      </c>
      <c r="U145" s="101">
        <f t="shared" si="6"/>
        <v>94657</v>
      </c>
      <c r="V145" s="101">
        <v>74377000</v>
      </c>
      <c r="W145" s="101">
        <v>61485451</v>
      </c>
      <c r="X145" s="101">
        <v>4165</v>
      </c>
      <c r="Y145" s="101">
        <v>6498</v>
      </c>
      <c r="Z145" s="101">
        <v>412</v>
      </c>
      <c r="AA145" s="101">
        <v>256</v>
      </c>
      <c r="AB145" s="101">
        <v>989</v>
      </c>
      <c r="AC145" s="217">
        <v>154</v>
      </c>
      <c r="AD145" s="101">
        <v>0</v>
      </c>
      <c r="AE145" s="101">
        <v>1167</v>
      </c>
      <c r="AF145" s="101">
        <v>62</v>
      </c>
      <c r="AG145" s="101">
        <f t="shared" si="7"/>
        <v>68062.451000000001</v>
      </c>
      <c r="AH145" s="101">
        <v>33349</v>
      </c>
      <c r="AI145" s="101">
        <f t="shared" si="8"/>
        <v>2040.914300278869</v>
      </c>
      <c r="AJ145" t="s">
        <v>465</v>
      </c>
      <c r="AN145" t="s">
        <v>299</v>
      </c>
      <c r="AO145" s="259">
        <v>2311.2772144248202</v>
      </c>
      <c r="AP145" t="s">
        <v>465</v>
      </c>
    </row>
    <row r="146" spans="2:42" x14ac:dyDescent="0.25">
      <c r="B146" t="s">
        <v>297</v>
      </c>
      <c r="C146" s="101">
        <v>87315</v>
      </c>
      <c r="D146" s="101">
        <v>2255</v>
      </c>
      <c r="E146" s="101">
        <v>2847</v>
      </c>
      <c r="F146" s="101">
        <v>2752</v>
      </c>
      <c r="G146" s="101">
        <v>17424</v>
      </c>
      <c r="H146" s="101">
        <v>9242</v>
      </c>
      <c r="I146" s="101">
        <v>2593</v>
      </c>
      <c r="J146" s="101">
        <v>4013</v>
      </c>
      <c r="K146" s="101">
        <v>531</v>
      </c>
      <c r="L146" s="101">
        <v>3140</v>
      </c>
      <c r="M146" s="101">
        <v>8564</v>
      </c>
      <c r="N146" s="101">
        <v>9260</v>
      </c>
      <c r="O146" s="101">
        <v>8446</v>
      </c>
      <c r="P146" s="101">
        <v>7223</v>
      </c>
      <c r="Q146" s="101">
        <v>7562</v>
      </c>
      <c r="R146" s="101">
        <v>1463</v>
      </c>
      <c r="S146" s="101"/>
      <c r="T146" t="s">
        <v>297</v>
      </c>
      <c r="U146" s="101">
        <f t="shared" si="6"/>
        <v>79461</v>
      </c>
      <c r="V146" s="101">
        <v>56679000</v>
      </c>
      <c r="W146" s="101">
        <v>49007869</v>
      </c>
      <c r="X146" s="101">
        <v>4713</v>
      </c>
      <c r="Y146" s="101">
        <v>4947</v>
      </c>
      <c r="Z146" s="101">
        <v>327</v>
      </c>
      <c r="AA146" s="101">
        <v>63</v>
      </c>
      <c r="AB146" s="101">
        <v>1152</v>
      </c>
      <c r="AC146" s="101">
        <v>226</v>
      </c>
      <c r="AD146" s="101">
        <v>38</v>
      </c>
      <c r="AE146" s="101">
        <v>0</v>
      </c>
      <c r="AF146" s="101">
        <v>200</v>
      </c>
      <c r="AG146" s="101">
        <f t="shared" si="7"/>
        <v>60123.869000000006</v>
      </c>
      <c r="AH146" s="101">
        <v>29305</v>
      </c>
      <c r="AI146" s="101">
        <f t="shared" si="8"/>
        <v>2051.6590684183589</v>
      </c>
      <c r="AJ146" t="s">
        <v>465</v>
      </c>
      <c r="AN146" t="s">
        <v>474</v>
      </c>
      <c r="AO146" s="259">
        <v>2243.7699307958478</v>
      </c>
      <c r="AP146" t="s">
        <v>465</v>
      </c>
    </row>
    <row r="147" spans="2:42" x14ac:dyDescent="0.25">
      <c r="B147" t="s">
        <v>149</v>
      </c>
      <c r="C147" s="101">
        <v>213124</v>
      </c>
      <c r="D147" s="101">
        <v>2474</v>
      </c>
      <c r="E147" s="101">
        <v>4404</v>
      </c>
      <c r="F147" s="101">
        <v>7709</v>
      </c>
      <c r="G147" s="101">
        <v>47660</v>
      </c>
      <c r="H147" s="101">
        <v>12885</v>
      </c>
      <c r="I147" s="101">
        <v>4299</v>
      </c>
      <c r="J147" s="101">
        <v>8472</v>
      </c>
      <c r="K147" s="101">
        <v>2420</v>
      </c>
      <c r="L147" s="101">
        <v>5768</v>
      </c>
      <c r="M147" s="101">
        <v>18650</v>
      </c>
      <c r="N147" s="101">
        <v>29108</v>
      </c>
      <c r="O147" s="101">
        <v>23153</v>
      </c>
      <c r="P147" s="101">
        <v>29155</v>
      </c>
      <c r="Q147" s="101">
        <v>11492</v>
      </c>
      <c r="R147" s="101">
        <v>5475</v>
      </c>
      <c r="S147" s="101"/>
      <c r="T147" t="s">
        <v>149</v>
      </c>
      <c r="U147" s="101">
        <f t="shared" si="6"/>
        <v>198537</v>
      </c>
      <c r="V147" s="101">
        <v>159845000</v>
      </c>
      <c r="W147" s="101">
        <v>123738833</v>
      </c>
      <c r="X147" s="101">
        <v>4432</v>
      </c>
      <c r="Y147" s="101">
        <v>5666</v>
      </c>
      <c r="Z147" s="101">
        <v>1189</v>
      </c>
      <c r="AA147" s="101">
        <v>807</v>
      </c>
      <c r="AB147" s="101">
        <v>1325</v>
      </c>
      <c r="AC147" s="101">
        <v>655</v>
      </c>
      <c r="AD147" s="101">
        <v>259</v>
      </c>
      <c r="AE147" s="101">
        <v>1998</v>
      </c>
      <c r="AF147" s="101">
        <v>281</v>
      </c>
      <c r="AG147" s="101">
        <f t="shared" si="7"/>
        <v>145818.83299999998</v>
      </c>
      <c r="AH147" s="101">
        <v>56541</v>
      </c>
      <c r="AI147" s="101">
        <f t="shared" si="8"/>
        <v>2578.9928193700143</v>
      </c>
      <c r="AJ147" t="s">
        <v>439</v>
      </c>
      <c r="AN147" t="s">
        <v>373</v>
      </c>
      <c r="AO147" s="259">
        <v>2075.461241639513</v>
      </c>
      <c r="AP147" t="s">
        <v>465</v>
      </c>
    </row>
    <row r="148" spans="2:42" x14ac:dyDescent="0.25">
      <c r="B148" t="s">
        <v>331</v>
      </c>
      <c r="C148" s="101">
        <v>45731</v>
      </c>
      <c r="D148" s="101">
        <v>2660</v>
      </c>
      <c r="E148" s="101">
        <v>584</v>
      </c>
      <c r="F148" s="101">
        <v>2598</v>
      </c>
      <c r="G148" s="101">
        <v>8910</v>
      </c>
      <c r="H148" s="101">
        <v>3446</v>
      </c>
      <c r="I148" s="101">
        <v>1134</v>
      </c>
      <c r="J148" s="101">
        <v>1394</v>
      </c>
      <c r="K148" s="101">
        <v>574</v>
      </c>
      <c r="L148" s="101">
        <v>930</v>
      </c>
      <c r="M148" s="101">
        <v>3201</v>
      </c>
      <c r="N148" s="101">
        <v>3503</v>
      </c>
      <c r="O148" s="101">
        <v>5254</v>
      </c>
      <c r="P148" s="101">
        <v>6892</v>
      </c>
      <c r="Q148" s="101">
        <v>4011</v>
      </c>
      <c r="R148" s="101">
        <v>640</v>
      </c>
      <c r="S148" s="101"/>
      <c r="T148" t="s">
        <v>331</v>
      </c>
      <c r="U148" s="101">
        <f t="shared" si="6"/>
        <v>39889</v>
      </c>
      <c r="V148" s="101">
        <v>29262000</v>
      </c>
      <c r="W148" s="101">
        <v>24517531</v>
      </c>
      <c r="X148" s="101">
        <v>1879</v>
      </c>
      <c r="Y148" s="101">
        <v>1558</v>
      </c>
      <c r="Z148" s="101">
        <v>148</v>
      </c>
      <c r="AA148" s="101">
        <v>314</v>
      </c>
      <c r="AB148" s="101">
        <v>688</v>
      </c>
      <c r="AC148" s="101">
        <v>31</v>
      </c>
      <c r="AD148" s="101">
        <v>319</v>
      </c>
      <c r="AE148" s="101">
        <v>0</v>
      </c>
      <c r="AF148" s="101">
        <v>351</v>
      </c>
      <c r="AG148" s="101">
        <f t="shared" si="7"/>
        <v>29856.531000000003</v>
      </c>
      <c r="AH148" s="101">
        <v>13024</v>
      </c>
      <c r="AI148" s="101">
        <f t="shared" si="8"/>
        <v>2292.4240632678134</v>
      </c>
      <c r="AJ148" t="s">
        <v>465</v>
      </c>
      <c r="AN148" t="s">
        <v>261</v>
      </c>
      <c r="AO148" s="285">
        <v>1999</v>
      </c>
      <c r="AP148" t="s">
        <v>465</v>
      </c>
    </row>
    <row r="149" spans="2:42" x14ac:dyDescent="0.25">
      <c r="B149" t="s">
        <v>298</v>
      </c>
      <c r="C149" s="101">
        <v>247819</v>
      </c>
      <c r="D149" s="101">
        <v>16678</v>
      </c>
      <c r="E149" s="101">
        <v>5066</v>
      </c>
      <c r="F149" s="101">
        <v>13165</v>
      </c>
      <c r="G149" s="101">
        <v>56282</v>
      </c>
      <c r="H149" s="101">
        <v>16024</v>
      </c>
      <c r="I149" s="101">
        <v>5661</v>
      </c>
      <c r="J149" s="101">
        <v>10201</v>
      </c>
      <c r="K149" s="101">
        <v>1751</v>
      </c>
      <c r="L149" s="101">
        <v>5264</v>
      </c>
      <c r="M149" s="101">
        <v>12713</v>
      </c>
      <c r="N149" s="101">
        <v>27692</v>
      </c>
      <c r="O149" s="101">
        <v>30208</v>
      </c>
      <c r="P149" s="101">
        <v>28499</v>
      </c>
      <c r="Q149" s="101">
        <v>14685</v>
      </c>
      <c r="R149" s="101">
        <v>3930</v>
      </c>
      <c r="S149" s="101"/>
      <c r="T149" t="s">
        <v>298</v>
      </c>
      <c r="U149" s="101">
        <f t="shared" si="6"/>
        <v>212910</v>
      </c>
      <c r="V149" s="101">
        <v>154251000</v>
      </c>
      <c r="W149" s="101">
        <v>123948843</v>
      </c>
      <c r="X149" s="101">
        <v>5777</v>
      </c>
      <c r="Y149" s="101">
        <v>8597</v>
      </c>
      <c r="Z149" s="101">
        <v>1756</v>
      </c>
      <c r="AA149" s="101">
        <v>419</v>
      </c>
      <c r="AB149" s="101">
        <v>1582</v>
      </c>
      <c r="AC149" s="101">
        <v>293</v>
      </c>
      <c r="AD149" s="101">
        <v>991</v>
      </c>
      <c r="AE149" s="101">
        <v>4799</v>
      </c>
      <c r="AF149" s="101">
        <v>425</v>
      </c>
      <c r="AG149" s="101">
        <f t="shared" si="7"/>
        <v>157968.84299999999</v>
      </c>
      <c r="AH149" s="101">
        <v>67085</v>
      </c>
      <c r="AI149" s="101">
        <f t="shared" si="8"/>
        <v>2354.7565476634122</v>
      </c>
      <c r="AJ149" t="s">
        <v>465</v>
      </c>
      <c r="AN149" t="s">
        <v>300</v>
      </c>
      <c r="AO149" s="259">
        <v>2020.4106183710835</v>
      </c>
      <c r="AP149" t="s">
        <v>465</v>
      </c>
    </row>
    <row r="150" spans="2:42" x14ac:dyDescent="0.25">
      <c r="B150" t="s">
        <v>407</v>
      </c>
      <c r="C150" s="101">
        <v>220075</v>
      </c>
      <c r="D150" s="101">
        <v>2368</v>
      </c>
      <c r="E150" s="101">
        <v>2448</v>
      </c>
      <c r="F150" s="101">
        <v>10772</v>
      </c>
      <c r="G150" s="101">
        <v>45477</v>
      </c>
      <c r="H150" s="101">
        <v>13834</v>
      </c>
      <c r="I150" s="101">
        <v>5697</v>
      </c>
      <c r="J150" s="101">
        <v>3950</v>
      </c>
      <c r="K150" s="101">
        <v>1513</v>
      </c>
      <c r="L150" s="101">
        <v>3884</v>
      </c>
      <c r="M150" s="101">
        <v>11178</v>
      </c>
      <c r="N150" s="101">
        <v>52846</v>
      </c>
      <c r="O150" s="101">
        <v>28417</v>
      </c>
      <c r="P150" s="101">
        <v>24697</v>
      </c>
      <c r="Q150" s="101">
        <v>11918</v>
      </c>
      <c r="R150" s="101">
        <v>1076</v>
      </c>
      <c r="S150" s="101"/>
      <c r="T150" t="s">
        <v>407</v>
      </c>
      <c r="U150" s="101">
        <f t="shared" si="6"/>
        <v>204487</v>
      </c>
      <c r="V150" s="101">
        <v>176390000</v>
      </c>
      <c r="W150" s="101">
        <v>125543588</v>
      </c>
      <c r="X150" s="101">
        <v>5657</v>
      </c>
      <c r="Y150" s="101">
        <v>6821</v>
      </c>
      <c r="Z150" s="101">
        <v>957</v>
      </c>
      <c r="AA150" s="101">
        <v>54</v>
      </c>
      <c r="AB150" s="101">
        <v>792</v>
      </c>
      <c r="AC150" s="101">
        <v>195</v>
      </c>
      <c r="AD150" s="101">
        <v>225</v>
      </c>
      <c r="AE150" s="101">
        <v>627</v>
      </c>
      <c r="AF150" s="101">
        <v>224</v>
      </c>
      <c r="AG150" s="101">
        <f t="shared" si="7"/>
        <v>138088.58799999999</v>
      </c>
      <c r="AH150" s="101">
        <v>45485</v>
      </c>
      <c r="AI150" s="101">
        <f t="shared" si="8"/>
        <v>3035.9148730350666</v>
      </c>
      <c r="AJ150" t="s">
        <v>439</v>
      </c>
      <c r="AN150" t="s">
        <v>724</v>
      </c>
      <c r="AO150" s="259">
        <v>2114.8066062401954</v>
      </c>
      <c r="AP150" t="s">
        <v>465</v>
      </c>
    </row>
    <row r="151" spans="2:42" x14ac:dyDescent="0.25">
      <c r="B151" t="s">
        <v>260</v>
      </c>
      <c r="C151" s="101">
        <v>82473</v>
      </c>
      <c r="D151" s="101">
        <v>3963</v>
      </c>
      <c r="E151" s="101">
        <v>189</v>
      </c>
      <c r="F151" s="101">
        <v>4317</v>
      </c>
      <c r="G151" s="101">
        <v>19135</v>
      </c>
      <c r="H151" s="101">
        <v>11952</v>
      </c>
      <c r="I151" s="101">
        <v>2169</v>
      </c>
      <c r="J151" s="101">
        <v>1902</v>
      </c>
      <c r="K151" s="101">
        <v>188</v>
      </c>
      <c r="L151" s="101">
        <v>1769</v>
      </c>
      <c r="M151" s="101">
        <v>3735</v>
      </c>
      <c r="N151" s="101">
        <v>6213</v>
      </c>
      <c r="O151" s="101">
        <v>7418</v>
      </c>
      <c r="P151" s="101">
        <v>6948</v>
      </c>
      <c r="Q151" s="101">
        <v>6915</v>
      </c>
      <c r="R151" s="101">
        <v>5660</v>
      </c>
      <c r="S151" s="101"/>
      <c r="T151" t="s">
        <v>260</v>
      </c>
      <c r="U151" s="101">
        <f t="shared" si="6"/>
        <v>74004</v>
      </c>
      <c r="V151" s="101">
        <v>46100000</v>
      </c>
      <c r="W151" s="101">
        <v>39971665</v>
      </c>
      <c r="X151" s="101">
        <v>1208</v>
      </c>
      <c r="Y151" s="101">
        <v>3866</v>
      </c>
      <c r="Z151" s="101">
        <v>317</v>
      </c>
      <c r="AA151" s="101">
        <v>35</v>
      </c>
      <c r="AB151" s="101">
        <v>810</v>
      </c>
      <c r="AC151" s="101">
        <v>32</v>
      </c>
      <c r="AD151" s="101">
        <v>140</v>
      </c>
      <c r="AE151" s="101">
        <v>0</v>
      </c>
      <c r="AF151" s="101">
        <v>14</v>
      </c>
      <c r="AG151" s="101">
        <f t="shared" si="7"/>
        <v>61453.665000000008</v>
      </c>
      <c r="AH151" s="101">
        <v>23826</v>
      </c>
      <c r="AI151" s="101">
        <f t="shared" si="8"/>
        <v>2579.269075799547</v>
      </c>
      <c r="AJ151" t="s">
        <v>465</v>
      </c>
      <c r="AN151" t="s">
        <v>302</v>
      </c>
      <c r="AO151" s="259">
        <v>2335.6834809534098</v>
      </c>
      <c r="AP151" t="s">
        <v>465</v>
      </c>
    </row>
    <row r="152" spans="2:42" x14ac:dyDescent="0.25">
      <c r="B152" t="s">
        <v>299</v>
      </c>
      <c r="C152" s="101">
        <v>106229</v>
      </c>
      <c r="D152" s="101">
        <v>5056</v>
      </c>
      <c r="E152" s="101">
        <v>1240</v>
      </c>
      <c r="F152" s="101">
        <v>3925</v>
      </c>
      <c r="G152" s="101">
        <v>17739</v>
      </c>
      <c r="H152" s="101">
        <v>8187</v>
      </c>
      <c r="I152" s="101">
        <v>2560</v>
      </c>
      <c r="J152" s="101">
        <v>3744</v>
      </c>
      <c r="K152" s="101">
        <v>25</v>
      </c>
      <c r="L152" s="101">
        <v>2689</v>
      </c>
      <c r="M152" s="101">
        <v>8654</v>
      </c>
      <c r="N152" s="101">
        <v>16383</v>
      </c>
      <c r="O152" s="101">
        <v>13383</v>
      </c>
      <c r="P152" s="101">
        <v>10701</v>
      </c>
      <c r="Q152" s="101">
        <v>10486</v>
      </c>
      <c r="R152" s="101">
        <v>1457</v>
      </c>
      <c r="S152" s="101"/>
      <c r="T152" t="s">
        <v>299</v>
      </c>
      <c r="U152" s="101">
        <f t="shared" si="6"/>
        <v>96008</v>
      </c>
      <c r="V152" s="101">
        <v>75067000</v>
      </c>
      <c r="W152" s="101">
        <v>60751458</v>
      </c>
      <c r="X152" s="101">
        <v>4124</v>
      </c>
      <c r="Y152" s="101">
        <v>5753</v>
      </c>
      <c r="Z152" s="101">
        <v>664</v>
      </c>
      <c r="AA152" s="101">
        <v>741</v>
      </c>
      <c r="AB152" s="101">
        <v>1335</v>
      </c>
      <c r="AC152" s="101">
        <v>210</v>
      </c>
      <c r="AD152" s="101">
        <v>0</v>
      </c>
      <c r="AE152" s="101">
        <v>15</v>
      </c>
      <c r="AF152" s="101">
        <v>16</v>
      </c>
      <c r="AG152" s="101">
        <f t="shared" si="7"/>
        <v>68834.457999999999</v>
      </c>
      <c r="AH152" s="101">
        <v>29782</v>
      </c>
      <c r="AI152" s="101">
        <f t="shared" si="8"/>
        <v>2311.2772144248202</v>
      </c>
      <c r="AJ152" t="s">
        <v>465</v>
      </c>
      <c r="AN152" t="s">
        <v>409</v>
      </c>
      <c r="AO152" s="259">
        <v>2287.4983106236846</v>
      </c>
      <c r="AP152" t="s">
        <v>465</v>
      </c>
    </row>
    <row r="153" spans="2:42" x14ac:dyDescent="0.25">
      <c r="B153" t="s">
        <v>474</v>
      </c>
      <c r="C153" s="101">
        <v>186008</v>
      </c>
      <c r="D153" s="101">
        <v>439</v>
      </c>
      <c r="E153" s="101">
        <v>3201</v>
      </c>
      <c r="F153" s="101">
        <v>6979</v>
      </c>
      <c r="G153" s="101">
        <v>45074</v>
      </c>
      <c r="H153" s="101">
        <v>10848</v>
      </c>
      <c r="I153" s="101">
        <v>4969</v>
      </c>
      <c r="J153" s="101">
        <v>10366</v>
      </c>
      <c r="K153" s="101">
        <v>976</v>
      </c>
      <c r="L153" s="101">
        <v>5489</v>
      </c>
      <c r="M153" s="101">
        <v>9201</v>
      </c>
      <c r="N153" s="101">
        <v>20768</v>
      </c>
      <c r="O153" s="101">
        <v>24807</v>
      </c>
      <c r="P153" s="101">
        <v>25234</v>
      </c>
      <c r="Q153" s="101">
        <v>16183</v>
      </c>
      <c r="R153" s="101">
        <v>1474</v>
      </c>
      <c r="S153" s="101"/>
      <c r="T153" t="s">
        <v>474</v>
      </c>
      <c r="U153" s="101">
        <f t="shared" si="6"/>
        <v>175389</v>
      </c>
      <c r="V153" s="101">
        <v>137994000</v>
      </c>
      <c r="W153" s="101">
        <v>112336902</v>
      </c>
      <c r="X153" s="101">
        <v>6684</v>
      </c>
      <c r="Y153" s="101">
        <v>7660</v>
      </c>
      <c r="Z153" s="101">
        <v>1276</v>
      </c>
      <c r="AA153" s="101">
        <v>1100</v>
      </c>
      <c r="AB153" s="101">
        <v>2607</v>
      </c>
      <c r="AC153" s="101">
        <v>358</v>
      </c>
      <c r="AD153" s="101">
        <v>278</v>
      </c>
      <c r="AE153" s="101">
        <v>0</v>
      </c>
      <c r="AF153" s="101">
        <v>79</v>
      </c>
      <c r="AG153" s="101">
        <f t="shared" si="7"/>
        <v>129689.902</v>
      </c>
      <c r="AH153" s="101">
        <v>57800</v>
      </c>
      <c r="AI153" s="101">
        <f t="shared" si="8"/>
        <v>2243.7699307958478</v>
      </c>
      <c r="AJ153" t="s">
        <v>465</v>
      </c>
      <c r="AN153" t="s">
        <v>221</v>
      </c>
      <c r="AO153" s="259">
        <v>1985.3884553915577</v>
      </c>
      <c r="AP153" t="s">
        <v>465</v>
      </c>
    </row>
    <row r="154" spans="2:42" x14ac:dyDescent="0.25">
      <c r="B154" t="s">
        <v>373</v>
      </c>
      <c r="C154" s="101">
        <v>67367</v>
      </c>
      <c r="D154" s="101">
        <v>2035</v>
      </c>
      <c r="E154" s="101">
        <v>131</v>
      </c>
      <c r="F154" s="101">
        <v>1907</v>
      </c>
      <c r="G154" s="101">
        <v>14262</v>
      </c>
      <c r="H154" s="101">
        <v>5676</v>
      </c>
      <c r="I154" s="101">
        <v>1726</v>
      </c>
      <c r="J154" s="101">
        <v>2439</v>
      </c>
      <c r="K154" s="101">
        <v>1387</v>
      </c>
      <c r="L154" s="101">
        <v>903</v>
      </c>
      <c r="M154" s="101">
        <v>4205</v>
      </c>
      <c r="N154" s="101">
        <v>10246</v>
      </c>
      <c r="O154" s="101">
        <v>8531</v>
      </c>
      <c r="P154" s="101">
        <v>7341</v>
      </c>
      <c r="Q154" s="101">
        <v>5961</v>
      </c>
      <c r="R154" s="101">
        <v>617</v>
      </c>
      <c r="S154" s="101"/>
      <c r="T154" t="s">
        <v>373</v>
      </c>
      <c r="U154" s="101">
        <f t="shared" si="6"/>
        <v>63294</v>
      </c>
      <c r="V154" s="101">
        <v>49036000</v>
      </c>
      <c r="W154" s="101">
        <v>40405058</v>
      </c>
      <c r="X154" s="101">
        <v>2785</v>
      </c>
      <c r="Y154" s="101">
        <v>2077</v>
      </c>
      <c r="Z154" s="101">
        <v>486</v>
      </c>
      <c r="AA154" s="101">
        <v>0</v>
      </c>
      <c r="AB154" s="101">
        <v>548</v>
      </c>
      <c r="AC154" s="101">
        <v>107</v>
      </c>
      <c r="AD154" s="101">
        <v>155</v>
      </c>
      <c r="AE154" s="101">
        <v>0</v>
      </c>
      <c r="AF154" s="101">
        <v>97</v>
      </c>
      <c r="AG154" s="101">
        <f t="shared" si="7"/>
        <v>48408.057999999997</v>
      </c>
      <c r="AH154" s="101">
        <v>23324</v>
      </c>
      <c r="AI154" s="101">
        <f t="shared" si="8"/>
        <v>2075.461241639513</v>
      </c>
      <c r="AJ154" t="s">
        <v>465</v>
      </c>
      <c r="AN154" t="s">
        <v>185</v>
      </c>
      <c r="AO154" s="259">
        <v>2227.939964326933</v>
      </c>
      <c r="AP154" t="s">
        <v>465</v>
      </c>
    </row>
    <row r="155" spans="2:42" x14ac:dyDescent="0.25">
      <c r="B155" t="s">
        <v>975</v>
      </c>
      <c r="C155" s="101">
        <v>322123</v>
      </c>
      <c r="D155" s="101">
        <v>17319</v>
      </c>
      <c r="E155" s="101">
        <v>5026</v>
      </c>
      <c r="F155" s="101">
        <v>13521</v>
      </c>
      <c r="G155" s="101">
        <v>64742</v>
      </c>
      <c r="H155" s="101">
        <v>23549</v>
      </c>
      <c r="I155" s="101">
        <v>8321</v>
      </c>
      <c r="J155" s="101">
        <v>9373</v>
      </c>
      <c r="K155" s="101">
        <v>12740</v>
      </c>
      <c r="L155" s="101">
        <v>7842</v>
      </c>
      <c r="M155" s="101">
        <v>19987</v>
      </c>
      <c r="N155" s="101">
        <v>41695</v>
      </c>
      <c r="O155" s="101">
        <v>31077</v>
      </c>
      <c r="P155" s="101">
        <v>37655</v>
      </c>
      <c r="Q155" s="101">
        <v>26299</v>
      </c>
      <c r="R155" s="101">
        <v>2977</v>
      </c>
      <c r="S155" s="101"/>
      <c r="T155" t="s">
        <v>773</v>
      </c>
      <c r="U155" s="101">
        <f t="shared" si="6"/>
        <v>286257</v>
      </c>
      <c r="V155" s="101">
        <v>221686000</v>
      </c>
      <c r="W155" s="101">
        <v>175095666</v>
      </c>
      <c r="X155" s="101">
        <v>10820</v>
      </c>
      <c r="Y155" s="101">
        <v>10909</v>
      </c>
      <c r="Z155" s="101">
        <v>1207</v>
      </c>
      <c r="AA155" s="101">
        <v>315</v>
      </c>
      <c r="AB155" s="101">
        <v>2502</v>
      </c>
      <c r="AC155" s="101">
        <v>823</v>
      </c>
      <c r="AD155" s="101">
        <v>734</v>
      </c>
      <c r="AE155" s="101">
        <v>62</v>
      </c>
      <c r="AF155" s="101">
        <v>1121</v>
      </c>
      <c r="AG155" s="101">
        <f t="shared" si="7"/>
        <v>211173.666</v>
      </c>
      <c r="AH155" s="101">
        <v>92774</v>
      </c>
      <c r="AI155" s="101">
        <f t="shared" si="8"/>
        <v>2276.2160303533319</v>
      </c>
      <c r="AJ155" t="s">
        <v>116</v>
      </c>
      <c r="AN155" t="s">
        <v>304</v>
      </c>
      <c r="AO155" s="259">
        <v>2198.0007208582451</v>
      </c>
      <c r="AP155" t="s">
        <v>465</v>
      </c>
    </row>
    <row r="156" spans="2:42" x14ac:dyDescent="0.25">
      <c r="B156" t="s">
        <v>408</v>
      </c>
      <c r="C156" s="101">
        <v>148639</v>
      </c>
      <c r="D156" s="101">
        <v>389</v>
      </c>
      <c r="E156" s="101">
        <v>1781</v>
      </c>
      <c r="F156" s="101">
        <v>6685</v>
      </c>
      <c r="G156" s="101">
        <v>29258</v>
      </c>
      <c r="H156" s="101">
        <v>11010</v>
      </c>
      <c r="I156" s="101">
        <v>3749</v>
      </c>
      <c r="J156" s="101">
        <v>2234</v>
      </c>
      <c r="K156" s="101">
        <v>376</v>
      </c>
      <c r="L156" s="101">
        <v>2790</v>
      </c>
      <c r="M156" s="101">
        <v>5796</v>
      </c>
      <c r="N156" s="101">
        <v>36882</v>
      </c>
      <c r="O156" s="101">
        <v>18427</v>
      </c>
      <c r="P156" s="101">
        <v>19033</v>
      </c>
      <c r="Q156" s="101">
        <v>9781</v>
      </c>
      <c r="R156" s="101">
        <v>448</v>
      </c>
      <c r="S156" s="101"/>
      <c r="T156" t="s">
        <v>408</v>
      </c>
      <c r="U156" s="101">
        <f t="shared" si="6"/>
        <v>139784</v>
      </c>
      <c r="V156" s="101">
        <v>119351000</v>
      </c>
      <c r="W156" s="101">
        <v>91106974</v>
      </c>
      <c r="X156" s="101">
        <v>5055</v>
      </c>
      <c r="Y156" s="101">
        <v>5703</v>
      </c>
      <c r="Z156" s="101">
        <v>358</v>
      </c>
      <c r="AA156" s="101">
        <v>20</v>
      </c>
      <c r="AB156" s="101">
        <v>298</v>
      </c>
      <c r="AC156" s="101">
        <v>185</v>
      </c>
      <c r="AD156" s="101">
        <v>158</v>
      </c>
      <c r="AE156" s="101">
        <v>17</v>
      </c>
      <c r="AF156" s="101">
        <v>19</v>
      </c>
      <c r="AG156" s="101">
        <f t="shared" si="7"/>
        <v>99726.974000000002</v>
      </c>
      <c r="AH156" s="101">
        <v>36850</v>
      </c>
      <c r="AI156" s="101">
        <f t="shared" si="8"/>
        <v>2706.2950881953866</v>
      </c>
      <c r="AJ156" t="s">
        <v>439</v>
      </c>
      <c r="AN156" t="s">
        <v>186</v>
      </c>
      <c r="AO156" s="259">
        <v>2259.4946377571837</v>
      </c>
      <c r="AP156" t="s">
        <v>465</v>
      </c>
    </row>
    <row r="157" spans="2:42" x14ac:dyDescent="0.25">
      <c r="B157" t="s">
        <v>261</v>
      </c>
      <c r="C157" s="101">
        <v>33289</v>
      </c>
      <c r="D157" s="101">
        <v>45</v>
      </c>
      <c r="E157" s="101">
        <v>41</v>
      </c>
      <c r="F157" s="101">
        <v>1654</v>
      </c>
      <c r="G157" s="101">
        <v>8913</v>
      </c>
      <c r="H157" s="101">
        <v>3973</v>
      </c>
      <c r="I157" s="101">
        <v>1204</v>
      </c>
      <c r="J157" s="101">
        <v>1049</v>
      </c>
      <c r="K157" s="101">
        <v>128</v>
      </c>
      <c r="L157" s="101">
        <v>694</v>
      </c>
      <c r="M157" s="101">
        <v>1393</v>
      </c>
      <c r="N157" s="101">
        <v>3180</v>
      </c>
      <c r="O157" s="101">
        <v>2521</v>
      </c>
      <c r="P157" s="101">
        <v>2741</v>
      </c>
      <c r="Q157" s="101">
        <v>3130</v>
      </c>
      <c r="R157" s="101">
        <v>599</v>
      </c>
      <c r="S157" s="101"/>
      <c r="T157" t="s">
        <v>261</v>
      </c>
      <c r="U157" s="101">
        <f t="shared" si="6"/>
        <v>31549</v>
      </c>
      <c r="V157" s="101">
        <v>23500000</v>
      </c>
      <c r="W157" s="101">
        <v>19841439.940074667</v>
      </c>
      <c r="X157" s="101">
        <v>1366</v>
      </c>
      <c r="Y157" s="101">
        <v>2147</v>
      </c>
      <c r="Z157" s="101">
        <v>152</v>
      </c>
      <c r="AA157" s="101">
        <v>153</v>
      </c>
      <c r="AB157" s="101">
        <v>379</v>
      </c>
      <c r="AC157" s="101">
        <v>139</v>
      </c>
      <c r="AD157" s="101">
        <v>72</v>
      </c>
      <c r="AE157" s="101">
        <v>0</v>
      </c>
      <c r="AF157" s="101">
        <v>0</v>
      </c>
      <c r="AG157" s="101">
        <f t="shared" si="7"/>
        <v>23482.439940074666</v>
      </c>
      <c r="AH157" s="101">
        <v>11748</v>
      </c>
      <c r="AI157" s="101">
        <f t="shared" si="8"/>
        <v>1998.8457558796958</v>
      </c>
      <c r="AJ157" t="s">
        <v>465</v>
      </c>
      <c r="AN157" t="s">
        <v>375</v>
      </c>
      <c r="AO157" s="259">
        <v>2188.2393158853733</v>
      </c>
      <c r="AP157" t="s">
        <v>465</v>
      </c>
    </row>
    <row r="158" spans="2:42" x14ac:dyDescent="0.25">
      <c r="B158" t="s">
        <v>300</v>
      </c>
      <c r="C158" s="101">
        <v>225418</v>
      </c>
      <c r="D158" s="101">
        <v>38079</v>
      </c>
      <c r="E158" s="101">
        <v>2131</v>
      </c>
      <c r="F158" s="101">
        <v>11590</v>
      </c>
      <c r="G158" s="101">
        <v>50725</v>
      </c>
      <c r="H158" s="101">
        <v>10443</v>
      </c>
      <c r="I158" s="101">
        <v>5164</v>
      </c>
      <c r="J158" s="101">
        <v>7616</v>
      </c>
      <c r="K158" s="101">
        <v>553</v>
      </c>
      <c r="L158" s="101">
        <v>7868</v>
      </c>
      <c r="M158" s="101">
        <v>12124</v>
      </c>
      <c r="N158" s="101">
        <v>15142</v>
      </c>
      <c r="O158" s="101">
        <v>22369</v>
      </c>
      <c r="P158" s="101">
        <v>24042</v>
      </c>
      <c r="Q158" s="101">
        <v>14162</v>
      </c>
      <c r="R158" s="101">
        <v>3410</v>
      </c>
      <c r="S158" s="101"/>
      <c r="T158" t="s">
        <v>300</v>
      </c>
      <c r="U158" s="101">
        <f t="shared" si="6"/>
        <v>173618</v>
      </c>
      <c r="V158" s="101">
        <v>120901000</v>
      </c>
      <c r="W158" s="101">
        <v>102371999</v>
      </c>
      <c r="X158" s="101">
        <v>7757</v>
      </c>
      <c r="Y158" s="101">
        <v>7515</v>
      </c>
      <c r="Z158" s="101">
        <v>1335</v>
      </c>
      <c r="AA158" s="101">
        <v>240</v>
      </c>
      <c r="AB158" s="101">
        <v>3472</v>
      </c>
      <c r="AC158" s="101">
        <v>874</v>
      </c>
      <c r="AD158" s="101">
        <v>150</v>
      </c>
      <c r="AE158" s="101">
        <v>0</v>
      </c>
      <c r="AF158" s="101">
        <v>211</v>
      </c>
      <c r="AG158" s="101">
        <f t="shared" si="7"/>
        <v>133534.99900000001</v>
      </c>
      <c r="AH158" s="101">
        <v>66093</v>
      </c>
      <c r="AI158" s="101">
        <f t="shared" si="8"/>
        <v>2020.4106183710835</v>
      </c>
      <c r="AJ158" t="s">
        <v>465</v>
      </c>
      <c r="AN158" t="s">
        <v>222</v>
      </c>
      <c r="AO158" s="259">
        <v>2256.1096251266463</v>
      </c>
      <c r="AP158" t="s">
        <v>465</v>
      </c>
    </row>
    <row r="159" spans="2:42" x14ac:dyDescent="0.25">
      <c r="B159" t="s">
        <v>724</v>
      </c>
      <c r="C159" s="101">
        <v>37589</v>
      </c>
      <c r="D159" s="101">
        <v>1908</v>
      </c>
      <c r="E159" s="101">
        <v>248</v>
      </c>
      <c r="F159" s="101">
        <v>1378</v>
      </c>
      <c r="G159" s="101">
        <v>1340</v>
      </c>
      <c r="H159" s="101">
        <v>7960</v>
      </c>
      <c r="I159" s="101">
        <v>1901</v>
      </c>
      <c r="J159" s="101">
        <v>1508</v>
      </c>
      <c r="K159" s="101">
        <v>234</v>
      </c>
      <c r="L159" s="101">
        <v>1319</v>
      </c>
      <c r="M159" s="101">
        <v>3233</v>
      </c>
      <c r="N159" s="101">
        <v>3346</v>
      </c>
      <c r="O159" s="101">
        <v>2468</v>
      </c>
      <c r="P159" s="101">
        <v>6098</v>
      </c>
      <c r="Q159" s="101">
        <v>3324</v>
      </c>
      <c r="R159" s="101">
        <v>1324</v>
      </c>
      <c r="S159" s="101"/>
      <c r="T159" t="s">
        <v>724</v>
      </c>
      <c r="U159" s="101">
        <f t="shared" si="6"/>
        <v>34055</v>
      </c>
      <c r="V159" s="101">
        <v>22766000</v>
      </c>
      <c r="W159" s="101">
        <v>17954291</v>
      </c>
      <c r="X159" s="101">
        <v>1491</v>
      </c>
      <c r="Y159" s="101">
        <v>1889</v>
      </c>
      <c r="Z159" s="101">
        <v>278</v>
      </c>
      <c r="AA159" s="101">
        <v>73</v>
      </c>
      <c r="AB159" s="101">
        <v>1060</v>
      </c>
      <c r="AC159" s="101">
        <v>117</v>
      </c>
      <c r="AD159" s="101">
        <v>0</v>
      </c>
      <c r="AE159" s="101">
        <v>8</v>
      </c>
      <c r="AF159" s="101">
        <v>62</v>
      </c>
      <c r="AG159" s="101">
        <f t="shared" si="7"/>
        <v>24265.291000000001</v>
      </c>
      <c r="AH159" s="101">
        <v>11474</v>
      </c>
      <c r="AI159" s="101">
        <f t="shared" si="8"/>
        <v>2114.8066062401954</v>
      </c>
      <c r="AJ159" t="s">
        <v>465</v>
      </c>
      <c r="AN159" t="s">
        <v>187</v>
      </c>
      <c r="AO159" s="259">
        <v>2174.9965763846621</v>
      </c>
      <c r="AP159" t="s">
        <v>465</v>
      </c>
    </row>
    <row r="160" spans="2:42" x14ac:dyDescent="0.25">
      <c r="B160" t="s">
        <v>130</v>
      </c>
      <c r="C160" s="101">
        <v>730874</v>
      </c>
      <c r="D160" s="101">
        <v>35029</v>
      </c>
      <c r="E160" s="101">
        <v>12430</v>
      </c>
      <c r="F160" s="101">
        <v>26967</v>
      </c>
      <c r="G160" s="101">
        <v>134444</v>
      </c>
      <c r="H160" s="101">
        <v>32575</v>
      </c>
      <c r="I160" s="101">
        <v>16271</v>
      </c>
      <c r="J160" s="101">
        <v>30049</v>
      </c>
      <c r="K160" s="101">
        <v>6032</v>
      </c>
      <c r="L160" s="101">
        <v>15816</v>
      </c>
      <c r="M160" s="101">
        <v>36103</v>
      </c>
      <c r="N160" s="101">
        <v>134991</v>
      </c>
      <c r="O160" s="101">
        <v>80438</v>
      </c>
      <c r="P160" s="101">
        <v>129449</v>
      </c>
      <c r="Q160" s="101">
        <v>35648</v>
      </c>
      <c r="R160" s="101">
        <v>4632</v>
      </c>
      <c r="S160" s="101"/>
      <c r="T160" t="s">
        <v>130</v>
      </c>
      <c r="U160" s="101">
        <f t="shared" si="6"/>
        <v>656448</v>
      </c>
      <c r="V160" s="101">
        <v>551343000</v>
      </c>
      <c r="W160" s="101">
        <v>342436650</v>
      </c>
      <c r="X160" s="101">
        <v>12406</v>
      </c>
      <c r="Y160" s="101">
        <v>19440</v>
      </c>
      <c r="Z160" s="101">
        <v>2086</v>
      </c>
      <c r="AA160" s="101">
        <v>338</v>
      </c>
      <c r="AB160" s="101">
        <v>4137</v>
      </c>
      <c r="AC160" s="101">
        <v>909</v>
      </c>
      <c r="AD160" s="101">
        <v>756</v>
      </c>
      <c r="AE160" s="101">
        <v>3789</v>
      </c>
      <c r="AF160" s="101">
        <v>1069</v>
      </c>
      <c r="AG160" s="101">
        <f t="shared" si="7"/>
        <v>402611.65</v>
      </c>
      <c r="AH160" s="101">
        <v>129970</v>
      </c>
      <c r="AI160" s="101">
        <f t="shared" si="8"/>
        <v>3097.7275525121181</v>
      </c>
      <c r="AJ160" t="s">
        <v>439</v>
      </c>
      <c r="AN160" t="s">
        <v>581</v>
      </c>
      <c r="AO160" s="259">
        <v>2391.0401553792385</v>
      </c>
      <c r="AP160" t="s">
        <v>465</v>
      </c>
    </row>
    <row r="161" spans="2:42" x14ac:dyDescent="0.25">
      <c r="B161" t="s">
        <v>301</v>
      </c>
      <c r="C161" s="101">
        <v>694907</v>
      </c>
      <c r="D161" s="101">
        <v>18659</v>
      </c>
      <c r="E161" s="101">
        <v>12069</v>
      </c>
      <c r="F161" s="101">
        <v>31201</v>
      </c>
      <c r="G161" s="101">
        <v>186440</v>
      </c>
      <c r="H161" s="101">
        <v>46396</v>
      </c>
      <c r="I161" s="101">
        <v>15637</v>
      </c>
      <c r="J161" s="101">
        <v>31860</v>
      </c>
      <c r="K161" s="101">
        <v>9224</v>
      </c>
      <c r="L161" s="101">
        <v>19638</v>
      </c>
      <c r="M161" s="101">
        <v>36193</v>
      </c>
      <c r="N161" s="101">
        <v>77855</v>
      </c>
      <c r="O161" s="101">
        <v>52506</v>
      </c>
      <c r="P161" s="101">
        <v>115592</v>
      </c>
      <c r="Q161" s="101">
        <v>31129</v>
      </c>
      <c r="R161" s="101">
        <v>10508</v>
      </c>
      <c r="S161" s="101"/>
      <c r="T161" t="s">
        <v>301</v>
      </c>
      <c r="U161" s="101">
        <f t="shared" si="6"/>
        <v>632978</v>
      </c>
      <c r="V161" s="101">
        <v>472468000</v>
      </c>
      <c r="W161" s="101">
        <v>305542749</v>
      </c>
      <c r="X161" s="101">
        <v>14480</v>
      </c>
      <c r="Y161" s="101">
        <v>22763</v>
      </c>
      <c r="Z161" s="101">
        <v>2437</v>
      </c>
      <c r="AA161" s="101">
        <v>0</v>
      </c>
      <c r="AB161" s="101">
        <v>4634</v>
      </c>
      <c r="AC161" s="101">
        <v>1796</v>
      </c>
      <c r="AD161" s="101">
        <v>1680</v>
      </c>
      <c r="AE161" s="101">
        <v>20489</v>
      </c>
      <c r="AF161" s="101">
        <v>2319</v>
      </c>
      <c r="AG161" s="101">
        <f t="shared" si="7"/>
        <v>395454.74900000001</v>
      </c>
      <c r="AH161" s="101">
        <v>130613</v>
      </c>
      <c r="AI161" s="101">
        <f t="shared" si="8"/>
        <v>3027.682918239379</v>
      </c>
      <c r="AJ161" t="s">
        <v>439</v>
      </c>
      <c r="AN161" t="s">
        <v>306</v>
      </c>
      <c r="AO161" s="259">
        <v>1996.991813407476</v>
      </c>
      <c r="AP161" t="s">
        <v>465</v>
      </c>
    </row>
    <row r="162" spans="2:42" x14ac:dyDescent="0.25">
      <c r="B162" t="s">
        <v>302</v>
      </c>
      <c r="C162" s="101">
        <v>86997</v>
      </c>
      <c r="D162" s="101">
        <v>299</v>
      </c>
      <c r="E162" s="101">
        <v>408</v>
      </c>
      <c r="F162" s="101">
        <v>3896</v>
      </c>
      <c r="G162" s="101">
        <v>14674</v>
      </c>
      <c r="H162" s="101">
        <v>11192</v>
      </c>
      <c r="I162" s="101">
        <v>2551</v>
      </c>
      <c r="J162" s="101">
        <v>3247</v>
      </c>
      <c r="K162" s="101">
        <v>1794</v>
      </c>
      <c r="L162" s="101">
        <v>2029</v>
      </c>
      <c r="M162" s="101">
        <v>7018</v>
      </c>
      <c r="N162" s="101">
        <v>11124</v>
      </c>
      <c r="O162" s="101">
        <v>13307</v>
      </c>
      <c r="P162" s="101">
        <v>7862</v>
      </c>
      <c r="Q162" s="101">
        <v>7237</v>
      </c>
      <c r="R162" s="101">
        <v>359</v>
      </c>
      <c r="S162" s="101"/>
      <c r="T162" t="s">
        <v>302</v>
      </c>
      <c r="U162" s="101">
        <f t="shared" si="6"/>
        <v>82394</v>
      </c>
      <c r="V162" s="101">
        <v>59263000</v>
      </c>
      <c r="W162" s="101">
        <v>50788273</v>
      </c>
      <c r="X162" s="101">
        <v>2266</v>
      </c>
      <c r="Y162" s="101">
        <v>5673</v>
      </c>
      <c r="Z162" s="101">
        <v>318</v>
      </c>
      <c r="AA162" s="101">
        <v>299</v>
      </c>
      <c r="AB162" s="101">
        <v>255</v>
      </c>
      <c r="AC162" s="101">
        <v>29</v>
      </c>
      <c r="AD162" s="101">
        <v>78</v>
      </c>
      <c r="AE162" s="101">
        <v>25</v>
      </c>
      <c r="AF162" s="101">
        <v>105</v>
      </c>
      <c r="AG162" s="101">
        <f t="shared" si="7"/>
        <v>64871.273000000001</v>
      </c>
      <c r="AH162" s="101">
        <v>27774</v>
      </c>
      <c r="AI162" s="101">
        <f t="shared" si="8"/>
        <v>2335.6834809534098</v>
      </c>
      <c r="AJ162" t="s">
        <v>465</v>
      </c>
      <c r="AN162" t="s">
        <v>377</v>
      </c>
      <c r="AO162" s="259">
        <v>2471.5969848983646</v>
      </c>
      <c r="AP162" t="s">
        <v>465</v>
      </c>
    </row>
    <row r="163" spans="2:42" x14ac:dyDescent="0.25">
      <c r="B163" t="s">
        <v>303</v>
      </c>
      <c r="C163" s="101">
        <v>315837</v>
      </c>
      <c r="D163" s="101">
        <v>29050</v>
      </c>
      <c r="E163" s="101">
        <v>2492</v>
      </c>
      <c r="F163" s="101">
        <v>13554</v>
      </c>
      <c r="G163" s="101">
        <v>66551</v>
      </c>
      <c r="H163" s="101">
        <v>22817</v>
      </c>
      <c r="I163" s="101">
        <v>8386</v>
      </c>
      <c r="J163" s="101">
        <v>9072</v>
      </c>
      <c r="K163" s="101">
        <v>999</v>
      </c>
      <c r="L163" s="101">
        <v>6419</v>
      </c>
      <c r="M163" s="101">
        <v>13995</v>
      </c>
      <c r="N163" s="101">
        <v>46518</v>
      </c>
      <c r="O163" s="101">
        <v>29904</v>
      </c>
      <c r="P163" s="101">
        <v>36492</v>
      </c>
      <c r="Q163" s="101">
        <v>22072</v>
      </c>
      <c r="R163" s="101">
        <v>7516</v>
      </c>
      <c r="S163" s="101"/>
      <c r="T163" t="s">
        <v>303</v>
      </c>
      <c r="U163" s="101">
        <f t="shared" si="6"/>
        <v>270741</v>
      </c>
      <c r="V163" s="101">
        <v>205996000</v>
      </c>
      <c r="W163" s="101">
        <v>161528521</v>
      </c>
      <c r="X163" s="101">
        <v>9451</v>
      </c>
      <c r="Y163" s="101">
        <v>15398</v>
      </c>
      <c r="Z163" s="101">
        <v>2122</v>
      </c>
      <c r="AA163" s="101">
        <v>952</v>
      </c>
      <c r="AB163" s="101">
        <v>3651</v>
      </c>
      <c r="AC163" s="101">
        <v>229</v>
      </c>
      <c r="AD163" s="101">
        <v>589</v>
      </c>
      <c r="AE163" s="101">
        <v>456</v>
      </c>
      <c r="AF163" s="101">
        <v>167</v>
      </c>
      <c r="AG163" s="101">
        <f t="shared" si="7"/>
        <v>193258.52100000001</v>
      </c>
      <c r="AH163" s="101">
        <v>78309</v>
      </c>
      <c r="AI163" s="101">
        <f t="shared" si="8"/>
        <v>2467.8966785426965</v>
      </c>
      <c r="AJ163" t="s">
        <v>116</v>
      </c>
      <c r="AN163" t="s">
        <v>596</v>
      </c>
      <c r="AO163" s="259">
        <v>1978.4158860996629</v>
      </c>
      <c r="AP163" t="s">
        <v>465</v>
      </c>
    </row>
    <row r="164" spans="2:42" x14ac:dyDescent="0.25">
      <c r="B164" t="s">
        <v>429</v>
      </c>
      <c r="C164" s="101">
        <v>435309</v>
      </c>
      <c r="D164" s="101">
        <v>30522</v>
      </c>
      <c r="E164" s="101">
        <v>572</v>
      </c>
      <c r="F164" s="101">
        <v>11498</v>
      </c>
      <c r="G164" s="101">
        <v>67170</v>
      </c>
      <c r="H164" s="101">
        <v>25190</v>
      </c>
      <c r="I164" s="101">
        <v>10177</v>
      </c>
      <c r="J164" s="101">
        <v>19492</v>
      </c>
      <c r="K164" s="101">
        <v>39691</v>
      </c>
      <c r="L164" s="101">
        <v>22712</v>
      </c>
      <c r="M164" s="101">
        <v>21908</v>
      </c>
      <c r="N164" s="101">
        <v>60718</v>
      </c>
      <c r="O164" s="101">
        <v>44446</v>
      </c>
      <c r="P164" s="101">
        <v>43521</v>
      </c>
      <c r="Q164" s="101">
        <v>29899</v>
      </c>
      <c r="R164" s="101">
        <v>7793</v>
      </c>
      <c r="S164" s="101"/>
      <c r="T164" t="s">
        <v>429</v>
      </c>
      <c r="U164" s="101">
        <f t="shared" si="6"/>
        <v>392717</v>
      </c>
      <c r="V164" s="101">
        <v>273382000</v>
      </c>
      <c r="W164" s="101">
        <v>210719867</v>
      </c>
      <c r="X164" s="101">
        <v>8869</v>
      </c>
      <c r="Y164" s="101">
        <v>15903</v>
      </c>
      <c r="Z164" s="101">
        <v>1298</v>
      </c>
      <c r="AA164" s="101">
        <v>401</v>
      </c>
      <c r="AB164" s="101">
        <v>2690</v>
      </c>
      <c r="AC164" s="101">
        <v>536</v>
      </c>
      <c r="AD164" s="101">
        <v>400</v>
      </c>
      <c r="AE164" s="101">
        <v>2550</v>
      </c>
      <c r="AF164" s="101">
        <v>740</v>
      </c>
      <c r="AG164" s="101">
        <f t="shared" si="7"/>
        <v>296667.86699999997</v>
      </c>
      <c r="AH164" s="101">
        <v>84722</v>
      </c>
      <c r="AI164" s="101">
        <f t="shared" si="8"/>
        <v>3501.6626968201876</v>
      </c>
      <c r="AJ164" t="s">
        <v>439</v>
      </c>
      <c r="AN164" t="s">
        <v>436</v>
      </c>
      <c r="AO164" s="286">
        <v>1887.0805573699108</v>
      </c>
      <c r="AP164" t="s">
        <v>465</v>
      </c>
    </row>
    <row r="165" spans="2:42" x14ac:dyDescent="0.25">
      <c r="B165" t="s">
        <v>409</v>
      </c>
      <c r="C165" s="101">
        <v>114148</v>
      </c>
      <c r="D165" s="101">
        <v>1459</v>
      </c>
      <c r="E165" s="101">
        <v>1190</v>
      </c>
      <c r="F165" s="101">
        <v>4955</v>
      </c>
      <c r="G165" s="101">
        <v>23360</v>
      </c>
      <c r="H165" s="101">
        <v>11840</v>
      </c>
      <c r="I165" s="101">
        <v>3897</v>
      </c>
      <c r="J165" s="101">
        <v>2924</v>
      </c>
      <c r="K165" s="101">
        <v>6916</v>
      </c>
      <c r="L165" s="101">
        <v>1913</v>
      </c>
      <c r="M165" s="101">
        <v>8285</v>
      </c>
      <c r="N165" s="101">
        <v>10847</v>
      </c>
      <c r="O165" s="101">
        <v>13522</v>
      </c>
      <c r="P165" s="101">
        <v>12649</v>
      </c>
      <c r="Q165" s="101">
        <v>8582</v>
      </c>
      <c r="R165" s="101">
        <v>1809</v>
      </c>
      <c r="S165" s="101"/>
      <c r="T165" t="s">
        <v>409</v>
      </c>
      <c r="U165" s="101">
        <f t="shared" si="6"/>
        <v>106544</v>
      </c>
      <c r="V165" s="101">
        <v>80078000</v>
      </c>
      <c r="W165" s="101">
        <v>67944989</v>
      </c>
      <c r="X165" s="101">
        <v>4882</v>
      </c>
      <c r="Y165" s="101">
        <v>3693</v>
      </c>
      <c r="Z165" s="101">
        <v>749</v>
      </c>
      <c r="AA165" s="101">
        <v>7</v>
      </c>
      <c r="AB165" s="101">
        <v>901</v>
      </c>
      <c r="AC165" s="101">
        <v>157</v>
      </c>
      <c r="AD165" s="101">
        <v>1291</v>
      </c>
      <c r="AE165" s="101">
        <v>0</v>
      </c>
      <c r="AF165" s="101">
        <v>134</v>
      </c>
      <c r="AG165" s="101">
        <f t="shared" si="7"/>
        <v>82596.989000000001</v>
      </c>
      <c r="AH165" s="101">
        <v>36108</v>
      </c>
      <c r="AI165" s="101">
        <f t="shared" si="8"/>
        <v>2287.4983106236846</v>
      </c>
      <c r="AJ165" t="s">
        <v>465</v>
      </c>
      <c r="AN165" t="s">
        <v>413</v>
      </c>
      <c r="AO165" s="259">
        <v>2069.4031840059238</v>
      </c>
      <c r="AP165" t="s">
        <v>465</v>
      </c>
    </row>
    <row r="166" spans="2:42" x14ac:dyDescent="0.25">
      <c r="B166" t="s">
        <v>221</v>
      </c>
      <c r="C166" s="101">
        <v>93309</v>
      </c>
      <c r="D166" s="101">
        <v>3627</v>
      </c>
      <c r="E166" s="101">
        <v>200</v>
      </c>
      <c r="F166" s="101">
        <v>3480</v>
      </c>
      <c r="G166" s="101">
        <v>21357</v>
      </c>
      <c r="H166" s="101">
        <v>5325</v>
      </c>
      <c r="I166" s="101">
        <v>2423</v>
      </c>
      <c r="J166" s="101">
        <v>3357</v>
      </c>
      <c r="K166" s="101">
        <v>81</v>
      </c>
      <c r="L166" s="101">
        <v>1567</v>
      </c>
      <c r="M166" s="101">
        <v>6501</v>
      </c>
      <c r="N166" s="101">
        <v>9232</v>
      </c>
      <c r="O166" s="101">
        <v>14424</v>
      </c>
      <c r="P166" s="101">
        <v>12530</v>
      </c>
      <c r="Q166" s="101">
        <v>8278</v>
      </c>
      <c r="R166" s="101">
        <v>927</v>
      </c>
      <c r="S166" s="101"/>
      <c r="T166" t="s">
        <v>221</v>
      </c>
      <c r="U166" s="101">
        <f t="shared" si="6"/>
        <v>86002</v>
      </c>
      <c r="V166" s="101">
        <v>65301000</v>
      </c>
      <c r="W166" s="101">
        <v>50788731</v>
      </c>
      <c r="X166" s="101">
        <v>2367</v>
      </c>
      <c r="Y166" s="101">
        <v>3838</v>
      </c>
      <c r="Z166" s="101">
        <v>596</v>
      </c>
      <c r="AA166" s="101">
        <v>41</v>
      </c>
      <c r="AB166" s="101">
        <v>947</v>
      </c>
      <c r="AC166" s="101">
        <v>164</v>
      </c>
      <c r="AD166" s="101">
        <v>180</v>
      </c>
      <c r="AE166" s="101">
        <v>1</v>
      </c>
      <c r="AF166" s="101">
        <v>0</v>
      </c>
      <c r="AG166" s="101">
        <f t="shared" si="7"/>
        <v>63355.731</v>
      </c>
      <c r="AH166" s="101">
        <v>31911</v>
      </c>
      <c r="AI166" s="101">
        <f t="shared" si="8"/>
        <v>1985.3884553915577</v>
      </c>
      <c r="AJ166" t="s">
        <v>465</v>
      </c>
      <c r="AN166" t="s">
        <v>189</v>
      </c>
      <c r="AO166" s="259">
        <v>2387.0332945736436</v>
      </c>
      <c r="AP166" t="s">
        <v>465</v>
      </c>
    </row>
    <row r="167" spans="2:42" x14ac:dyDescent="0.25">
      <c r="B167" t="s">
        <v>185</v>
      </c>
      <c r="C167" s="101">
        <v>151276</v>
      </c>
      <c r="D167" s="101">
        <v>2282</v>
      </c>
      <c r="E167" s="101">
        <v>2015</v>
      </c>
      <c r="F167" s="101">
        <v>5576</v>
      </c>
      <c r="G167" s="101">
        <v>33867</v>
      </c>
      <c r="H167" s="101">
        <v>11227</v>
      </c>
      <c r="I167" s="101">
        <v>3524</v>
      </c>
      <c r="J167" s="101">
        <v>4709</v>
      </c>
      <c r="K167" s="101">
        <v>2075</v>
      </c>
      <c r="L167" s="101">
        <v>3349</v>
      </c>
      <c r="M167" s="101">
        <v>7967</v>
      </c>
      <c r="N167" s="101">
        <v>16548</v>
      </c>
      <c r="O167" s="101">
        <v>19880</v>
      </c>
      <c r="P167" s="101">
        <v>23644</v>
      </c>
      <c r="Q167" s="101">
        <v>12130</v>
      </c>
      <c r="R167" s="101">
        <v>2483</v>
      </c>
      <c r="S167" s="101"/>
      <c r="T167" t="s">
        <v>185</v>
      </c>
      <c r="U167" s="101">
        <f t="shared" si="6"/>
        <v>141403</v>
      </c>
      <c r="V167" s="101">
        <v>104036000</v>
      </c>
      <c r="W167" s="101">
        <v>82153479</v>
      </c>
      <c r="X167" s="101">
        <v>4913</v>
      </c>
      <c r="Y167" s="101">
        <v>5358</v>
      </c>
      <c r="Z167" s="101">
        <v>911</v>
      </c>
      <c r="AA167" s="101">
        <v>65</v>
      </c>
      <c r="AB167" s="101">
        <v>1415</v>
      </c>
      <c r="AC167" s="101">
        <v>354</v>
      </c>
      <c r="AD167" s="101">
        <v>138</v>
      </c>
      <c r="AE167" s="101">
        <v>0</v>
      </c>
      <c r="AF167" s="101">
        <v>194</v>
      </c>
      <c r="AG167" s="101">
        <f t="shared" si="7"/>
        <v>106172.47900000001</v>
      </c>
      <c r="AH167" s="101">
        <v>47655</v>
      </c>
      <c r="AI167" s="101">
        <f t="shared" si="8"/>
        <v>2227.939964326933</v>
      </c>
      <c r="AJ167" t="s">
        <v>465</v>
      </c>
      <c r="AN167" t="s">
        <v>414</v>
      </c>
      <c r="AO167" s="259">
        <v>2335.0554350308289</v>
      </c>
      <c r="AP167" t="s">
        <v>465</v>
      </c>
    </row>
    <row r="168" spans="2:42" x14ac:dyDescent="0.25">
      <c r="B168" t="s">
        <v>304</v>
      </c>
      <c r="C168" s="101">
        <v>74961</v>
      </c>
      <c r="D168" s="101">
        <v>0</v>
      </c>
      <c r="E168" s="101">
        <v>1495</v>
      </c>
      <c r="F168" s="101">
        <v>4048</v>
      </c>
      <c r="G168" s="101">
        <v>1404</v>
      </c>
      <c r="H168" s="101">
        <v>11469</v>
      </c>
      <c r="I168" s="101">
        <v>3155</v>
      </c>
      <c r="J168" s="101">
        <v>3235</v>
      </c>
      <c r="K168" s="101">
        <v>1274</v>
      </c>
      <c r="L168" s="101">
        <v>1427</v>
      </c>
      <c r="M168" s="101">
        <v>8714</v>
      </c>
      <c r="N168" s="101">
        <v>9001</v>
      </c>
      <c r="O168" s="101">
        <v>9451</v>
      </c>
      <c r="P168" s="101">
        <v>10102</v>
      </c>
      <c r="Q168" s="101">
        <v>8203</v>
      </c>
      <c r="R168" s="101">
        <v>1983</v>
      </c>
      <c r="S168" s="101"/>
      <c r="T168" t="s">
        <v>304</v>
      </c>
      <c r="U168" s="101">
        <f t="shared" si="6"/>
        <v>69418</v>
      </c>
      <c r="V168" s="101">
        <v>51032000</v>
      </c>
      <c r="W168" s="101">
        <v>42603451</v>
      </c>
      <c r="X168" s="101">
        <v>2134</v>
      </c>
      <c r="Y168" s="101">
        <v>5441</v>
      </c>
      <c r="Z168" s="101">
        <v>449</v>
      </c>
      <c r="AA168" s="101">
        <v>0</v>
      </c>
      <c r="AB168" s="101">
        <v>793</v>
      </c>
      <c r="AC168" s="101">
        <v>40</v>
      </c>
      <c r="AD168" s="101">
        <v>133</v>
      </c>
      <c r="AE168" s="101">
        <v>7</v>
      </c>
      <c r="AF168" s="101">
        <v>157</v>
      </c>
      <c r="AG168" s="101">
        <f t="shared" si="7"/>
        <v>51835.451000000001</v>
      </c>
      <c r="AH168" s="101">
        <v>23583</v>
      </c>
      <c r="AI168" s="101">
        <f t="shared" si="8"/>
        <v>2198.0007208582451</v>
      </c>
      <c r="AJ168" t="s">
        <v>465</v>
      </c>
      <c r="AN168" t="s">
        <v>307</v>
      </c>
      <c r="AO168" s="259">
        <v>2144.1762275651881</v>
      </c>
      <c r="AP168" t="s">
        <v>465</v>
      </c>
    </row>
    <row r="169" spans="2:42" x14ac:dyDescent="0.25">
      <c r="B169" t="s">
        <v>186</v>
      </c>
      <c r="C169" s="101">
        <v>113765</v>
      </c>
      <c r="D169" s="101">
        <v>1559</v>
      </c>
      <c r="E169" s="101">
        <v>478</v>
      </c>
      <c r="F169" s="101">
        <v>4357</v>
      </c>
      <c r="G169" s="101">
        <v>26111</v>
      </c>
      <c r="H169" s="101">
        <v>11359</v>
      </c>
      <c r="I169" s="101">
        <v>2967</v>
      </c>
      <c r="J169" s="101">
        <v>6333</v>
      </c>
      <c r="K169" s="101">
        <v>1478</v>
      </c>
      <c r="L169" s="101">
        <v>1865</v>
      </c>
      <c r="M169" s="101">
        <v>7696</v>
      </c>
      <c r="N169" s="101">
        <v>9923</v>
      </c>
      <c r="O169" s="101">
        <v>8020</v>
      </c>
      <c r="P169" s="101">
        <v>17549</v>
      </c>
      <c r="Q169" s="101">
        <v>12576</v>
      </c>
      <c r="R169" s="101">
        <v>1494</v>
      </c>
      <c r="S169" s="101"/>
      <c r="T169" t="s">
        <v>186</v>
      </c>
      <c r="U169" s="101">
        <f t="shared" si="6"/>
        <v>107371</v>
      </c>
      <c r="V169" s="101">
        <v>82238000</v>
      </c>
      <c r="W169" s="101">
        <v>65181299</v>
      </c>
      <c r="X169" s="101">
        <v>6018</v>
      </c>
      <c r="Y169" s="101">
        <v>3814</v>
      </c>
      <c r="Z169" s="101">
        <v>394</v>
      </c>
      <c r="AA169" s="101">
        <v>367</v>
      </c>
      <c r="AB169" s="101">
        <v>818</v>
      </c>
      <c r="AC169" s="101">
        <v>302</v>
      </c>
      <c r="AD169" s="101">
        <v>894</v>
      </c>
      <c r="AE169" s="101">
        <v>25</v>
      </c>
      <c r="AF169" s="101">
        <v>150</v>
      </c>
      <c r="AG169" s="101">
        <f t="shared" si="7"/>
        <v>77532.298999999999</v>
      </c>
      <c r="AH169" s="101">
        <v>34314</v>
      </c>
      <c r="AI169" s="101">
        <f t="shared" si="8"/>
        <v>2259.4946377571837</v>
      </c>
      <c r="AJ169" t="s">
        <v>465</v>
      </c>
      <c r="AN169" t="s">
        <v>190</v>
      </c>
      <c r="AO169" s="259">
        <v>2240.1057627118644</v>
      </c>
      <c r="AP169" t="s">
        <v>465</v>
      </c>
    </row>
    <row r="170" spans="2:42" x14ac:dyDescent="0.25">
      <c r="B170" t="s">
        <v>375</v>
      </c>
      <c r="C170" s="101">
        <v>76416</v>
      </c>
      <c r="D170" s="101">
        <v>5</v>
      </c>
      <c r="E170" s="101">
        <v>763</v>
      </c>
      <c r="F170" s="101">
        <v>3334</v>
      </c>
      <c r="G170" s="101">
        <v>19463</v>
      </c>
      <c r="H170" s="101">
        <v>7220</v>
      </c>
      <c r="I170" s="101">
        <v>1848</v>
      </c>
      <c r="J170" s="101">
        <v>2320</v>
      </c>
      <c r="K170" s="101">
        <v>824</v>
      </c>
      <c r="L170" s="101">
        <v>1907</v>
      </c>
      <c r="M170" s="101">
        <v>4504</v>
      </c>
      <c r="N170" s="101">
        <v>11766</v>
      </c>
      <c r="O170" s="101">
        <v>7104</v>
      </c>
      <c r="P170" s="101">
        <v>9766</v>
      </c>
      <c r="Q170" s="101">
        <v>5169</v>
      </c>
      <c r="R170" s="101">
        <v>423</v>
      </c>
      <c r="S170" s="101"/>
      <c r="T170" t="s">
        <v>375</v>
      </c>
      <c r="U170" s="101">
        <f t="shared" si="6"/>
        <v>72314</v>
      </c>
      <c r="V170" s="101">
        <v>53028000</v>
      </c>
      <c r="W170" s="101">
        <v>44372603</v>
      </c>
      <c r="X170" s="101">
        <v>2489</v>
      </c>
      <c r="Y170" s="101">
        <v>3406</v>
      </c>
      <c r="Z170" s="101">
        <v>432</v>
      </c>
      <c r="AA170" s="101">
        <v>0</v>
      </c>
      <c r="AB170" s="101">
        <v>550</v>
      </c>
      <c r="AC170" s="101">
        <v>77</v>
      </c>
      <c r="AD170" s="101">
        <v>3795</v>
      </c>
      <c r="AE170" s="101">
        <v>68</v>
      </c>
      <c r="AF170" s="101">
        <v>0</v>
      </c>
      <c r="AG170" s="101">
        <f t="shared" si="7"/>
        <v>52841.603000000003</v>
      </c>
      <c r="AH170" s="101">
        <v>24148</v>
      </c>
      <c r="AI170" s="101">
        <f t="shared" si="8"/>
        <v>2188.2393158853733</v>
      </c>
      <c r="AJ170" t="s">
        <v>465</v>
      </c>
      <c r="AN170" t="s">
        <v>433</v>
      </c>
      <c r="AO170" s="286">
        <v>1883.6159482936066</v>
      </c>
      <c r="AP170" t="s">
        <v>465</v>
      </c>
    </row>
    <row r="171" spans="2:42" x14ac:dyDescent="0.25">
      <c r="B171" t="s">
        <v>222</v>
      </c>
      <c r="C171" s="101">
        <v>44093</v>
      </c>
      <c r="D171" s="101">
        <v>0</v>
      </c>
      <c r="E171" s="101">
        <v>68</v>
      </c>
      <c r="F171" s="101">
        <v>1371</v>
      </c>
      <c r="G171" s="101">
        <v>15273</v>
      </c>
      <c r="H171" s="101">
        <v>5060</v>
      </c>
      <c r="I171" s="101">
        <v>1173</v>
      </c>
      <c r="J171" s="101">
        <v>2962</v>
      </c>
      <c r="K171" s="101">
        <v>116</v>
      </c>
      <c r="L171" s="101">
        <v>968</v>
      </c>
      <c r="M171" s="101">
        <v>1641</v>
      </c>
      <c r="N171" s="101">
        <v>4717</v>
      </c>
      <c r="O171" s="101">
        <v>3498</v>
      </c>
      <c r="P171" s="101">
        <v>3114</v>
      </c>
      <c r="Q171" s="101">
        <v>3943</v>
      </c>
      <c r="R171" s="101">
        <v>189</v>
      </c>
      <c r="S171" s="101"/>
      <c r="T171" t="s">
        <v>222</v>
      </c>
      <c r="U171" s="101">
        <f t="shared" si="6"/>
        <v>42654</v>
      </c>
      <c r="V171" s="101">
        <v>31123000</v>
      </c>
      <c r="W171" s="101">
        <v>26572703</v>
      </c>
      <c r="X171" s="101">
        <v>2037</v>
      </c>
      <c r="Y171" s="101">
        <v>1714</v>
      </c>
      <c r="Z171" s="101">
        <v>232</v>
      </c>
      <c r="AA171" s="101">
        <v>96</v>
      </c>
      <c r="AB171" s="101">
        <v>521</v>
      </c>
      <c r="AC171" s="101">
        <v>9</v>
      </c>
      <c r="AD171" s="101">
        <v>55</v>
      </c>
      <c r="AE171" s="101">
        <v>0</v>
      </c>
      <c r="AF171" s="101">
        <v>38</v>
      </c>
      <c r="AG171" s="101">
        <f t="shared" si="7"/>
        <v>33401.703000000001</v>
      </c>
      <c r="AH171" s="101">
        <v>14805</v>
      </c>
      <c r="AI171" s="101">
        <f t="shared" si="8"/>
        <v>2256.1096251266463</v>
      </c>
      <c r="AJ171" t="s">
        <v>465</v>
      </c>
      <c r="AN171" t="s">
        <v>192</v>
      </c>
      <c r="AO171" s="259">
        <v>2193.370330044233</v>
      </c>
      <c r="AP171" t="s">
        <v>465</v>
      </c>
    </row>
    <row r="172" spans="2:42" x14ac:dyDescent="0.25">
      <c r="B172" t="s">
        <v>150</v>
      </c>
      <c r="C172" s="101">
        <v>80578</v>
      </c>
      <c r="D172" s="101">
        <v>1463</v>
      </c>
      <c r="E172" s="101">
        <v>638</v>
      </c>
      <c r="F172" s="101">
        <v>5114</v>
      </c>
      <c r="G172" s="101">
        <v>21046</v>
      </c>
      <c r="H172" s="101">
        <v>10892</v>
      </c>
      <c r="I172" s="101">
        <v>2330</v>
      </c>
      <c r="J172" s="101">
        <v>2285</v>
      </c>
      <c r="K172" s="101">
        <v>771</v>
      </c>
      <c r="L172" s="101">
        <v>1401</v>
      </c>
      <c r="M172" s="101">
        <v>2842</v>
      </c>
      <c r="N172" s="101">
        <v>7258</v>
      </c>
      <c r="O172" s="101">
        <v>7911</v>
      </c>
      <c r="P172" s="101">
        <v>9676</v>
      </c>
      <c r="Q172" s="101">
        <v>6197</v>
      </c>
      <c r="R172" s="101">
        <v>754</v>
      </c>
      <c r="S172" s="101"/>
      <c r="T172" t="s">
        <v>150</v>
      </c>
      <c r="U172" s="101">
        <f t="shared" si="6"/>
        <v>73363</v>
      </c>
      <c r="V172" s="101">
        <v>56097000</v>
      </c>
      <c r="W172" s="101">
        <v>46606913</v>
      </c>
      <c r="X172" s="101">
        <v>3991</v>
      </c>
      <c r="Y172" s="101">
        <v>2336</v>
      </c>
      <c r="Z172" s="101">
        <v>336</v>
      </c>
      <c r="AA172" s="101">
        <v>1</v>
      </c>
      <c r="AB172" s="101">
        <v>491</v>
      </c>
      <c r="AC172" s="101">
        <v>45</v>
      </c>
      <c r="AD172" s="101">
        <v>319</v>
      </c>
      <c r="AE172" s="101">
        <v>0</v>
      </c>
      <c r="AF172" s="101">
        <v>12</v>
      </c>
      <c r="AG172" s="101">
        <f t="shared" si="7"/>
        <v>56341.913</v>
      </c>
      <c r="AH172" s="101">
        <v>23467</v>
      </c>
      <c r="AI172" s="101">
        <f t="shared" si="8"/>
        <v>2400.8996889248733</v>
      </c>
      <c r="AJ172" t="s">
        <v>116</v>
      </c>
      <c r="AN172" t="s">
        <v>309</v>
      </c>
      <c r="AO172" s="259">
        <v>1955.5084056190988</v>
      </c>
      <c r="AP172" t="s">
        <v>465</v>
      </c>
    </row>
    <row r="173" spans="2:42" x14ac:dyDescent="0.25">
      <c r="B173" t="s">
        <v>187</v>
      </c>
      <c r="C173" s="101">
        <v>80276</v>
      </c>
      <c r="D173" s="101">
        <v>3966</v>
      </c>
      <c r="E173" s="101">
        <v>1632</v>
      </c>
      <c r="F173" s="101">
        <v>3443</v>
      </c>
      <c r="G173" s="101">
        <v>14801</v>
      </c>
      <c r="H173" s="101">
        <v>13056</v>
      </c>
      <c r="I173" s="101">
        <v>2515</v>
      </c>
      <c r="J173" s="101">
        <v>2238</v>
      </c>
      <c r="K173" s="101">
        <v>176</v>
      </c>
      <c r="L173" s="101">
        <v>1213</v>
      </c>
      <c r="M173" s="101">
        <v>3340</v>
      </c>
      <c r="N173" s="101">
        <v>9293</v>
      </c>
      <c r="O173" s="101">
        <v>6137</v>
      </c>
      <c r="P173" s="101">
        <v>7156</v>
      </c>
      <c r="Q173" s="101">
        <v>8665</v>
      </c>
      <c r="R173" s="101">
        <v>2645</v>
      </c>
      <c r="S173" s="101"/>
      <c r="T173" t="s">
        <v>187</v>
      </c>
      <c r="U173" s="101">
        <f t="shared" si="6"/>
        <v>71235</v>
      </c>
      <c r="V173" s="101">
        <v>54402000</v>
      </c>
      <c r="W173" s="101">
        <v>46722310</v>
      </c>
      <c r="X173" s="101">
        <v>3564</v>
      </c>
      <c r="Y173" s="101">
        <v>374</v>
      </c>
      <c r="Z173" s="101">
        <v>389</v>
      </c>
      <c r="AA173" s="101">
        <v>65</v>
      </c>
      <c r="AB173" s="101">
        <v>1252</v>
      </c>
      <c r="AC173" s="101">
        <v>167</v>
      </c>
      <c r="AD173" s="101">
        <v>541</v>
      </c>
      <c r="AE173" s="101">
        <v>0</v>
      </c>
      <c r="AF173" s="101">
        <v>27</v>
      </c>
      <c r="AG173" s="101">
        <f t="shared" si="7"/>
        <v>57176.31</v>
      </c>
      <c r="AH173" s="101">
        <v>26288</v>
      </c>
      <c r="AI173" s="101">
        <f t="shared" si="8"/>
        <v>2174.9965763846621</v>
      </c>
      <c r="AJ173" t="s">
        <v>465</v>
      </c>
      <c r="AN173" t="s">
        <v>378</v>
      </c>
      <c r="AO173" s="259">
        <v>2290.4398342371846</v>
      </c>
      <c r="AP173" t="s">
        <v>465</v>
      </c>
    </row>
    <row r="174" spans="2:42" x14ac:dyDescent="0.25">
      <c r="B174" t="s">
        <v>410</v>
      </c>
      <c r="C174" s="101">
        <v>77900</v>
      </c>
      <c r="D174" s="101">
        <v>-39</v>
      </c>
      <c r="E174" s="101">
        <v>906</v>
      </c>
      <c r="F174" s="101">
        <v>4557</v>
      </c>
      <c r="G174" s="101">
        <v>13911</v>
      </c>
      <c r="H174" s="101">
        <v>8667</v>
      </c>
      <c r="I174" s="101">
        <v>2215</v>
      </c>
      <c r="J174" s="101">
        <v>2930</v>
      </c>
      <c r="K174" s="101">
        <v>1402</v>
      </c>
      <c r="L174" s="101">
        <v>1374</v>
      </c>
      <c r="M174" s="101">
        <v>5647</v>
      </c>
      <c r="N174" s="101">
        <v>11850</v>
      </c>
      <c r="O174" s="101">
        <v>5993</v>
      </c>
      <c r="P174" s="101">
        <v>8743</v>
      </c>
      <c r="Q174" s="101">
        <v>5777</v>
      </c>
      <c r="R174" s="101">
        <v>3967</v>
      </c>
      <c r="S174" s="101"/>
      <c r="T174" t="s">
        <v>410</v>
      </c>
      <c r="U174" s="101">
        <f t="shared" si="6"/>
        <v>72476</v>
      </c>
      <c r="V174" s="101">
        <v>55173000</v>
      </c>
      <c r="W174" s="101">
        <v>46848509</v>
      </c>
      <c r="X174" s="101">
        <v>3616</v>
      </c>
      <c r="Y174" s="101">
        <v>3312</v>
      </c>
      <c r="Z174" s="101">
        <v>363</v>
      </c>
      <c r="AA174" s="101">
        <v>86</v>
      </c>
      <c r="AB174" s="101">
        <v>414</v>
      </c>
      <c r="AC174" s="101">
        <v>71</v>
      </c>
      <c r="AD174" s="101">
        <v>1257</v>
      </c>
      <c r="AE174" s="101">
        <v>90</v>
      </c>
      <c r="AF174" s="101">
        <v>150</v>
      </c>
      <c r="AG174" s="101">
        <f t="shared" si="7"/>
        <v>54792.508999999998</v>
      </c>
      <c r="AH174" s="101">
        <v>24501</v>
      </c>
      <c r="AI174" s="101">
        <f t="shared" si="8"/>
        <v>2236.3376596873595</v>
      </c>
      <c r="AJ174" t="s">
        <v>116</v>
      </c>
      <c r="AN174" t="s">
        <v>379</v>
      </c>
      <c r="AO174" s="259">
        <v>2048.384842995169</v>
      </c>
      <c r="AP174" t="s">
        <v>465</v>
      </c>
    </row>
    <row r="175" spans="2:42" x14ac:dyDescent="0.25">
      <c r="B175" t="s">
        <v>774</v>
      </c>
      <c r="C175" s="101">
        <v>207384</v>
      </c>
      <c r="D175" s="101">
        <v>-397</v>
      </c>
      <c r="E175" s="101">
        <v>2669</v>
      </c>
      <c r="F175" s="101">
        <v>9439</v>
      </c>
      <c r="G175" s="101">
        <v>49663</v>
      </c>
      <c r="H175" s="101">
        <v>11784</v>
      </c>
      <c r="I175" s="101">
        <v>4926</v>
      </c>
      <c r="J175" s="101">
        <v>5428</v>
      </c>
      <c r="K175" s="101">
        <v>150</v>
      </c>
      <c r="L175" s="101">
        <v>4046</v>
      </c>
      <c r="M175" s="101">
        <v>18090</v>
      </c>
      <c r="N175" s="101">
        <v>30410</v>
      </c>
      <c r="O175" s="101">
        <v>19726</v>
      </c>
      <c r="P175" s="101">
        <v>29075</v>
      </c>
      <c r="Q175" s="101">
        <v>20573</v>
      </c>
      <c r="R175" s="101">
        <v>1802</v>
      </c>
      <c r="S175" s="101"/>
      <c r="T175" t="s">
        <v>774</v>
      </c>
      <c r="U175" s="101">
        <f t="shared" si="6"/>
        <v>195673</v>
      </c>
      <c r="V175" s="101">
        <v>149654000</v>
      </c>
      <c r="W175" s="101">
        <v>119304464</v>
      </c>
      <c r="X175" s="101">
        <v>6552</v>
      </c>
      <c r="Y175" s="101">
        <v>6710</v>
      </c>
      <c r="Z175" s="101">
        <v>1021</v>
      </c>
      <c r="AA175" s="101">
        <v>175</v>
      </c>
      <c r="AB175" s="101">
        <v>2125</v>
      </c>
      <c r="AC175" s="101">
        <v>543</v>
      </c>
      <c r="AD175" s="101">
        <v>499</v>
      </c>
      <c r="AE175" s="101">
        <v>2423</v>
      </c>
      <c r="AF175" s="101">
        <v>965</v>
      </c>
      <c r="AG175" s="101">
        <f t="shared" si="7"/>
        <v>144310.46400000001</v>
      </c>
      <c r="AH175" s="101">
        <v>59668</v>
      </c>
      <c r="AI175" s="101">
        <f t="shared" si="8"/>
        <v>2418.5570825232958</v>
      </c>
      <c r="AJ175" t="s">
        <v>116</v>
      </c>
      <c r="AN175" t="s">
        <v>193</v>
      </c>
      <c r="AO175" s="259">
        <v>2753.2997216081226</v>
      </c>
      <c r="AP175" t="s">
        <v>465</v>
      </c>
    </row>
    <row r="176" spans="2:42" x14ac:dyDescent="0.25">
      <c r="B176" t="s">
        <v>305</v>
      </c>
      <c r="C176" s="101">
        <v>127219</v>
      </c>
      <c r="D176" s="101">
        <v>154</v>
      </c>
      <c r="E176" s="101">
        <v>1407</v>
      </c>
      <c r="F176" s="101">
        <v>5477</v>
      </c>
      <c r="G176" s="101">
        <v>28344</v>
      </c>
      <c r="H176" s="101">
        <v>5861</v>
      </c>
      <c r="I176" s="101">
        <v>3070</v>
      </c>
      <c r="J176" s="101">
        <v>4319</v>
      </c>
      <c r="K176" s="101">
        <v>527</v>
      </c>
      <c r="L176" s="101">
        <v>4113</v>
      </c>
      <c r="M176" s="101">
        <v>5737</v>
      </c>
      <c r="N176" s="101">
        <v>28065</v>
      </c>
      <c r="O176" s="101">
        <v>11033</v>
      </c>
      <c r="P176" s="101">
        <v>17968</v>
      </c>
      <c r="Q176" s="101">
        <v>8484</v>
      </c>
      <c r="R176" s="101">
        <v>2660</v>
      </c>
      <c r="S176" s="101"/>
      <c r="T176" t="s">
        <v>305</v>
      </c>
      <c r="U176" s="101">
        <f t="shared" si="6"/>
        <v>120181</v>
      </c>
      <c r="V176" s="101">
        <v>97941000</v>
      </c>
      <c r="W176" s="101">
        <v>74308749</v>
      </c>
      <c r="X176" s="101">
        <v>3319</v>
      </c>
      <c r="Y176" s="101">
        <v>7342</v>
      </c>
      <c r="Z176" s="101">
        <v>663</v>
      </c>
      <c r="AA176" s="101">
        <v>1363</v>
      </c>
      <c r="AB176" s="101">
        <v>706</v>
      </c>
      <c r="AC176" s="101">
        <v>307</v>
      </c>
      <c r="AD176" s="101">
        <v>58</v>
      </c>
      <c r="AE176" s="101">
        <v>25</v>
      </c>
      <c r="AF176" s="101">
        <v>148</v>
      </c>
      <c r="AG176" s="101">
        <f t="shared" si="7"/>
        <v>82617.748999999996</v>
      </c>
      <c r="AH176" s="101">
        <v>36437</v>
      </c>
      <c r="AI176" s="101">
        <f t="shared" si="8"/>
        <v>2267.4135905810026</v>
      </c>
      <c r="AJ176" t="s">
        <v>116</v>
      </c>
      <c r="AN176" t="s">
        <v>152</v>
      </c>
      <c r="AO176" s="259">
        <v>1983.8710594179254</v>
      </c>
      <c r="AP176" t="s">
        <v>465</v>
      </c>
    </row>
    <row r="177" spans="2:42" x14ac:dyDescent="0.25">
      <c r="B177" t="s">
        <v>411</v>
      </c>
      <c r="C177" s="101">
        <v>627013</v>
      </c>
      <c r="D177" s="101">
        <v>7082</v>
      </c>
      <c r="E177" s="101">
        <v>0</v>
      </c>
      <c r="F177" s="101">
        <v>39280</v>
      </c>
      <c r="G177" s="101">
        <v>147933</v>
      </c>
      <c r="H177" s="101">
        <v>48686</v>
      </c>
      <c r="I177" s="101">
        <v>15754</v>
      </c>
      <c r="J177" s="101">
        <v>32584</v>
      </c>
      <c r="K177" s="101">
        <v>7611</v>
      </c>
      <c r="L177" s="101">
        <v>10554</v>
      </c>
      <c r="M177" s="101">
        <v>33368</v>
      </c>
      <c r="N177" s="101">
        <v>101236</v>
      </c>
      <c r="O177" s="101">
        <v>51184</v>
      </c>
      <c r="P177" s="101">
        <v>92270</v>
      </c>
      <c r="Q177" s="101">
        <v>36437</v>
      </c>
      <c r="R177" s="101">
        <v>3034</v>
      </c>
      <c r="S177" s="101"/>
      <c r="T177" t="s">
        <v>411</v>
      </c>
      <c r="U177" s="101">
        <f t="shared" si="6"/>
        <v>580651</v>
      </c>
      <c r="V177" s="101">
        <v>447110000</v>
      </c>
      <c r="W177" s="101">
        <v>305019373</v>
      </c>
      <c r="X177" s="101">
        <v>16377</v>
      </c>
      <c r="Y177" s="101">
        <v>20999</v>
      </c>
      <c r="Z177" s="101">
        <v>3654</v>
      </c>
      <c r="AA177" s="101">
        <v>551</v>
      </c>
      <c r="AB177" s="101">
        <v>5834</v>
      </c>
      <c r="AC177" s="101">
        <v>868</v>
      </c>
      <c r="AD177" s="101">
        <v>8574</v>
      </c>
      <c r="AE177" s="101">
        <v>11429</v>
      </c>
      <c r="AF177" s="101">
        <v>5673</v>
      </c>
      <c r="AG177" s="101">
        <f t="shared" si="7"/>
        <v>364601.37300000002</v>
      </c>
      <c r="AH177" s="101">
        <v>125666</v>
      </c>
      <c r="AI177" s="101">
        <f t="shared" si="8"/>
        <v>2901.3525774672544</v>
      </c>
      <c r="AJ177" t="s">
        <v>439</v>
      </c>
      <c r="AN177" t="s">
        <v>153</v>
      </c>
      <c r="AO177" s="259">
        <v>2407.6017974959736</v>
      </c>
      <c r="AP177" t="s">
        <v>465</v>
      </c>
    </row>
    <row r="178" spans="2:42" x14ac:dyDescent="0.25">
      <c r="B178" t="s">
        <v>264</v>
      </c>
      <c r="C178" s="101">
        <v>165550</v>
      </c>
      <c r="D178" s="101">
        <v>5325</v>
      </c>
      <c r="E178" s="101">
        <v>186</v>
      </c>
      <c r="F178" s="101">
        <v>7637</v>
      </c>
      <c r="G178" s="101">
        <v>39215</v>
      </c>
      <c r="H178" s="101">
        <v>16841</v>
      </c>
      <c r="I178" s="101">
        <v>3960</v>
      </c>
      <c r="J178" s="101">
        <v>8330</v>
      </c>
      <c r="K178" s="101">
        <v>772</v>
      </c>
      <c r="L178" s="101">
        <v>3651</v>
      </c>
      <c r="M178" s="101">
        <v>8334</v>
      </c>
      <c r="N178" s="101">
        <v>16938</v>
      </c>
      <c r="O178" s="101">
        <v>20994</v>
      </c>
      <c r="P178" s="101">
        <v>17051</v>
      </c>
      <c r="Q178" s="101">
        <v>14201</v>
      </c>
      <c r="R178" s="101">
        <v>2115</v>
      </c>
      <c r="S178" s="101"/>
      <c r="T178" t="s">
        <v>264</v>
      </c>
      <c r="U178" s="101">
        <f t="shared" si="6"/>
        <v>152402</v>
      </c>
      <c r="V178" s="101">
        <v>107354000</v>
      </c>
      <c r="W178" s="101">
        <v>89239939</v>
      </c>
      <c r="X178" s="101">
        <v>4731</v>
      </c>
      <c r="Y178" s="101">
        <v>6725</v>
      </c>
      <c r="Z178" s="101">
        <v>798</v>
      </c>
      <c r="AA178" s="101">
        <v>242</v>
      </c>
      <c r="AB178" s="101">
        <v>1716</v>
      </c>
      <c r="AC178" s="101">
        <v>450</v>
      </c>
      <c r="AD178" s="101">
        <v>1450</v>
      </c>
      <c r="AE178" s="101">
        <v>0</v>
      </c>
      <c r="AF178" s="101">
        <v>185</v>
      </c>
      <c r="AG178" s="101">
        <f t="shared" si="7"/>
        <v>117990.93900000001</v>
      </c>
      <c r="AH178" s="101">
        <v>45943</v>
      </c>
      <c r="AI178" s="101">
        <f t="shared" si="8"/>
        <v>2568.2027512352265</v>
      </c>
      <c r="AJ178" t="s">
        <v>116</v>
      </c>
      <c r="AN178" t="s">
        <v>265</v>
      </c>
      <c r="AO178" s="259">
        <v>2144.3875809602137</v>
      </c>
      <c r="AP178" t="s">
        <v>465</v>
      </c>
    </row>
    <row r="179" spans="2:42" x14ac:dyDescent="0.25">
      <c r="B179" t="s">
        <v>412</v>
      </c>
      <c r="C179" s="101">
        <v>58968</v>
      </c>
      <c r="D179" s="101">
        <v>20</v>
      </c>
      <c r="E179" s="101">
        <v>2333</v>
      </c>
      <c r="F179" s="101">
        <v>2820</v>
      </c>
      <c r="G179" s="101">
        <v>13703</v>
      </c>
      <c r="H179" s="101">
        <v>4755</v>
      </c>
      <c r="I179" s="101">
        <v>1908</v>
      </c>
      <c r="J179" s="101">
        <v>2693</v>
      </c>
      <c r="K179" s="101">
        <v>275</v>
      </c>
      <c r="L179" s="101">
        <v>2067</v>
      </c>
      <c r="M179" s="101">
        <v>2330</v>
      </c>
      <c r="N179" s="101">
        <v>8100</v>
      </c>
      <c r="O179" s="101">
        <v>5200</v>
      </c>
      <c r="P179" s="101">
        <v>6543</v>
      </c>
      <c r="Q179" s="101">
        <v>5853</v>
      </c>
      <c r="R179" s="101">
        <v>368</v>
      </c>
      <c r="S179" s="101"/>
      <c r="T179" t="s">
        <v>412</v>
      </c>
      <c r="U179" s="101">
        <f t="shared" si="6"/>
        <v>53795</v>
      </c>
      <c r="V179" s="101">
        <v>42818000</v>
      </c>
      <c r="W179" s="101">
        <v>36077652</v>
      </c>
      <c r="X179" s="101">
        <v>3429</v>
      </c>
      <c r="Y179" s="101">
        <v>3065</v>
      </c>
      <c r="Z179" s="101">
        <v>314</v>
      </c>
      <c r="AA179" s="101">
        <v>148</v>
      </c>
      <c r="AB179" s="101">
        <v>589</v>
      </c>
      <c r="AC179" s="101">
        <v>10</v>
      </c>
      <c r="AD179" s="101">
        <v>162</v>
      </c>
      <c r="AE179" s="101">
        <v>71</v>
      </c>
      <c r="AF179" s="101">
        <v>56</v>
      </c>
      <c r="AG179" s="101">
        <f t="shared" si="7"/>
        <v>39210.652000000002</v>
      </c>
      <c r="AH179" s="101">
        <v>18459</v>
      </c>
      <c r="AI179" s="101">
        <f t="shared" si="8"/>
        <v>2124.2023944959096</v>
      </c>
      <c r="AJ179" t="s">
        <v>116</v>
      </c>
      <c r="AN179" t="s">
        <v>266</v>
      </c>
      <c r="AO179" s="259">
        <v>2563.7244947064487</v>
      </c>
      <c r="AP179" t="s">
        <v>465</v>
      </c>
    </row>
    <row r="180" spans="2:42" x14ac:dyDescent="0.25">
      <c r="B180" t="s">
        <v>581</v>
      </c>
      <c r="C180" s="101">
        <v>299009</v>
      </c>
      <c r="D180" s="101">
        <v>11258</v>
      </c>
      <c r="E180" s="101">
        <v>3116</v>
      </c>
      <c r="F180" s="101">
        <v>14249</v>
      </c>
      <c r="G180" s="101">
        <v>67255</v>
      </c>
      <c r="H180" s="101">
        <v>19278</v>
      </c>
      <c r="I180" s="101">
        <v>7279</v>
      </c>
      <c r="J180" s="101">
        <v>8260</v>
      </c>
      <c r="K180" s="101">
        <v>3818</v>
      </c>
      <c r="L180" s="101">
        <v>9480</v>
      </c>
      <c r="M180" s="101">
        <v>26382</v>
      </c>
      <c r="N180" s="101">
        <v>37304</v>
      </c>
      <c r="O180" s="101">
        <v>29840</v>
      </c>
      <c r="P180" s="101">
        <v>33130</v>
      </c>
      <c r="Q180" s="101">
        <v>26033</v>
      </c>
      <c r="R180" s="101">
        <v>2327</v>
      </c>
      <c r="S180" s="101"/>
      <c r="T180" t="s">
        <v>581</v>
      </c>
      <c r="U180" s="101">
        <f t="shared" si="6"/>
        <v>270386</v>
      </c>
      <c r="V180" s="101">
        <v>199547000</v>
      </c>
      <c r="W180" s="101">
        <v>156105537</v>
      </c>
      <c r="X180" s="101">
        <v>8896</v>
      </c>
      <c r="Y180" s="101">
        <v>9658</v>
      </c>
      <c r="Z180" s="101">
        <v>1709</v>
      </c>
      <c r="AA180" s="101">
        <v>125</v>
      </c>
      <c r="AB180" s="101">
        <v>2871</v>
      </c>
      <c r="AC180" s="101">
        <v>595</v>
      </c>
      <c r="AD180" s="101">
        <v>387</v>
      </c>
      <c r="AE180" s="101">
        <v>47</v>
      </c>
      <c r="AF180" s="101">
        <v>145</v>
      </c>
      <c r="AG180" s="101">
        <f t="shared" si="7"/>
        <v>202511.53700000001</v>
      </c>
      <c r="AH180" s="101">
        <v>84696</v>
      </c>
      <c r="AI180" s="101">
        <f t="shared" si="8"/>
        <v>2391.0401553792385</v>
      </c>
      <c r="AJ180" t="s">
        <v>465</v>
      </c>
      <c r="AN180" t="s">
        <v>267</v>
      </c>
      <c r="AO180" s="259">
        <v>2560.3486851163429</v>
      </c>
      <c r="AP180" t="s">
        <v>465</v>
      </c>
    </row>
    <row r="181" spans="2:42" x14ac:dyDescent="0.25">
      <c r="B181" t="s">
        <v>110</v>
      </c>
      <c r="C181" s="101">
        <v>159407</v>
      </c>
      <c r="D181" s="101">
        <v>19164</v>
      </c>
      <c r="E181" s="101">
        <v>2397</v>
      </c>
      <c r="F181" s="101">
        <v>7255</v>
      </c>
      <c r="G181" s="101">
        <v>36348</v>
      </c>
      <c r="H181" s="101">
        <v>4505</v>
      </c>
      <c r="I181" s="101">
        <v>2382</v>
      </c>
      <c r="J181" s="101">
        <v>5874</v>
      </c>
      <c r="K181" s="101">
        <v>6231</v>
      </c>
      <c r="L181" s="101">
        <v>4423</v>
      </c>
      <c r="M181" s="101">
        <v>8347</v>
      </c>
      <c r="N181" s="101">
        <v>25513</v>
      </c>
      <c r="O181" s="101">
        <v>14560</v>
      </c>
      <c r="P181" s="101">
        <v>13565</v>
      </c>
      <c r="Q181" s="101">
        <v>7498</v>
      </c>
      <c r="R181" s="101">
        <v>1345</v>
      </c>
      <c r="S181" s="101"/>
      <c r="T181" t="s">
        <v>110</v>
      </c>
      <c r="U181" s="101">
        <f t="shared" si="6"/>
        <v>130591</v>
      </c>
      <c r="V181" s="101">
        <v>105201000</v>
      </c>
      <c r="W181" s="101">
        <v>81570061</v>
      </c>
      <c r="X181" s="101">
        <v>3246</v>
      </c>
      <c r="Y181" s="101">
        <v>3766</v>
      </c>
      <c r="Z181" s="101">
        <v>741</v>
      </c>
      <c r="AA181" s="101">
        <v>223</v>
      </c>
      <c r="AB181" s="101">
        <v>915</v>
      </c>
      <c r="AC181" s="101">
        <v>509</v>
      </c>
      <c r="AD181" s="101">
        <v>0</v>
      </c>
      <c r="AE181" s="101">
        <v>1579</v>
      </c>
      <c r="AF181" s="101">
        <v>79</v>
      </c>
      <c r="AG181" s="101">
        <f t="shared" si="7"/>
        <v>95902.061000000002</v>
      </c>
      <c r="AH181" s="101">
        <v>36288</v>
      </c>
      <c r="AI181" s="101">
        <f t="shared" si="8"/>
        <v>2642.8037092151676</v>
      </c>
      <c r="AJ181" t="s">
        <v>439</v>
      </c>
      <c r="AN181" t="s">
        <v>224</v>
      </c>
      <c r="AO181" s="259">
        <v>2232.3976811594202</v>
      </c>
      <c r="AP181" t="s">
        <v>465</v>
      </c>
    </row>
    <row r="182" spans="2:42" x14ac:dyDescent="0.25">
      <c r="B182" t="s">
        <v>725</v>
      </c>
      <c r="C182" s="101">
        <v>217814</v>
      </c>
      <c r="D182" s="101">
        <v>1974</v>
      </c>
      <c r="E182" s="101">
        <v>2982</v>
      </c>
      <c r="F182" s="101">
        <v>9004</v>
      </c>
      <c r="G182" s="101">
        <v>44203</v>
      </c>
      <c r="H182" s="101">
        <v>14087</v>
      </c>
      <c r="I182" s="101">
        <v>5432</v>
      </c>
      <c r="J182" s="101">
        <v>11907</v>
      </c>
      <c r="K182" s="101">
        <v>1473</v>
      </c>
      <c r="L182" s="101">
        <v>5194</v>
      </c>
      <c r="M182" s="101">
        <v>13651</v>
      </c>
      <c r="N182" s="101">
        <v>44383</v>
      </c>
      <c r="O182" s="101">
        <v>26163</v>
      </c>
      <c r="P182" s="101">
        <v>21838</v>
      </c>
      <c r="Q182" s="101">
        <v>14271</v>
      </c>
      <c r="R182" s="101">
        <v>1252</v>
      </c>
      <c r="S182" s="101"/>
      <c r="T182" t="s">
        <v>725</v>
      </c>
      <c r="U182" s="101">
        <f t="shared" si="6"/>
        <v>203854</v>
      </c>
      <c r="V182" s="101">
        <v>155311000</v>
      </c>
      <c r="W182" s="101">
        <v>121181183</v>
      </c>
      <c r="X182" s="101">
        <v>6536</v>
      </c>
      <c r="Y182" s="101">
        <v>7798</v>
      </c>
      <c r="Z182" s="101">
        <v>882</v>
      </c>
      <c r="AA182" s="101">
        <v>2335</v>
      </c>
      <c r="AB182" s="101">
        <v>1516</v>
      </c>
      <c r="AC182" s="101">
        <v>277</v>
      </c>
      <c r="AD182" s="101">
        <v>1209</v>
      </c>
      <c r="AE182" s="101">
        <v>7586</v>
      </c>
      <c r="AF182" s="101">
        <v>538</v>
      </c>
      <c r="AG182" s="101">
        <f t="shared" si="7"/>
        <v>141047.18300000002</v>
      </c>
      <c r="AH182" s="101">
        <v>50167</v>
      </c>
      <c r="AI182" s="101">
        <f t="shared" si="8"/>
        <v>2811.5530727370588</v>
      </c>
      <c r="AJ182" t="s">
        <v>439</v>
      </c>
      <c r="AN182" t="s">
        <v>196</v>
      </c>
      <c r="AO182" s="259">
        <v>2033.234231657234</v>
      </c>
      <c r="AP182" t="s">
        <v>465</v>
      </c>
    </row>
    <row r="183" spans="2:42" x14ac:dyDescent="0.25">
      <c r="B183" t="s">
        <v>306</v>
      </c>
      <c r="C183" s="101">
        <v>59310</v>
      </c>
      <c r="D183" s="101">
        <v>291</v>
      </c>
      <c r="E183" s="101">
        <v>2593</v>
      </c>
      <c r="F183" s="101">
        <v>3157</v>
      </c>
      <c r="G183" s="101">
        <v>17364</v>
      </c>
      <c r="H183" s="101">
        <v>5530</v>
      </c>
      <c r="I183" s="101">
        <v>1569</v>
      </c>
      <c r="J183" s="101">
        <v>3382</v>
      </c>
      <c r="K183" s="101">
        <v>121</v>
      </c>
      <c r="L183" s="101">
        <v>1453</v>
      </c>
      <c r="M183" s="101">
        <v>3299</v>
      </c>
      <c r="N183" s="101">
        <v>4036</v>
      </c>
      <c r="O183" s="101">
        <v>4373</v>
      </c>
      <c r="P183" s="101">
        <v>5406</v>
      </c>
      <c r="Q183" s="101">
        <v>5526</v>
      </c>
      <c r="R183" s="101">
        <v>1210</v>
      </c>
      <c r="S183" s="101"/>
      <c r="T183" t="s">
        <v>306</v>
      </c>
      <c r="U183" s="101">
        <f t="shared" si="6"/>
        <v>53269</v>
      </c>
      <c r="V183" s="101">
        <v>34935000</v>
      </c>
      <c r="W183" s="101">
        <v>30069575</v>
      </c>
      <c r="X183" s="101">
        <v>1886</v>
      </c>
      <c r="Y183" s="101">
        <v>2950</v>
      </c>
      <c r="Z183" s="101">
        <v>393</v>
      </c>
      <c r="AA183" s="101">
        <v>67</v>
      </c>
      <c r="AB183" s="101">
        <v>1191</v>
      </c>
      <c r="AC183" s="101">
        <v>27</v>
      </c>
      <c r="AD183" s="101">
        <v>0</v>
      </c>
      <c r="AE183" s="101">
        <v>6</v>
      </c>
      <c r="AF183" s="101">
        <v>3098</v>
      </c>
      <c r="AG183" s="101">
        <f t="shared" si="7"/>
        <v>38785.574999999997</v>
      </c>
      <c r="AH183" s="101">
        <v>19422</v>
      </c>
      <c r="AI183" s="101">
        <f t="shared" si="8"/>
        <v>1996.991813407476</v>
      </c>
      <c r="AJ183" t="s">
        <v>465</v>
      </c>
      <c r="AN183" t="s">
        <v>310</v>
      </c>
      <c r="AO183" s="259">
        <v>2388.0074303405572</v>
      </c>
      <c r="AP183" t="s">
        <v>465</v>
      </c>
    </row>
    <row r="184" spans="2:42" x14ac:dyDescent="0.25">
      <c r="B184" t="s">
        <v>111</v>
      </c>
      <c r="C184" s="101">
        <v>105176</v>
      </c>
      <c r="D184" s="101">
        <v>1025</v>
      </c>
      <c r="E184" s="101">
        <v>2144</v>
      </c>
      <c r="F184" s="101">
        <v>5447</v>
      </c>
      <c r="G184" s="101">
        <v>26394</v>
      </c>
      <c r="H184" s="101">
        <v>7618</v>
      </c>
      <c r="I184" s="101">
        <v>2436</v>
      </c>
      <c r="J184" s="101">
        <v>3192</v>
      </c>
      <c r="K184" s="101">
        <v>907</v>
      </c>
      <c r="L184" s="101">
        <v>2130</v>
      </c>
      <c r="M184" s="101">
        <v>5462</v>
      </c>
      <c r="N184" s="101">
        <v>9540</v>
      </c>
      <c r="O184" s="101">
        <v>10126</v>
      </c>
      <c r="P184" s="101">
        <v>16371</v>
      </c>
      <c r="Q184" s="101">
        <v>8275</v>
      </c>
      <c r="R184" s="101">
        <v>1754</v>
      </c>
      <c r="S184" s="101"/>
      <c r="T184" t="s">
        <v>111</v>
      </c>
      <c r="U184" s="101">
        <f t="shared" si="6"/>
        <v>96560</v>
      </c>
      <c r="V184" s="101">
        <v>89000000</v>
      </c>
      <c r="W184" s="101">
        <v>68057775.052366346</v>
      </c>
      <c r="X184" s="101">
        <v>4232</v>
      </c>
      <c r="Y184" s="101">
        <v>3576</v>
      </c>
      <c r="Z184" s="101">
        <v>262</v>
      </c>
      <c r="AA184" s="101">
        <v>400</v>
      </c>
      <c r="AB184" s="101">
        <v>991</v>
      </c>
      <c r="AC184" s="101">
        <v>135</v>
      </c>
      <c r="AD184" s="101">
        <v>1253</v>
      </c>
      <c r="AE184" s="101">
        <v>0</v>
      </c>
      <c r="AF184" s="101">
        <v>0</v>
      </c>
      <c r="AG184" s="101">
        <f t="shared" si="7"/>
        <v>64768.775052366342</v>
      </c>
      <c r="AH184" s="101">
        <v>34021</v>
      </c>
      <c r="AI184" s="101">
        <f t="shared" si="8"/>
        <v>1903.7881030059768</v>
      </c>
      <c r="AJ184" t="s">
        <v>116</v>
      </c>
      <c r="AN184" t="s">
        <v>415</v>
      </c>
      <c r="AO184" s="259">
        <v>1865.2126843722085</v>
      </c>
      <c r="AP184" t="s">
        <v>465</v>
      </c>
    </row>
    <row r="185" spans="2:42" x14ac:dyDescent="0.25">
      <c r="B185" t="s">
        <v>595</v>
      </c>
      <c r="C185" s="101">
        <v>323174</v>
      </c>
      <c r="D185" s="101">
        <v>16644</v>
      </c>
      <c r="E185" s="101">
        <v>1629</v>
      </c>
      <c r="F185" s="101">
        <v>12486</v>
      </c>
      <c r="G185" s="101">
        <v>80483</v>
      </c>
      <c r="H185" s="101">
        <v>8890</v>
      </c>
      <c r="I185" s="101">
        <v>23227</v>
      </c>
      <c r="J185" s="101">
        <v>11125</v>
      </c>
      <c r="K185" s="101">
        <v>3691</v>
      </c>
      <c r="L185" s="101">
        <v>8360</v>
      </c>
      <c r="M185" s="101">
        <v>12250</v>
      </c>
      <c r="N185" s="101">
        <v>44683</v>
      </c>
      <c r="O185" s="101">
        <v>38723</v>
      </c>
      <c r="P185" s="101">
        <v>36875</v>
      </c>
      <c r="Q185" s="101">
        <v>16399</v>
      </c>
      <c r="R185" s="101">
        <v>7709</v>
      </c>
      <c r="S185" s="101"/>
      <c r="T185" t="s">
        <v>595</v>
      </c>
      <c r="U185" s="101">
        <f t="shared" si="6"/>
        <v>292415</v>
      </c>
      <c r="V185" s="101">
        <v>226956000</v>
      </c>
      <c r="W185" s="101">
        <v>149299362</v>
      </c>
      <c r="X185" s="101">
        <v>6259</v>
      </c>
      <c r="Y185" s="101">
        <v>7670</v>
      </c>
      <c r="Z185" s="101">
        <v>1277</v>
      </c>
      <c r="AA185" s="101">
        <v>309</v>
      </c>
      <c r="AB185" s="101">
        <v>2369</v>
      </c>
      <c r="AC185" s="101">
        <v>376</v>
      </c>
      <c r="AD185" s="101">
        <v>375</v>
      </c>
      <c r="AE185" s="101">
        <v>27</v>
      </c>
      <c r="AF185" s="101">
        <v>21</v>
      </c>
      <c r="AG185" s="101">
        <f t="shared" si="7"/>
        <v>196075.36199999999</v>
      </c>
      <c r="AH185" s="101">
        <v>61374</v>
      </c>
      <c r="AI185" s="101">
        <f t="shared" si="8"/>
        <v>3194.7626356437581</v>
      </c>
      <c r="AJ185" t="s">
        <v>439</v>
      </c>
      <c r="AN185" t="s">
        <v>311</v>
      </c>
      <c r="AO185" s="259">
        <v>2033.8942188575361</v>
      </c>
      <c r="AP185" t="s">
        <v>465</v>
      </c>
    </row>
    <row r="186" spans="2:42" x14ac:dyDescent="0.25">
      <c r="B186" t="s">
        <v>377</v>
      </c>
      <c r="C186" s="101">
        <v>151508</v>
      </c>
      <c r="D186" s="101">
        <v>7458</v>
      </c>
      <c r="E186" s="101">
        <v>836</v>
      </c>
      <c r="F186" s="101">
        <v>6847</v>
      </c>
      <c r="G186" s="101">
        <v>29737</v>
      </c>
      <c r="H186" s="101">
        <v>13662</v>
      </c>
      <c r="I186" s="101">
        <v>3709</v>
      </c>
      <c r="J186" s="101">
        <v>7680</v>
      </c>
      <c r="K186" s="101">
        <v>1014</v>
      </c>
      <c r="L186" s="101">
        <v>3936</v>
      </c>
      <c r="M186" s="101">
        <v>9373</v>
      </c>
      <c r="N186" s="101">
        <v>18339</v>
      </c>
      <c r="O186" s="101">
        <v>14204</v>
      </c>
      <c r="P186" s="101">
        <v>17128</v>
      </c>
      <c r="Q186" s="101">
        <v>16443</v>
      </c>
      <c r="R186" s="101">
        <v>1142</v>
      </c>
      <c r="S186" s="101"/>
      <c r="T186" t="s">
        <v>377</v>
      </c>
      <c r="U186" s="101">
        <f t="shared" si="6"/>
        <v>136367</v>
      </c>
      <c r="V186" s="101">
        <v>98623000</v>
      </c>
      <c r="W186" s="101">
        <v>73332903</v>
      </c>
      <c r="X186" s="101">
        <v>7210</v>
      </c>
      <c r="Y186" s="101">
        <v>5848</v>
      </c>
      <c r="Z186" s="101">
        <v>869</v>
      </c>
      <c r="AA186" s="101">
        <v>139</v>
      </c>
      <c r="AB186" s="101">
        <v>1908</v>
      </c>
      <c r="AC186" s="101">
        <v>278</v>
      </c>
      <c r="AD186" s="101">
        <v>220</v>
      </c>
      <c r="AE186" s="101">
        <v>7</v>
      </c>
      <c r="AF186" s="101">
        <v>0</v>
      </c>
      <c r="AG186" s="101">
        <f t="shared" si="7"/>
        <v>94597.903000000006</v>
      </c>
      <c r="AH186" s="101">
        <v>38274</v>
      </c>
      <c r="AI186" s="101">
        <f t="shared" si="8"/>
        <v>2471.5969848983646</v>
      </c>
      <c r="AJ186" t="s">
        <v>465</v>
      </c>
      <c r="AN186" t="s">
        <v>197</v>
      </c>
      <c r="AO186" s="259">
        <v>1953.405442231395</v>
      </c>
      <c r="AP186" t="s">
        <v>465</v>
      </c>
    </row>
    <row r="187" spans="2:42" x14ac:dyDescent="0.25">
      <c r="B187" t="s">
        <v>596</v>
      </c>
      <c r="C187" s="101">
        <v>132668</v>
      </c>
      <c r="D187" s="101">
        <v>1972</v>
      </c>
      <c r="E187" s="101">
        <v>880</v>
      </c>
      <c r="F187" s="101">
        <v>9044</v>
      </c>
      <c r="G187" s="101">
        <v>30499</v>
      </c>
      <c r="H187" s="101">
        <v>8940</v>
      </c>
      <c r="I187" s="101">
        <v>4957</v>
      </c>
      <c r="J187" s="101">
        <v>5342</v>
      </c>
      <c r="K187" s="101">
        <v>926</v>
      </c>
      <c r="L187" s="101">
        <v>3933</v>
      </c>
      <c r="M187" s="101">
        <v>6739</v>
      </c>
      <c r="N187" s="101">
        <v>13583</v>
      </c>
      <c r="O187" s="101">
        <v>15414</v>
      </c>
      <c r="P187" s="101">
        <v>12829</v>
      </c>
      <c r="Q187" s="101">
        <v>13872</v>
      </c>
      <c r="R187" s="101">
        <v>3738</v>
      </c>
      <c r="S187" s="101"/>
      <c r="T187" t="s">
        <v>596</v>
      </c>
      <c r="U187" s="101">
        <f t="shared" si="6"/>
        <v>120772</v>
      </c>
      <c r="V187" s="101">
        <v>91535000</v>
      </c>
      <c r="W187" s="101">
        <v>78382664</v>
      </c>
      <c r="X187" s="101">
        <v>4842</v>
      </c>
      <c r="Y187" s="101">
        <v>7680</v>
      </c>
      <c r="Z187" s="101">
        <v>1019</v>
      </c>
      <c r="AA187" s="101">
        <v>409</v>
      </c>
      <c r="AB187" s="101">
        <v>3280</v>
      </c>
      <c r="AC187" s="101">
        <v>351</v>
      </c>
      <c r="AD187" s="101">
        <v>250</v>
      </c>
      <c r="AE187" s="101">
        <v>0</v>
      </c>
      <c r="AF187" s="101">
        <v>22</v>
      </c>
      <c r="AG187" s="101">
        <f t="shared" si="7"/>
        <v>89766.664000000004</v>
      </c>
      <c r="AH187" s="101">
        <v>45373</v>
      </c>
      <c r="AI187" s="101">
        <f t="shared" si="8"/>
        <v>1978.4158860996629</v>
      </c>
      <c r="AJ187" t="s">
        <v>465</v>
      </c>
      <c r="AN187" t="s">
        <v>154</v>
      </c>
      <c r="AO187" s="259">
        <v>2394.9863269111247</v>
      </c>
      <c r="AP187" t="s">
        <v>465</v>
      </c>
    </row>
    <row r="188" spans="2:42" x14ac:dyDescent="0.25">
      <c r="B188" t="s">
        <v>188</v>
      </c>
      <c r="C188" s="101">
        <v>122321</v>
      </c>
      <c r="D188" s="101">
        <v>869</v>
      </c>
      <c r="E188" s="101">
        <v>1563</v>
      </c>
      <c r="F188" s="101">
        <v>5237</v>
      </c>
      <c r="G188" s="101">
        <v>31137</v>
      </c>
      <c r="H188" s="101">
        <v>10533</v>
      </c>
      <c r="I188" s="101">
        <v>2724</v>
      </c>
      <c r="J188" s="101">
        <v>3477</v>
      </c>
      <c r="K188" s="101">
        <v>512</v>
      </c>
      <c r="L188" s="101">
        <v>2197</v>
      </c>
      <c r="M188" s="101">
        <v>6431</v>
      </c>
      <c r="N188" s="101">
        <v>15578</v>
      </c>
      <c r="O188" s="101">
        <v>14790</v>
      </c>
      <c r="P188" s="101">
        <v>17331</v>
      </c>
      <c r="Q188" s="101">
        <v>9397</v>
      </c>
      <c r="R188" s="101">
        <v>545</v>
      </c>
      <c r="S188" s="101"/>
      <c r="T188" t="s">
        <v>188</v>
      </c>
      <c r="U188" s="101">
        <f t="shared" si="6"/>
        <v>114652</v>
      </c>
      <c r="V188" s="101">
        <v>92672000</v>
      </c>
      <c r="W188" s="101">
        <v>76422652</v>
      </c>
      <c r="X188" s="101">
        <v>5039</v>
      </c>
      <c r="Y188" s="101">
        <v>4686</v>
      </c>
      <c r="Z188" s="101">
        <v>869</v>
      </c>
      <c r="AA188" s="101">
        <v>127</v>
      </c>
      <c r="AB188" s="101">
        <v>851</v>
      </c>
      <c r="AC188" s="101">
        <v>73</v>
      </c>
      <c r="AD188" s="101">
        <v>455</v>
      </c>
      <c r="AE188" s="101">
        <v>0</v>
      </c>
      <c r="AF188" s="101">
        <v>16</v>
      </c>
      <c r="AG188" s="101">
        <f t="shared" si="7"/>
        <v>86286.652000000002</v>
      </c>
      <c r="AH188" s="101">
        <v>36994</v>
      </c>
      <c r="AI188" s="101">
        <f t="shared" si="8"/>
        <v>2332.4499107963452</v>
      </c>
      <c r="AJ188" t="s">
        <v>116</v>
      </c>
      <c r="AN188" t="s">
        <v>334</v>
      </c>
      <c r="AO188" s="259">
        <v>2316.1319962286793</v>
      </c>
      <c r="AP188" t="s">
        <v>465</v>
      </c>
    </row>
    <row r="189" spans="2:42" x14ac:dyDescent="0.25">
      <c r="B189" t="s">
        <v>436</v>
      </c>
      <c r="C189" s="101">
        <v>36444</v>
      </c>
      <c r="D189" s="101">
        <v>0</v>
      </c>
      <c r="E189" s="101">
        <v>546</v>
      </c>
      <c r="F189" s="101">
        <v>1995</v>
      </c>
      <c r="G189" s="101">
        <v>9202</v>
      </c>
      <c r="H189" s="101">
        <v>2717</v>
      </c>
      <c r="I189" s="101">
        <v>1109</v>
      </c>
      <c r="J189" s="101">
        <v>1111</v>
      </c>
      <c r="K189" s="101">
        <v>294</v>
      </c>
      <c r="L189" s="101">
        <v>949</v>
      </c>
      <c r="M189" s="101">
        <v>1584</v>
      </c>
      <c r="N189" s="101">
        <v>4102</v>
      </c>
      <c r="O189" s="101">
        <v>5612</v>
      </c>
      <c r="P189" s="101">
        <v>2760</v>
      </c>
      <c r="Q189" s="101">
        <v>3030</v>
      </c>
      <c r="R189" s="101">
        <v>1433</v>
      </c>
      <c r="S189" s="101"/>
      <c r="T189" t="s">
        <v>436</v>
      </c>
      <c r="U189" s="101">
        <f t="shared" si="6"/>
        <v>33903</v>
      </c>
      <c r="V189" s="101">
        <v>25904000</v>
      </c>
      <c r="W189" s="101">
        <v>22797083</v>
      </c>
      <c r="X189" s="101">
        <v>1882</v>
      </c>
      <c r="Y189" s="101">
        <v>2088</v>
      </c>
      <c r="Z189" s="101">
        <v>294</v>
      </c>
      <c r="AA189" s="101">
        <v>80</v>
      </c>
      <c r="AB189" s="101">
        <v>369</v>
      </c>
      <c r="AC189" s="101">
        <v>71</v>
      </c>
      <c r="AD189" s="101">
        <v>0</v>
      </c>
      <c r="AE189" s="101">
        <v>0</v>
      </c>
      <c r="AF189" s="101">
        <v>10</v>
      </c>
      <c r="AG189" s="101">
        <f t="shared" si="7"/>
        <v>26002.082999999999</v>
      </c>
      <c r="AH189" s="101">
        <v>13779</v>
      </c>
      <c r="AI189" s="101">
        <f t="shared" si="8"/>
        <v>1887.0805573699108</v>
      </c>
      <c r="AJ189" t="s">
        <v>465</v>
      </c>
      <c r="AN189" t="s">
        <v>225</v>
      </c>
      <c r="AO189" s="259">
        <v>2230.6275730842417</v>
      </c>
      <c r="AP189" t="s">
        <v>465</v>
      </c>
    </row>
    <row r="190" spans="2:42" x14ac:dyDescent="0.25">
      <c r="B190" t="s">
        <v>413</v>
      </c>
      <c r="C190" s="101">
        <v>25293</v>
      </c>
      <c r="D190" s="101">
        <v>0</v>
      </c>
      <c r="E190" s="101">
        <v>40</v>
      </c>
      <c r="F190" s="101">
        <v>587</v>
      </c>
      <c r="G190" s="101">
        <v>7540</v>
      </c>
      <c r="H190" s="101">
        <v>2584</v>
      </c>
      <c r="I190" s="101">
        <v>755</v>
      </c>
      <c r="J190" s="101">
        <v>575</v>
      </c>
      <c r="K190" s="101">
        <v>77</v>
      </c>
      <c r="L190" s="101">
        <v>259</v>
      </c>
      <c r="M190" s="101">
        <v>853</v>
      </c>
      <c r="N190" s="101">
        <v>3049</v>
      </c>
      <c r="O190" s="101">
        <v>1899</v>
      </c>
      <c r="P190" s="101">
        <v>5617</v>
      </c>
      <c r="Q190" s="101">
        <v>1408</v>
      </c>
      <c r="R190" s="101">
        <v>50</v>
      </c>
      <c r="S190" s="101"/>
      <c r="T190" t="s">
        <v>413</v>
      </c>
      <c r="U190" s="101">
        <f t="shared" si="6"/>
        <v>24666</v>
      </c>
      <c r="V190" s="101">
        <v>19714000</v>
      </c>
      <c r="W190" s="101">
        <v>13993374</v>
      </c>
      <c r="X190" s="101">
        <v>561</v>
      </c>
      <c r="Y190" s="101">
        <v>1069</v>
      </c>
      <c r="Z190" s="101">
        <v>154</v>
      </c>
      <c r="AA190" s="101">
        <v>0</v>
      </c>
      <c r="AB190" s="101">
        <v>141</v>
      </c>
      <c r="AC190" s="101">
        <v>35</v>
      </c>
      <c r="AD190" s="101">
        <v>182</v>
      </c>
      <c r="AE190" s="101">
        <v>0</v>
      </c>
      <c r="AF190" s="101">
        <v>35</v>
      </c>
      <c r="AG190" s="101">
        <f t="shared" si="7"/>
        <v>16768.374</v>
      </c>
      <c r="AH190" s="101">
        <v>8103</v>
      </c>
      <c r="AI190" s="101">
        <f t="shared" si="8"/>
        <v>2069.4031840059238</v>
      </c>
      <c r="AJ190" t="s">
        <v>465</v>
      </c>
      <c r="AN190" t="s">
        <v>382</v>
      </c>
      <c r="AO190" s="259">
        <v>1952.740276862228</v>
      </c>
      <c r="AP190" t="s">
        <v>465</v>
      </c>
    </row>
    <row r="191" spans="2:42" x14ac:dyDescent="0.25">
      <c r="B191" t="s">
        <v>189</v>
      </c>
      <c r="C191" s="101">
        <v>80722</v>
      </c>
      <c r="D191" s="101">
        <v>1405</v>
      </c>
      <c r="E191" s="101">
        <v>1862</v>
      </c>
      <c r="F191" s="101">
        <v>2176</v>
      </c>
      <c r="G191" s="101">
        <v>18887</v>
      </c>
      <c r="H191" s="101">
        <v>-3253</v>
      </c>
      <c r="I191" s="101">
        <v>3751</v>
      </c>
      <c r="J191" s="101">
        <v>3676</v>
      </c>
      <c r="K191" s="101">
        <v>2971</v>
      </c>
      <c r="L191" s="101">
        <v>3391</v>
      </c>
      <c r="M191" s="101">
        <v>5089</v>
      </c>
      <c r="N191" s="101">
        <v>8273</v>
      </c>
      <c r="O191" s="101">
        <v>10262</v>
      </c>
      <c r="P191" s="101">
        <v>7842</v>
      </c>
      <c r="Q191" s="101">
        <v>10644</v>
      </c>
      <c r="R191" s="101">
        <v>3746</v>
      </c>
      <c r="S191" s="101"/>
      <c r="T191" t="s">
        <v>189</v>
      </c>
      <c r="U191" s="101">
        <f t="shared" si="6"/>
        <v>75279</v>
      </c>
      <c r="V191" s="101">
        <v>54479000</v>
      </c>
      <c r="W191" s="101">
        <v>46773459</v>
      </c>
      <c r="X191" s="101">
        <v>2436</v>
      </c>
      <c r="Y191" s="101">
        <v>0</v>
      </c>
      <c r="Z191" s="101">
        <v>690</v>
      </c>
      <c r="AA191" s="101">
        <v>348</v>
      </c>
      <c r="AB191" s="101">
        <v>1809</v>
      </c>
      <c r="AC191" s="101">
        <v>640</v>
      </c>
      <c r="AD191" s="101">
        <v>63</v>
      </c>
      <c r="AE191" s="101">
        <v>0</v>
      </c>
      <c r="AF191" s="101">
        <v>2</v>
      </c>
      <c r="AG191" s="101">
        <f t="shared" si="7"/>
        <v>61585.459000000003</v>
      </c>
      <c r="AH191" s="101">
        <v>25800</v>
      </c>
      <c r="AI191" s="101">
        <f t="shared" si="8"/>
        <v>2387.0332945736436</v>
      </c>
      <c r="AJ191" t="s">
        <v>465</v>
      </c>
      <c r="AN191" t="s">
        <v>226</v>
      </c>
      <c r="AO191" s="259">
        <v>2111.7203294279129</v>
      </c>
      <c r="AP191" t="s">
        <v>465</v>
      </c>
    </row>
    <row r="192" spans="2:42" x14ac:dyDescent="0.25">
      <c r="B192" t="s">
        <v>414</v>
      </c>
      <c r="C192" s="101">
        <v>58640</v>
      </c>
      <c r="D192" s="101">
        <v>2872</v>
      </c>
      <c r="E192" s="101">
        <v>0</v>
      </c>
      <c r="F192" s="101">
        <v>1415</v>
      </c>
      <c r="G192" s="101">
        <v>13107</v>
      </c>
      <c r="H192" s="101">
        <v>4734</v>
      </c>
      <c r="I192" s="101">
        <v>1638</v>
      </c>
      <c r="J192" s="101">
        <v>2999</v>
      </c>
      <c r="K192" s="101">
        <v>563</v>
      </c>
      <c r="L192" s="101">
        <v>1052</v>
      </c>
      <c r="M192" s="101">
        <v>3088</v>
      </c>
      <c r="N192" s="101">
        <v>6391</v>
      </c>
      <c r="O192" s="101">
        <v>5653</v>
      </c>
      <c r="P192" s="101">
        <v>6628</v>
      </c>
      <c r="Q192" s="101">
        <v>7036</v>
      </c>
      <c r="R192" s="101">
        <v>1464</v>
      </c>
      <c r="S192" s="101"/>
      <c r="T192" t="s">
        <v>414</v>
      </c>
      <c r="U192" s="101">
        <f t="shared" si="6"/>
        <v>54353</v>
      </c>
      <c r="V192" s="101">
        <v>42895000</v>
      </c>
      <c r="W192" s="101">
        <v>34756831</v>
      </c>
      <c r="X192" s="101">
        <v>2614</v>
      </c>
      <c r="Y192" s="101">
        <v>1875</v>
      </c>
      <c r="Z192" s="101">
        <v>182</v>
      </c>
      <c r="AA192" s="101">
        <v>20</v>
      </c>
      <c r="AB192" s="101">
        <v>519</v>
      </c>
      <c r="AC192" s="101">
        <v>22</v>
      </c>
      <c r="AD192" s="101">
        <v>75</v>
      </c>
      <c r="AE192" s="101">
        <v>0</v>
      </c>
      <c r="AF192" s="101">
        <v>7</v>
      </c>
      <c r="AG192" s="101">
        <f t="shared" si="7"/>
        <v>40900.830999999998</v>
      </c>
      <c r="AH192" s="101">
        <v>17516</v>
      </c>
      <c r="AI192" s="101">
        <f t="shared" si="8"/>
        <v>2335.0554350308289</v>
      </c>
      <c r="AJ192" t="s">
        <v>465</v>
      </c>
      <c r="AN192" t="s">
        <v>155</v>
      </c>
      <c r="AO192" s="259">
        <v>2293.8080865310326</v>
      </c>
      <c r="AP192" t="s">
        <v>465</v>
      </c>
    </row>
    <row r="193" spans="2:42" x14ac:dyDescent="0.25">
      <c r="B193" t="s">
        <v>223</v>
      </c>
      <c r="C193" s="101">
        <v>272314</v>
      </c>
      <c r="D193" s="101">
        <v>23746</v>
      </c>
      <c r="E193" s="101">
        <v>1660</v>
      </c>
      <c r="F193" s="101">
        <v>12875</v>
      </c>
      <c r="G193" s="101">
        <v>56957</v>
      </c>
      <c r="H193" s="101">
        <v>8002</v>
      </c>
      <c r="I193" s="101">
        <v>7445</v>
      </c>
      <c r="J193" s="101">
        <v>9757</v>
      </c>
      <c r="K193" s="101">
        <v>6184</v>
      </c>
      <c r="L193" s="101">
        <v>8987</v>
      </c>
      <c r="M193" s="101">
        <v>17071</v>
      </c>
      <c r="N193" s="101">
        <v>41729</v>
      </c>
      <c r="O193" s="101">
        <v>25391</v>
      </c>
      <c r="P193" s="101">
        <v>29679</v>
      </c>
      <c r="Q193" s="101">
        <v>17924</v>
      </c>
      <c r="R193" s="101">
        <v>4907</v>
      </c>
      <c r="S193" s="101"/>
      <c r="T193" t="s">
        <v>223</v>
      </c>
      <c r="U193" s="101">
        <f t="shared" si="6"/>
        <v>234033</v>
      </c>
      <c r="V193" s="101">
        <v>175674000</v>
      </c>
      <c r="W193" s="101">
        <v>137310122</v>
      </c>
      <c r="X193" s="101">
        <v>6090</v>
      </c>
      <c r="Y193" s="101">
        <v>10444</v>
      </c>
      <c r="Z193" s="101">
        <v>1489</v>
      </c>
      <c r="AA193" s="101">
        <v>489</v>
      </c>
      <c r="AB193" s="101">
        <v>2215</v>
      </c>
      <c r="AC193" s="101">
        <v>335</v>
      </c>
      <c r="AD193" s="101">
        <v>64</v>
      </c>
      <c r="AE193" s="101">
        <v>5976</v>
      </c>
      <c r="AF193" s="101">
        <v>577</v>
      </c>
      <c r="AG193" s="101">
        <f t="shared" si="7"/>
        <v>167990.122</v>
      </c>
      <c r="AH193" s="101">
        <v>66750</v>
      </c>
      <c r="AI193" s="101">
        <f t="shared" si="8"/>
        <v>2516.7059475655433</v>
      </c>
      <c r="AJ193" t="s">
        <v>116</v>
      </c>
      <c r="AN193" t="s">
        <v>201</v>
      </c>
      <c r="AO193" s="259">
        <v>2038.8373019637606</v>
      </c>
      <c r="AP193" t="s">
        <v>465</v>
      </c>
    </row>
    <row r="194" spans="2:42" x14ac:dyDescent="0.25">
      <c r="B194" t="s">
        <v>307</v>
      </c>
      <c r="C194" s="101">
        <v>112782</v>
      </c>
      <c r="D194" s="101">
        <v>25319</v>
      </c>
      <c r="E194" s="101">
        <v>446</v>
      </c>
      <c r="F194" s="101">
        <v>3670</v>
      </c>
      <c r="G194" s="101">
        <v>23895</v>
      </c>
      <c r="H194" s="101">
        <v>7715</v>
      </c>
      <c r="I194" s="101">
        <v>2522</v>
      </c>
      <c r="J194" s="101">
        <v>4019</v>
      </c>
      <c r="K194" s="101">
        <v>929</v>
      </c>
      <c r="L194" s="101">
        <v>2446</v>
      </c>
      <c r="M194" s="101">
        <v>4814</v>
      </c>
      <c r="N194" s="101">
        <v>7040</v>
      </c>
      <c r="O194" s="101">
        <v>7696</v>
      </c>
      <c r="P194" s="101">
        <v>11878</v>
      </c>
      <c r="Q194" s="101">
        <v>7485</v>
      </c>
      <c r="R194" s="101">
        <v>2908</v>
      </c>
      <c r="S194" s="101"/>
      <c r="T194" t="s">
        <v>307</v>
      </c>
      <c r="U194" s="101">
        <f t="shared" si="6"/>
        <v>83347</v>
      </c>
      <c r="V194" s="101">
        <v>60970000</v>
      </c>
      <c r="W194" s="101">
        <v>50607524</v>
      </c>
      <c r="X194" s="101">
        <v>3064</v>
      </c>
      <c r="Y194" s="101">
        <v>4138</v>
      </c>
      <c r="Z194" s="101">
        <v>378</v>
      </c>
      <c r="AA194" s="101">
        <v>260</v>
      </c>
      <c r="AB194" s="101">
        <v>1077</v>
      </c>
      <c r="AC194" s="101">
        <v>673</v>
      </c>
      <c r="AD194" s="101">
        <v>0</v>
      </c>
      <c r="AE194" s="101">
        <v>0</v>
      </c>
      <c r="AF194" s="101">
        <v>77</v>
      </c>
      <c r="AG194" s="101">
        <f t="shared" si="7"/>
        <v>63317.524000000005</v>
      </c>
      <c r="AH194" s="101">
        <v>29530</v>
      </c>
      <c r="AI194" s="101">
        <f t="shared" si="8"/>
        <v>2144.1762275651881</v>
      </c>
      <c r="AJ194" t="s">
        <v>465</v>
      </c>
      <c r="AN194" t="s">
        <v>385</v>
      </c>
      <c r="AO194" s="259">
        <v>1992.4094600417645</v>
      </c>
      <c r="AP194" t="s">
        <v>465</v>
      </c>
    </row>
    <row r="195" spans="2:42" x14ac:dyDescent="0.25">
      <c r="B195" t="s">
        <v>190</v>
      </c>
      <c r="C195" s="101">
        <v>177701</v>
      </c>
      <c r="D195" s="101">
        <v>31792</v>
      </c>
      <c r="E195" s="101">
        <v>1709</v>
      </c>
      <c r="F195" s="101">
        <v>9604</v>
      </c>
      <c r="G195" s="101">
        <v>32759</v>
      </c>
      <c r="H195" s="101">
        <v>10241</v>
      </c>
      <c r="I195" s="101">
        <v>3336</v>
      </c>
      <c r="J195" s="101">
        <v>5813</v>
      </c>
      <c r="K195" s="101">
        <v>7999</v>
      </c>
      <c r="L195" s="101">
        <v>3064</v>
      </c>
      <c r="M195" s="101">
        <v>9651</v>
      </c>
      <c r="N195" s="101">
        <v>13056</v>
      </c>
      <c r="O195" s="101">
        <v>15962</v>
      </c>
      <c r="P195" s="101">
        <v>19049</v>
      </c>
      <c r="Q195" s="101">
        <v>9612</v>
      </c>
      <c r="R195" s="101">
        <v>4054</v>
      </c>
      <c r="S195" s="101"/>
      <c r="T195" t="s">
        <v>190</v>
      </c>
      <c r="U195" s="101">
        <f t="shared" ref="U195:U258" si="9">SUM(C195,-D195,-E195,-F195)</f>
        <v>134596</v>
      </c>
      <c r="V195" s="101">
        <v>99247000</v>
      </c>
      <c r="W195" s="101">
        <v>78993836</v>
      </c>
      <c r="X195" s="101">
        <v>3067</v>
      </c>
      <c r="Y195" s="101">
        <v>4580</v>
      </c>
      <c r="Z195" s="101">
        <v>1119</v>
      </c>
      <c r="AA195" s="101">
        <v>684</v>
      </c>
      <c r="AB195" s="101">
        <v>1477</v>
      </c>
      <c r="AC195" s="101">
        <v>359</v>
      </c>
      <c r="AD195" s="101">
        <v>331</v>
      </c>
      <c r="AE195" s="101">
        <v>292</v>
      </c>
      <c r="AF195" s="101">
        <v>5</v>
      </c>
      <c r="AG195" s="101">
        <f t="shared" ref="AG195:AG258" si="10">SUM(U195,-V195/1000,W195/1000,-X195,-Y195,-Z195,-AA195,-AB195,-AC195,-AD195,-AE195,-AF195)</f>
        <v>102428.836</v>
      </c>
      <c r="AH195" s="101">
        <v>45725</v>
      </c>
      <c r="AI195" s="101">
        <f t="shared" ref="AI195:AI258" si="11">AG195*1000/AH195</f>
        <v>2240.1057627118644</v>
      </c>
      <c r="AJ195" t="s">
        <v>465</v>
      </c>
      <c r="AN195" t="s">
        <v>386</v>
      </c>
      <c r="AO195" s="259">
        <v>2212.4683387751065</v>
      </c>
      <c r="AP195" t="s">
        <v>465</v>
      </c>
    </row>
    <row r="196" spans="2:42" x14ac:dyDescent="0.25">
      <c r="B196" t="s">
        <v>191</v>
      </c>
      <c r="C196" s="101">
        <v>1043084</v>
      </c>
      <c r="D196" s="101">
        <v>122335</v>
      </c>
      <c r="E196" s="101">
        <v>4835</v>
      </c>
      <c r="F196" s="101">
        <v>31933</v>
      </c>
      <c r="G196" s="101">
        <v>154459</v>
      </c>
      <c r="H196" s="101">
        <v>30942</v>
      </c>
      <c r="I196" s="101">
        <v>20448</v>
      </c>
      <c r="J196" s="101">
        <v>42709</v>
      </c>
      <c r="K196" s="101">
        <v>6371</v>
      </c>
      <c r="L196" s="101">
        <v>34028</v>
      </c>
      <c r="M196" s="101">
        <v>58976</v>
      </c>
      <c r="N196" s="101">
        <v>199670</v>
      </c>
      <c r="O196" s="101">
        <v>75124</v>
      </c>
      <c r="P196" s="101">
        <v>196220</v>
      </c>
      <c r="Q196" s="101">
        <v>51068</v>
      </c>
      <c r="R196" s="101">
        <v>13966</v>
      </c>
      <c r="S196" s="101"/>
      <c r="T196" t="s">
        <v>191</v>
      </c>
      <c r="U196" s="101">
        <f t="shared" si="9"/>
        <v>883981</v>
      </c>
      <c r="V196" s="101">
        <v>705990000</v>
      </c>
      <c r="W196" s="101">
        <v>454189480</v>
      </c>
      <c r="X196" s="101">
        <v>16624</v>
      </c>
      <c r="Y196" s="101">
        <v>4412</v>
      </c>
      <c r="Z196" s="101">
        <v>2534</v>
      </c>
      <c r="AA196" s="101">
        <v>0</v>
      </c>
      <c r="AB196" s="101">
        <v>7447</v>
      </c>
      <c r="AC196" s="101">
        <v>2315</v>
      </c>
      <c r="AD196" s="101">
        <v>868</v>
      </c>
      <c r="AE196" s="101">
        <v>23765</v>
      </c>
      <c r="AF196" s="101">
        <v>880</v>
      </c>
      <c r="AG196" s="101">
        <f t="shared" si="10"/>
        <v>573335.48</v>
      </c>
      <c r="AH196" s="101">
        <v>188981</v>
      </c>
      <c r="AI196" s="101">
        <f t="shared" si="11"/>
        <v>3033.8260460046249</v>
      </c>
      <c r="AJ196" t="s">
        <v>439</v>
      </c>
      <c r="AN196" t="s">
        <v>387</v>
      </c>
      <c r="AO196" s="259">
        <v>1959.5234969663541</v>
      </c>
      <c r="AP196" t="s">
        <v>465</v>
      </c>
    </row>
    <row r="197" spans="2:42" x14ac:dyDescent="0.25">
      <c r="B197" t="s">
        <v>475</v>
      </c>
      <c r="C197" s="101">
        <v>378040</v>
      </c>
      <c r="D197" s="101">
        <v>9746</v>
      </c>
      <c r="E197" s="101">
        <v>3798</v>
      </c>
      <c r="F197" s="101">
        <v>13585</v>
      </c>
      <c r="G197" s="101">
        <v>82435</v>
      </c>
      <c r="H197" s="101">
        <v>30235</v>
      </c>
      <c r="I197" s="101">
        <v>8697</v>
      </c>
      <c r="J197" s="101">
        <v>16731</v>
      </c>
      <c r="K197" s="101">
        <v>1807</v>
      </c>
      <c r="L197" s="101">
        <v>11708</v>
      </c>
      <c r="M197" s="101">
        <v>20624</v>
      </c>
      <c r="N197" s="101">
        <v>56953</v>
      </c>
      <c r="O197" s="101">
        <v>45253</v>
      </c>
      <c r="P197" s="101">
        <v>46580</v>
      </c>
      <c r="Q197" s="101">
        <v>29131</v>
      </c>
      <c r="R197" s="101">
        <v>757</v>
      </c>
      <c r="S197" s="101"/>
      <c r="T197" t="s">
        <v>475</v>
      </c>
      <c r="U197" s="101">
        <f t="shared" si="9"/>
        <v>350911</v>
      </c>
      <c r="V197" s="101">
        <v>286080000</v>
      </c>
      <c r="W197" s="101">
        <v>201951785</v>
      </c>
      <c r="X197" s="101">
        <v>8459</v>
      </c>
      <c r="Y197" s="101">
        <v>14509</v>
      </c>
      <c r="Z197" s="101">
        <v>1814</v>
      </c>
      <c r="AA197" s="101">
        <v>541</v>
      </c>
      <c r="AB197" s="101">
        <v>816</v>
      </c>
      <c r="AC197" s="101">
        <v>107</v>
      </c>
      <c r="AD197" s="101">
        <v>365</v>
      </c>
      <c r="AE197" s="101">
        <v>3718</v>
      </c>
      <c r="AF197" s="101">
        <v>46</v>
      </c>
      <c r="AG197" s="101">
        <f t="shared" si="10"/>
        <v>236407.78500000003</v>
      </c>
      <c r="AH197" s="101">
        <v>88355</v>
      </c>
      <c r="AI197" s="101">
        <f t="shared" si="11"/>
        <v>2675.658253635901</v>
      </c>
      <c r="AJ197" t="s">
        <v>116</v>
      </c>
      <c r="AN197" t="s">
        <v>156</v>
      </c>
      <c r="AO197" s="259">
        <v>2338.0839036332277</v>
      </c>
      <c r="AP197" t="s">
        <v>465</v>
      </c>
    </row>
    <row r="198" spans="2:42" x14ac:dyDescent="0.25">
      <c r="B198" t="s">
        <v>597</v>
      </c>
      <c r="C198" s="101">
        <v>180138</v>
      </c>
      <c r="D198" s="101">
        <v>462</v>
      </c>
      <c r="E198" s="101">
        <v>2190</v>
      </c>
      <c r="F198" s="101">
        <v>9048</v>
      </c>
      <c r="G198" s="101">
        <v>44965</v>
      </c>
      <c r="H198" s="101">
        <v>14291</v>
      </c>
      <c r="I198" s="101">
        <v>4351</v>
      </c>
      <c r="J198" s="101">
        <v>9604</v>
      </c>
      <c r="K198" s="101">
        <v>803</v>
      </c>
      <c r="L198" s="101">
        <v>3900</v>
      </c>
      <c r="M198" s="101">
        <v>8672</v>
      </c>
      <c r="N198" s="101">
        <v>33745</v>
      </c>
      <c r="O198" s="101">
        <v>19171</v>
      </c>
      <c r="P198" s="101">
        <v>17259</v>
      </c>
      <c r="Q198" s="101">
        <v>9820</v>
      </c>
      <c r="R198" s="101">
        <v>1857</v>
      </c>
      <c r="S198" s="101"/>
      <c r="T198" t="s">
        <v>597</v>
      </c>
      <c r="U198" s="101">
        <f t="shared" si="9"/>
        <v>168438</v>
      </c>
      <c r="V198" s="101">
        <v>139465000</v>
      </c>
      <c r="W198" s="101">
        <v>108078986</v>
      </c>
      <c r="X198" s="101">
        <v>4971</v>
      </c>
      <c r="Y198" s="101">
        <v>4594</v>
      </c>
      <c r="Z198" s="101">
        <v>882</v>
      </c>
      <c r="AA198" s="101">
        <v>518</v>
      </c>
      <c r="AB198" s="101">
        <v>949</v>
      </c>
      <c r="AC198" s="101">
        <v>306</v>
      </c>
      <c r="AD198" s="101">
        <v>588</v>
      </c>
      <c r="AE198" s="101">
        <v>348</v>
      </c>
      <c r="AF198" s="101">
        <v>108</v>
      </c>
      <c r="AG198" s="101">
        <f t="shared" si="10"/>
        <v>123787.986</v>
      </c>
      <c r="AH198" s="101">
        <v>45875</v>
      </c>
      <c r="AI198" s="101">
        <f t="shared" si="11"/>
        <v>2698.3757166212536</v>
      </c>
      <c r="AJ198" t="s">
        <v>116</v>
      </c>
      <c r="AN198" t="s">
        <v>228</v>
      </c>
      <c r="AO198" s="259">
        <v>1841.0130814832739</v>
      </c>
      <c r="AP198" t="s">
        <v>465</v>
      </c>
    </row>
    <row r="199" spans="2:42" x14ac:dyDescent="0.25">
      <c r="B199" t="s">
        <v>333</v>
      </c>
      <c r="C199" s="101">
        <v>39350</v>
      </c>
      <c r="D199" s="101">
        <v>3188</v>
      </c>
      <c r="E199" s="101">
        <v>103</v>
      </c>
      <c r="F199" s="101">
        <v>2115</v>
      </c>
      <c r="G199" s="101">
        <v>7965</v>
      </c>
      <c r="H199" s="101">
        <v>5383</v>
      </c>
      <c r="I199" s="101">
        <v>1181</v>
      </c>
      <c r="J199" s="101">
        <v>2442</v>
      </c>
      <c r="K199" s="101">
        <v>805</v>
      </c>
      <c r="L199" s="101">
        <v>270</v>
      </c>
      <c r="M199" s="101">
        <v>1675</v>
      </c>
      <c r="N199" s="101">
        <v>3697</v>
      </c>
      <c r="O199" s="101">
        <v>2555</v>
      </c>
      <c r="P199" s="101">
        <v>4903</v>
      </c>
      <c r="Q199" s="101">
        <v>2671</v>
      </c>
      <c r="R199" s="101">
        <v>397</v>
      </c>
      <c r="S199" s="101"/>
      <c r="T199" t="s">
        <v>333</v>
      </c>
      <c r="U199" s="101">
        <f t="shared" si="9"/>
        <v>33944</v>
      </c>
      <c r="V199" s="101">
        <v>23194000</v>
      </c>
      <c r="W199" s="101">
        <v>17683532</v>
      </c>
      <c r="X199" s="101">
        <v>1191</v>
      </c>
      <c r="Y199" s="101">
        <v>1347</v>
      </c>
      <c r="Z199" s="101">
        <v>120</v>
      </c>
      <c r="AA199" s="101">
        <v>68</v>
      </c>
      <c r="AB199" s="101">
        <v>200</v>
      </c>
      <c r="AC199" s="101">
        <v>253</v>
      </c>
      <c r="AD199" s="101">
        <v>3365</v>
      </c>
      <c r="AE199" s="101">
        <v>500</v>
      </c>
      <c r="AF199" s="101">
        <v>11</v>
      </c>
      <c r="AG199" s="101">
        <f t="shared" si="10"/>
        <v>21378.531999999999</v>
      </c>
      <c r="AH199" s="101">
        <v>8045</v>
      </c>
      <c r="AI199" s="101">
        <f t="shared" si="11"/>
        <v>2657.3688004972032</v>
      </c>
      <c r="AJ199" t="s">
        <v>116</v>
      </c>
      <c r="AN199" t="s">
        <v>317</v>
      </c>
      <c r="AO199" s="259">
        <v>1921.5319968758135</v>
      </c>
      <c r="AP199" t="s">
        <v>465</v>
      </c>
    </row>
    <row r="200" spans="2:42" x14ac:dyDescent="0.25">
      <c r="B200" t="s">
        <v>112</v>
      </c>
      <c r="C200" s="101">
        <v>108746</v>
      </c>
      <c r="D200" s="101">
        <v>3873</v>
      </c>
      <c r="E200" s="101">
        <v>2445</v>
      </c>
      <c r="F200" s="101">
        <v>7854</v>
      </c>
      <c r="G200" s="101">
        <v>32087</v>
      </c>
      <c r="H200" s="101">
        <v>5865</v>
      </c>
      <c r="I200" s="101">
        <v>2136</v>
      </c>
      <c r="J200" s="101">
        <v>3116</v>
      </c>
      <c r="K200" s="101">
        <v>666</v>
      </c>
      <c r="L200" s="101">
        <v>2197</v>
      </c>
      <c r="M200" s="101">
        <v>6442</v>
      </c>
      <c r="N200" s="101">
        <v>14622</v>
      </c>
      <c r="O200" s="101">
        <v>9041</v>
      </c>
      <c r="P200" s="101">
        <v>11392</v>
      </c>
      <c r="Q200" s="101">
        <v>4595</v>
      </c>
      <c r="R200" s="101">
        <v>2415</v>
      </c>
      <c r="S200" s="101"/>
      <c r="T200" t="s">
        <v>112</v>
      </c>
      <c r="U200" s="101">
        <f t="shared" si="9"/>
        <v>94574</v>
      </c>
      <c r="V200" s="101">
        <v>77330000</v>
      </c>
      <c r="W200" s="101">
        <v>64527991</v>
      </c>
      <c r="X200" s="101">
        <v>5093</v>
      </c>
      <c r="Y200" s="101">
        <v>4189</v>
      </c>
      <c r="Z200" s="101">
        <v>661</v>
      </c>
      <c r="AA200" s="101">
        <v>236</v>
      </c>
      <c r="AB200" s="101">
        <v>581</v>
      </c>
      <c r="AC200" s="101">
        <v>53</v>
      </c>
      <c r="AD200" s="101">
        <v>289</v>
      </c>
      <c r="AE200" s="101">
        <v>0</v>
      </c>
      <c r="AF200" s="101">
        <v>208</v>
      </c>
      <c r="AG200" s="101">
        <f t="shared" si="10"/>
        <v>70461.991000000009</v>
      </c>
      <c r="AH200" s="101">
        <v>31772</v>
      </c>
      <c r="AI200" s="101">
        <f t="shared" si="11"/>
        <v>2217.7386063200306</v>
      </c>
      <c r="AJ200" t="s">
        <v>116</v>
      </c>
      <c r="AN200" t="s">
        <v>338</v>
      </c>
      <c r="AO200" s="259">
        <v>2268.3133536223277</v>
      </c>
      <c r="AP200" t="s">
        <v>465</v>
      </c>
    </row>
    <row r="201" spans="2:42" x14ac:dyDescent="0.25">
      <c r="B201" t="s">
        <v>430</v>
      </c>
      <c r="C201" s="101">
        <v>183564</v>
      </c>
      <c r="D201" s="101">
        <v>7403</v>
      </c>
      <c r="E201" s="101">
        <v>0</v>
      </c>
      <c r="F201" s="101">
        <v>4855</v>
      </c>
      <c r="G201" s="101">
        <v>40431</v>
      </c>
      <c r="H201" s="101">
        <v>10308</v>
      </c>
      <c r="I201" s="101">
        <v>4101</v>
      </c>
      <c r="J201" s="101">
        <v>8288</v>
      </c>
      <c r="K201" s="101">
        <v>5647</v>
      </c>
      <c r="L201" s="101">
        <v>5359</v>
      </c>
      <c r="M201" s="101">
        <v>12486</v>
      </c>
      <c r="N201" s="101">
        <v>26640</v>
      </c>
      <c r="O201" s="101">
        <v>18781</v>
      </c>
      <c r="P201" s="101">
        <v>23585</v>
      </c>
      <c r="Q201" s="101">
        <v>13811</v>
      </c>
      <c r="R201" s="101">
        <v>1869</v>
      </c>
      <c r="S201" s="101"/>
      <c r="T201" t="s">
        <v>430</v>
      </c>
      <c r="U201" s="101">
        <f t="shared" si="9"/>
        <v>171306</v>
      </c>
      <c r="V201" s="101">
        <v>138889000</v>
      </c>
      <c r="W201" s="101">
        <v>104245323</v>
      </c>
      <c r="X201" s="101">
        <v>3785</v>
      </c>
      <c r="Y201" s="101">
        <v>7987</v>
      </c>
      <c r="Z201" s="101">
        <v>689</v>
      </c>
      <c r="AA201" s="101">
        <v>552</v>
      </c>
      <c r="AB201" s="101">
        <v>1762</v>
      </c>
      <c r="AC201" s="101">
        <v>361</v>
      </c>
      <c r="AD201" s="101">
        <v>575</v>
      </c>
      <c r="AE201" s="101">
        <v>0</v>
      </c>
      <c r="AF201" s="101">
        <v>336</v>
      </c>
      <c r="AG201" s="101">
        <f t="shared" si="10"/>
        <v>120615.323</v>
      </c>
      <c r="AH201" s="101">
        <v>50803</v>
      </c>
      <c r="AI201" s="101">
        <f t="shared" si="11"/>
        <v>2374.1771745763044</v>
      </c>
      <c r="AJ201" t="s">
        <v>116</v>
      </c>
      <c r="AN201" t="s">
        <v>158</v>
      </c>
      <c r="AO201" s="259">
        <v>2077.3608889715456</v>
      </c>
      <c r="AP201" t="s">
        <v>465</v>
      </c>
    </row>
    <row r="202" spans="2:42" x14ac:dyDescent="0.25">
      <c r="B202" t="s">
        <v>308</v>
      </c>
      <c r="C202" s="101">
        <v>166354</v>
      </c>
      <c r="D202" s="101">
        <v>7572</v>
      </c>
      <c r="E202" s="101">
        <v>3397</v>
      </c>
      <c r="F202" s="101">
        <v>10216</v>
      </c>
      <c r="G202" s="101">
        <v>28284</v>
      </c>
      <c r="H202" s="101">
        <v>12448</v>
      </c>
      <c r="I202" s="101">
        <v>5835</v>
      </c>
      <c r="J202" s="101">
        <v>6033</v>
      </c>
      <c r="K202" s="101">
        <v>1715</v>
      </c>
      <c r="L202" s="101">
        <v>2891</v>
      </c>
      <c r="M202" s="101">
        <v>12287</v>
      </c>
      <c r="N202" s="101">
        <v>17601</v>
      </c>
      <c r="O202" s="101">
        <v>14530</v>
      </c>
      <c r="P202" s="101">
        <v>21937</v>
      </c>
      <c r="Q202" s="101">
        <v>15055</v>
      </c>
      <c r="R202" s="101">
        <v>6553</v>
      </c>
      <c r="S202" s="101"/>
      <c r="T202" t="s">
        <v>308</v>
      </c>
      <c r="U202" s="101">
        <f t="shared" si="9"/>
        <v>145169</v>
      </c>
      <c r="V202" s="101">
        <v>93794000</v>
      </c>
      <c r="W202" s="101">
        <v>76627954</v>
      </c>
      <c r="X202" s="101">
        <v>5405</v>
      </c>
      <c r="Y202" s="101">
        <v>8842</v>
      </c>
      <c r="Z202" s="101">
        <v>660</v>
      </c>
      <c r="AA202" s="101">
        <v>190</v>
      </c>
      <c r="AB202" s="101">
        <v>2624</v>
      </c>
      <c r="AC202" s="101">
        <v>600</v>
      </c>
      <c r="AD202" s="101">
        <v>3763</v>
      </c>
      <c r="AE202" s="101">
        <v>6170</v>
      </c>
      <c r="AF202" s="101">
        <v>328</v>
      </c>
      <c r="AG202" s="101">
        <f t="shared" si="10"/>
        <v>99420.953999999998</v>
      </c>
      <c r="AH202" s="101">
        <v>45946</v>
      </c>
      <c r="AI202" s="101">
        <f t="shared" si="11"/>
        <v>2163.8652766290861</v>
      </c>
      <c r="AJ202" t="s">
        <v>116</v>
      </c>
      <c r="AN202" t="s">
        <v>113</v>
      </c>
      <c r="AO202" s="259">
        <v>2160.22697283866</v>
      </c>
      <c r="AP202" t="s">
        <v>465</v>
      </c>
    </row>
    <row r="203" spans="2:42" x14ac:dyDescent="0.25">
      <c r="B203" t="s">
        <v>433</v>
      </c>
      <c r="C203" s="101">
        <v>69638</v>
      </c>
      <c r="D203" s="101">
        <v>5789</v>
      </c>
      <c r="E203" s="101">
        <v>1201</v>
      </c>
      <c r="F203" s="101">
        <v>2162</v>
      </c>
      <c r="G203" s="101">
        <v>11643</v>
      </c>
      <c r="H203" s="101">
        <v>10223</v>
      </c>
      <c r="I203" s="101">
        <v>2152</v>
      </c>
      <c r="J203" s="101">
        <v>2849</v>
      </c>
      <c r="K203" s="101">
        <v>251</v>
      </c>
      <c r="L203" s="101">
        <v>1685</v>
      </c>
      <c r="M203" s="101">
        <v>4871</v>
      </c>
      <c r="N203" s="101">
        <v>7856</v>
      </c>
      <c r="O203" s="101">
        <v>5157</v>
      </c>
      <c r="P203" s="101">
        <v>8233</v>
      </c>
      <c r="Q203" s="101">
        <v>4550</v>
      </c>
      <c r="R203" s="101">
        <v>1016</v>
      </c>
      <c r="S203" s="101"/>
      <c r="T203" t="s">
        <v>433</v>
      </c>
      <c r="U203" s="101">
        <f t="shared" si="9"/>
        <v>60486</v>
      </c>
      <c r="V203" s="101">
        <v>47379000</v>
      </c>
      <c r="W203" s="101">
        <v>39595915</v>
      </c>
      <c r="X203" s="101">
        <v>2212</v>
      </c>
      <c r="Y203" s="101">
        <v>3155</v>
      </c>
      <c r="Z203" s="101">
        <v>428</v>
      </c>
      <c r="AA203" s="101">
        <v>280</v>
      </c>
      <c r="AB203" s="101">
        <v>680</v>
      </c>
      <c r="AC203" s="101">
        <v>68</v>
      </c>
      <c r="AD203" s="101">
        <v>24</v>
      </c>
      <c r="AE203" s="101">
        <v>0</v>
      </c>
      <c r="AF203" s="101">
        <v>101</v>
      </c>
      <c r="AG203" s="101">
        <f t="shared" si="10"/>
        <v>45754.915000000001</v>
      </c>
      <c r="AH203" s="101">
        <v>24291</v>
      </c>
      <c r="AI203" s="101">
        <f t="shared" si="11"/>
        <v>1883.6159482936066</v>
      </c>
      <c r="AJ203" t="s">
        <v>465</v>
      </c>
      <c r="AN203" t="s">
        <v>272</v>
      </c>
      <c r="AO203" s="259">
        <v>1833.4944498249274</v>
      </c>
      <c r="AP203" t="s">
        <v>465</v>
      </c>
    </row>
    <row r="204" spans="2:42" x14ac:dyDescent="0.25">
      <c r="B204" t="s">
        <v>192</v>
      </c>
      <c r="C204" s="101">
        <v>91136</v>
      </c>
      <c r="D204" s="101">
        <v>215</v>
      </c>
      <c r="E204" s="101">
        <v>1107</v>
      </c>
      <c r="F204" s="101">
        <v>5406</v>
      </c>
      <c r="G204" s="101">
        <v>23010</v>
      </c>
      <c r="H204" s="101">
        <v>10903</v>
      </c>
      <c r="I204" s="101">
        <v>2094</v>
      </c>
      <c r="J204" s="101">
        <v>2761</v>
      </c>
      <c r="K204" s="101">
        <v>635</v>
      </c>
      <c r="L204" s="101">
        <v>2187</v>
      </c>
      <c r="M204" s="101">
        <v>4209</v>
      </c>
      <c r="N204" s="101">
        <v>11317</v>
      </c>
      <c r="O204" s="101">
        <v>10879</v>
      </c>
      <c r="P204" s="101">
        <v>9339</v>
      </c>
      <c r="Q204" s="101">
        <v>6702</v>
      </c>
      <c r="R204" s="101">
        <v>372</v>
      </c>
      <c r="S204" s="101"/>
      <c r="T204" t="s">
        <v>192</v>
      </c>
      <c r="U204" s="101">
        <f t="shared" si="9"/>
        <v>84408</v>
      </c>
      <c r="V204" s="101">
        <v>66377000</v>
      </c>
      <c r="W204" s="101">
        <v>54782154</v>
      </c>
      <c r="X204" s="101">
        <v>2178</v>
      </c>
      <c r="Y204" s="101">
        <v>3142</v>
      </c>
      <c r="Z204" s="101">
        <v>563</v>
      </c>
      <c r="AA204" s="101">
        <v>347</v>
      </c>
      <c r="AB204" s="101">
        <v>878</v>
      </c>
      <c r="AC204" s="101">
        <v>82</v>
      </c>
      <c r="AD204" s="101">
        <v>1036</v>
      </c>
      <c r="AE204" s="101">
        <v>0</v>
      </c>
      <c r="AF204" s="101">
        <v>124</v>
      </c>
      <c r="AG204" s="101">
        <f t="shared" si="10"/>
        <v>64463.15400000001</v>
      </c>
      <c r="AH204" s="101">
        <v>29390</v>
      </c>
      <c r="AI204" s="101">
        <f t="shared" si="11"/>
        <v>2193.370330044233</v>
      </c>
      <c r="AJ204" t="s">
        <v>465</v>
      </c>
      <c r="AN204" t="s">
        <v>273</v>
      </c>
      <c r="AO204" s="259">
        <v>2037.2175483388858</v>
      </c>
      <c r="AP204" t="s">
        <v>465</v>
      </c>
    </row>
    <row r="205" spans="2:42" x14ac:dyDescent="0.25">
      <c r="B205" t="s">
        <v>309</v>
      </c>
      <c r="C205" s="101">
        <v>82617</v>
      </c>
      <c r="D205" s="101">
        <v>6513</v>
      </c>
      <c r="E205" s="101">
        <v>1221</v>
      </c>
      <c r="F205" s="101">
        <v>3620</v>
      </c>
      <c r="G205" s="101">
        <v>14975</v>
      </c>
      <c r="H205" s="101">
        <v>8738</v>
      </c>
      <c r="I205" s="101">
        <v>2062</v>
      </c>
      <c r="J205" s="101">
        <v>2674</v>
      </c>
      <c r="K205" s="101">
        <v>277</v>
      </c>
      <c r="L205" s="101">
        <v>2402</v>
      </c>
      <c r="M205" s="101">
        <v>4482</v>
      </c>
      <c r="N205" s="101">
        <v>9061</v>
      </c>
      <c r="O205" s="101">
        <v>9557</v>
      </c>
      <c r="P205" s="101">
        <v>10602</v>
      </c>
      <c r="Q205" s="101">
        <v>5908</v>
      </c>
      <c r="R205" s="101">
        <v>525</v>
      </c>
      <c r="S205" s="101"/>
      <c r="T205" t="s">
        <v>309</v>
      </c>
      <c r="U205" s="101">
        <f t="shared" si="9"/>
        <v>71263</v>
      </c>
      <c r="V205" s="101">
        <v>51227000</v>
      </c>
      <c r="W205" s="101">
        <v>40822816</v>
      </c>
      <c r="X205" s="101">
        <v>3128</v>
      </c>
      <c r="Y205" s="101">
        <v>4590</v>
      </c>
      <c r="Z205" s="101">
        <v>506</v>
      </c>
      <c r="AA205" s="101">
        <v>0</v>
      </c>
      <c r="AB205" s="101">
        <v>1125</v>
      </c>
      <c r="AC205" s="101">
        <v>28</v>
      </c>
      <c r="AD205" s="101">
        <v>473</v>
      </c>
      <c r="AE205" s="101">
        <v>0</v>
      </c>
      <c r="AF205" s="101">
        <v>60</v>
      </c>
      <c r="AG205" s="101">
        <f t="shared" si="10"/>
        <v>50948.815999999999</v>
      </c>
      <c r="AH205" s="101">
        <v>26054</v>
      </c>
      <c r="AI205" s="101">
        <f t="shared" si="11"/>
        <v>1955.5084056190988</v>
      </c>
      <c r="AJ205" t="s">
        <v>465</v>
      </c>
      <c r="AN205" t="s">
        <v>431</v>
      </c>
      <c r="AO205" s="259">
        <v>2418.3580191232186</v>
      </c>
      <c r="AP205" t="s">
        <v>465</v>
      </c>
    </row>
    <row r="206" spans="2:42" x14ac:dyDescent="0.25">
      <c r="B206" t="s">
        <v>378</v>
      </c>
      <c r="C206" s="101">
        <v>69289</v>
      </c>
      <c r="D206" s="101">
        <v>7841</v>
      </c>
      <c r="E206" s="101">
        <v>1371</v>
      </c>
      <c r="F206" s="101">
        <v>2815</v>
      </c>
      <c r="G206" s="101">
        <v>14142</v>
      </c>
      <c r="H206" s="101">
        <v>7088</v>
      </c>
      <c r="I206" s="101">
        <v>1385</v>
      </c>
      <c r="J206" s="101">
        <v>2571</v>
      </c>
      <c r="K206" s="101">
        <v>788</v>
      </c>
      <c r="L206" s="101">
        <v>965</v>
      </c>
      <c r="M206" s="101">
        <v>4918</v>
      </c>
      <c r="N206" s="101">
        <v>7759</v>
      </c>
      <c r="O206" s="101">
        <v>4725</v>
      </c>
      <c r="P206" s="101">
        <v>5635</v>
      </c>
      <c r="Q206" s="101">
        <v>5202</v>
      </c>
      <c r="R206" s="101">
        <v>2084</v>
      </c>
      <c r="S206" s="101"/>
      <c r="T206" t="s">
        <v>378</v>
      </c>
      <c r="U206" s="101">
        <f t="shared" si="9"/>
        <v>57262</v>
      </c>
      <c r="V206" s="101">
        <v>39103000</v>
      </c>
      <c r="W206" s="101">
        <v>32416937</v>
      </c>
      <c r="X206" s="101">
        <v>2110</v>
      </c>
      <c r="Y206" s="101">
        <v>1772</v>
      </c>
      <c r="Z206" s="101">
        <v>370</v>
      </c>
      <c r="AA206" s="101">
        <v>0</v>
      </c>
      <c r="AB206" s="101">
        <v>794</v>
      </c>
      <c r="AC206" s="101">
        <v>82</v>
      </c>
      <c r="AD206" s="101">
        <v>489</v>
      </c>
      <c r="AE206" s="101">
        <v>4</v>
      </c>
      <c r="AF206" s="101">
        <v>186</v>
      </c>
      <c r="AG206" s="101">
        <f t="shared" si="10"/>
        <v>44768.937000000005</v>
      </c>
      <c r="AH206" s="101">
        <v>19546</v>
      </c>
      <c r="AI206" s="101">
        <f t="shared" si="11"/>
        <v>2290.4398342371846</v>
      </c>
      <c r="AJ206" t="s">
        <v>465</v>
      </c>
      <c r="AN206" t="s">
        <v>230</v>
      </c>
      <c r="AO206" s="259">
        <v>2028.6509883983431</v>
      </c>
      <c r="AP206" t="s">
        <v>465</v>
      </c>
    </row>
    <row r="207" spans="2:42" x14ac:dyDescent="0.25">
      <c r="B207" t="s">
        <v>379</v>
      </c>
      <c r="C207" s="101">
        <v>102815</v>
      </c>
      <c r="D207" s="101">
        <v>3578</v>
      </c>
      <c r="E207" s="101">
        <v>705</v>
      </c>
      <c r="F207" s="101">
        <v>3601</v>
      </c>
      <c r="G207" s="101">
        <v>24061</v>
      </c>
      <c r="H207" s="101">
        <v>9858</v>
      </c>
      <c r="I207" s="101">
        <v>2886</v>
      </c>
      <c r="J207" s="101">
        <v>3018</v>
      </c>
      <c r="K207" s="101">
        <v>1125</v>
      </c>
      <c r="L207" s="101">
        <v>2174</v>
      </c>
      <c r="M207" s="101">
        <v>8945</v>
      </c>
      <c r="N207" s="101">
        <v>12698</v>
      </c>
      <c r="O207" s="101">
        <v>10139</v>
      </c>
      <c r="P207" s="101">
        <v>10455</v>
      </c>
      <c r="Q207" s="101">
        <v>8855</v>
      </c>
      <c r="R207" s="101">
        <v>717</v>
      </c>
      <c r="S207" s="101"/>
      <c r="T207" t="s">
        <v>379</v>
      </c>
      <c r="U207" s="101">
        <f t="shared" si="9"/>
        <v>94931</v>
      </c>
      <c r="V207" s="101">
        <v>71205000</v>
      </c>
      <c r="W207" s="101">
        <v>56222506</v>
      </c>
      <c r="X207" s="101">
        <v>3737</v>
      </c>
      <c r="Y207" s="101">
        <v>3833</v>
      </c>
      <c r="Z207" s="101">
        <v>592</v>
      </c>
      <c r="AA207" s="101">
        <v>0</v>
      </c>
      <c r="AB207" s="101">
        <v>1345</v>
      </c>
      <c r="AC207" s="101">
        <v>466</v>
      </c>
      <c r="AD207" s="101">
        <v>717</v>
      </c>
      <c r="AE207" s="101">
        <v>1123</v>
      </c>
      <c r="AF207" s="101">
        <v>293</v>
      </c>
      <c r="AG207" s="101">
        <f t="shared" si="10"/>
        <v>67842.505999999994</v>
      </c>
      <c r="AH207" s="101">
        <v>33120</v>
      </c>
      <c r="AI207" s="101">
        <f t="shared" si="11"/>
        <v>2048.384842995169</v>
      </c>
      <c r="AJ207" t="s">
        <v>465</v>
      </c>
      <c r="AN207" t="s">
        <v>339</v>
      </c>
      <c r="AO207" s="259">
        <v>2281.4561611374411</v>
      </c>
      <c r="AP207" t="s">
        <v>465</v>
      </c>
    </row>
    <row r="208" spans="2:42" x14ac:dyDescent="0.25">
      <c r="B208" t="s">
        <v>121</v>
      </c>
      <c r="C208" s="101">
        <v>186302</v>
      </c>
      <c r="D208" s="101">
        <v>473</v>
      </c>
      <c r="E208" s="101">
        <v>1707</v>
      </c>
      <c r="F208" s="101">
        <v>8285</v>
      </c>
      <c r="G208" s="101">
        <v>36701</v>
      </c>
      <c r="H208" s="101">
        <v>16208</v>
      </c>
      <c r="I208" s="101">
        <v>3262</v>
      </c>
      <c r="J208" s="101">
        <v>4196</v>
      </c>
      <c r="K208" s="101">
        <v>653</v>
      </c>
      <c r="L208" s="101">
        <v>4346</v>
      </c>
      <c r="M208" s="101">
        <v>9443</v>
      </c>
      <c r="N208" s="101">
        <v>48335</v>
      </c>
      <c r="O208" s="101">
        <v>20596</v>
      </c>
      <c r="P208" s="101">
        <v>23687</v>
      </c>
      <c r="Q208" s="101">
        <v>7312</v>
      </c>
      <c r="R208" s="101">
        <v>1098</v>
      </c>
      <c r="S208" s="101"/>
      <c r="T208" t="s">
        <v>121</v>
      </c>
      <c r="U208" s="101">
        <f t="shared" si="9"/>
        <v>175837</v>
      </c>
      <c r="V208" s="101">
        <v>144833000</v>
      </c>
      <c r="W208" s="101">
        <v>105025828</v>
      </c>
      <c r="X208" s="101">
        <v>4912</v>
      </c>
      <c r="Y208" s="101">
        <v>4746</v>
      </c>
      <c r="Z208" s="101">
        <v>960</v>
      </c>
      <c r="AA208" s="101">
        <v>155</v>
      </c>
      <c r="AB208" s="101">
        <v>601</v>
      </c>
      <c r="AC208" s="101">
        <v>53</v>
      </c>
      <c r="AD208" s="101">
        <v>170</v>
      </c>
      <c r="AE208" s="101">
        <v>3</v>
      </c>
      <c r="AF208" s="101">
        <v>37</v>
      </c>
      <c r="AG208" s="101">
        <f t="shared" si="10"/>
        <v>124392.82799999998</v>
      </c>
      <c r="AH208" s="101">
        <v>39576</v>
      </c>
      <c r="AI208" s="101">
        <f t="shared" si="11"/>
        <v>3143.1379624014548</v>
      </c>
      <c r="AJ208" t="s">
        <v>439</v>
      </c>
      <c r="AN208" t="s">
        <v>392</v>
      </c>
      <c r="AO208" s="259">
        <v>2428.7923703890428</v>
      </c>
      <c r="AP208" t="s">
        <v>465</v>
      </c>
    </row>
    <row r="209" spans="2:42" x14ac:dyDescent="0.25">
      <c r="B209" t="s">
        <v>193</v>
      </c>
      <c r="C209" s="101">
        <v>96979</v>
      </c>
      <c r="D209" s="101">
        <v>6074</v>
      </c>
      <c r="E209" s="101">
        <v>436</v>
      </c>
      <c r="F209" s="101">
        <v>5366</v>
      </c>
      <c r="G209" s="101">
        <v>20337</v>
      </c>
      <c r="H209" s="101">
        <v>7550</v>
      </c>
      <c r="I209" s="101">
        <v>1811</v>
      </c>
      <c r="J209" s="101">
        <v>1948</v>
      </c>
      <c r="K209" s="101">
        <v>331</v>
      </c>
      <c r="L209" s="101">
        <v>1857</v>
      </c>
      <c r="M209" s="101">
        <v>3998</v>
      </c>
      <c r="N209" s="101">
        <v>8910</v>
      </c>
      <c r="O209" s="101">
        <v>10902</v>
      </c>
      <c r="P209" s="101">
        <v>7013</v>
      </c>
      <c r="Q209" s="101">
        <v>19482</v>
      </c>
      <c r="R209" s="101">
        <v>964</v>
      </c>
      <c r="S209" s="101"/>
      <c r="T209" t="s">
        <v>193</v>
      </c>
      <c r="U209" s="101">
        <f t="shared" si="9"/>
        <v>85103</v>
      </c>
      <c r="V209" s="101">
        <v>54006000</v>
      </c>
      <c r="W209" s="101">
        <v>44456099</v>
      </c>
      <c r="X209" s="101">
        <v>1882</v>
      </c>
      <c r="Y209" s="101">
        <v>3329</v>
      </c>
      <c r="Z209" s="101">
        <v>347</v>
      </c>
      <c r="AA209" s="101">
        <v>612</v>
      </c>
      <c r="AB209" s="101">
        <v>949</v>
      </c>
      <c r="AC209" s="101">
        <v>142</v>
      </c>
      <c r="AD209" s="101">
        <v>808</v>
      </c>
      <c r="AE209" s="101">
        <v>0</v>
      </c>
      <c r="AF209" s="101">
        <v>232</v>
      </c>
      <c r="AG209" s="101">
        <f t="shared" si="10"/>
        <v>67252.099000000002</v>
      </c>
      <c r="AH209" s="101">
        <v>24426</v>
      </c>
      <c r="AI209" s="101">
        <f t="shared" si="11"/>
        <v>2753.2997216081226</v>
      </c>
      <c r="AJ209" t="s">
        <v>465</v>
      </c>
      <c r="AN209" t="s">
        <v>425</v>
      </c>
      <c r="AO209" s="259">
        <v>2133.3684336008901</v>
      </c>
      <c r="AP209" t="s">
        <v>465</v>
      </c>
    </row>
    <row r="210" spans="2:42" x14ac:dyDescent="0.25">
      <c r="B210" t="s">
        <v>151</v>
      </c>
      <c r="C210" s="101">
        <v>121305</v>
      </c>
      <c r="D210" s="101">
        <v>1239</v>
      </c>
      <c r="E210" s="101">
        <v>1449</v>
      </c>
      <c r="F210" s="101">
        <v>2773</v>
      </c>
      <c r="G210" s="101">
        <v>26426</v>
      </c>
      <c r="H210" s="101">
        <v>7465</v>
      </c>
      <c r="I210" s="101">
        <v>2941</v>
      </c>
      <c r="J210" s="101">
        <v>3154</v>
      </c>
      <c r="K210" s="101">
        <v>651</v>
      </c>
      <c r="L210" s="101">
        <v>3000</v>
      </c>
      <c r="M210" s="101">
        <v>8144</v>
      </c>
      <c r="N210" s="101">
        <v>21448</v>
      </c>
      <c r="O210" s="101">
        <v>13489</v>
      </c>
      <c r="P210" s="101">
        <v>20279</v>
      </c>
      <c r="Q210" s="101">
        <v>6755</v>
      </c>
      <c r="R210" s="101">
        <v>2092</v>
      </c>
      <c r="S210" s="101"/>
      <c r="T210" t="s">
        <v>151</v>
      </c>
      <c r="U210" s="101">
        <f t="shared" si="9"/>
        <v>115844</v>
      </c>
      <c r="V210" s="101">
        <v>92700000</v>
      </c>
      <c r="W210" s="101">
        <v>70502941</v>
      </c>
      <c r="X210" s="101">
        <v>3712</v>
      </c>
      <c r="Y210" s="101">
        <v>4320</v>
      </c>
      <c r="Z210" s="101">
        <v>546</v>
      </c>
      <c r="AA210" s="101">
        <v>290</v>
      </c>
      <c r="AB210" s="101">
        <v>719</v>
      </c>
      <c r="AC210" s="101">
        <v>108</v>
      </c>
      <c r="AD210" s="101">
        <v>96</v>
      </c>
      <c r="AE210" s="101">
        <v>873</v>
      </c>
      <c r="AF210" s="101">
        <v>5</v>
      </c>
      <c r="AG210" s="101">
        <f t="shared" si="10"/>
        <v>82977.941000000006</v>
      </c>
      <c r="AH210" s="101">
        <v>32021</v>
      </c>
      <c r="AI210" s="101">
        <f t="shared" si="11"/>
        <v>2591.3600761999937</v>
      </c>
      <c r="AJ210" t="s">
        <v>116</v>
      </c>
      <c r="AN210" t="s">
        <v>827</v>
      </c>
      <c r="AO210" s="259">
        <v>2336.3866038849537</v>
      </c>
      <c r="AP210" t="s">
        <v>465</v>
      </c>
    </row>
    <row r="211" spans="2:42" x14ac:dyDescent="0.25">
      <c r="B211" t="s">
        <v>152</v>
      </c>
      <c r="C211" s="101">
        <v>63009</v>
      </c>
      <c r="D211" s="101">
        <v>5517</v>
      </c>
      <c r="E211" s="101">
        <v>1046</v>
      </c>
      <c r="F211" s="101">
        <v>1815</v>
      </c>
      <c r="G211" s="101">
        <v>13855</v>
      </c>
      <c r="H211" s="101">
        <v>5819</v>
      </c>
      <c r="I211" s="101">
        <v>1865</v>
      </c>
      <c r="J211" s="101">
        <v>979</v>
      </c>
      <c r="K211" s="101">
        <v>594</v>
      </c>
      <c r="L211" s="101">
        <v>2115</v>
      </c>
      <c r="M211" s="101">
        <v>3356</v>
      </c>
      <c r="N211" s="101">
        <v>7406</v>
      </c>
      <c r="O211" s="101">
        <v>5819</v>
      </c>
      <c r="P211" s="101">
        <v>7486</v>
      </c>
      <c r="Q211" s="101">
        <v>4827</v>
      </c>
      <c r="R211" s="101">
        <v>510</v>
      </c>
      <c r="S211" s="101"/>
      <c r="T211" t="s">
        <v>152</v>
      </c>
      <c r="U211" s="101">
        <f t="shared" si="9"/>
        <v>54631</v>
      </c>
      <c r="V211" s="101">
        <v>47767000</v>
      </c>
      <c r="W211" s="101">
        <v>35888534</v>
      </c>
      <c r="X211" s="101">
        <v>2011</v>
      </c>
      <c r="Y211" s="101">
        <v>2041</v>
      </c>
      <c r="Z211" s="101">
        <v>242</v>
      </c>
      <c r="AA211" s="101">
        <v>61</v>
      </c>
      <c r="AB211" s="101">
        <v>386</v>
      </c>
      <c r="AC211" s="101">
        <v>67</v>
      </c>
      <c r="AD211" s="101">
        <v>201</v>
      </c>
      <c r="AE211" s="101">
        <v>0</v>
      </c>
      <c r="AF211" s="101">
        <v>48</v>
      </c>
      <c r="AG211" s="101">
        <f t="shared" si="10"/>
        <v>37695.534</v>
      </c>
      <c r="AH211" s="101">
        <v>19001</v>
      </c>
      <c r="AI211" s="101">
        <f t="shared" si="11"/>
        <v>1983.8710594179254</v>
      </c>
      <c r="AJ211" t="s">
        <v>465</v>
      </c>
      <c r="AN211" t="s">
        <v>319</v>
      </c>
      <c r="AO211" s="259">
        <v>2033.1214401481825</v>
      </c>
      <c r="AP211" t="s">
        <v>465</v>
      </c>
    </row>
    <row r="212" spans="2:42" x14ac:dyDescent="0.25">
      <c r="B212" t="s">
        <v>153</v>
      </c>
      <c r="C212" s="101">
        <v>67396</v>
      </c>
      <c r="D212" s="101">
        <v>3402</v>
      </c>
      <c r="E212" s="101">
        <v>97</v>
      </c>
      <c r="F212" s="101">
        <v>3154</v>
      </c>
      <c r="G212" s="101">
        <v>12267</v>
      </c>
      <c r="H212" s="101">
        <v>11135</v>
      </c>
      <c r="I212" s="101">
        <v>1892</v>
      </c>
      <c r="J212" s="101">
        <v>3660</v>
      </c>
      <c r="K212" s="101">
        <v>1201</v>
      </c>
      <c r="L212" s="101">
        <v>1708</v>
      </c>
      <c r="M212" s="101">
        <v>4486</v>
      </c>
      <c r="N212" s="101">
        <v>6645</v>
      </c>
      <c r="O212" s="101">
        <v>5477</v>
      </c>
      <c r="P212" s="101">
        <v>5647</v>
      </c>
      <c r="Q212" s="101">
        <v>5277</v>
      </c>
      <c r="R212" s="101">
        <v>1348</v>
      </c>
      <c r="S212" s="101"/>
      <c r="T212" t="s">
        <v>153</v>
      </c>
      <c r="U212" s="101">
        <f t="shared" si="9"/>
        <v>60743</v>
      </c>
      <c r="V212" s="101">
        <v>48449000</v>
      </c>
      <c r="W212" s="101">
        <v>40381927</v>
      </c>
      <c r="X212" s="101">
        <v>2043</v>
      </c>
      <c r="Y212" s="101">
        <v>1638</v>
      </c>
      <c r="Z212" s="101">
        <v>424</v>
      </c>
      <c r="AA212" s="101">
        <v>227</v>
      </c>
      <c r="AB212" s="101">
        <v>603</v>
      </c>
      <c r="AC212" s="101">
        <v>56</v>
      </c>
      <c r="AD212" s="101">
        <v>1300</v>
      </c>
      <c r="AE212" s="101">
        <v>0</v>
      </c>
      <c r="AF212" s="101">
        <v>41</v>
      </c>
      <c r="AG212" s="101">
        <f t="shared" si="10"/>
        <v>46343.927000000003</v>
      </c>
      <c r="AH212" s="101">
        <v>19249</v>
      </c>
      <c r="AI212" s="101">
        <f t="shared" si="11"/>
        <v>2407.6017974959736</v>
      </c>
      <c r="AJ212" t="s">
        <v>465</v>
      </c>
      <c r="AN212" t="s">
        <v>203</v>
      </c>
      <c r="AO212" s="259">
        <v>2164.2620565572811</v>
      </c>
      <c r="AP212" t="s">
        <v>465</v>
      </c>
    </row>
    <row r="213" spans="2:42" x14ac:dyDescent="0.25">
      <c r="B213" t="s">
        <v>194</v>
      </c>
      <c r="C213" s="101">
        <v>99156</v>
      </c>
      <c r="D213" s="101">
        <v>256</v>
      </c>
      <c r="E213" s="101">
        <v>450</v>
      </c>
      <c r="F213" s="101">
        <v>6510</v>
      </c>
      <c r="G213" s="101">
        <v>26929</v>
      </c>
      <c r="H213" s="101">
        <v>-2465</v>
      </c>
      <c r="I213" s="101">
        <v>3134</v>
      </c>
      <c r="J213" s="101">
        <v>3196</v>
      </c>
      <c r="K213" s="101">
        <v>2432</v>
      </c>
      <c r="L213" s="101">
        <v>2155</v>
      </c>
      <c r="M213" s="101">
        <v>6434</v>
      </c>
      <c r="N213" s="101">
        <v>11519</v>
      </c>
      <c r="O213" s="101">
        <v>13007</v>
      </c>
      <c r="P213" s="101">
        <v>14961</v>
      </c>
      <c r="Q213" s="101">
        <v>8163</v>
      </c>
      <c r="R213" s="101">
        <v>2475</v>
      </c>
      <c r="S213" s="101"/>
      <c r="T213" t="s">
        <v>194</v>
      </c>
      <c r="U213" s="101">
        <f t="shared" si="9"/>
        <v>91940</v>
      </c>
      <c r="V213" s="101">
        <v>76020000</v>
      </c>
      <c r="W213" s="101">
        <v>59524786</v>
      </c>
      <c r="X213" s="101">
        <v>3707</v>
      </c>
      <c r="Y213" s="101">
        <v>3124</v>
      </c>
      <c r="Z213" s="101">
        <v>428</v>
      </c>
      <c r="AA213" s="101">
        <v>0</v>
      </c>
      <c r="AB213" s="101">
        <v>648</v>
      </c>
      <c r="AC213" s="101">
        <v>130</v>
      </c>
      <c r="AD213" s="101">
        <v>1000</v>
      </c>
      <c r="AE213" s="101">
        <v>0</v>
      </c>
      <c r="AF213" s="101">
        <v>615</v>
      </c>
      <c r="AG213" s="101">
        <f t="shared" si="10"/>
        <v>65792.785999999993</v>
      </c>
      <c r="AH213" s="101">
        <v>30048</v>
      </c>
      <c r="AI213" s="101">
        <f t="shared" si="11"/>
        <v>2189.5895234291797</v>
      </c>
      <c r="AJ213" t="s">
        <v>116</v>
      </c>
      <c r="AN213" t="s">
        <v>394</v>
      </c>
      <c r="AO213" s="259">
        <v>1890.0303453671622</v>
      </c>
      <c r="AP213" t="s">
        <v>465</v>
      </c>
    </row>
    <row r="214" spans="2:42" x14ac:dyDescent="0.25">
      <c r="B214" t="s">
        <v>380</v>
      </c>
      <c r="C214" s="101">
        <v>233214</v>
      </c>
      <c r="D214" s="101">
        <v>5585</v>
      </c>
      <c r="E214" s="101">
        <v>2250</v>
      </c>
      <c r="F214" s="101">
        <v>15912</v>
      </c>
      <c r="G214" s="101">
        <v>53801</v>
      </c>
      <c r="H214" s="101">
        <v>29711</v>
      </c>
      <c r="I214" s="101">
        <v>4718</v>
      </c>
      <c r="J214" s="101">
        <v>4865</v>
      </c>
      <c r="K214" s="101">
        <v>1277</v>
      </c>
      <c r="L214" s="101">
        <v>4278</v>
      </c>
      <c r="M214" s="101">
        <v>13420</v>
      </c>
      <c r="N214" s="101">
        <v>31145</v>
      </c>
      <c r="O214" s="101">
        <v>26169</v>
      </c>
      <c r="P214" s="101">
        <v>27427</v>
      </c>
      <c r="Q214" s="101">
        <v>11044</v>
      </c>
      <c r="R214" s="101">
        <v>1612</v>
      </c>
      <c r="S214" s="101"/>
      <c r="T214" t="s">
        <v>380</v>
      </c>
      <c r="U214" s="101">
        <f t="shared" si="9"/>
        <v>209467</v>
      </c>
      <c r="V214" s="101">
        <v>155640000</v>
      </c>
      <c r="W214" s="101">
        <v>120319255</v>
      </c>
      <c r="X214" s="101">
        <v>8418</v>
      </c>
      <c r="Y214" s="101">
        <v>7877</v>
      </c>
      <c r="Z214" s="101">
        <v>896</v>
      </c>
      <c r="AA214" s="101">
        <v>0</v>
      </c>
      <c r="AB214" s="101">
        <v>1015</v>
      </c>
      <c r="AC214" s="101">
        <v>259</v>
      </c>
      <c r="AD214" s="101">
        <v>1141</v>
      </c>
      <c r="AE214" s="101">
        <v>2350</v>
      </c>
      <c r="AF214" s="101">
        <v>331</v>
      </c>
      <c r="AG214" s="101">
        <f t="shared" si="10"/>
        <v>151859.255</v>
      </c>
      <c r="AH214" s="101">
        <v>58381</v>
      </c>
      <c r="AI214" s="101">
        <f t="shared" si="11"/>
        <v>2601.1759819119234</v>
      </c>
      <c r="AJ214" t="s">
        <v>116</v>
      </c>
      <c r="AN214" t="s">
        <v>320</v>
      </c>
      <c r="AO214" s="259">
        <v>2179.6626430385527</v>
      </c>
      <c r="AP214" t="s">
        <v>465</v>
      </c>
    </row>
    <row r="215" spans="2:42" x14ac:dyDescent="0.25">
      <c r="B215" t="s">
        <v>131</v>
      </c>
      <c r="C215" s="101">
        <v>94508</v>
      </c>
      <c r="D215" s="101">
        <v>-22</v>
      </c>
      <c r="E215" s="101">
        <v>854</v>
      </c>
      <c r="F215" s="101">
        <v>2260</v>
      </c>
      <c r="G215" s="101">
        <v>24196</v>
      </c>
      <c r="H215" s="101">
        <v>8379</v>
      </c>
      <c r="I215" s="101">
        <v>2918</v>
      </c>
      <c r="J215" s="101">
        <v>2636</v>
      </c>
      <c r="K215" s="101">
        <v>132</v>
      </c>
      <c r="L215" s="101">
        <v>2359</v>
      </c>
      <c r="M215" s="101">
        <v>4664</v>
      </c>
      <c r="N215" s="101">
        <v>14308</v>
      </c>
      <c r="O215" s="101">
        <v>12030</v>
      </c>
      <c r="P215" s="101">
        <v>10398</v>
      </c>
      <c r="Q215" s="101">
        <v>7628</v>
      </c>
      <c r="R215" s="101">
        <v>1768</v>
      </c>
      <c r="S215" s="101"/>
      <c r="T215" t="s">
        <v>131</v>
      </c>
      <c r="U215" s="101">
        <f t="shared" si="9"/>
        <v>91416</v>
      </c>
      <c r="V215" s="101">
        <v>88588000</v>
      </c>
      <c r="W215" s="101">
        <v>59886774</v>
      </c>
      <c r="X215" s="101">
        <v>3067</v>
      </c>
      <c r="Y215" s="101">
        <v>3176</v>
      </c>
      <c r="Z215" s="101">
        <v>496</v>
      </c>
      <c r="AA215" s="101">
        <v>0</v>
      </c>
      <c r="AB215" s="101">
        <v>580</v>
      </c>
      <c r="AC215" s="101">
        <v>27</v>
      </c>
      <c r="AD215" s="101">
        <v>309</v>
      </c>
      <c r="AE215" s="101">
        <v>0</v>
      </c>
      <c r="AF215" s="101">
        <v>1</v>
      </c>
      <c r="AG215" s="101">
        <f t="shared" si="10"/>
        <v>55058.773999999998</v>
      </c>
      <c r="AH215" s="101">
        <v>25924</v>
      </c>
      <c r="AI215" s="101">
        <f t="shared" si="11"/>
        <v>2123.853340533868</v>
      </c>
      <c r="AJ215" t="s">
        <v>116</v>
      </c>
      <c r="AN215" t="s">
        <v>321</v>
      </c>
      <c r="AO215" s="259">
        <v>2297.744679305586</v>
      </c>
      <c r="AP215" t="s">
        <v>465</v>
      </c>
    </row>
    <row r="216" spans="2:42" x14ac:dyDescent="0.25">
      <c r="B216" t="s">
        <v>265</v>
      </c>
      <c r="C216" s="101">
        <v>30243</v>
      </c>
      <c r="D216" s="101">
        <v>154</v>
      </c>
      <c r="E216" s="101">
        <v>578</v>
      </c>
      <c r="F216" s="101">
        <v>2342</v>
      </c>
      <c r="G216" s="101">
        <v>1060</v>
      </c>
      <c r="H216" s="101">
        <v>7670</v>
      </c>
      <c r="I216" s="101">
        <v>1594</v>
      </c>
      <c r="J216" s="101">
        <v>1457</v>
      </c>
      <c r="K216" s="101">
        <v>53</v>
      </c>
      <c r="L216" s="101">
        <v>633</v>
      </c>
      <c r="M216" s="101">
        <v>1752</v>
      </c>
      <c r="N216" s="101">
        <v>2378</v>
      </c>
      <c r="O216" s="101">
        <v>2450</v>
      </c>
      <c r="P216" s="101">
        <v>3039</v>
      </c>
      <c r="Q216" s="101">
        <v>4184</v>
      </c>
      <c r="R216" s="101">
        <v>899</v>
      </c>
      <c r="S216" s="101"/>
      <c r="T216" t="s">
        <v>265</v>
      </c>
      <c r="U216" s="101">
        <f t="shared" si="9"/>
        <v>27169</v>
      </c>
      <c r="V216" s="101">
        <v>19237000</v>
      </c>
      <c r="W216" s="101">
        <v>17092458</v>
      </c>
      <c r="X216" s="101">
        <v>1588</v>
      </c>
      <c r="Y216" s="101">
        <v>1655</v>
      </c>
      <c r="Z216" s="101">
        <v>203</v>
      </c>
      <c r="AA216" s="101">
        <v>132</v>
      </c>
      <c r="AB216" s="101">
        <v>220</v>
      </c>
      <c r="AC216" s="101">
        <v>38</v>
      </c>
      <c r="AD216" s="101">
        <v>315</v>
      </c>
      <c r="AE216" s="101">
        <v>3</v>
      </c>
      <c r="AF216" s="101">
        <v>12</v>
      </c>
      <c r="AG216" s="101">
        <f t="shared" si="10"/>
        <v>20858.457999999999</v>
      </c>
      <c r="AH216" s="101">
        <v>9727</v>
      </c>
      <c r="AI216" s="101">
        <f t="shared" si="11"/>
        <v>2144.3875809602137</v>
      </c>
      <c r="AJ216" t="s">
        <v>465</v>
      </c>
      <c r="AN216" t="s">
        <v>275</v>
      </c>
      <c r="AO216" s="259">
        <v>2146.2807887388162</v>
      </c>
      <c r="AP216" t="s">
        <v>465</v>
      </c>
    </row>
    <row r="217" spans="2:42" x14ac:dyDescent="0.25">
      <c r="B217" t="s">
        <v>266</v>
      </c>
      <c r="C217" s="101">
        <v>42290</v>
      </c>
      <c r="D217" s="101">
        <v>332</v>
      </c>
      <c r="E217" s="101">
        <v>158</v>
      </c>
      <c r="F217" s="101">
        <v>2248</v>
      </c>
      <c r="G217" s="101">
        <v>12517</v>
      </c>
      <c r="H217" s="101">
        <v>3954</v>
      </c>
      <c r="I217" s="101">
        <v>1037</v>
      </c>
      <c r="J217" s="101">
        <v>1398</v>
      </c>
      <c r="K217" s="101">
        <v>83</v>
      </c>
      <c r="L217" s="101">
        <v>1136</v>
      </c>
      <c r="M217" s="101">
        <v>2130</v>
      </c>
      <c r="N217" s="101">
        <v>3134</v>
      </c>
      <c r="O217" s="101">
        <v>3421</v>
      </c>
      <c r="P217" s="101">
        <v>2856</v>
      </c>
      <c r="Q217" s="101">
        <v>3800</v>
      </c>
      <c r="R217" s="101">
        <v>4086</v>
      </c>
      <c r="S217" s="101"/>
      <c r="T217" t="s">
        <v>266</v>
      </c>
      <c r="U217" s="101">
        <f t="shared" si="9"/>
        <v>39552</v>
      </c>
      <c r="V217" s="101">
        <v>26066000</v>
      </c>
      <c r="W217" s="101">
        <v>22901517</v>
      </c>
      <c r="X217" s="101">
        <v>1349</v>
      </c>
      <c r="Y217" s="101">
        <v>2459</v>
      </c>
      <c r="Z217" s="101">
        <v>248</v>
      </c>
      <c r="AA217" s="101">
        <v>30</v>
      </c>
      <c r="AB217" s="101">
        <v>271</v>
      </c>
      <c r="AC217" s="101">
        <v>28</v>
      </c>
      <c r="AD217" s="101">
        <v>33</v>
      </c>
      <c r="AE217" s="101">
        <v>0</v>
      </c>
      <c r="AF217" s="101">
        <v>5</v>
      </c>
      <c r="AG217" s="101">
        <f t="shared" si="10"/>
        <v>31964.517</v>
      </c>
      <c r="AH217" s="101">
        <v>12468</v>
      </c>
      <c r="AI217" s="101">
        <f t="shared" si="11"/>
        <v>2563.7244947064487</v>
      </c>
      <c r="AJ217" t="s">
        <v>465</v>
      </c>
      <c r="AN217" t="s">
        <v>828</v>
      </c>
      <c r="AO217" s="259">
        <v>2170.4900775397555</v>
      </c>
      <c r="AP217" t="s">
        <v>465</v>
      </c>
    </row>
    <row r="218" spans="2:42" x14ac:dyDescent="0.25">
      <c r="B218" t="s">
        <v>132</v>
      </c>
      <c r="C218" s="101">
        <v>101732</v>
      </c>
      <c r="D218" s="101">
        <v>816</v>
      </c>
      <c r="E218" s="101">
        <v>154</v>
      </c>
      <c r="F218" s="101">
        <v>4137</v>
      </c>
      <c r="G218" s="101">
        <v>20446</v>
      </c>
      <c r="H218" s="101">
        <v>13640</v>
      </c>
      <c r="I218" s="101">
        <v>2430</v>
      </c>
      <c r="J218" s="101">
        <v>3924</v>
      </c>
      <c r="K218" s="101">
        <v>222</v>
      </c>
      <c r="L218" s="101">
        <v>1940</v>
      </c>
      <c r="M218" s="101">
        <v>4168</v>
      </c>
      <c r="N218" s="101">
        <v>14508</v>
      </c>
      <c r="O218" s="101">
        <v>11259</v>
      </c>
      <c r="P218" s="101">
        <v>12114</v>
      </c>
      <c r="Q218" s="101">
        <v>11597</v>
      </c>
      <c r="R218" s="101">
        <v>377</v>
      </c>
      <c r="S218" s="101"/>
      <c r="T218" t="s">
        <v>132</v>
      </c>
      <c r="U218" s="101">
        <f t="shared" si="9"/>
        <v>96625</v>
      </c>
      <c r="V218" s="101">
        <v>80760000</v>
      </c>
      <c r="W218" s="101">
        <v>63487852</v>
      </c>
      <c r="X218" s="101">
        <v>3141</v>
      </c>
      <c r="Y218" s="101">
        <v>3184</v>
      </c>
      <c r="Z218" s="101">
        <v>313</v>
      </c>
      <c r="AA218" s="101">
        <v>168</v>
      </c>
      <c r="AB218" s="101">
        <v>432</v>
      </c>
      <c r="AC218" s="101">
        <v>21</v>
      </c>
      <c r="AD218" s="101">
        <v>220</v>
      </c>
      <c r="AE218" s="101">
        <v>0</v>
      </c>
      <c r="AF218" s="101">
        <v>54</v>
      </c>
      <c r="AG218" s="101">
        <f t="shared" si="10"/>
        <v>71819.851999999999</v>
      </c>
      <c r="AH218" s="101">
        <v>30007</v>
      </c>
      <c r="AI218" s="101">
        <f t="shared" si="11"/>
        <v>2393.4365981271035</v>
      </c>
      <c r="AJ218" t="s">
        <v>116</v>
      </c>
      <c r="AN218" t="s">
        <v>205</v>
      </c>
      <c r="AO218" s="259">
        <v>2139.3476530265521</v>
      </c>
      <c r="AP218" t="s">
        <v>465</v>
      </c>
    </row>
    <row r="219" spans="2:42" x14ac:dyDescent="0.25">
      <c r="B219" t="s">
        <v>381</v>
      </c>
      <c r="C219" s="101">
        <v>418936</v>
      </c>
      <c r="D219" s="101">
        <v>9383</v>
      </c>
      <c r="E219" s="101">
        <v>3717</v>
      </c>
      <c r="F219" s="101">
        <v>12507</v>
      </c>
      <c r="G219" s="101">
        <v>86812</v>
      </c>
      <c r="H219" s="101">
        <v>-30551</v>
      </c>
      <c r="I219" s="101">
        <v>12003</v>
      </c>
      <c r="J219" s="101">
        <v>17889</v>
      </c>
      <c r="K219" s="101">
        <v>8889</v>
      </c>
      <c r="L219" s="101">
        <v>9668</v>
      </c>
      <c r="M219" s="101">
        <v>28620</v>
      </c>
      <c r="N219" s="101">
        <v>70971</v>
      </c>
      <c r="O219" s="101">
        <v>38369</v>
      </c>
      <c r="P219" s="101">
        <v>88650</v>
      </c>
      <c r="Q219" s="101">
        <v>44133</v>
      </c>
      <c r="R219" s="101">
        <v>17876</v>
      </c>
      <c r="S219" s="101"/>
      <c r="T219" t="s">
        <v>381</v>
      </c>
      <c r="U219" s="101">
        <f t="shared" si="9"/>
        <v>393329</v>
      </c>
      <c r="V219" s="101">
        <v>308131000</v>
      </c>
      <c r="W219" s="101">
        <v>212069536</v>
      </c>
      <c r="X219" s="101">
        <v>9008</v>
      </c>
      <c r="Y219" s="101">
        <v>13475</v>
      </c>
      <c r="Z219" s="101">
        <v>1520</v>
      </c>
      <c r="AA219" s="101">
        <v>179</v>
      </c>
      <c r="AB219" s="101">
        <v>2870</v>
      </c>
      <c r="AC219" s="101">
        <v>630</v>
      </c>
      <c r="AD219" s="101">
        <v>320</v>
      </c>
      <c r="AE219" s="101">
        <v>2634</v>
      </c>
      <c r="AF219" s="101">
        <v>68</v>
      </c>
      <c r="AG219" s="101">
        <f t="shared" si="10"/>
        <v>266563.53599999996</v>
      </c>
      <c r="AH219" s="101">
        <v>95233</v>
      </c>
      <c r="AI219" s="101">
        <f t="shared" si="11"/>
        <v>2799.066878077977</v>
      </c>
      <c r="AJ219" t="s">
        <v>439</v>
      </c>
      <c r="AN219" t="s">
        <v>322</v>
      </c>
      <c r="AO219" s="259">
        <v>2114.2757213615405</v>
      </c>
      <c r="AP219" t="s">
        <v>465</v>
      </c>
    </row>
    <row r="220" spans="2:42" x14ac:dyDescent="0.25">
      <c r="B220" t="s">
        <v>195</v>
      </c>
      <c r="C220" s="101">
        <v>136109</v>
      </c>
      <c r="D220" s="101">
        <v>499</v>
      </c>
      <c r="E220" s="101">
        <v>0</v>
      </c>
      <c r="F220" s="101">
        <v>7156</v>
      </c>
      <c r="G220" s="101">
        <v>35782</v>
      </c>
      <c r="H220" s="101">
        <v>7625</v>
      </c>
      <c r="I220" s="101">
        <v>2966</v>
      </c>
      <c r="J220" s="101">
        <v>3760</v>
      </c>
      <c r="K220" s="101">
        <v>3563</v>
      </c>
      <c r="L220" s="101">
        <v>3351</v>
      </c>
      <c r="M220" s="101">
        <v>9524</v>
      </c>
      <c r="N220" s="101">
        <v>15471</v>
      </c>
      <c r="O220" s="101">
        <v>15899</v>
      </c>
      <c r="P220" s="101">
        <v>15853</v>
      </c>
      <c r="Q220" s="101">
        <v>13084</v>
      </c>
      <c r="R220" s="101">
        <v>1576</v>
      </c>
      <c r="S220" s="101"/>
      <c r="T220" t="s">
        <v>195</v>
      </c>
      <c r="U220" s="101">
        <f t="shared" si="9"/>
        <v>128454</v>
      </c>
      <c r="V220" s="101">
        <v>102243000</v>
      </c>
      <c r="W220" s="101">
        <v>83807771</v>
      </c>
      <c r="X220" s="101">
        <v>5318</v>
      </c>
      <c r="Y220" s="101">
        <v>4423</v>
      </c>
      <c r="Z220" s="101">
        <v>860</v>
      </c>
      <c r="AA220" s="101">
        <v>126</v>
      </c>
      <c r="AB220" s="101">
        <v>434</v>
      </c>
      <c r="AC220" s="101">
        <v>223</v>
      </c>
      <c r="AD220" s="101">
        <v>210</v>
      </c>
      <c r="AE220" s="101">
        <v>0</v>
      </c>
      <c r="AF220" s="101">
        <v>329</v>
      </c>
      <c r="AG220" s="101">
        <f t="shared" si="10"/>
        <v>98095.770999999993</v>
      </c>
      <c r="AH220" s="101">
        <v>39502</v>
      </c>
      <c r="AI220" s="101">
        <f t="shared" si="11"/>
        <v>2483.3115032150272</v>
      </c>
      <c r="AJ220" t="s">
        <v>116</v>
      </c>
      <c r="AN220" t="s">
        <v>160</v>
      </c>
      <c r="AO220" s="259">
        <v>2092.6915854668823</v>
      </c>
      <c r="AP220" t="s">
        <v>465</v>
      </c>
    </row>
    <row r="221" spans="2:42" x14ac:dyDescent="0.25">
      <c r="B221" t="s">
        <v>267</v>
      </c>
      <c r="C221" s="101">
        <v>58474</v>
      </c>
      <c r="D221" s="101">
        <v>0</v>
      </c>
      <c r="E221" s="101">
        <v>556</v>
      </c>
      <c r="F221" s="101">
        <v>1500</v>
      </c>
      <c r="G221" s="101">
        <v>7624</v>
      </c>
      <c r="H221" s="101">
        <v>10941</v>
      </c>
      <c r="I221" s="101">
        <v>1221</v>
      </c>
      <c r="J221" s="101">
        <v>4883</v>
      </c>
      <c r="K221" s="101">
        <v>229</v>
      </c>
      <c r="L221" s="101">
        <v>978</v>
      </c>
      <c r="M221" s="101">
        <v>3111</v>
      </c>
      <c r="N221" s="101">
        <v>6016</v>
      </c>
      <c r="O221" s="101">
        <v>4651</v>
      </c>
      <c r="P221" s="101">
        <v>7504</v>
      </c>
      <c r="Q221" s="101">
        <v>4302</v>
      </c>
      <c r="R221" s="101">
        <v>4958</v>
      </c>
      <c r="S221" s="101"/>
      <c r="T221" t="s">
        <v>267</v>
      </c>
      <c r="U221" s="101">
        <f t="shared" si="9"/>
        <v>56418</v>
      </c>
      <c r="V221" s="101">
        <v>36205000</v>
      </c>
      <c r="W221" s="101">
        <v>24575625</v>
      </c>
      <c r="X221" s="101">
        <v>1160</v>
      </c>
      <c r="Y221" s="101">
        <v>2144</v>
      </c>
      <c r="Z221" s="101">
        <v>336</v>
      </c>
      <c r="AA221" s="101">
        <v>204</v>
      </c>
      <c r="AB221" s="101">
        <v>1280</v>
      </c>
      <c r="AC221" s="101">
        <v>21</v>
      </c>
      <c r="AD221" s="101">
        <v>479</v>
      </c>
      <c r="AE221" s="101">
        <v>1971</v>
      </c>
      <c r="AF221" s="101">
        <v>2</v>
      </c>
      <c r="AG221" s="101">
        <f t="shared" si="10"/>
        <v>37191.625</v>
      </c>
      <c r="AH221" s="101">
        <v>14526</v>
      </c>
      <c r="AI221" s="101">
        <f t="shared" si="11"/>
        <v>2560.3486851163429</v>
      </c>
      <c r="AJ221" t="s">
        <v>465</v>
      </c>
      <c r="AN221" t="s">
        <v>277</v>
      </c>
      <c r="AO221" s="259">
        <v>1954.5436298759225</v>
      </c>
      <c r="AP221" t="s">
        <v>465</v>
      </c>
    </row>
    <row r="222" spans="2:42" x14ac:dyDescent="0.25">
      <c r="B222" t="s">
        <v>224</v>
      </c>
      <c r="C222" s="101">
        <v>32218</v>
      </c>
      <c r="D222" s="101">
        <v>0</v>
      </c>
      <c r="E222" s="101">
        <v>588</v>
      </c>
      <c r="F222" s="101">
        <v>1207</v>
      </c>
      <c r="G222" s="101">
        <v>1015</v>
      </c>
      <c r="H222" s="101">
        <v>6689</v>
      </c>
      <c r="I222" s="101">
        <v>952</v>
      </c>
      <c r="J222" s="101">
        <v>2771</v>
      </c>
      <c r="K222" s="101">
        <v>1006</v>
      </c>
      <c r="L222" s="101">
        <v>683</v>
      </c>
      <c r="M222" s="101">
        <v>1933</v>
      </c>
      <c r="N222" s="101">
        <v>3546</v>
      </c>
      <c r="O222" s="101">
        <v>2345</v>
      </c>
      <c r="P222" s="101">
        <v>4031</v>
      </c>
      <c r="Q222" s="101">
        <v>4379</v>
      </c>
      <c r="R222" s="101">
        <v>1073</v>
      </c>
      <c r="S222" s="101"/>
      <c r="T222" t="s">
        <v>224</v>
      </c>
      <c r="U222" s="101">
        <f t="shared" si="9"/>
        <v>30423</v>
      </c>
      <c r="V222" s="101">
        <v>22645000</v>
      </c>
      <c r="W222" s="101">
        <v>19637316</v>
      </c>
      <c r="X222" s="101">
        <v>2133</v>
      </c>
      <c r="Y222" s="101">
        <v>1423</v>
      </c>
      <c r="Z222" s="101">
        <v>190</v>
      </c>
      <c r="AA222" s="101">
        <v>4</v>
      </c>
      <c r="AB222" s="101">
        <v>404</v>
      </c>
      <c r="AC222" s="101">
        <v>85</v>
      </c>
      <c r="AD222" s="101">
        <v>29</v>
      </c>
      <c r="AE222" s="101">
        <v>0</v>
      </c>
      <c r="AF222" s="101">
        <v>42</v>
      </c>
      <c r="AG222" s="101">
        <f t="shared" si="10"/>
        <v>23105.315999999999</v>
      </c>
      <c r="AH222" s="101">
        <v>10350</v>
      </c>
      <c r="AI222" s="101">
        <f t="shared" si="11"/>
        <v>2232.3976811594202</v>
      </c>
      <c r="AJ222" t="s">
        <v>465</v>
      </c>
      <c r="AN222" t="s">
        <v>232</v>
      </c>
      <c r="AO222" s="259">
        <v>1969.3783261982708</v>
      </c>
      <c r="AP222" t="s">
        <v>465</v>
      </c>
    </row>
    <row r="223" spans="2:42" x14ac:dyDescent="0.25">
      <c r="B223" t="s">
        <v>196</v>
      </c>
      <c r="C223" s="101">
        <v>142584</v>
      </c>
      <c r="D223" s="101">
        <v>418</v>
      </c>
      <c r="E223" s="101">
        <v>1</v>
      </c>
      <c r="F223" s="101">
        <v>5354</v>
      </c>
      <c r="G223" s="101">
        <v>34009</v>
      </c>
      <c r="H223" s="101">
        <v>16371</v>
      </c>
      <c r="I223" s="101">
        <v>3909</v>
      </c>
      <c r="J223" s="101">
        <v>4611</v>
      </c>
      <c r="K223" s="101">
        <v>305</v>
      </c>
      <c r="L223" s="101">
        <v>4507</v>
      </c>
      <c r="M223" s="101">
        <v>7022</v>
      </c>
      <c r="N223" s="101">
        <v>17254</v>
      </c>
      <c r="O223" s="101">
        <v>20726</v>
      </c>
      <c r="P223" s="101">
        <v>17363</v>
      </c>
      <c r="Q223" s="101">
        <v>10452</v>
      </c>
      <c r="R223" s="101">
        <v>282</v>
      </c>
      <c r="S223" s="101"/>
      <c r="T223" t="s">
        <v>196</v>
      </c>
      <c r="U223" s="101">
        <f t="shared" si="9"/>
        <v>136811</v>
      </c>
      <c r="V223" s="101">
        <v>110814000</v>
      </c>
      <c r="W223" s="101">
        <v>87673583</v>
      </c>
      <c r="X223" s="101">
        <v>3245</v>
      </c>
      <c r="Y223" s="101">
        <v>7543</v>
      </c>
      <c r="Z223" s="101">
        <v>986</v>
      </c>
      <c r="AA223" s="101">
        <v>104</v>
      </c>
      <c r="AB223" s="101">
        <v>1336</v>
      </c>
      <c r="AC223" s="101">
        <v>801</v>
      </c>
      <c r="AD223" s="101">
        <v>101</v>
      </c>
      <c r="AE223" s="101">
        <v>0</v>
      </c>
      <c r="AF223" s="101">
        <v>42</v>
      </c>
      <c r="AG223" s="101">
        <f t="shared" si="10"/>
        <v>99512.582999999999</v>
      </c>
      <c r="AH223" s="101">
        <v>48943</v>
      </c>
      <c r="AI223" s="101">
        <f t="shared" si="11"/>
        <v>2033.234231657234</v>
      </c>
      <c r="AJ223" t="s">
        <v>465</v>
      </c>
      <c r="AN223" t="s">
        <v>396</v>
      </c>
      <c r="AO223" s="259">
        <v>2141.6664864377758</v>
      </c>
      <c r="AP223" t="s">
        <v>465</v>
      </c>
    </row>
    <row r="224" spans="2:42" x14ac:dyDescent="0.25">
      <c r="B224" t="s">
        <v>310</v>
      </c>
      <c r="C224" s="101">
        <v>111709</v>
      </c>
      <c r="D224" s="101">
        <v>2469</v>
      </c>
      <c r="E224" s="101">
        <v>1407</v>
      </c>
      <c r="F224" s="101">
        <v>4301</v>
      </c>
      <c r="G224" s="101">
        <v>20255</v>
      </c>
      <c r="H224" s="101">
        <v>10085</v>
      </c>
      <c r="I224" s="101">
        <v>3698</v>
      </c>
      <c r="J224" s="101">
        <v>4641</v>
      </c>
      <c r="K224" s="101">
        <v>758</v>
      </c>
      <c r="L224" s="101">
        <v>2817</v>
      </c>
      <c r="M224" s="101">
        <v>6927</v>
      </c>
      <c r="N224" s="101">
        <v>17317</v>
      </c>
      <c r="O224" s="101">
        <v>12691</v>
      </c>
      <c r="P224" s="101">
        <v>14607</v>
      </c>
      <c r="Q224" s="101">
        <v>8578</v>
      </c>
      <c r="R224" s="101">
        <v>1158</v>
      </c>
      <c r="S224" s="101"/>
      <c r="T224" t="s">
        <v>310</v>
      </c>
      <c r="U224" s="101">
        <f t="shared" si="9"/>
        <v>103532</v>
      </c>
      <c r="V224" s="101">
        <v>79468000</v>
      </c>
      <c r="W224" s="101">
        <v>65446640</v>
      </c>
      <c r="X224" s="101">
        <v>2642</v>
      </c>
      <c r="Y224" s="101">
        <v>5858</v>
      </c>
      <c r="Z224" s="101">
        <v>384</v>
      </c>
      <c r="AA224" s="101">
        <v>408</v>
      </c>
      <c r="AB224" s="101">
        <v>864</v>
      </c>
      <c r="AC224" s="101">
        <v>186</v>
      </c>
      <c r="AD224" s="101">
        <v>56</v>
      </c>
      <c r="AE224" s="101">
        <v>647</v>
      </c>
      <c r="AF224" s="101">
        <v>1333</v>
      </c>
      <c r="AG224" s="101">
        <f t="shared" si="10"/>
        <v>77132.639999999999</v>
      </c>
      <c r="AH224" s="101">
        <v>32300</v>
      </c>
      <c r="AI224" s="101">
        <f t="shared" si="11"/>
        <v>2388.0074303405572</v>
      </c>
      <c r="AJ224" t="s">
        <v>465</v>
      </c>
      <c r="AN224" t="s">
        <v>233</v>
      </c>
      <c r="AO224" s="259">
        <v>2358.5228443324568</v>
      </c>
      <c r="AP224" t="s">
        <v>465</v>
      </c>
    </row>
    <row r="225" spans="2:45" x14ac:dyDescent="0.25">
      <c r="B225" t="s">
        <v>415</v>
      </c>
      <c r="C225" s="101">
        <v>128524</v>
      </c>
      <c r="D225" s="101">
        <v>1072</v>
      </c>
      <c r="E225" s="101">
        <v>1524</v>
      </c>
      <c r="F225" s="101">
        <v>8464</v>
      </c>
      <c r="G225" s="101">
        <v>32459</v>
      </c>
      <c r="H225" s="101">
        <v>7201</v>
      </c>
      <c r="I225" s="101">
        <v>4037</v>
      </c>
      <c r="J225" s="101">
        <v>3815</v>
      </c>
      <c r="K225" s="101">
        <v>1363</v>
      </c>
      <c r="L225" s="101">
        <v>3137</v>
      </c>
      <c r="M225" s="101">
        <v>8054</v>
      </c>
      <c r="N225" s="101">
        <v>23889</v>
      </c>
      <c r="O225" s="101">
        <v>12808</v>
      </c>
      <c r="P225" s="101">
        <v>11665</v>
      </c>
      <c r="Q225" s="101">
        <v>6728</v>
      </c>
      <c r="R225" s="101">
        <v>2308</v>
      </c>
      <c r="S225" s="101"/>
      <c r="T225" t="s">
        <v>415</v>
      </c>
      <c r="U225" s="101">
        <f t="shared" si="9"/>
        <v>117464</v>
      </c>
      <c r="V225" s="101">
        <v>101768000</v>
      </c>
      <c r="W225" s="101">
        <v>83566397</v>
      </c>
      <c r="X225" s="101">
        <v>6177</v>
      </c>
      <c r="Y225" s="101">
        <v>4424</v>
      </c>
      <c r="Z225" s="101">
        <v>864</v>
      </c>
      <c r="AA225" s="101">
        <v>45</v>
      </c>
      <c r="AB225" s="101">
        <v>851</v>
      </c>
      <c r="AC225" s="101">
        <v>28</v>
      </c>
      <c r="AD225" s="101">
        <v>1150</v>
      </c>
      <c r="AE225" s="101">
        <v>0</v>
      </c>
      <c r="AF225" s="101">
        <v>112</v>
      </c>
      <c r="AG225" s="101">
        <f t="shared" si="10"/>
        <v>85611.396999999997</v>
      </c>
      <c r="AH225" s="101">
        <v>45899</v>
      </c>
      <c r="AI225" s="101">
        <f t="shared" si="11"/>
        <v>1865.2126843722085</v>
      </c>
      <c r="AJ225" t="s">
        <v>465</v>
      </c>
      <c r="AN225" t="s">
        <v>278</v>
      </c>
      <c r="AO225" s="259">
        <v>2341.3448632848181</v>
      </c>
      <c r="AP225" t="s">
        <v>465</v>
      </c>
    </row>
    <row r="226" spans="2:45" x14ac:dyDescent="0.25">
      <c r="B226" t="s">
        <v>122</v>
      </c>
      <c r="C226" s="101">
        <v>60266</v>
      </c>
      <c r="D226" s="101">
        <v>729</v>
      </c>
      <c r="E226" s="101">
        <v>208</v>
      </c>
      <c r="F226" s="101">
        <v>1420</v>
      </c>
      <c r="G226" s="101">
        <v>9616</v>
      </c>
      <c r="H226" s="101">
        <v>5734</v>
      </c>
      <c r="I226" s="101">
        <v>998</v>
      </c>
      <c r="J226" s="101">
        <v>2259</v>
      </c>
      <c r="K226" s="101">
        <v>391</v>
      </c>
      <c r="L226" s="101">
        <v>1354</v>
      </c>
      <c r="M226" s="101">
        <v>2243</v>
      </c>
      <c r="N226" s="101">
        <v>14825</v>
      </c>
      <c r="O226" s="101">
        <v>9678</v>
      </c>
      <c r="P226" s="101">
        <v>5712</v>
      </c>
      <c r="Q226" s="101">
        <v>3838</v>
      </c>
      <c r="R226" s="101">
        <v>1261</v>
      </c>
      <c r="S226" s="101"/>
      <c r="T226" t="s">
        <v>122</v>
      </c>
      <c r="U226" s="101">
        <f t="shared" si="9"/>
        <v>57909</v>
      </c>
      <c r="V226" s="101">
        <v>47208000</v>
      </c>
      <c r="W226" s="101">
        <v>33779717</v>
      </c>
      <c r="X226" s="101">
        <v>1138</v>
      </c>
      <c r="Y226" s="101">
        <v>1965</v>
      </c>
      <c r="Z226" s="101">
        <v>234</v>
      </c>
      <c r="AA226" s="101">
        <v>65</v>
      </c>
      <c r="AB226" s="101">
        <v>140</v>
      </c>
      <c r="AC226" s="101">
        <v>8</v>
      </c>
      <c r="AD226" s="101">
        <v>0</v>
      </c>
      <c r="AE226" s="101">
        <v>0</v>
      </c>
      <c r="AF226" s="101">
        <v>10</v>
      </c>
      <c r="AG226" s="101">
        <f t="shared" si="10"/>
        <v>40920.716999999997</v>
      </c>
      <c r="AH226" s="101">
        <v>12465</v>
      </c>
      <c r="AI226" s="101">
        <f t="shared" si="11"/>
        <v>3282.8493381468111</v>
      </c>
      <c r="AJ226" t="s">
        <v>439</v>
      </c>
      <c r="AN226" t="s">
        <v>234</v>
      </c>
      <c r="AO226" s="259">
        <v>1695.8156326198862</v>
      </c>
      <c r="AP226" t="s">
        <v>465</v>
      </c>
    </row>
    <row r="227" spans="2:45" x14ac:dyDescent="0.25">
      <c r="B227" t="s">
        <v>311</v>
      </c>
      <c r="C227" s="101">
        <v>170967</v>
      </c>
      <c r="D227" s="101">
        <v>12863</v>
      </c>
      <c r="E227" s="101">
        <v>1504</v>
      </c>
      <c r="F227" s="101">
        <v>10143</v>
      </c>
      <c r="G227" s="101">
        <v>43433</v>
      </c>
      <c r="H227" s="101">
        <v>11816</v>
      </c>
      <c r="I227" s="101">
        <v>4835</v>
      </c>
      <c r="J227" s="101">
        <v>5228</v>
      </c>
      <c r="K227" s="101">
        <v>8890</v>
      </c>
      <c r="L227" s="101">
        <v>3383</v>
      </c>
      <c r="M227" s="101">
        <v>9047</v>
      </c>
      <c r="N227" s="101">
        <v>10987</v>
      </c>
      <c r="O227" s="101">
        <v>17223</v>
      </c>
      <c r="P227" s="101">
        <v>14313</v>
      </c>
      <c r="Q227" s="101">
        <v>16213</v>
      </c>
      <c r="R227" s="101">
        <v>1089</v>
      </c>
      <c r="S227" s="101"/>
      <c r="T227" t="s">
        <v>311</v>
      </c>
      <c r="U227" s="101">
        <f t="shared" si="9"/>
        <v>146457</v>
      </c>
      <c r="V227" s="101">
        <v>104255000</v>
      </c>
      <c r="W227" s="101">
        <v>92916932</v>
      </c>
      <c r="X227" s="101">
        <v>4840</v>
      </c>
      <c r="Y227" s="101">
        <v>8864</v>
      </c>
      <c r="Z227" s="101">
        <v>754</v>
      </c>
      <c r="AA227" s="101">
        <v>0</v>
      </c>
      <c r="AB227" s="101">
        <v>2031</v>
      </c>
      <c r="AC227" s="101">
        <v>131</v>
      </c>
      <c r="AD227" s="101">
        <v>219</v>
      </c>
      <c r="AE227" s="101">
        <v>11</v>
      </c>
      <c r="AF227" s="101">
        <v>59</v>
      </c>
      <c r="AG227" s="101">
        <f t="shared" si="10"/>
        <v>118209.932</v>
      </c>
      <c r="AH227" s="101">
        <v>58120</v>
      </c>
      <c r="AI227" s="101">
        <f t="shared" si="11"/>
        <v>2033.8942188575361</v>
      </c>
      <c r="AJ227" t="s">
        <v>465</v>
      </c>
      <c r="AN227" t="s">
        <v>209</v>
      </c>
      <c r="AO227" s="259">
        <v>2502.8271812080538</v>
      </c>
      <c r="AP227" t="s">
        <v>465</v>
      </c>
    </row>
    <row r="228" spans="2:45" x14ac:dyDescent="0.25">
      <c r="B228" t="s">
        <v>268</v>
      </c>
      <c r="C228" s="101">
        <v>357113</v>
      </c>
      <c r="D228" s="101">
        <v>27466</v>
      </c>
      <c r="E228" s="101">
        <v>7416</v>
      </c>
      <c r="F228" s="101">
        <v>19182</v>
      </c>
      <c r="G228" s="101">
        <v>74785</v>
      </c>
      <c r="H228" s="101">
        <v>13697</v>
      </c>
      <c r="I228" s="101">
        <v>10907</v>
      </c>
      <c r="J228" s="101">
        <v>10326</v>
      </c>
      <c r="K228" s="101">
        <v>6472</v>
      </c>
      <c r="L228" s="101">
        <v>7663</v>
      </c>
      <c r="M228" s="101">
        <v>23616</v>
      </c>
      <c r="N228" s="101">
        <v>41943</v>
      </c>
      <c r="O228" s="101">
        <v>40958</v>
      </c>
      <c r="P228" s="101">
        <v>47473</v>
      </c>
      <c r="Q228" s="101">
        <v>21718</v>
      </c>
      <c r="R228" s="101">
        <v>3491</v>
      </c>
      <c r="S228" s="101"/>
      <c r="T228" t="s">
        <v>268</v>
      </c>
      <c r="U228" s="101">
        <f t="shared" si="9"/>
        <v>303049</v>
      </c>
      <c r="V228" s="101">
        <v>255541000</v>
      </c>
      <c r="W228" s="101">
        <v>201896642</v>
      </c>
      <c r="X228" s="101">
        <v>10793</v>
      </c>
      <c r="Y228" s="101">
        <v>16631</v>
      </c>
      <c r="Z228" s="101">
        <v>1969</v>
      </c>
      <c r="AA228" s="101">
        <v>818</v>
      </c>
      <c r="AB228" s="101">
        <v>3971</v>
      </c>
      <c r="AC228" s="101">
        <v>361</v>
      </c>
      <c r="AD228" s="101">
        <v>103</v>
      </c>
      <c r="AE228" s="101">
        <v>4325</v>
      </c>
      <c r="AF228" s="101">
        <v>1468</v>
      </c>
      <c r="AG228" s="101">
        <f t="shared" si="10"/>
        <v>208965.64199999999</v>
      </c>
      <c r="AH228" s="101">
        <v>95921</v>
      </c>
      <c r="AI228" s="101">
        <f t="shared" si="11"/>
        <v>2178.5181764160088</v>
      </c>
      <c r="AJ228" t="s">
        <v>116</v>
      </c>
      <c r="AN228" t="s">
        <v>432</v>
      </c>
      <c r="AO228" s="259">
        <v>2622.2392163319064</v>
      </c>
      <c r="AP228" t="s">
        <v>465</v>
      </c>
    </row>
    <row r="229" spans="2:45" x14ac:dyDescent="0.25">
      <c r="B229" t="s">
        <v>197</v>
      </c>
      <c r="C229" s="101">
        <v>71158</v>
      </c>
      <c r="D229" s="101">
        <v>2402</v>
      </c>
      <c r="E229" s="101">
        <v>-16</v>
      </c>
      <c r="F229" s="101">
        <v>5082</v>
      </c>
      <c r="G229" s="101">
        <v>20686</v>
      </c>
      <c r="H229" s="101">
        <v>4248</v>
      </c>
      <c r="I229" s="101">
        <v>1903</v>
      </c>
      <c r="J229" s="101">
        <v>1942</v>
      </c>
      <c r="K229" s="101">
        <v>1334</v>
      </c>
      <c r="L229" s="101">
        <v>2052</v>
      </c>
      <c r="M229" s="101">
        <v>3357</v>
      </c>
      <c r="N229" s="101">
        <v>6893</v>
      </c>
      <c r="O229" s="101">
        <v>7233</v>
      </c>
      <c r="P229" s="101">
        <v>6738</v>
      </c>
      <c r="Q229" s="101">
        <v>6814</v>
      </c>
      <c r="R229" s="101">
        <v>490</v>
      </c>
      <c r="S229" s="101"/>
      <c r="T229" t="s">
        <v>197</v>
      </c>
      <c r="U229" s="101">
        <f t="shared" si="9"/>
        <v>63690</v>
      </c>
      <c r="V229" s="101">
        <v>53388000</v>
      </c>
      <c r="W229" s="101">
        <v>45665326</v>
      </c>
      <c r="X229" s="101">
        <v>2544</v>
      </c>
      <c r="Y229" s="101">
        <v>1968</v>
      </c>
      <c r="Z229" s="101">
        <v>449</v>
      </c>
      <c r="AA229" s="101">
        <v>458</v>
      </c>
      <c r="AB229" s="101">
        <v>738</v>
      </c>
      <c r="AC229" s="101">
        <v>129</v>
      </c>
      <c r="AD229" s="101">
        <v>880</v>
      </c>
      <c r="AE229" s="101">
        <v>0</v>
      </c>
      <c r="AF229" s="101">
        <v>58</v>
      </c>
      <c r="AG229" s="101">
        <f t="shared" si="10"/>
        <v>48743.326000000001</v>
      </c>
      <c r="AH229" s="101">
        <v>24953</v>
      </c>
      <c r="AI229" s="101">
        <f t="shared" si="11"/>
        <v>1953.405442231395</v>
      </c>
      <c r="AJ229" t="s">
        <v>465</v>
      </c>
      <c r="AN229" t="s">
        <v>325</v>
      </c>
      <c r="AO229" s="259">
        <v>2189.2946164464602</v>
      </c>
      <c r="AP229" t="s">
        <v>465</v>
      </c>
      <c r="AQ229">
        <f>_xlfn.QUARTILE.INC(AO78:AO232,3)</f>
        <v>2293.1778664733438</v>
      </c>
      <c r="AR229">
        <f>5%*AQ229</f>
        <v>114.6588933236672</v>
      </c>
      <c r="AS229">
        <f>SUM(AQ229:AR229)</f>
        <v>2407.8367597970109</v>
      </c>
    </row>
    <row r="230" spans="2:45" x14ac:dyDescent="0.25">
      <c r="B230" t="s">
        <v>154</v>
      </c>
      <c r="C230" s="101">
        <v>131568</v>
      </c>
      <c r="D230" s="101">
        <v>6623</v>
      </c>
      <c r="E230" s="101">
        <v>1895</v>
      </c>
      <c r="F230" s="101">
        <v>4735</v>
      </c>
      <c r="G230" s="101">
        <v>27150</v>
      </c>
      <c r="H230" s="101">
        <v>9742</v>
      </c>
      <c r="I230" s="101">
        <v>3420</v>
      </c>
      <c r="J230" s="101">
        <v>5393</v>
      </c>
      <c r="K230" s="101">
        <v>1414</v>
      </c>
      <c r="L230" s="101">
        <v>2836</v>
      </c>
      <c r="M230" s="101">
        <v>7958</v>
      </c>
      <c r="N230" s="101">
        <v>15255</v>
      </c>
      <c r="O230" s="101">
        <v>16573</v>
      </c>
      <c r="P230" s="101">
        <v>14760</v>
      </c>
      <c r="Q230" s="101">
        <v>11647</v>
      </c>
      <c r="R230" s="101">
        <v>2167</v>
      </c>
      <c r="S230" s="101"/>
      <c r="T230" t="s">
        <v>154</v>
      </c>
      <c r="U230" s="101">
        <f t="shared" si="9"/>
        <v>118315</v>
      </c>
      <c r="V230" s="101">
        <v>88964000</v>
      </c>
      <c r="W230" s="101">
        <v>73666792</v>
      </c>
      <c r="X230" s="101">
        <v>4530</v>
      </c>
      <c r="Y230" s="101">
        <v>3457</v>
      </c>
      <c r="Z230" s="101">
        <v>750</v>
      </c>
      <c r="AA230" s="101">
        <v>210</v>
      </c>
      <c r="AB230" s="101">
        <v>929</v>
      </c>
      <c r="AC230" s="101">
        <v>171</v>
      </c>
      <c r="AD230" s="101">
        <v>427</v>
      </c>
      <c r="AE230" s="101">
        <v>4</v>
      </c>
      <c r="AF230" s="101">
        <v>55</v>
      </c>
      <c r="AG230" s="101">
        <f t="shared" si="10"/>
        <v>92484.792000000001</v>
      </c>
      <c r="AH230" s="101">
        <v>38616</v>
      </c>
      <c r="AI230" s="101">
        <f t="shared" si="11"/>
        <v>2394.9863269111247</v>
      </c>
      <c r="AJ230" t="s">
        <v>465</v>
      </c>
      <c r="AN230" t="s">
        <v>326</v>
      </c>
      <c r="AO230" s="259">
        <v>2004.9648496047635</v>
      </c>
      <c r="AP230" t="s">
        <v>465</v>
      </c>
      <c r="AQ230">
        <f>_xlfn.QUARTILE.INC(AO78:AO232,1)</f>
        <v>2007.1528739306846</v>
      </c>
      <c r="AR230">
        <f>5%*AQ230</f>
        <v>100.35764369653424</v>
      </c>
      <c r="AS230">
        <f>SUM(AQ230,-AR230)</f>
        <v>1906.7952302341503</v>
      </c>
    </row>
    <row r="231" spans="2:45" x14ac:dyDescent="0.25">
      <c r="B231" t="s">
        <v>334</v>
      </c>
      <c r="C231" s="101">
        <v>74441</v>
      </c>
      <c r="D231" s="101">
        <v>654</v>
      </c>
      <c r="E231" s="101">
        <v>909</v>
      </c>
      <c r="F231" s="101">
        <v>2496</v>
      </c>
      <c r="G231" s="101">
        <v>14586</v>
      </c>
      <c r="H231" s="101">
        <v>5763</v>
      </c>
      <c r="I231" s="101">
        <v>3027</v>
      </c>
      <c r="J231" s="101">
        <v>4171</v>
      </c>
      <c r="K231" s="101">
        <v>1695</v>
      </c>
      <c r="L231" s="101">
        <v>1953</v>
      </c>
      <c r="M231" s="101">
        <v>3681</v>
      </c>
      <c r="N231" s="101">
        <v>7778</v>
      </c>
      <c r="O231" s="101">
        <v>9656</v>
      </c>
      <c r="P231" s="101">
        <v>9431</v>
      </c>
      <c r="Q231" s="101">
        <v>7706</v>
      </c>
      <c r="R231" s="101">
        <v>935</v>
      </c>
      <c r="S231" s="101"/>
      <c r="T231" t="s">
        <v>334</v>
      </c>
      <c r="U231" s="101">
        <f t="shared" si="9"/>
        <v>70382</v>
      </c>
      <c r="V231" s="101">
        <v>54383000</v>
      </c>
      <c r="W231" s="101">
        <v>46892624</v>
      </c>
      <c r="X231" s="101">
        <v>2795</v>
      </c>
      <c r="Y231" s="101">
        <v>2897</v>
      </c>
      <c r="Z231" s="101">
        <v>316</v>
      </c>
      <c r="AA231" s="101">
        <v>322</v>
      </c>
      <c r="AB231" s="101">
        <v>823</v>
      </c>
      <c r="AC231" s="101">
        <v>1072</v>
      </c>
      <c r="AD231" s="101">
        <v>104</v>
      </c>
      <c r="AE231" s="101">
        <v>0</v>
      </c>
      <c r="AF231" s="101">
        <v>518</v>
      </c>
      <c r="AG231" s="101">
        <f t="shared" si="10"/>
        <v>54044.624000000003</v>
      </c>
      <c r="AH231" s="101">
        <v>23334</v>
      </c>
      <c r="AI231" s="101">
        <f t="shared" si="11"/>
        <v>2316.1319962286793</v>
      </c>
      <c r="AJ231" t="s">
        <v>465</v>
      </c>
      <c r="AN231" t="s">
        <v>397</v>
      </c>
      <c r="AO231" s="259">
        <v>2057.2771005086829</v>
      </c>
      <c r="AP231" t="s">
        <v>465</v>
      </c>
    </row>
    <row r="232" spans="2:45" x14ac:dyDescent="0.25">
      <c r="B232" t="s">
        <v>198</v>
      </c>
      <c r="C232" s="101">
        <v>110820</v>
      </c>
      <c r="D232" s="101">
        <v>521</v>
      </c>
      <c r="E232" s="101">
        <v>996</v>
      </c>
      <c r="F232" s="101">
        <v>3280</v>
      </c>
      <c r="G232" s="101">
        <v>23349</v>
      </c>
      <c r="H232" s="101">
        <v>13670</v>
      </c>
      <c r="I232" s="101">
        <v>2832</v>
      </c>
      <c r="J232" s="101">
        <v>3419</v>
      </c>
      <c r="K232" s="101">
        <v>391</v>
      </c>
      <c r="L232" s="101">
        <v>2147</v>
      </c>
      <c r="M232" s="101">
        <v>3822</v>
      </c>
      <c r="N232" s="101">
        <v>12161</v>
      </c>
      <c r="O232" s="101">
        <v>13823</v>
      </c>
      <c r="P232" s="101">
        <v>19150</v>
      </c>
      <c r="Q232" s="101">
        <v>9335</v>
      </c>
      <c r="R232" s="101">
        <v>1924</v>
      </c>
      <c r="S232" s="101"/>
      <c r="T232" t="s">
        <v>198</v>
      </c>
      <c r="U232" s="101">
        <f t="shared" si="9"/>
        <v>106023</v>
      </c>
      <c r="V232" s="101">
        <v>80745000</v>
      </c>
      <c r="W232" s="101">
        <v>60503026</v>
      </c>
      <c r="X232" s="101">
        <v>4020</v>
      </c>
      <c r="Y232" s="101">
        <v>4165</v>
      </c>
      <c r="Z232" s="101">
        <v>580</v>
      </c>
      <c r="AA232" s="101">
        <v>351</v>
      </c>
      <c r="AB232" s="101">
        <v>668</v>
      </c>
      <c r="AC232" s="101">
        <v>19</v>
      </c>
      <c r="AD232" s="101">
        <v>798</v>
      </c>
      <c r="AE232" s="101">
        <v>27</v>
      </c>
      <c r="AF232" s="101">
        <v>1</v>
      </c>
      <c r="AG232" s="101">
        <f t="shared" si="10"/>
        <v>75152.025999999998</v>
      </c>
      <c r="AH232" s="101">
        <v>31498</v>
      </c>
      <c r="AI232" s="101">
        <f t="shared" si="11"/>
        <v>2385.9300907994157</v>
      </c>
      <c r="AJ232" t="s">
        <v>116</v>
      </c>
      <c r="AN232" t="s">
        <v>161</v>
      </c>
      <c r="AO232" s="259">
        <v>2408.467503190132</v>
      </c>
      <c r="AP232" t="s">
        <v>465</v>
      </c>
    </row>
    <row r="233" spans="2:45" x14ac:dyDescent="0.25">
      <c r="B233" t="s">
        <v>225</v>
      </c>
      <c r="C233" s="101">
        <v>19042</v>
      </c>
      <c r="D233" s="101">
        <v>7</v>
      </c>
      <c r="E233" s="101">
        <v>660</v>
      </c>
      <c r="F233" s="101">
        <v>1808</v>
      </c>
      <c r="G233" s="101">
        <v>4201</v>
      </c>
      <c r="H233" s="101">
        <v>2023</v>
      </c>
      <c r="I233" s="101">
        <v>690</v>
      </c>
      <c r="J233" s="101">
        <v>256</v>
      </c>
      <c r="K233" s="101">
        <v>0</v>
      </c>
      <c r="L233" s="101">
        <v>282</v>
      </c>
      <c r="M233" s="101">
        <v>339</v>
      </c>
      <c r="N233" s="101">
        <v>1343</v>
      </c>
      <c r="O233" s="101">
        <v>2463</v>
      </c>
      <c r="P233" s="101">
        <v>948</v>
      </c>
      <c r="Q233" s="101">
        <v>1871</v>
      </c>
      <c r="R233" s="101">
        <v>2151</v>
      </c>
      <c r="S233" s="101"/>
      <c r="T233" t="s">
        <v>225</v>
      </c>
      <c r="U233" s="101">
        <f t="shared" si="9"/>
        <v>16567</v>
      </c>
      <c r="V233" s="101">
        <v>11397000</v>
      </c>
      <c r="W233" s="101">
        <v>9572258</v>
      </c>
      <c r="X233" s="101">
        <v>721</v>
      </c>
      <c r="Y233" s="101">
        <v>654</v>
      </c>
      <c r="Z233" s="101">
        <v>90</v>
      </c>
      <c r="AA233" s="101">
        <v>71</v>
      </c>
      <c r="AB233" s="101">
        <v>147</v>
      </c>
      <c r="AC233" s="101">
        <v>111</v>
      </c>
      <c r="AD233" s="101">
        <v>53</v>
      </c>
      <c r="AE233" s="101">
        <v>0</v>
      </c>
      <c r="AF233" s="101">
        <v>0</v>
      </c>
      <c r="AG233" s="101">
        <f t="shared" si="10"/>
        <v>12895.258</v>
      </c>
      <c r="AH233" s="101">
        <v>5781</v>
      </c>
      <c r="AI233" s="101">
        <f t="shared" si="11"/>
        <v>2230.6275730842417</v>
      </c>
      <c r="AJ233" t="s">
        <v>465</v>
      </c>
      <c r="AN233" t="s">
        <v>231</v>
      </c>
      <c r="AO233" s="260">
        <v>2455.3392854604131</v>
      </c>
      <c r="AP233" s="164" t="s">
        <v>116</v>
      </c>
    </row>
    <row r="234" spans="2:45" x14ac:dyDescent="0.25">
      <c r="B234" t="s">
        <v>382</v>
      </c>
      <c r="C234" s="101">
        <v>39951</v>
      </c>
      <c r="D234" s="101">
        <v>1388</v>
      </c>
      <c r="E234" s="101">
        <v>415</v>
      </c>
      <c r="F234" s="101">
        <v>2057</v>
      </c>
      <c r="G234" s="101">
        <v>8911</v>
      </c>
      <c r="H234" s="101">
        <v>3134</v>
      </c>
      <c r="I234" s="101">
        <v>1183</v>
      </c>
      <c r="J234" s="101">
        <v>1195</v>
      </c>
      <c r="K234" s="101">
        <v>278</v>
      </c>
      <c r="L234" s="101">
        <v>639</v>
      </c>
      <c r="M234" s="101">
        <v>1975</v>
      </c>
      <c r="N234" s="101">
        <v>6597</v>
      </c>
      <c r="O234" s="101">
        <v>2743</v>
      </c>
      <c r="P234" s="101">
        <v>5175</v>
      </c>
      <c r="Q234" s="101">
        <v>3151</v>
      </c>
      <c r="R234" s="101">
        <v>1110</v>
      </c>
      <c r="S234" s="101"/>
      <c r="T234" t="s">
        <v>382</v>
      </c>
      <c r="U234" s="101">
        <f t="shared" si="9"/>
        <v>36091</v>
      </c>
      <c r="V234" s="101">
        <v>29103000</v>
      </c>
      <c r="W234" s="101">
        <v>24117763</v>
      </c>
      <c r="X234" s="101">
        <v>1973</v>
      </c>
      <c r="Y234" s="101">
        <v>1144</v>
      </c>
      <c r="Z234" s="101">
        <v>129</v>
      </c>
      <c r="AA234" s="101">
        <v>0</v>
      </c>
      <c r="AB234" s="101">
        <v>682</v>
      </c>
      <c r="AC234" s="101">
        <v>164</v>
      </c>
      <c r="AD234" s="101">
        <v>200</v>
      </c>
      <c r="AE234" s="101">
        <v>0</v>
      </c>
      <c r="AF234" s="101">
        <v>153</v>
      </c>
      <c r="AG234" s="101">
        <f t="shared" si="10"/>
        <v>26660.762999999999</v>
      </c>
      <c r="AH234" s="101">
        <v>13653</v>
      </c>
      <c r="AI234" s="101">
        <f t="shared" si="11"/>
        <v>1952.740276862228</v>
      </c>
      <c r="AJ234" t="s">
        <v>465</v>
      </c>
      <c r="AN234" t="s">
        <v>104</v>
      </c>
      <c r="AO234" s="259">
        <v>2223.8155459592845</v>
      </c>
      <c r="AP234" t="s">
        <v>116</v>
      </c>
    </row>
    <row r="235" spans="2:45" x14ac:dyDescent="0.25">
      <c r="B235" t="s">
        <v>199</v>
      </c>
      <c r="C235" s="101">
        <v>175427</v>
      </c>
      <c r="D235" s="101">
        <v>33</v>
      </c>
      <c r="E235" s="101">
        <v>2464</v>
      </c>
      <c r="F235" s="101">
        <v>5673</v>
      </c>
      <c r="G235" s="101">
        <v>37416</v>
      </c>
      <c r="H235" s="101">
        <v>15617</v>
      </c>
      <c r="I235" s="101">
        <v>3463</v>
      </c>
      <c r="J235" s="101">
        <v>3256</v>
      </c>
      <c r="K235" s="101">
        <v>469</v>
      </c>
      <c r="L235" s="101">
        <v>3537</v>
      </c>
      <c r="M235" s="101">
        <v>5634</v>
      </c>
      <c r="N235" s="101">
        <v>27899</v>
      </c>
      <c r="O235" s="101">
        <v>19392</v>
      </c>
      <c r="P235" s="101">
        <v>38029</v>
      </c>
      <c r="Q235" s="101">
        <v>10645</v>
      </c>
      <c r="R235" s="101">
        <v>1900</v>
      </c>
      <c r="S235" s="101"/>
      <c r="T235" t="s">
        <v>199</v>
      </c>
      <c r="U235" s="101">
        <f t="shared" si="9"/>
        <v>167257</v>
      </c>
      <c r="V235" s="101">
        <v>138337000</v>
      </c>
      <c r="W235" s="101">
        <v>96998131</v>
      </c>
      <c r="X235" s="101">
        <v>5754</v>
      </c>
      <c r="Y235" s="101">
        <v>5345</v>
      </c>
      <c r="Z235" s="101">
        <v>840</v>
      </c>
      <c r="AA235" s="101">
        <v>504</v>
      </c>
      <c r="AB235" s="101">
        <v>500</v>
      </c>
      <c r="AC235" s="101">
        <v>157</v>
      </c>
      <c r="AD235" s="101">
        <v>517</v>
      </c>
      <c r="AE235" s="101">
        <v>29</v>
      </c>
      <c r="AF235" s="101">
        <v>8</v>
      </c>
      <c r="AG235" s="101">
        <f t="shared" si="10"/>
        <v>112264.13099999999</v>
      </c>
      <c r="AH235" s="101">
        <v>43785</v>
      </c>
      <c r="AI235" s="101">
        <f t="shared" si="11"/>
        <v>2563.9860911270985</v>
      </c>
      <c r="AJ235" t="s">
        <v>116</v>
      </c>
      <c r="AN235" t="s">
        <v>163</v>
      </c>
      <c r="AO235" s="259">
        <v>2265.8673146226929</v>
      </c>
      <c r="AP235" t="s">
        <v>116</v>
      </c>
    </row>
    <row r="236" spans="2:45" x14ac:dyDescent="0.25">
      <c r="B236" t="s">
        <v>226</v>
      </c>
      <c r="C236" s="101">
        <v>65875</v>
      </c>
      <c r="D236" s="101">
        <v>900</v>
      </c>
      <c r="E236" s="101">
        <v>1368</v>
      </c>
      <c r="F236" s="101">
        <v>2519</v>
      </c>
      <c r="G236" s="101">
        <v>18909</v>
      </c>
      <c r="H236" s="101">
        <v>5364</v>
      </c>
      <c r="I236" s="101">
        <v>1798</v>
      </c>
      <c r="J236" s="101">
        <v>1217</v>
      </c>
      <c r="K236" s="101">
        <v>152</v>
      </c>
      <c r="L236" s="101">
        <v>1764</v>
      </c>
      <c r="M236" s="101">
        <v>3098</v>
      </c>
      <c r="N236" s="101">
        <v>9698</v>
      </c>
      <c r="O236" s="101">
        <v>7496</v>
      </c>
      <c r="P236" s="101">
        <v>6534</v>
      </c>
      <c r="Q236" s="101">
        <v>3317</v>
      </c>
      <c r="R236" s="101">
        <v>1741</v>
      </c>
      <c r="S236" s="101"/>
      <c r="T236" t="s">
        <v>226</v>
      </c>
      <c r="U236" s="101">
        <f t="shared" si="9"/>
        <v>61088</v>
      </c>
      <c r="V236" s="101">
        <v>48613000</v>
      </c>
      <c r="W236" s="101">
        <v>38124983</v>
      </c>
      <c r="X236" s="101">
        <v>2079</v>
      </c>
      <c r="Y236" s="101">
        <v>3130</v>
      </c>
      <c r="Z236" s="101">
        <v>268</v>
      </c>
      <c r="AA236" s="101">
        <v>564</v>
      </c>
      <c r="AB236" s="101">
        <v>923</v>
      </c>
      <c r="AC236" s="101">
        <v>135</v>
      </c>
      <c r="AD236" s="101">
        <v>172</v>
      </c>
      <c r="AE236" s="101">
        <v>6</v>
      </c>
      <c r="AF236" s="101">
        <v>246</v>
      </c>
      <c r="AG236" s="101">
        <f t="shared" si="10"/>
        <v>43076.983</v>
      </c>
      <c r="AH236" s="101">
        <v>20399</v>
      </c>
      <c r="AI236" s="101">
        <f t="shared" si="11"/>
        <v>2111.7203294279129</v>
      </c>
      <c r="AJ236" t="s">
        <v>465</v>
      </c>
      <c r="AN236" t="s">
        <v>125</v>
      </c>
      <c r="AO236" s="259">
        <v>2557.8525729687553</v>
      </c>
      <c r="AP236" t="s">
        <v>116</v>
      </c>
    </row>
    <row r="237" spans="2:45" x14ac:dyDescent="0.25">
      <c r="B237" t="s">
        <v>312</v>
      </c>
      <c r="C237" s="101">
        <v>169263</v>
      </c>
      <c r="D237" s="101">
        <v>1396</v>
      </c>
      <c r="E237" s="101">
        <v>2614</v>
      </c>
      <c r="F237" s="101">
        <v>6556</v>
      </c>
      <c r="G237" s="101">
        <v>31015</v>
      </c>
      <c r="H237" s="101">
        <v>19368</v>
      </c>
      <c r="I237" s="101">
        <v>4513</v>
      </c>
      <c r="J237" s="101">
        <v>9996</v>
      </c>
      <c r="K237" s="101">
        <v>1907</v>
      </c>
      <c r="L237" s="101">
        <v>3575</v>
      </c>
      <c r="M237" s="101">
        <v>12841</v>
      </c>
      <c r="N237" s="101">
        <v>20034</v>
      </c>
      <c r="O237" s="101">
        <v>19618</v>
      </c>
      <c r="P237" s="101">
        <v>18703</v>
      </c>
      <c r="Q237" s="101">
        <v>16182</v>
      </c>
      <c r="R237" s="101">
        <v>945</v>
      </c>
      <c r="S237" s="101"/>
      <c r="T237" t="s">
        <v>312</v>
      </c>
      <c r="U237" s="101">
        <f t="shared" si="9"/>
        <v>158697</v>
      </c>
      <c r="V237" s="101">
        <v>119814000</v>
      </c>
      <c r="W237" s="101">
        <v>102023455</v>
      </c>
      <c r="X237" s="101">
        <v>5422</v>
      </c>
      <c r="Y237" s="101">
        <v>7498</v>
      </c>
      <c r="Z237" s="101">
        <v>1092</v>
      </c>
      <c r="AA237" s="101">
        <v>245</v>
      </c>
      <c r="AB237" s="101">
        <v>948</v>
      </c>
      <c r="AC237" s="101">
        <v>266</v>
      </c>
      <c r="AD237" s="101">
        <v>0</v>
      </c>
      <c r="AE237" s="101">
        <v>357</v>
      </c>
      <c r="AF237" s="101">
        <v>762</v>
      </c>
      <c r="AG237" s="101">
        <f t="shared" si="10"/>
        <v>124316.45500000002</v>
      </c>
      <c r="AH237" s="101">
        <v>48011</v>
      </c>
      <c r="AI237" s="101">
        <f t="shared" si="11"/>
        <v>2589.3327570765036</v>
      </c>
      <c r="AJ237" t="s">
        <v>116</v>
      </c>
      <c r="AN237" t="s">
        <v>213</v>
      </c>
      <c r="AO237" s="259">
        <v>2271.8065271767186</v>
      </c>
      <c r="AP237" t="s">
        <v>116</v>
      </c>
    </row>
    <row r="238" spans="2:45" x14ac:dyDescent="0.25">
      <c r="B238" t="s">
        <v>155</v>
      </c>
      <c r="C238" s="101">
        <v>124727</v>
      </c>
      <c r="D238" s="101">
        <v>419</v>
      </c>
      <c r="E238" s="101">
        <v>1899</v>
      </c>
      <c r="F238" s="101">
        <v>6396</v>
      </c>
      <c r="G238" s="101">
        <v>32000</v>
      </c>
      <c r="H238" s="101">
        <v>1545</v>
      </c>
      <c r="I238" s="101">
        <v>4062</v>
      </c>
      <c r="J238" s="101">
        <v>4014</v>
      </c>
      <c r="K238" s="101">
        <v>914</v>
      </c>
      <c r="L238" s="101">
        <v>3403</v>
      </c>
      <c r="M238" s="101">
        <v>9214</v>
      </c>
      <c r="N238" s="101">
        <v>13062</v>
      </c>
      <c r="O238" s="101">
        <v>15485</v>
      </c>
      <c r="P238" s="101">
        <v>21123</v>
      </c>
      <c r="Q238" s="101">
        <v>8502</v>
      </c>
      <c r="R238" s="101">
        <v>2689</v>
      </c>
      <c r="S238" s="101"/>
      <c r="T238" t="s">
        <v>155</v>
      </c>
      <c r="U238" s="101">
        <f t="shared" si="9"/>
        <v>116013</v>
      </c>
      <c r="V238" s="101">
        <v>93238000</v>
      </c>
      <c r="W238" s="101">
        <v>75772568</v>
      </c>
      <c r="X238" s="101">
        <v>3367</v>
      </c>
      <c r="Y238" s="101">
        <v>3118</v>
      </c>
      <c r="Z238" s="101">
        <v>584</v>
      </c>
      <c r="AA238" s="101">
        <v>705</v>
      </c>
      <c r="AB238" s="101">
        <v>1036</v>
      </c>
      <c r="AC238" s="101">
        <v>89</v>
      </c>
      <c r="AD238" s="101">
        <v>485</v>
      </c>
      <c r="AE238" s="101">
        <v>1</v>
      </c>
      <c r="AF238" s="101">
        <v>94</v>
      </c>
      <c r="AG238" s="101">
        <f t="shared" si="10"/>
        <v>89068.567999999999</v>
      </c>
      <c r="AH238" s="101">
        <v>38830</v>
      </c>
      <c r="AI238" s="101">
        <f t="shared" si="11"/>
        <v>2293.8080865310326</v>
      </c>
      <c r="AJ238" t="s">
        <v>465</v>
      </c>
      <c r="AN238" t="s">
        <v>826</v>
      </c>
      <c r="AO238" s="259">
        <v>2469.0402585410898</v>
      </c>
      <c r="AP238" t="s">
        <v>116</v>
      </c>
    </row>
    <row r="239" spans="2:45" x14ac:dyDescent="0.25">
      <c r="B239" t="s">
        <v>726</v>
      </c>
      <c r="C239" s="101">
        <v>268749</v>
      </c>
      <c r="D239" s="101">
        <v>26311</v>
      </c>
      <c r="E239" s="101">
        <v>3210</v>
      </c>
      <c r="F239" s="101">
        <v>13022</v>
      </c>
      <c r="G239" s="101">
        <v>60581</v>
      </c>
      <c r="H239" s="101">
        <v>23880</v>
      </c>
      <c r="I239" s="101">
        <v>7629</v>
      </c>
      <c r="J239" s="101">
        <v>6352</v>
      </c>
      <c r="K239" s="101">
        <v>591</v>
      </c>
      <c r="L239" s="101">
        <v>6476</v>
      </c>
      <c r="M239" s="101">
        <v>13228</v>
      </c>
      <c r="N239" s="101">
        <v>36780</v>
      </c>
      <c r="O239" s="101">
        <v>24967</v>
      </c>
      <c r="P239" s="101">
        <v>21040</v>
      </c>
      <c r="Q239" s="101">
        <v>16190</v>
      </c>
      <c r="R239" s="101">
        <v>8492</v>
      </c>
      <c r="S239" s="101"/>
      <c r="T239" t="s">
        <v>726</v>
      </c>
      <c r="U239" s="101">
        <f t="shared" si="9"/>
        <v>226206</v>
      </c>
      <c r="V239" s="101">
        <v>176428000</v>
      </c>
      <c r="W239" s="101">
        <v>130906363</v>
      </c>
      <c r="X239" s="101">
        <v>6051</v>
      </c>
      <c r="Y239" s="101">
        <v>13209</v>
      </c>
      <c r="Z239" s="101">
        <v>1396</v>
      </c>
      <c r="AA239" s="101">
        <v>0</v>
      </c>
      <c r="AB239" s="101">
        <v>3323</v>
      </c>
      <c r="AC239" s="101">
        <v>191</v>
      </c>
      <c r="AD239" s="101">
        <v>328</v>
      </c>
      <c r="AE239" s="101">
        <v>7003</v>
      </c>
      <c r="AF239" s="101">
        <v>773</v>
      </c>
      <c r="AG239" s="101">
        <f t="shared" si="10"/>
        <v>148410.36300000001</v>
      </c>
      <c r="AH239" s="101">
        <v>60710</v>
      </c>
      <c r="AI239" s="101">
        <f t="shared" si="11"/>
        <v>2444.5785373085159</v>
      </c>
      <c r="AJ239" t="s">
        <v>116</v>
      </c>
      <c r="AN239" t="s">
        <v>592</v>
      </c>
      <c r="AO239" s="259">
        <v>2052.4714521037495</v>
      </c>
      <c r="AP239" t="s">
        <v>116</v>
      </c>
    </row>
    <row r="240" spans="2:45" x14ac:dyDescent="0.25">
      <c r="B240" t="s">
        <v>416</v>
      </c>
      <c r="C240" s="101">
        <v>71134</v>
      </c>
      <c r="D240" s="101">
        <v>112</v>
      </c>
      <c r="E240" s="101">
        <v>684</v>
      </c>
      <c r="F240" s="101">
        <v>5092</v>
      </c>
      <c r="G240" s="101">
        <v>10562</v>
      </c>
      <c r="H240" s="101">
        <v>7486</v>
      </c>
      <c r="I240" s="101">
        <v>2224</v>
      </c>
      <c r="J240" s="101">
        <v>2532</v>
      </c>
      <c r="K240" s="101">
        <v>580</v>
      </c>
      <c r="L240" s="101">
        <v>1418</v>
      </c>
      <c r="M240" s="101">
        <v>4640</v>
      </c>
      <c r="N240" s="101">
        <v>11671</v>
      </c>
      <c r="O240" s="101">
        <v>8304</v>
      </c>
      <c r="P240" s="101">
        <v>7353</v>
      </c>
      <c r="Q240" s="101">
        <v>5531</v>
      </c>
      <c r="R240" s="101">
        <v>2945</v>
      </c>
      <c r="S240" s="101"/>
      <c r="T240" t="s">
        <v>416</v>
      </c>
      <c r="U240" s="101">
        <f t="shared" si="9"/>
        <v>65246</v>
      </c>
      <c r="V240" s="101">
        <v>51025000</v>
      </c>
      <c r="W240" s="101">
        <v>42016235</v>
      </c>
      <c r="X240" s="101">
        <v>2566</v>
      </c>
      <c r="Y240" s="101">
        <v>3221</v>
      </c>
      <c r="Z240" s="101">
        <v>361</v>
      </c>
      <c r="AA240" s="101">
        <v>80</v>
      </c>
      <c r="AB240" s="101">
        <v>732</v>
      </c>
      <c r="AC240" s="101">
        <v>3</v>
      </c>
      <c r="AD240" s="101">
        <v>781</v>
      </c>
      <c r="AE240" s="101">
        <v>0</v>
      </c>
      <c r="AF240" s="101">
        <v>439</v>
      </c>
      <c r="AG240" s="101">
        <f t="shared" si="10"/>
        <v>48054.235000000001</v>
      </c>
      <c r="AH240" s="101">
        <v>20830</v>
      </c>
      <c r="AI240" s="101">
        <f t="shared" si="11"/>
        <v>2306.9723955832933</v>
      </c>
      <c r="AJ240" t="s">
        <v>116</v>
      </c>
      <c r="AN240" t="s">
        <v>399</v>
      </c>
      <c r="AO240" s="259">
        <v>2643.8555268022183</v>
      </c>
      <c r="AP240" t="s">
        <v>116</v>
      </c>
    </row>
    <row r="241" spans="2:42" x14ac:dyDescent="0.25">
      <c r="B241" t="s">
        <v>417</v>
      </c>
      <c r="C241" s="101">
        <v>263536</v>
      </c>
      <c r="D241" s="101">
        <v>32</v>
      </c>
      <c r="E241" s="101">
        <v>1913</v>
      </c>
      <c r="F241" s="101">
        <v>8654</v>
      </c>
      <c r="G241" s="101">
        <v>61504</v>
      </c>
      <c r="H241" s="101">
        <v>21227</v>
      </c>
      <c r="I241" s="101">
        <v>8218</v>
      </c>
      <c r="J241" s="101">
        <v>9518</v>
      </c>
      <c r="K241" s="101">
        <v>3844</v>
      </c>
      <c r="L241" s="101">
        <v>7131</v>
      </c>
      <c r="M241" s="101">
        <v>15422</v>
      </c>
      <c r="N241" s="101">
        <v>49447</v>
      </c>
      <c r="O241" s="101">
        <v>30092</v>
      </c>
      <c r="P241" s="101">
        <v>28338</v>
      </c>
      <c r="Q241" s="101">
        <v>15845</v>
      </c>
      <c r="R241" s="101">
        <v>2351</v>
      </c>
      <c r="S241" s="101"/>
      <c r="T241" t="s">
        <v>417</v>
      </c>
      <c r="U241" s="101">
        <f t="shared" si="9"/>
        <v>252937</v>
      </c>
      <c r="V241" s="101">
        <v>202169000</v>
      </c>
      <c r="W241" s="101">
        <v>150535753</v>
      </c>
      <c r="X241" s="101">
        <v>6240</v>
      </c>
      <c r="Y241" s="101">
        <v>8773</v>
      </c>
      <c r="Z241" s="101">
        <v>971</v>
      </c>
      <c r="AA241" s="101">
        <v>272</v>
      </c>
      <c r="AB241" s="101">
        <v>1606</v>
      </c>
      <c r="AC241" s="101">
        <v>823</v>
      </c>
      <c r="AD241" s="101">
        <v>1303</v>
      </c>
      <c r="AE241" s="101">
        <v>3743</v>
      </c>
      <c r="AF241" s="101">
        <v>942</v>
      </c>
      <c r="AG241" s="101">
        <f t="shared" si="10"/>
        <v>176630.753</v>
      </c>
      <c r="AH241" s="101">
        <v>61227</v>
      </c>
      <c r="AI241" s="101">
        <f t="shared" si="11"/>
        <v>2884.8506867885085</v>
      </c>
      <c r="AJ241" t="s">
        <v>439</v>
      </c>
      <c r="AN241" t="s">
        <v>523</v>
      </c>
      <c r="AO241" s="259">
        <v>2456.3145741928224</v>
      </c>
      <c r="AP241" t="s">
        <v>116</v>
      </c>
    </row>
    <row r="242" spans="2:42" x14ac:dyDescent="0.25">
      <c r="B242" t="s">
        <v>383</v>
      </c>
      <c r="C242" s="101">
        <v>336441</v>
      </c>
      <c r="D242" s="101">
        <v>0</v>
      </c>
      <c r="E242" s="101">
        <v>5204</v>
      </c>
      <c r="F242" s="101">
        <v>11008</v>
      </c>
      <c r="G242" s="101">
        <v>55595</v>
      </c>
      <c r="H242" s="101">
        <v>13772</v>
      </c>
      <c r="I242" s="101">
        <v>8900</v>
      </c>
      <c r="J242" s="101">
        <v>14846</v>
      </c>
      <c r="K242" s="101">
        <v>22762</v>
      </c>
      <c r="L242" s="101">
        <v>8744</v>
      </c>
      <c r="M242" s="101">
        <v>19256</v>
      </c>
      <c r="N242" s="101">
        <v>71684</v>
      </c>
      <c r="O242" s="101">
        <v>38213</v>
      </c>
      <c r="P242" s="101">
        <v>38321</v>
      </c>
      <c r="Q242" s="101">
        <v>26756</v>
      </c>
      <c r="R242" s="101">
        <v>1380</v>
      </c>
      <c r="S242" s="101"/>
      <c r="T242" t="s">
        <v>383</v>
      </c>
      <c r="U242" s="101">
        <f t="shared" si="9"/>
        <v>320229</v>
      </c>
      <c r="V242" s="101">
        <v>242707000</v>
      </c>
      <c r="W242" s="101">
        <v>182602779</v>
      </c>
      <c r="X242" s="101">
        <v>14270</v>
      </c>
      <c r="Y242" s="101">
        <v>11080</v>
      </c>
      <c r="Z242" s="101">
        <v>1639</v>
      </c>
      <c r="AA242" s="101">
        <v>0</v>
      </c>
      <c r="AB242" s="101">
        <v>1736</v>
      </c>
      <c r="AC242" s="101">
        <v>699</v>
      </c>
      <c r="AD242" s="101">
        <v>255</v>
      </c>
      <c r="AE242" s="101">
        <v>3080</v>
      </c>
      <c r="AF242" s="101">
        <v>217</v>
      </c>
      <c r="AG242" s="101">
        <f t="shared" si="10"/>
        <v>227148.77900000001</v>
      </c>
      <c r="AH242" s="101">
        <v>77722</v>
      </c>
      <c r="AI242" s="101">
        <f t="shared" si="11"/>
        <v>2922.580208949847</v>
      </c>
      <c r="AJ242" t="s">
        <v>439</v>
      </c>
      <c r="AN242" t="s">
        <v>434</v>
      </c>
      <c r="AO242" s="259">
        <v>2344.8955063920994</v>
      </c>
      <c r="AP242" t="s">
        <v>116</v>
      </c>
    </row>
    <row r="243" spans="2:42" x14ac:dyDescent="0.25">
      <c r="B243" t="s">
        <v>314</v>
      </c>
      <c r="C243" s="101">
        <v>4795374</v>
      </c>
      <c r="D243" s="101">
        <v>83366</v>
      </c>
      <c r="E243" s="101">
        <v>50558</v>
      </c>
      <c r="F243" s="101">
        <v>162978</v>
      </c>
      <c r="G243" s="101">
        <v>1430469</v>
      </c>
      <c r="H243" s="101">
        <v>251188</v>
      </c>
      <c r="I243" s="101">
        <v>124101</v>
      </c>
      <c r="J243" s="101">
        <v>92510</v>
      </c>
      <c r="K243" s="101">
        <v>24267</v>
      </c>
      <c r="L243" s="101">
        <v>227264</v>
      </c>
      <c r="M243" s="101">
        <v>329560</v>
      </c>
      <c r="N243" s="101">
        <v>690890</v>
      </c>
      <c r="O243" s="101">
        <v>318993</v>
      </c>
      <c r="P243" s="101">
        <v>776890</v>
      </c>
      <c r="Q243" s="101">
        <v>274812</v>
      </c>
      <c r="R243" s="101">
        <v>-42472</v>
      </c>
      <c r="S243" s="101"/>
      <c r="T243" t="s">
        <v>314</v>
      </c>
      <c r="U243" s="101">
        <f t="shared" si="9"/>
        <v>4498472</v>
      </c>
      <c r="V243" s="101">
        <v>3256691000</v>
      </c>
      <c r="W243" s="101">
        <v>2100329677</v>
      </c>
      <c r="X243" s="101">
        <v>113502</v>
      </c>
      <c r="Y243" s="101">
        <v>135496</v>
      </c>
      <c r="Z243" s="101">
        <v>17555</v>
      </c>
      <c r="AA243" s="101">
        <v>5603</v>
      </c>
      <c r="AB243" s="101">
        <v>25434</v>
      </c>
      <c r="AC243" s="217">
        <v>12521</v>
      </c>
      <c r="AD243" s="101">
        <v>16423</v>
      </c>
      <c r="AE243" s="101">
        <v>235823</v>
      </c>
      <c r="AF243" s="101">
        <v>46473</v>
      </c>
      <c r="AG243" s="101">
        <f t="shared" si="10"/>
        <v>2733280.6770000001</v>
      </c>
      <c r="AH243" s="101">
        <v>672330</v>
      </c>
      <c r="AI243" s="101">
        <f t="shared" si="11"/>
        <v>4065.3855651242693</v>
      </c>
      <c r="AJ243" t="s">
        <v>439</v>
      </c>
      <c r="AN243" t="s">
        <v>167</v>
      </c>
      <c r="AO243" s="259">
        <v>2353.4485906834843</v>
      </c>
      <c r="AP243" t="s">
        <v>116</v>
      </c>
    </row>
    <row r="244" spans="2:42" x14ac:dyDescent="0.25">
      <c r="B244" t="s">
        <v>200</v>
      </c>
      <c r="C244" s="101">
        <v>10636</v>
      </c>
      <c r="D244" s="101">
        <v>0</v>
      </c>
      <c r="E244" s="101">
        <v>0</v>
      </c>
      <c r="F244" s="101">
        <v>49</v>
      </c>
      <c r="G244" s="101">
        <v>1616</v>
      </c>
      <c r="H244" s="101">
        <v>1157</v>
      </c>
      <c r="I244" s="101">
        <v>257</v>
      </c>
      <c r="J244" s="101">
        <v>205</v>
      </c>
      <c r="K244" s="101">
        <v>2</v>
      </c>
      <c r="L244" s="101">
        <v>657</v>
      </c>
      <c r="M244" s="101">
        <v>217</v>
      </c>
      <c r="N244" s="101">
        <v>253</v>
      </c>
      <c r="O244" s="101">
        <v>604</v>
      </c>
      <c r="P244" s="101">
        <v>4873</v>
      </c>
      <c r="Q244" s="101">
        <v>654</v>
      </c>
      <c r="R244" s="101">
        <v>92</v>
      </c>
      <c r="S244" s="101"/>
      <c r="T244" t="s">
        <v>200</v>
      </c>
      <c r="U244" s="101">
        <f t="shared" si="9"/>
        <v>10587</v>
      </c>
      <c r="V244" s="101">
        <v>8805000</v>
      </c>
      <c r="W244" s="101">
        <v>3735682</v>
      </c>
      <c r="X244" s="101">
        <v>160</v>
      </c>
      <c r="Y244" s="101">
        <v>231</v>
      </c>
      <c r="Z244" s="101">
        <v>58</v>
      </c>
      <c r="AA244" s="101">
        <v>76</v>
      </c>
      <c r="AB244" s="101">
        <v>25</v>
      </c>
      <c r="AC244" s="101">
        <v>1</v>
      </c>
      <c r="AD244" s="101">
        <v>0</v>
      </c>
      <c r="AE244" s="101">
        <v>0</v>
      </c>
      <c r="AF244" s="101">
        <v>12</v>
      </c>
      <c r="AG244" s="101">
        <f t="shared" si="10"/>
        <v>4954.6819999999998</v>
      </c>
      <c r="AH244" s="101">
        <v>1836</v>
      </c>
      <c r="AI244" s="101">
        <f t="shared" si="11"/>
        <v>2698.628540305011</v>
      </c>
      <c r="AJ244" t="s">
        <v>439</v>
      </c>
      <c r="AN244" t="s">
        <v>241</v>
      </c>
      <c r="AO244" s="259">
        <v>2426.7563771654459</v>
      </c>
      <c r="AP244" t="s">
        <v>116</v>
      </c>
    </row>
    <row r="245" spans="2:42" x14ac:dyDescent="0.25">
      <c r="B245" t="s">
        <v>384</v>
      </c>
      <c r="C245" s="101">
        <v>79756</v>
      </c>
      <c r="D245" s="101">
        <v>2190</v>
      </c>
      <c r="E245" s="101">
        <v>657</v>
      </c>
      <c r="F245" s="101">
        <v>5088</v>
      </c>
      <c r="G245" s="101">
        <v>16787</v>
      </c>
      <c r="H245" s="101">
        <v>4813</v>
      </c>
      <c r="I245" s="101">
        <v>1783</v>
      </c>
      <c r="J245" s="101">
        <v>2498</v>
      </c>
      <c r="K245" s="101">
        <v>422</v>
      </c>
      <c r="L245" s="101">
        <v>1849</v>
      </c>
      <c r="M245" s="101">
        <v>3654</v>
      </c>
      <c r="N245" s="101">
        <v>17107</v>
      </c>
      <c r="O245" s="101">
        <v>7572</v>
      </c>
      <c r="P245" s="101">
        <v>9198</v>
      </c>
      <c r="Q245" s="101">
        <v>5674</v>
      </c>
      <c r="R245" s="101">
        <v>464</v>
      </c>
      <c r="S245" s="101"/>
      <c r="T245" t="s">
        <v>384</v>
      </c>
      <c r="U245" s="101">
        <f t="shared" si="9"/>
        <v>71821</v>
      </c>
      <c r="V245" s="101">
        <v>62440000</v>
      </c>
      <c r="W245" s="101">
        <v>46780419</v>
      </c>
      <c r="X245" s="101">
        <v>2851</v>
      </c>
      <c r="Y245" s="101">
        <v>3038</v>
      </c>
      <c r="Z245" s="101">
        <v>463</v>
      </c>
      <c r="AA245" s="101">
        <v>27</v>
      </c>
      <c r="AB245" s="101">
        <v>620</v>
      </c>
      <c r="AC245" s="101">
        <v>33</v>
      </c>
      <c r="AD245" s="101">
        <v>116</v>
      </c>
      <c r="AE245" s="101">
        <v>0</v>
      </c>
      <c r="AF245" s="101">
        <v>41</v>
      </c>
      <c r="AG245" s="101">
        <f t="shared" si="10"/>
        <v>48972.419000000002</v>
      </c>
      <c r="AH245" s="101">
        <v>23992</v>
      </c>
      <c r="AI245" s="101">
        <f t="shared" si="11"/>
        <v>2041.1978576192064</v>
      </c>
      <c r="AJ245" t="s">
        <v>116</v>
      </c>
      <c r="AN245" t="s">
        <v>106</v>
      </c>
      <c r="AO245" s="259">
        <v>2412.0611469368951</v>
      </c>
      <c r="AP245" t="s">
        <v>116</v>
      </c>
    </row>
    <row r="246" spans="2:42" x14ac:dyDescent="0.25">
      <c r="B246" t="s">
        <v>269</v>
      </c>
      <c r="C246" s="101">
        <v>151384</v>
      </c>
      <c r="D246" s="101">
        <v>568</v>
      </c>
      <c r="E246" s="101">
        <v>1599</v>
      </c>
      <c r="F246" s="101">
        <v>6113</v>
      </c>
      <c r="G246" s="101">
        <v>39799</v>
      </c>
      <c r="H246" s="101">
        <v>12135</v>
      </c>
      <c r="I246" s="101">
        <v>4916</v>
      </c>
      <c r="J246" s="101">
        <v>10195</v>
      </c>
      <c r="K246" s="101">
        <v>820</v>
      </c>
      <c r="L246" s="101">
        <v>2618</v>
      </c>
      <c r="M246" s="101">
        <v>10957</v>
      </c>
      <c r="N246" s="101">
        <v>16978</v>
      </c>
      <c r="O246" s="101">
        <v>14856</v>
      </c>
      <c r="P246" s="101">
        <v>13326</v>
      </c>
      <c r="Q246" s="101">
        <v>16132</v>
      </c>
      <c r="R246" s="101">
        <v>372</v>
      </c>
      <c r="S246" s="101"/>
      <c r="T246" t="s">
        <v>269</v>
      </c>
      <c r="U246" s="101">
        <f t="shared" si="9"/>
        <v>143104</v>
      </c>
      <c r="V246" s="101">
        <v>112759000</v>
      </c>
      <c r="W246" s="101">
        <v>93635519</v>
      </c>
      <c r="X246" s="101">
        <v>5910</v>
      </c>
      <c r="Y246" s="101">
        <v>7811</v>
      </c>
      <c r="Z246" s="101">
        <v>874</v>
      </c>
      <c r="AA246" s="101">
        <v>288</v>
      </c>
      <c r="AB246" s="101">
        <v>1735</v>
      </c>
      <c r="AC246" s="101">
        <v>232</v>
      </c>
      <c r="AD246" s="101">
        <v>2800</v>
      </c>
      <c r="AE246" s="101">
        <v>7</v>
      </c>
      <c r="AF246" s="101">
        <v>340</v>
      </c>
      <c r="AG246" s="101">
        <f t="shared" si="10"/>
        <v>103983.519</v>
      </c>
      <c r="AH246" s="101">
        <v>48402</v>
      </c>
      <c r="AI246" s="101">
        <f t="shared" si="11"/>
        <v>2148.3310400396676</v>
      </c>
      <c r="AJ246" t="s">
        <v>116</v>
      </c>
      <c r="AN246" t="s">
        <v>140</v>
      </c>
      <c r="AO246" s="259">
        <v>2270.7221279003961</v>
      </c>
      <c r="AP246" t="s">
        <v>116</v>
      </c>
    </row>
    <row r="247" spans="2:42" x14ac:dyDescent="0.25">
      <c r="B247" t="s">
        <v>201</v>
      </c>
      <c r="C247" s="101">
        <v>34016</v>
      </c>
      <c r="D247" s="101">
        <v>3549</v>
      </c>
      <c r="E247" s="101">
        <v>95</v>
      </c>
      <c r="F247" s="101">
        <v>1057</v>
      </c>
      <c r="G247" s="101">
        <v>9777</v>
      </c>
      <c r="H247" s="101">
        <v>3370</v>
      </c>
      <c r="I247" s="101">
        <v>757</v>
      </c>
      <c r="J247" s="101">
        <v>855</v>
      </c>
      <c r="K247" s="101">
        <v>89</v>
      </c>
      <c r="L247" s="101">
        <v>629</v>
      </c>
      <c r="M247" s="101">
        <v>1543</v>
      </c>
      <c r="N247" s="101">
        <v>1955</v>
      </c>
      <c r="O247" s="101">
        <v>3219</v>
      </c>
      <c r="P247" s="101">
        <v>3803</v>
      </c>
      <c r="Q247" s="101">
        <v>2258</v>
      </c>
      <c r="R247" s="101">
        <v>1060</v>
      </c>
      <c r="S247" s="101"/>
      <c r="T247" t="s">
        <v>201</v>
      </c>
      <c r="U247" s="101">
        <f t="shared" si="9"/>
        <v>29315</v>
      </c>
      <c r="V247" s="101">
        <v>22459000</v>
      </c>
      <c r="W247" s="101">
        <v>18269384</v>
      </c>
      <c r="X247" s="101">
        <v>1235</v>
      </c>
      <c r="Y247" s="101">
        <v>1102</v>
      </c>
      <c r="Z247" s="101">
        <v>162</v>
      </c>
      <c r="AA247" s="101">
        <v>197</v>
      </c>
      <c r="AB247" s="101">
        <v>653</v>
      </c>
      <c r="AC247" s="101">
        <v>90</v>
      </c>
      <c r="AD247" s="101">
        <v>161</v>
      </c>
      <c r="AE247" s="101">
        <v>0</v>
      </c>
      <c r="AF247" s="101">
        <v>34</v>
      </c>
      <c r="AG247" s="101">
        <f t="shared" si="10"/>
        <v>21491.383999999998</v>
      </c>
      <c r="AH247" s="101">
        <v>10541</v>
      </c>
      <c r="AI247" s="101">
        <f t="shared" si="11"/>
        <v>2038.8373019637606</v>
      </c>
      <c r="AJ247" t="s">
        <v>465</v>
      </c>
      <c r="AN247" t="s">
        <v>351</v>
      </c>
      <c r="AO247" s="259">
        <v>2353.6804042410258</v>
      </c>
      <c r="AP247" t="s">
        <v>116</v>
      </c>
    </row>
    <row r="248" spans="2:42" x14ac:dyDescent="0.25">
      <c r="B248" t="s">
        <v>315</v>
      </c>
      <c r="C248" s="101">
        <v>393268</v>
      </c>
      <c r="D248" s="101">
        <v>27773</v>
      </c>
      <c r="E248" s="101">
        <v>8328</v>
      </c>
      <c r="F248" s="101">
        <v>12630</v>
      </c>
      <c r="G248" s="101">
        <v>53802</v>
      </c>
      <c r="H248" s="101">
        <v>19056</v>
      </c>
      <c r="I248" s="101">
        <v>11811</v>
      </c>
      <c r="J248" s="101">
        <v>15111</v>
      </c>
      <c r="K248" s="101">
        <v>17273</v>
      </c>
      <c r="L248" s="101">
        <v>12439</v>
      </c>
      <c r="M248" s="101">
        <v>25053</v>
      </c>
      <c r="N248" s="101">
        <v>79935</v>
      </c>
      <c r="O248" s="101">
        <v>34768</v>
      </c>
      <c r="P248" s="101">
        <v>41452</v>
      </c>
      <c r="Q248" s="101">
        <v>28168</v>
      </c>
      <c r="R248" s="101">
        <v>5669</v>
      </c>
      <c r="S248" s="101"/>
      <c r="T248" t="s">
        <v>315</v>
      </c>
      <c r="U248" s="101">
        <f t="shared" si="9"/>
        <v>344537</v>
      </c>
      <c r="V248" s="101">
        <v>266797000</v>
      </c>
      <c r="W248" s="101">
        <v>197737650</v>
      </c>
      <c r="X248" s="101">
        <v>11102</v>
      </c>
      <c r="Y248" s="101">
        <v>15342</v>
      </c>
      <c r="Z248" s="101">
        <v>1787</v>
      </c>
      <c r="AA248" s="101">
        <v>0</v>
      </c>
      <c r="AB248" s="101">
        <v>1819</v>
      </c>
      <c r="AC248" s="101">
        <v>1556</v>
      </c>
      <c r="AD248" s="101">
        <v>467</v>
      </c>
      <c r="AE248" s="101">
        <v>4508</v>
      </c>
      <c r="AF248" s="101">
        <v>10240</v>
      </c>
      <c r="AG248" s="101">
        <f t="shared" si="10"/>
        <v>228656.65000000002</v>
      </c>
      <c r="AH248" s="101">
        <v>82559</v>
      </c>
      <c r="AI248" s="101">
        <f t="shared" si="11"/>
        <v>2769.6150631669475</v>
      </c>
      <c r="AJ248" t="s">
        <v>116</v>
      </c>
      <c r="AN248" t="s">
        <v>170</v>
      </c>
      <c r="AO248" s="259">
        <v>2209.5432364214266</v>
      </c>
      <c r="AP248" t="s">
        <v>116</v>
      </c>
    </row>
    <row r="249" spans="2:42" x14ac:dyDescent="0.25">
      <c r="B249" t="s">
        <v>133</v>
      </c>
      <c r="C249" s="101">
        <v>13202</v>
      </c>
      <c r="D249" s="101">
        <v>0</v>
      </c>
      <c r="E249" s="101">
        <v>369</v>
      </c>
      <c r="F249" s="101">
        <v>506</v>
      </c>
      <c r="G249" s="101">
        <v>3393</v>
      </c>
      <c r="H249" s="101">
        <v>1971</v>
      </c>
      <c r="I249" s="101">
        <v>385</v>
      </c>
      <c r="J249" s="101">
        <v>550</v>
      </c>
      <c r="K249" s="101">
        <v>114</v>
      </c>
      <c r="L249" s="101">
        <v>647</v>
      </c>
      <c r="M249" s="101">
        <v>794</v>
      </c>
      <c r="N249" s="101">
        <v>180</v>
      </c>
      <c r="O249" s="101">
        <v>351</v>
      </c>
      <c r="P249" s="101">
        <v>621</v>
      </c>
      <c r="Q249" s="101">
        <v>568</v>
      </c>
      <c r="R249" s="101">
        <v>2753</v>
      </c>
      <c r="S249" s="101"/>
      <c r="T249" t="s">
        <v>133</v>
      </c>
      <c r="U249" s="101">
        <f t="shared" si="9"/>
        <v>12327</v>
      </c>
      <c r="V249" s="101">
        <v>5146000</v>
      </c>
      <c r="W249" s="101">
        <v>4286258</v>
      </c>
      <c r="X249" s="101">
        <v>224</v>
      </c>
      <c r="Y249" s="101">
        <v>383</v>
      </c>
      <c r="Z249" s="101">
        <v>32</v>
      </c>
      <c r="AA249" s="101">
        <v>42</v>
      </c>
      <c r="AB249" s="101">
        <v>112</v>
      </c>
      <c r="AC249" s="101">
        <v>69</v>
      </c>
      <c r="AD249" s="101">
        <v>2364</v>
      </c>
      <c r="AE249" s="101">
        <v>0</v>
      </c>
      <c r="AF249" s="101">
        <v>123</v>
      </c>
      <c r="AG249" s="101">
        <f t="shared" si="10"/>
        <v>8118.2579999999998</v>
      </c>
      <c r="AH249" s="101">
        <v>968</v>
      </c>
      <c r="AI249" s="101">
        <f t="shared" si="11"/>
        <v>8386.6301652892562</v>
      </c>
      <c r="AJ249" t="s">
        <v>116</v>
      </c>
      <c r="AN249" t="s">
        <v>287</v>
      </c>
      <c r="AO249" s="259">
        <v>2799.4116610603878</v>
      </c>
      <c r="AP249" t="s">
        <v>116</v>
      </c>
    </row>
    <row r="250" spans="2:42" x14ac:dyDescent="0.25">
      <c r="B250" t="s">
        <v>335</v>
      </c>
      <c r="C250" s="101">
        <v>157989</v>
      </c>
      <c r="D250" s="101">
        <v>4443</v>
      </c>
      <c r="E250" s="101">
        <v>1567</v>
      </c>
      <c r="F250" s="101">
        <v>6790</v>
      </c>
      <c r="G250" s="101">
        <v>41545</v>
      </c>
      <c r="H250" s="101">
        <v>9801</v>
      </c>
      <c r="I250" s="101">
        <v>4632</v>
      </c>
      <c r="J250" s="101">
        <v>10009</v>
      </c>
      <c r="K250" s="101">
        <v>1226</v>
      </c>
      <c r="L250" s="101">
        <v>3438</v>
      </c>
      <c r="M250" s="101">
        <v>13495</v>
      </c>
      <c r="N250" s="101">
        <v>13050</v>
      </c>
      <c r="O250" s="101">
        <v>8949</v>
      </c>
      <c r="P250" s="101">
        <v>17434</v>
      </c>
      <c r="Q250" s="101">
        <v>15734</v>
      </c>
      <c r="R250" s="101">
        <v>5876</v>
      </c>
      <c r="S250" s="101"/>
      <c r="T250" t="s">
        <v>335</v>
      </c>
      <c r="U250" s="101">
        <f t="shared" si="9"/>
        <v>145189</v>
      </c>
      <c r="V250" s="101">
        <v>87737000</v>
      </c>
      <c r="W250" s="101">
        <v>72516620</v>
      </c>
      <c r="X250" s="101">
        <v>7566</v>
      </c>
      <c r="Y250" s="101">
        <v>5020</v>
      </c>
      <c r="Z250" s="101">
        <v>610</v>
      </c>
      <c r="AA250" s="101">
        <v>585</v>
      </c>
      <c r="AB250" s="101">
        <v>2124</v>
      </c>
      <c r="AC250" s="101">
        <v>1236</v>
      </c>
      <c r="AD250" s="101">
        <v>10403</v>
      </c>
      <c r="AE250" s="101">
        <v>2424</v>
      </c>
      <c r="AF250" s="101">
        <v>1217</v>
      </c>
      <c r="AG250" s="101">
        <f t="shared" si="10"/>
        <v>98783.62</v>
      </c>
      <c r="AH250" s="101">
        <v>34424</v>
      </c>
      <c r="AI250" s="101">
        <f t="shared" si="11"/>
        <v>2869.6148036253776</v>
      </c>
      <c r="AJ250" s="140" t="s">
        <v>116</v>
      </c>
      <c r="AN250" t="s">
        <v>107</v>
      </c>
      <c r="AO250" s="259">
        <v>2466.4682446749193</v>
      </c>
      <c r="AP250" t="s">
        <v>116</v>
      </c>
    </row>
    <row r="251" spans="2:42" x14ac:dyDescent="0.25">
      <c r="B251" t="s">
        <v>441</v>
      </c>
      <c r="C251" s="101">
        <v>3315648</v>
      </c>
      <c r="D251" s="101">
        <v>59640</v>
      </c>
      <c r="E251" s="101">
        <v>21971</v>
      </c>
      <c r="F251" s="101">
        <v>104554</v>
      </c>
      <c r="G251" s="101">
        <v>907555</v>
      </c>
      <c r="H251" s="101">
        <v>137796</v>
      </c>
      <c r="I251" s="101">
        <v>78336</v>
      </c>
      <c r="J251" s="101">
        <v>175393</v>
      </c>
      <c r="K251" s="101">
        <v>42234</v>
      </c>
      <c r="L251" s="101">
        <v>115176</v>
      </c>
      <c r="M251" s="101">
        <v>198490</v>
      </c>
      <c r="N251" s="101">
        <v>549750</v>
      </c>
      <c r="O251" s="101">
        <v>240279</v>
      </c>
      <c r="P251" s="101">
        <v>409600</v>
      </c>
      <c r="Q251" s="101">
        <v>208943</v>
      </c>
      <c r="R251" s="101">
        <v>65931</v>
      </c>
      <c r="S251" s="101"/>
      <c r="T251" t="s">
        <v>720</v>
      </c>
      <c r="U251" s="101">
        <f t="shared" si="9"/>
        <v>3129483</v>
      </c>
      <c r="V251" s="101">
        <v>2354431000</v>
      </c>
      <c r="W251" s="101">
        <v>1671722021</v>
      </c>
      <c r="X251" s="101">
        <v>56670</v>
      </c>
      <c r="Y251" s="101">
        <v>116520</v>
      </c>
      <c r="Z251" s="101">
        <v>14483</v>
      </c>
      <c r="AA251" s="101">
        <v>2724</v>
      </c>
      <c r="AB251" s="101">
        <v>31331</v>
      </c>
      <c r="AC251" s="101">
        <v>5448</v>
      </c>
      <c r="AD251" s="101">
        <v>17269</v>
      </c>
      <c r="AE251" s="101">
        <v>113683</v>
      </c>
      <c r="AF251" s="101">
        <v>18799</v>
      </c>
      <c r="AG251" s="101">
        <f t="shared" si="10"/>
        <v>2069847.0209999997</v>
      </c>
      <c r="AH251" s="101">
        <v>568419</v>
      </c>
      <c r="AI251" s="101">
        <f t="shared" si="11"/>
        <v>3641.4106864830342</v>
      </c>
      <c r="AJ251" t="s">
        <v>439</v>
      </c>
      <c r="AN251" t="s">
        <v>172</v>
      </c>
      <c r="AO251" s="259">
        <v>2336.5859769583731</v>
      </c>
      <c r="AP251" t="s">
        <v>116</v>
      </c>
    </row>
    <row r="252" spans="2:42" x14ac:dyDescent="0.25">
      <c r="B252" t="s">
        <v>476</v>
      </c>
      <c r="C252" s="101">
        <v>870666</v>
      </c>
      <c r="D252" s="101">
        <v>59733</v>
      </c>
      <c r="E252" s="101">
        <v>5098</v>
      </c>
      <c r="F252" s="101">
        <v>50871</v>
      </c>
      <c r="G252" s="101">
        <v>203686</v>
      </c>
      <c r="H252" s="101">
        <v>19916</v>
      </c>
      <c r="I252" s="101">
        <v>16306</v>
      </c>
      <c r="J252" s="101">
        <v>35126</v>
      </c>
      <c r="K252" s="101">
        <v>6191</v>
      </c>
      <c r="L252" s="101">
        <v>33810</v>
      </c>
      <c r="M252" s="101">
        <v>51464</v>
      </c>
      <c r="N252" s="101">
        <v>104135</v>
      </c>
      <c r="O252" s="101">
        <v>86116</v>
      </c>
      <c r="P252" s="101">
        <v>119682</v>
      </c>
      <c r="Q252" s="101">
        <v>74665</v>
      </c>
      <c r="R252" s="101">
        <v>3867</v>
      </c>
      <c r="S252" s="101"/>
      <c r="T252" t="s">
        <v>723</v>
      </c>
      <c r="U252" s="101">
        <f t="shared" si="9"/>
        <v>754964</v>
      </c>
      <c r="V252" s="101">
        <v>526564000</v>
      </c>
      <c r="W252" s="101">
        <v>348759605</v>
      </c>
      <c r="X252" s="101">
        <v>13692</v>
      </c>
      <c r="Y252" s="101">
        <v>21379</v>
      </c>
      <c r="Z252" s="101">
        <v>3911</v>
      </c>
      <c r="AA252" s="101">
        <v>160</v>
      </c>
      <c r="AB252" s="101">
        <v>4467</v>
      </c>
      <c r="AC252" s="101">
        <v>2211</v>
      </c>
      <c r="AD252" s="101">
        <v>2784</v>
      </c>
      <c r="AE252" s="101">
        <v>25294</v>
      </c>
      <c r="AF252" s="101">
        <v>3315</v>
      </c>
      <c r="AG252" s="101">
        <f t="shared" si="10"/>
        <v>499946.60499999998</v>
      </c>
      <c r="AH252" s="101">
        <v>161557</v>
      </c>
      <c r="AI252" s="101">
        <f t="shared" si="11"/>
        <v>3094.5524180320258</v>
      </c>
      <c r="AJ252" t="s">
        <v>439</v>
      </c>
      <c r="AN252" t="s">
        <v>127</v>
      </c>
      <c r="AO252" s="259">
        <v>2471.474762253109</v>
      </c>
      <c r="AP252" t="s">
        <v>116</v>
      </c>
    </row>
    <row r="253" spans="2:42" x14ac:dyDescent="0.25">
      <c r="B253" t="s">
        <v>418</v>
      </c>
      <c r="C253" s="101">
        <v>34196</v>
      </c>
      <c r="D253" s="101">
        <v>156</v>
      </c>
      <c r="E253" s="101">
        <v>183</v>
      </c>
      <c r="F253" s="101">
        <v>1113</v>
      </c>
      <c r="G253" s="101">
        <v>8480</v>
      </c>
      <c r="H253" s="101">
        <v>2898</v>
      </c>
      <c r="I253" s="101">
        <v>1253</v>
      </c>
      <c r="J253" s="101">
        <v>983</v>
      </c>
      <c r="K253" s="101">
        <v>187</v>
      </c>
      <c r="L253" s="101">
        <v>838</v>
      </c>
      <c r="M253" s="101">
        <v>2070</v>
      </c>
      <c r="N253" s="101">
        <v>5694</v>
      </c>
      <c r="O253" s="101">
        <v>3765</v>
      </c>
      <c r="P253" s="101">
        <v>3273</v>
      </c>
      <c r="Q253" s="101">
        <v>2939</v>
      </c>
      <c r="R253" s="101">
        <v>364</v>
      </c>
      <c r="S253" s="101"/>
      <c r="T253" t="s">
        <v>418</v>
      </c>
      <c r="U253" s="101">
        <f t="shared" si="9"/>
        <v>32744</v>
      </c>
      <c r="V253" s="101">
        <v>26603000</v>
      </c>
      <c r="W253" s="101">
        <v>21533889</v>
      </c>
      <c r="X253" s="101">
        <v>1790</v>
      </c>
      <c r="Y253" s="101">
        <v>1475</v>
      </c>
      <c r="Z253" s="101">
        <v>183</v>
      </c>
      <c r="AA253" s="101">
        <v>30</v>
      </c>
      <c r="AB253" s="101">
        <v>35</v>
      </c>
      <c r="AC253" s="101">
        <v>9</v>
      </c>
      <c r="AD253" s="101">
        <v>116</v>
      </c>
      <c r="AE253" s="101">
        <v>2</v>
      </c>
      <c r="AF253" s="101">
        <v>0</v>
      </c>
      <c r="AG253" s="101">
        <f t="shared" si="10"/>
        <v>24034.888999999999</v>
      </c>
      <c r="AH253" s="101">
        <v>10272</v>
      </c>
      <c r="AI253" s="101">
        <f t="shared" si="11"/>
        <v>2339.845112928349</v>
      </c>
      <c r="AJ253" t="s">
        <v>116</v>
      </c>
      <c r="AN253" t="s">
        <v>525</v>
      </c>
      <c r="AO253" s="259">
        <v>2389.6007198376533</v>
      </c>
      <c r="AP253" t="s">
        <v>116</v>
      </c>
    </row>
    <row r="254" spans="2:42" x14ac:dyDescent="0.25">
      <c r="B254" t="s">
        <v>385</v>
      </c>
      <c r="C254" s="101">
        <v>85460</v>
      </c>
      <c r="D254" s="101">
        <v>4295</v>
      </c>
      <c r="E254" s="101">
        <v>110</v>
      </c>
      <c r="F254" s="101">
        <v>4101</v>
      </c>
      <c r="G254" s="101">
        <v>1605</v>
      </c>
      <c r="H254" s="101">
        <v>6071</v>
      </c>
      <c r="I254" s="101">
        <v>3310</v>
      </c>
      <c r="J254" s="101">
        <v>5526</v>
      </c>
      <c r="K254" s="101">
        <v>1054</v>
      </c>
      <c r="L254" s="101">
        <v>3832</v>
      </c>
      <c r="M254" s="101">
        <v>7441</v>
      </c>
      <c r="N254" s="101">
        <v>11347</v>
      </c>
      <c r="O254" s="101">
        <v>8383</v>
      </c>
      <c r="P254" s="101">
        <v>13175</v>
      </c>
      <c r="Q254" s="101">
        <v>10561</v>
      </c>
      <c r="R254" s="101">
        <v>4649</v>
      </c>
      <c r="S254" s="101"/>
      <c r="T254" t="s">
        <v>385</v>
      </c>
      <c r="U254" s="101">
        <f t="shared" si="9"/>
        <v>76954</v>
      </c>
      <c r="V254" s="101">
        <v>58201000</v>
      </c>
      <c r="W254" s="101">
        <v>48595001</v>
      </c>
      <c r="X254" s="101">
        <v>2041</v>
      </c>
      <c r="Y254" s="101">
        <v>3607</v>
      </c>
      <c r="Z254" s="101">
        <v>637</v>
      </c>
      <c r="AA254" s="101">
        <v>4</v>
      </c>
      <c r="AB254" s="101">
        <v>632</v>
      </c>
      <c r="AC254" s="101">
        <v>116</v>
      </c>
      <c r="AD254" s="101">
        <v>170</v>
      </c>
      <c r="AE254" s="101">
        <v>0</v>
      </c>
      <c r="AF254" s="101">
        <v>32</v>
      </c>
      <c r="AG254" s="101">
        <f t="shared" si="10"/>
        <v>60109.000999999989</v>
      </c>
      <c r="AH254" s="101">
        <v>30169</v>
      </c>
      <c r="AI254" s="101">
        <f t="shared" si="11"/>
        <v>1992.4094600417645</v>
      </c>
      <c r="AJ254" t="s">
        <v>465</v>
      </c>
      <c r="AN254" t="s">
        <v>288</v>
      </c>
      <c r="AO254" s="259">
        <v>2833.0538176803598</v>
      </c>
      <c r="AP254" t="s">
        <v>116</v>
      </c>
    </row>
    <row r="255" spans="2:42" x14ac:dyDescent="0.25">
      <c r="B255" t="s">
        <v>419</v>
      </c>
      <c r="C255" s="101">
        <v>454608</v>
      </c>
      <c r="D255" s="101">
        <v>470</v>
      </c>
      <c r="E255" s="101">
        <v>9222</v>
      </c>
      <c r="F255" s="101">
        <v>19051</v>
      </c>
      <c r="G255" s="101">
        <v>92486</v>
      </c>
      <c r="H255" s="101">
        <v>47173</v>
      </c>
      <c r="I255" s="101">
        <v>11276</v>
      </c>
      <c r="J255" s="101">
        <v>18322</v>
      </c>
      <c r="K255" s="101">
        <v>7032</v>
      </c>
      <c r="L255" s="101">
        <v>8550</v>
      </c>
      <c r="M255" s="101">
        <v>34185</v>
      </c>
      <c r="N255" s="101">
        <v>72974</v>
      </c>
      <c r="O255" s="101">
        <v>43758</v>
      </c>
      <c r="P255" s="101">
        <v>64374</v>
      </c>
      <c r="Q255" s="101">
        <v>23451</v>
      </c>
      <c r="R255" s="101">
        <v>2284</v>
      </c>
      <c r="S255" s="101"/>
      <c r="T255" t="s">
        <v>419</v>
      </c>
      <c r="U255" s="101">
        <f t="shared" si="9"/>
        <v>425865</v>
      </c>
      <c r="V255" s="101">
        <v>306376000</v>
      </c>
      <c r="W255" s="101">
        <v>225165209</v>
      </c>
      <c r="X255" s="101">
        <v>11342</v>
      </c>
      <c r="Y255" s="101">
        <v>14546</v>
      </c>
      <c r="Z255" s="101">
        <v>1923</v>
      </c>
      <c r="AA255" s="101">
        <v>506</v>
      </c>
      <c r="AB255" s="101">
        <v>2152</v>
      </c>
      <c r="AC255" s="101">
        <v>619</v>
      </c>
      <c r="AD255" s="101">
        <v>526</v>
      </c>
      <c r="AE255" s="101">
        <v>5469</v>
      </c>
      <c r="AF255" s="101">
        <v>1528</v>
      </c>
      <c r="AG255" s="101">
        <f t="shared" si="10"/>
        <v>306043.20900000003</v>
      </c>
      <c r="AH255" s="101">
        <v>92487</v>
      </c>
      <c r="AI255" s="101">
        <f t="shared" si="11"/>
        <v>3309.0402867430025</v>
      </c>
      <c r="AJ255" t="s">
        <v>439</v>
      </c>
      <c r="AN255" t="s">
        <v>355</v>
      </c>
      <c r="AO255" s="259">
        <v>2236.0897328381457</v>
      </c>
      <c r="AP255" t="s">
        <v>116</v>
      </c>
    </row>
    <row r="256" spans="2:42" x14ac:dyDescent="0.25">
      <c r="B256" t="s">
        <v>316</v>
      </c>
      <c r="C256" s="101">
        <v>97824</v>
      </c>
      <c r="D256" s="101">
        <v>0</v>
      </c>
      <c r="E256" s="101">
        <v>434</v>
      </c>
      <c r="F256" s="101">
        <v>3219</v>
      </c>
      <c r="G256" s="101">
        <v>14401</v>
      </c>
      <c r="H256" s="101">
        <v>10366</v>
      </c>
      <c r="I256" s="101">
        <v>3080</v>
      </c>
      <c r="J256" s="101">
        <v>1706</v>
      </c>
      <c r="K256" s="101">
        <v>2508</v>
      </c>
      <c r="L256" s="101">
        <v>2597</v>
      </c>
      <c r="M256" s="101">
        <v>5029</v>
      </c>
      <c r="N256" s="101">
        <v>17950</v>
      </c>
      <c r="O256" s="101">
        <v>9841</v>
      </c>
      <c r="P256" s="101">
        <v>18195</v>
      </c>
      <c r="Q256" s="101">
        <v>7896</v>
      </c>
      <c r="R256" s="101">
        <v>602</v>
      </c>
      <c r="S256" s="101"/>
      <c r="T256" t="s">
        <v>316</v>
      </c>
      <c r="U256" s="101">
        <f t="shared" si="9"/>
        <v>94171</v>
      </c>
      <c r="V256" s="101">
        <v>80060000</v>
      </c>
      <c r="W256" s="101">
        <v>56892629</v>
      </c>
      <c r="X256" s="101">
        <v>3831</v>
      </c>
      <c r="Y256" s="101">
        <v>4096</v>
      </c>
      <c r="Z256" s="101">
        <v>537</v>
      </c>
      <c r="AA256" s="101">
        <v>602</v>
      </c>
      <c r="AB256" s="101">
        <v>611</v>
      </c>
      <c r="AC256" s="101">
        <v>230</v>
      </c>
      <c r="AD256" s="101">
        <v>0</v>
      </c>
      <c r="AE256" s="101">
        <v>0</v>
      </c>
      <c r="AF256" s="101">
        <v>111</v>
      </c>
      <c r="AG256" s="101">
        <f t="shared" si="10"/>
        <v>60985.629000000001</v>
      </c>
      <c r="AH256" s="101">
        <v>26601</v>
      </c>
      <c r="AI256" s="101">
        <f t="shared" si="11"/>
        <v>2292.6066313296492</v>
      </c>
      <c r="AJ256" t="s">
        <v>116</v>
      </c>
      <c r="AN256" t="s">
        <v>246</v>
      </c>
      <c r="AO256" s="259">
        <v>2133.1798472456103</v>
      </c>
      <c r="AP256" t="s">
        <v>116</v>
      </c>
    </row>
    <row r="257" spans="2:42" x14ac:dyDescent="0.25">
      <c r="B257" t="s">
        <v>336</v>
      </c>
      <c r="C257" s="101">
        <v>107983</v>
      </c>
      <c r="D257" s="101">
        <v>2228</v>
      </c>
      <c r="E257" s="101">
        <v>1096</v>
      </c>
      <c r="F257" s="101">
        <v>6575</v>
      </c>
      <c r="G257" s="101">
        <v>22436</v>
      </c>
      <c r="H257" s="101">
        <v>9896</v>
      </c>
      <c r="I257" s="101">
        <v>3646</v>
      </c>
      <c r="J257" s="101">
        <v>6744</v>
      </c>
      <c r="K257" s="101">
        <v>1054</v>
      </c>
      <c r="L257" s="101">
        <v>3492</v>
      </c>
      <c r="M257" s="101">
        <v>10895</v>
      </c>
      <c r="N257" s="101">
        <v>10799</v>
      </c>
      <c r="O257" s="101">
        <v>9647</v>
      </c>
      <c r="P257" s="101">
        <v>8995</v>
      </c>
      <c r="Q257" s="101">
        <v>8994</v>
      </c>
      <c r="R257" s="101">
        <v>1486</v>
      </c>
      <c r="S257" s="101"/>
      <c r="T257" t="s">
        <v>336</v>
      </c>
      <c r="U257" s="101">
        <f t="shared" si="9"/>
        <v>98084</v>
      </c>
      <c r="V257" s="101">
        <v>61505000</v>
      </c>
      <c r="W257" s="101">
        <v>51582505</v>
      </c>
      <c r="X257" s="101">
        <v>5230</v>
      </c>
      <c r="Y257" s="101">
        <v>4562</v>
      </c>
      <c r="Z257" s="101">
        <v>854</v>
      </c>
      <c r="AA257" s="101">
        <v>238</v>
      </c>
      <c r="AB257" s="101">
        <v>669</v>
      </c>
      <c r="AC257" s="101">
        <v>123</v>
      </c>
      <c r="AD257" s="101">
        <v>8202</v>
      </c>
      <c r="AE257" s="101">
        <v>3991</v>
      </c>
      <c r="AF257" s="101">
        <v>304</v>
      </c>
      <c r="AG257" s="101">
        <f t="shared" si="10"/>
        <v>63988.505000000005</v>
      </c>
      <c r="AH257" s="101">
        <v>23098</v>
      </c>
      <c r="AI257" s="101">
        <f t="shared" si="11"/>
        <v>2770.3050047623174</v>
      </c>
      <c r="AJ257" t="s">
        <v>116</v>
      </c>
      <c r="AN257" t="s">
        <v>772</v>
      </c>
      <c r="AO257" s="259">
        <v>2367.8168934927544</v>
      </c>
      <c r="AP257" t="s">
        <v>116</v>
      </c>
    </row>
    <row r="258" spans="2:42" x14ac:dyDescent="0.25">
      <c r="B258" t="s">
        <v>134</v>
      </c>
      <c r="C258" s="101">
        <v>259784</v>
      </c>
      <c r="D258" s="101">
        <v>2462</v>
      </c>
      <c r="E258" s="101">
        <v>4611</v>
      </c>
      <c r="F258" s="101">
        <v>12669</v>
      </c>
      <c r="G258" s="101">
        <v>51938</v>
      </c>
      <c r="H258" s="101">
        <v>10759</v>
      </c>
      <c r="I258" s="101">
        <v>4850</v>
      </c>
      <c r="J258" s="101">
        <v>7622</v>
      </c>
      <c r="K258" s="101">
        <v>3258</v>
      </c>
      <c r="L258" s="101">
        <v>7384</v>
      </c>
      <c r="M258" s="101">
        <v>15907</v>
      </c>
      <c r="N258" s="101">
        <v>47352</v>
      </c>
      <c r="O258" s="101">
        <v>40552</v>
      </c>
      <c r="P258" s="101">
        <v>32985</v>
      </c>
      <c r="Q258" s="101">
        <v>15253</v>
      </c>
      <c r="R258" s="101">
        <v>2182</v>
      </c>
      <c r="S258" s="101"/>
      <c r="T258" t="s">
        <v>134</v>
      </c>
      <c r="U258" s="101">
        <f t="shared" si="9"/>
        <v>240042</v>
      </c>
      <c r="V258" s="101">
        <v>201775000</v>
      </c>
      <c r="W258" s="101">
        <v>144459251</v>
      </c>
      <c r="X258" s="101">
        <v>9003</v>
      </c>
      <c r="Y258" s="101">
        <v>7319</v>
      </c>
      <c r="Z258" s="101">
        <v>1024</v>
      </c>
      <c r="AA258" s="101">
        <v>494</v>
      </c>
      <c r="AB258" s="101">
        <v>1254</v>
      </c>
      <c r="AC258" s="101">
        <v>342</v>
      </c>
      <c r="AD258" s="101">
        <v>154</v>
      </c>
      <c r="AE258" s="101">
        <v>3589</v>
      </c>
      <c r="AF258" s="101">
        <v>269</v>
      </c>
      <c r="AG258" s="101">
        <f t="shared" si="10"/>
        <v>159278.25099999999</v>
      </c>
      <c r="AH258" s="101">
        <v>57095</v>
      </c>
      <c r="AI258" s="101">
        <f t="shared" si="11"/>
        <v>2789.7057710832823</v>
      </c>
      <c r="AJ258" t="s">
        <v>439</v>
      </c>
      <c r="AN258" t="s">
        <v>175</v>
      </c>
      <c r="AO258" s="259">
        <v>1388.363429208021</v>
      </c>
      <c r="AP258" t="s">
        <v>116</v>
      </c>
    </row>
    <row r="259" spans="2:42" x14ac:dyDescent="0.25">
      <c r="B259" t="s">
        <v>227</v>
      </c>
      <c r="C259" s="101">
        <v>154831</v>
      </c>
      <c r="D259" s="101">
        <v>7661</v>
      </c>
      <c r="E259" s="101">
        <v>72</v>
      </c>
      <c r="F259" s="101">
        <v>6085</v>
      </c>
      <c r="G259" s="101">
        <v>29065</v>
      </c>
      <c r="H259" s="101">
        <v>9747</v>
      </c>
      <c r="I259" s="101">
        <v>4495</v>
      </c>
      <c r="J259" s="101">
        <v>5682</v>
      </c>
      <c r="K259" s="101">
        <v>333</v>
      </c>
      <c r="L259" s="101">
        <v>4034</v>
      </c>
      <c r="M259" s="101">
        <v>12054</v>
      </c>
      <c r="N259" s="101">
        <v>22997</v>
      </c>
      <c r="O259" s="101">
        <v>19532</v>
      </c>
      <c r="P259" s="101">
        <v>15324</v>
      </c>
      <c r="Q259" s="101">
        <v>15972</v>
      </c>
      <c r="R259" s="101">
        <v>1778</v>
      </c>
      <c r="S259" s="101"/>
      <c r="T259" t="s">
        <v>227</v>
      </c>
      <c r="U259" s="101">
        <f t="shared" ref="U259:U322" si="12">SUM(C259,-D259,-E259,-F259)</f>
        <v>141013</v>
      </c>
      <c r="V259" s="101">
        <v>103053000</v>
      </c>
      <c r="W259" s="101">
        <v>84299252</v>
      </c>
      <c r="X259" s="101">
        <v>5136</v>
      </c>
      <c r="Y259" s="101">
        <v>6893</v>
      </c>
      <c r="Z259" s="101">
        <v>852</v>
      </c>
      <c r="AA259" s="101">
        <v>705</v>
      </c>
      <c r="AB259" s="101">
        <v>1448</v>
      </c>
      <c r="AC259" s="101">
        <v>144</v>
      </c>
      <c r="AD259" s="101">
        <v>0</v>
      </c>
      <c r="AE259" s="101">
        <v>12</v>
      </c>
      <c r="AF259" s="101">
        <v>154</v>
      </c>
      <c r="AG259" s="101">
        <f t="shared" ref="AG259:AG322" si="13">SUM(U259,-V259/1000,W259/1000,-X259,-Y259,-Z259,-AA259,-AB259,-AC259,-AD259,-AE259,-AF259)</f>
        <v>106915.25199999999</v>
      </c>
      <c r="AH259" s="101">
        <v>48001</v>
      </c>
      <c r="AI259" s="101">
        <f t="shared" ref="AI259:AI322" si="14">AG259*1000/AH259</f>
        <v>2227.3546801108309</v>
      </c>
      <c r="AJ259" t="s">
        <v>116</v>
      </c>
      <c r="AN259" t="s">
        <v>401</v>
      </c>
      <c r="AO259" s="259">
        <v>2406.4309174852042</v>
      </c>
      <c r="AP259" t="s">
        <v>116</v>
      </c>
    </row>
    <row r="260" spans="2:42" x14ac:dyDescent="0.25">
      <c r="B260" t="s">
        <v>386</v>
      </c>
      <c r="C260" s="101">
        <v>63965</v>
      </c>
      <c r="D260" s="101">
        <v>3929</v>
      </c>
      <c r="E260" s="101">
        <v>525</v>
      </c>
      <c r="F260" s="101">
        <v>2112</v>
      </c>
      <c r="G260" s="101">
        <v>12609</v>
      </c>
      <c r="H260" s="101">
        <v>5507</v>
      </c>
      <c r="I260" s="101">
        <v>2011</v>
      </c>
      <c r="J260" s="101">
        <v>2768</v>
      </c>
      <c r="K260" s="101">
        <v>887</v>
      </c>
      <c r="L260" s="101">
        <v>1107</v>
      </c>
      <c r="M260" s="101">
        <v>4256</v>
      </c>
      <c r="N260" s="101">
        <v>8075</v>
      </c>
      <c r="O260" s="101">
        <v>5860</v>
      </c>
      <c r="P260" s="101">
        <v>7706</v>
      </c>
      <c r="Q260" s="101">
        <v>5796</v>
      </c>
      <c r="R260" s="101">
        <v>817</v>
      </c>
      <c r="S260" s="101"/>
      <c r="T260" t="s">
        <v>386</v>
      </c>
      <c r="U260" s="101">
        <f t="shared" si="12"/>
        <v>57399</v>
      </c>
      <c r="V260" s="101">
        <v>42982000</v>
      </c>
      <c r="W260" s="101">
        <v>36590835</v>
      </c>
      <c r="X260" s="101">
        <v>2141</v>
      </c>
      <c r="Y260" s="101">
        <v>2070</v>
      </c>
      <c r="Z260" s="101">
        <v>476</v>
      </c>
      <c r="AA260" s="101">
        <v>0</v>
      </c>
      <c r="AB260" s="101">
        <v>857</v>
      </c>
      <c r="AC260" s="101">
        <v>76</v>
      </c>
      <c r="AD260" s="101">
        <v>479</v>
      </c>
      <c r="AE260" s="101">
        <v>0</v>
      </c>
      <c r="AF260" s="101">
        <v>186</v>
      </c>
      <c r="AG260" s="101">
        <f t="shared" si="13"/>
        <v>44722.834999999999</v>
      </c>
      <c r="AH260" s="101">
        <v>20214</v>
      </c>
      <c r="AI260" s="101">
        <f t="shared" si="14"/>
        <v>2212.4683387751065</v>
      </c>
      <c r="AJ260" t="s">
        <v>465</v>
      </c>
      <c r="AN260" t="s">
        <v>249</v>
      </c>
      <c r="AO260" s="259">
        <v>2845.2099453377914</v>
      </c>
      <c r="AP260" t="s">
        <v>116</v>
      </c>
    </row>
    <row r="261" spans="2:42" x14ac:dyDescent="0.25">
      <c r="B261" t="s">
        <v>387</v>
      </c>
      <c r="C261" s="101">
        <v>54159</v>
      </c>
      <c r="D261" s="101">
        <v>3893</v>
      </c>
      <c r="E261" s="101">
        <v>1153</v>
      </c>
      <c r="F261" s="101">
        <v>2910</v>
      </c>
      <c r="G261" s="101">
        <v>10425</v>
      </c>
      <c r="H261" s="101">
        <v>8237</v>
      </c>
      <c r="I261" s="101">
        <v>1457</v>
      </c>
      <c r="J261" s="101">
        <v>2038</v>
      </c>
      <c r="K261" s="101">
        <v>133</v>
      </c>
      <c r="L261" s="101">
        <v>974</v>
      </c>
      <c r="M261" s="101">
        <v>2897</v>
      </c>
      <c r="N261" s="101">
        <v>4576</v>
      </c>
      <c r="O261" s="101">
        <v>4844</v>
      </c>
      <c r="P261" s="101">
        <v>5946</v>
      </c>
      <c r="Q261" s="101">
        <v>4061</v>
      </c>
      <c r="R261" s="101">
        <v>615</v>
      </c>
      <c r="S261" s="101"/>
      <c r="T261" t="s">
        <v>387</v>
      </c>
      <c r="U261" s="101">
        <f t="shared" si="12"/>
        <v>46203</v>
      </c>
      <c r="V261" s="101">
        <v>34194000</v>
      </c>
      <c r="W261" s="101">
        <v>29054161</v>
      </c>
      <c r="X261" s="101">
        <v>1792</v>
      </c>
      <c r="Y261" s="101">
        <v>2422</v>
      </c>
      <c r="Z261" s="101">
        <v>287</v>
      </c>
      <c r="AA261" s="101">
        <v>0</v>
      </c>
      <c r="AB261" s="101">
        <v>733</v>
      </c>
      <c r="AC261" s="101">
        <v>107</v>
      </c>
      <c r="AD261" s="101">
        <v>0</v>
      </c>
      <c r="AE261" s="101">
        <v>0</v>
      </c>
      <c r="AF261" s="101">
        <v>196</v>
      </c>
      <c r="AG261" s="101">
        <f t="shared" si="13"/>
        <v>35526.161</v>
      </c>
      <c r="AH261" s="101">
        <v>18130</v>
      </c>
      <c r="AI261" s="101">
        <f t="shared" si="14"/>
        <v>1959.5234969663541</v>
      </c>
      <c r="AJ261" t="s">
        <v>465</v>
      </c>
      <c r="AN261" t="s">
        <v>179</v>
      </c>
      <c r="AO261" s="259">
        <v>2158.6693656816756</v>
      </c>
      <c r="AP261" t="s">
        <v>116</v>
      </c>
    </row>
    <row r="262" spans="2:42" x14ac:dyDescent="0.25">
      <c r="B262" t="s">
        <v>123</v>
      </c>
      <c r="C262" s="101">
        <v>154223</v>
      </c>
      <c r="D262" s="101">
        <v>329</v>
      </c>
      <c r="E262" s="101">
        <v>1050</v>
      </c>
      <c r="F262" s="101">
        <v>4012</v>
      </c>
      <c r="G262" s="101">
        <v>28152</v>
      </c>
      <c r="H262" s="101">
        <v>6047</v>
      </c>
      <c r="I262" s="101">
        <v>2632</v>
      </c>
      <c r="J262" s="101">
        <v>9454</v>
      </c>
      <c r="K262" s="101">
        <v>156</v>
      </c>
      <c r="L262" s="101">
        <v>3052</v>
      </c>
      <c r="M262" s="101">
        <v>5145</v>
      </c>
      <c r="N262" s="101">
        <v>42383</v>
      </c>
      <c r="O262" s="101">
        <v>19133</v>
      </c>
      <c r="P262" s="101">
        <v>24357</v>
      </c>
      <c r="Q262" s="101">
        <v>7492</v>
      </c>
      <c r="R262" s="101">
        <v>829</v>
      </c>
      <c r="S262" s="101"/>
      <c r="T262" t="s">
        <v>123</v>
      </c>
      <c r="U262" s="101">
        <f t="shared" si="12"/>
        <v>148832</v>
      </c>
      <c r="V262" s="101">
        <v>125253000</v>
      </c>
      <c r="W262" s="101">
        <v>87145875</v>
      </c>
      <c r="X262" s="101">
        <v>3205</v>
      </c>
      <c r="Y262" s="101">
        <v>3955</v>
      </c>
      <c r="Z262" s="101">
        <v>666</v>
      </c>
      <c r="AA262" s="101">
        <v>62</v>
      </c>
      <c r="AB262" s="101">
        <v>453</v>
      </c>
      <c r="AC262" s="101">
        <v>166</v>
      </c>
      <c r="AD262" s="101">
        <v>173</v>
      </c>
      <c r="AE262" s="101">
        <v>0</v>
      </c>
      <c r="AF262" s="101">
        <v>35</v>
      </c>
      <c r="AG262" s="101">
        <f t="shared" si="13"/>
        <v>102009.875</v>
      </c>
      <c r="AH262" s="101">
        <v>32045</v>
      </c>
      <c r="AI262" s="101">
        <f t="shared" si="14"/>
        <v>3183.3320330784832</v>
      </c>
      <c r="AJ262" t="s">
        <v>439</v>
      </c>
      <c r="AN262" t="s">
        <v>180</v>
      </c>
      <c r="AO262" s="259">
        <v>2591.3795285668575</v>
      </c>
      <c r="AP262" t="s">
        <v>116</v>
      </c>
    </row>
    <row r="263" spans="2:42" x14ac:dyDescent="0.25">
      <c r="B263" t="s">
        <v>156</v>
      </c>
      <c r="C263" s="101">
        <v>62852</v>
      </c>
      <c r="D263" s="101">
        <v>2487</v>
      </c>
      <c r="E263" s="101">
        <v>0</v>
      </c>
      <c r="F263" s="101">
        <v>2558</v>
      </c>
      <c r="G263" s="101">
        <v>17012</v>
      </c>
      <c r="H263" s="101">
        <v>6199</v>
      </c>
      <c r="I263" s="101">
        <v>1386</v>
      </c>
      <c r="J263" s="101">
        <v>2244</v>
      </c>
      <c r="K263" s="101">
        <v>3551</v>
      </c>
      <c r="L263" s="101">
        <v>1417</v>
      </c>
      <c r="M263" s="101">
        <v>2803</v>
      </c>
      <c r="N263" s="101">
        <v>4161</v>
      </c>
      <c r="O263" s="101">
        <v>4598</v>
      </c>
      <c r="P263" s="101">
        <v>9133</v>
      </c>
      <c r="Q263" s="101">
        <v>4738</v>
      </c>
      <c r="R263" s="101">
        <v>565</v>
      </c>
      <c r="S263" s="101"/>
      <c r="T263" t="s">
        <v>156</v>
      </c>
      <c r="U263" s="101">
        <f t="shared" si="12"/>
        <v>57807</v>
      </c>
      <c r="V263" s="101">
        <v>42731000</v>
      </c>
      <c r="W263" s="101">
        <v>31864382</v>
      </c>
      <c r="X263" s="101">
        <v>1601</v>
      </c>
      <c r="Y263" s="101">
        <v>1552</v>
      </c>
      <c r="Z263" s="101">
        <v>348</v>
      </c>
      <c r="AA263" s="101">
        <v>393</v>
      </c>
      <c r="AB263" s="101">
        <v>776</v>
      </c>
      <c r="AC263" s="101">
        <v>73</v>
      </c>
      <c r="AD263" s="101">
        <v>133</v>
      </c>
      <c r="AE263" s="101">
        <v>0</v>
      </c>
      <c r="AF263" s="101">
        <v>42</v>
      </c>
      <c r="AG263" s="101">
        <f t="shared" si="13"/>
        <v>42022.381999999998</v>
      </c>
      <c r="AH263" s="101">
        <v>17973</v>
      </c>
      <c r="AI263" s="101">
        <f t="shared" si="14"/>
        <v>2338.0839036332277</v>
      </c>
      <c r="AJ263" t="s">
        <v>465</v>
      </c>
      <c r="AN263" t="s">
        <v>360</v>
      </c>
      <c r="AO263" s="259">
        <v>2348.6961407366684</v>
      </c>
      <c r="AP263" t="s">
        <v>116</v>
      </c>
    </row>
    <row r="264" spans="2:42" x14ac:dyDescent="0.25">
      <c r="B264" t="s">
        <v>270</v>
      </c>
      <c r="C264" s="101">
        <v>71977</v>
      </c>
      <c r="D264" s="101">
        <v>3</v>
      </c>
      <c r="E264" s="101">
        <v>1395</v>
      </c>
      <c r="F264" s="101">
        <v>2666</v>
      </c>
      <c r="G264" s="101">
        <v>2207</v>
      </c>
      <c r="H264" s="101">
        <v>10913</v>
      </c>
      <c r="I264" s="101">
        <v>2324</v>
      </c>
      <c r="J264" s="101">
        <v>3779</v>
      </c>
      <c r="K264" s="101">
        <v>307</v>
      </c>
      <c r="L264" s="101">
        <v>1328</v>
      </c>
      <c r="M264" s="101">
        <v>6627</v>
      </c>
      <c r="N264" s="101">
        <v>9207</v>
      </c>
      <c r="O264" s="101">
        <v>12504</v>
      </c>
      <c r="P264" s="101">
        <v>10505</v>
      </c>
      <c r="Q264" s="101">
        <v>6163</v>
      </c>
      <c r="R264" s="101">
        <v>2049</v>
      </c>
      <c r="S264" s="101"/>
      <c r="T264" t="s">
        <v>270</v>
      </c>
      <c r="U264" s="101">
        <f t="shared" si="12"/>
        <v>67913</v>
      </c>
      <c r="V264" s="101">
        <v>54005000</v>
      </c>
      <c r="W264" s="101">
        <v>46408785</v>
      </c>
      <c r="X264" s="101">
        <v>1995</v>
      </c>
      <c r="Y264" s="101">
        <v>3546</v>
      </c>
      <c r="Z264" s="101">
        <v>402</v>
      </c>
      <c r="AA264" s="101">
        <v>10</v>
      </c>
      <c r="AB264" s="101">
        <v>346</v>
      </c>
      <c r="AC264" s="101">
        <v>114</v>
      </c>
      <c r="AD264" s="101">
        <v>86</v>
      </c>
      <c r="AE264" s="101">
        <v>0</v>
      </c>
      <c r="AF264" s="101">
        <v>43</v>
      </c>
      <c r="AG264" s="101">
        <f t="shared" si="13"/>
        <v>53774.785000000003</v>
      </c>
      <c r="AH264" s="101">
        <v>22252</v>
      </c>
      <c r="AI264" s="101">
        <f t="shared" si="14"/>
        <v>2416.6270447600214</v>
      </c>
      <c r="AJ264" t="s">
        <v>116</v>
      </c>
      <c r="AN264" t="s">
        <v>361</v>
      </c>
      <c r="AO264" s="259">
        <v>2283.0012301804263</v>
      </c>
      <c r="AP264" t="s">
        <v>116</v>
      </c>
    </row>
    <row r="265" spans="2:42" x14ac:dyDescent="0.25">
      <c r="B265" t="s">
        <v>388</v>
      </c>
      <c r="C265" s="101">
        <v>79314</v>
      </c>
      <c r="D265" s="101">
        <v>1958</v>
      </c>
      <c r="E265" s="101">
        <v>324</v>
      </c>
      <c r="F265" s="101">
        <v>3660</v>
      </c>
      <c r="G265" s="101">
        <v>17267</v>
      </c>
      <c r="H265" s="101">
        <v>7862</v>
      </c>
      <c r="I265" s="101">
        <v>2021</v>
      </c>
      <c r="J265" s="101">
        <v>3251</v>
      </c>
      <c r="K265" s="101">
        <v>796</v>
      </c>
      <c r="L265" s="101">
        <v>1848</v>
      </c>
      <c r="M265" s="101">
        <v>3758</v>
      </c>
      <c r="N265" s="101">
        <v>12117</v>
      </c>
      <c r="O265" s="101">
        <v>5752</v>
      </c>
      <c r="P265" s="101">
        <v>11407</v>
      </c>
      <c r="Q265" s="101">
        <v>6393</v>
      </c>
      <c r="R265" s="101">
        <v>900</v>
      </c>
      <c r="S265" s="101"/>
      <c r="T265" t="s">
        <v>388</v>
      </c>
      <c r="U265" s="101">
        <f t="shared" si="12"/>
        <v>73372</v>
      </c>
      <c r="V265" s="101">
        <v>59174000</v>
      </c>
      <c r="W265" s="101">
        <v>49520392</v>
      </c>
      <c r="X265" s="101">
        <v>2098</v>
      </c>
      <c r="Y265" s="101">
        <v>4123</v>
      </c>
      <c r="Z265" s="101">
        <v>426</v>
      </c>
      <c r="AA265" s="101">
        <v>33</v>
      </c>
      <c r="AB265" s="101">
        <v>657</v>
      </c>
      <c r="AC265" s="101">
        <v>59</v>
      </c>
      <c r="AD265" s="101">
        <v>176</v>
      </c>
      <c r="AE265" s="101">
        <v>0</v>
      </c>
      <c r="AF265" s="101">
        <v>127</v>
      </c>
      <c r="AG265" s="101">
        <f t="shared" si="13"/>
        <v>56019.392</v>
      </c>
      <c r="AH265" s="101">
        <v>24584</v>
      </c>
      <c r="AI265" s="101">
        <f t="shared" si="14"/>
        <v>2278.6931337455258</v>
      </c>
      <c r="AJ265" t="s">
        <v>116</v>
      </c>
      <c r="AN265" t="s">
        <v>362</v>
      </c>
      <c r="AO265" s="259">
        <v>2098.9436035815038</v>
      </c>
      <c r="AP265" t="s">
        <v>116</v>
      </c>
    </row>
    <row r="266" spans="2:42" x14ac:dyDescent="0.25">
      <c r="B266" t="s">
        <v>157</v>
      </c>
      <c r="C266" s="101">
        <v>175765</v>
      </c>
      <c r="D266" s="101">
        <v>3009</v>
      </c>
      <c r="E266" s="101">
        <v>2207</v>
      </c>
      <c r="F266" s="101">
        <v>6739</v>
      </c>
      <c r="G266" s="101">
        <v>40156</v>
      </c>
      <c r="H266" s="101">
        <v>12629</v>
      </c>
      <c r="I266" s="101">
        <v>4064</v>
      </c>
      <c r="J266" s="101">
        <v>8291</v>
      </c>
      <c r="K266" s="101">
        <v>1547</v>
      </c>
      <c r="L266" s="101">
        <v>3467</v>
      </c>
      <c r="M266" s="101">
        <v>13404</v>
      </c>
      <c r="N266" s="101">
        <v>26070</v>
      </c>
      <c r="O266" s="101">
        <v>20082</v>
      </c>
      <c r="P266" s="101">
        <v>17729</v>
      </c>
      <c r="Q266" s="101">
        <v>15864</v>
      </c>
      <c r="R266" s="101">
        <v>507</v>
      </c>
      <c r="S266" s="101"/>
      <c r="T266" t="s">
        <v>157</v>
      </c>
      <c r="U266" s="101">
        <f t="shared" si="12"/>
        <v>163810</v>
      </c>
      <c r="V266" s="101">
        <v>130604000</v>
      </c>
      <c r="W266" s="101">
        <v>102311362</v>
      </c>
      <c r="X266" s="101">
        <v>5366</v>
      </c>
      <c r="Y266" s="101">
        <v>4929</v>
      </c>
      <c r="Z266" s="101">
        <v>848</v>
      </c>
      <c r="AA266" s="101">
        <v>675</v>
      </c>
      <c r="AB266" s="101">
        <v>1592</v>
      </c>
      <c r="AC266" s="101">
        <v>621</v>
      </c>
      <c r="AD266" s="101">
        <v>1570</v>
      </c>
      <c r="AE266" s="101">
        <v>11</v>
      </c>
      <c r="AF266" s="101">
        <v>82</v>
      </c>
      <c r="AG266" s="101">
        <f t="shared" si="13"/>
        <v>119823.36199999999</v>
      </c>
      <c r="AH266" s="101">
        <v>45706</v>
      </c>
      <c r="AI266" s="101">
        <f t="shared" si="14"/>
        <v>2621.611210781954</v>
      </c>
      <c r="AJ266" t="s">
        <v>116</v>
      </c>
      <c r="AN266" t="s">
        <v>363</v>
      </c>
      <c r="AO266" s="259">
        <v>2322.3235238155639</v>
      </c>
      <c r="AP266" t="s">
        <v>116</v>
      </c>
    </row>
    <row r="267" spans="2:42" x14ac:dyDescent="0.25">
      <c r="B267" t="s">
        <v>727</v>
      </c>
      <c r="C267" s="101">
        <v>85318</v>
      </c>
      <c r="D267" s="101">
        <v>2293</v>
      </c>
      <c r="E267" s="101">
        <v>2018</v>
      </c>
      <c r="F267" s="101">
        <v>4358</v>
      </c>
      <c r="G267" s="101">
        <v>16011</v>
      </c>
      <c r="H267" s="101">
        <v>6834</v>
      </c>
      <c r="I267" s="101">
        <v>2696</v>
      </c>
      <c r="J267" s="101">
        <v>3127</v>
      </c>
      <c r="K267" s="101">
        <v>803</v>
      </c>
      <c r="L267" s="101">
        <v>2570</v>
      </c>
      <c r="M267" s="101">
        <v>3977</v>
      </c>
      <c r="N267" s="101">
        <v>11687</v>
      </c>
      <c r="O267" s="101">
        <v>7950</v>
      </c>
      <c r="P267" s="101">
        <v>10941</v>
      </c>
      <c r="Q267" s="101">
        <v>9016</v>
      </c>
      <c r="R267" s="101">
        <v>1037</v>
      </c>
      <c r="S267" s="101"/>
      <c r="T267" t="s">
        <v>727</v>
      </c>
      <c r="U267" s="101">
        <f t="shared" si="12"/>
        <v>76649</v>
      </c>
      <c r="V267" s="101">
        <v>63041000</v>
      </c>
      <c r="W267" s="101">
        <v>50578191</v>
      </c>
      <c r="X267" s="101">
        <v>3403</v>
      </c>
      <c r="Y267" s="101">
        <v>3978</v>
      </c>
      <c r="Z267" s="101">
        <v>534</v>
      </c>
      <c r="AA267" s="101">
        <v>40</v>
      </c>
      <c r="AB267" s="101">
        <v>271</v>
      </c>
      <c r="AC267" s="101">
        <v>72</v>
      </c>
      <c r="AD267" s="101">
        <v>209</v>
      </c>
      <c r="AE267" s="101">
        <v>0</v>
      </c>
      <c r="AF267" s="101">
        <v>73</v>
      </c>
      <c r="AG267" s="101">
        <f t="shared" si="13"/>
        <v>55606.190999999999</v>
      </c>
      <c r="AH267" s="101">
        <v>24652</v>
      </c>
      <c r="AI267" s="101">
        <f t="shared" si="14"/>
        <v>2255.6462355995459</v>
      </c>
      <c r="AJ267" t="s">
        <v>116</v>
      </c>
      <c r="AN267" t="s">
        <v>403</v>
      </c>
      <c r="AO267" s="259">
        <v>2126.8652083450488</v>
      </c>
      <c r="AP267" t="s">
        <v>116</v>
      </c>
    </row>
    <row r="268" spans="2:42" x14ac:dyDescent="0.25">
      <c r="B268" t="s">
        <v>228</v>
      </c>
      <c r="C268" s="101">
        <v>187579</v>
      </c>
      <c r="D268" s="101">
        <v>3709</v>
      </c>
      <c r="E268" s="101">
        <v>4251</v>
      </c>
      <c r="F268" s="101">
        <v>11309</v>
      </c>
      <c r="G268" s="101">
        <v>49713</v>
      </c>
      <c r="H268" s="101">
        <v>10211</v>
      </c>
      <c r="I268" s="101">
        <v>6261</v>
      </c>
      <c r="J268" s="101">
        <v>8652</v>
      </c>
      <c r="K268" s="101">
        <v>942</v>
      </c>
      <c r="L268" s="101">
        <v>4110</v>
      </c>
      <c r="M268" s="101">
        <v>13413</v>
      </c>
      <c r="N268" s="101">
        <v>17050</v>
      </c>
      <c r="O268" s="101">
        <v>21947</v>
      </c>
      <c r="P268" s="101">
        <v>17088</v>
      </c>
      <c r="Q268" s="101">
        <v>17088</v>
      </c>
      <c r="R268" s="101">
        <v>1835</v>
      </c>
      <c r="S268" s="101"/>
      <c r="T268" t="s">
        <v>228</v>
      </c>
      <c r="U268" s="101">
        <f t="shared" si="12"/>
        <v>168310</v>
      </c>
      <c r="V268" s="101">
        <v>133161000</v>
      </c>
      <c r="W268" s="101">
        <v>113728149</v>
      </c>
      <c r="X268" s="101">
        <v>8465</v>
      </c>
      <c r="Y268" s="101">
        <v>11806</v>
      </c>
      <c r="Z268" s="101">
        <v>1423</v>
      </c>
      <c r="AA268" s="101">
        <v>600</v>
      </c>
      <c r="AB268" s="101">
        <v>3784</v>
      </c>
      <c r="AC268" s="101">
        <v>270</v>
      </c>
      <c r="AD268" s="101">
        <v>614</v>
      </c>
      <c r="AE268" s="101">
        <v>66</v>
      </c>
      <c r="AF268" s="101">
        <v>114</v>
      </c>
      <c r="AG268" s="101">
        <f t="shared" si="13"/>
        <v>121735.149</v>
      </c>
      <c r="AH268" s="101">
        <v>66124</v>
      </c>
      <c r="AI268" s="101">
        <f t="shared" si="14"/>
        <v>1841.0130814832739</v>
      </c>
      <c r="AJ268" t="s">
        <v>465</v>
      </c>
      <c r="AN268" t="s">
        <v>364</v>
      </c>
      <c r="AO268" s="286">
        <v>2097.6569151724862</v>
      </c>
      <c r="AP268" t="s">
        <v>116</v>
      </c>
    </row>
    <row r="269" spans="2:42" x14ac:dyDescent="0.25">
      <c r="B269" t="s">
        <v>438</v>
      </c>
      <c r="C269" s="101">
        <v>362126</v>
      </c>
      <c r="D269" s="101">
        <v>83</v>
      </c>
      <c r="E269" s="101">
        <v>4400</v>
      </c>
      <c r="F269" s="101">
        <v>15691</v>
      </c>
      <c r="G269" s="101">
        <v>88799</v>
      </c>
      <c r="H269" s="101">
        <v>17026</v>
      </c>
      <c r="I269" s="101">
        <v>8183</v>
      </c>
      <c r="J269" s="101">
        <v>23735</v>
      </c>
      <c r="K269" s="101">
        <v>4230</v>
      </c>
      <c r="L269" s="101">
        <v>6079</v>
      </c>
      <c r="M269" s="101">
        <v>19176</v>
      </c>
      <c r="N269" s="101">
        <v>62451</v>
      </c>
      <c r="O269" s="101">
        <v>38819</v>
      </c>
      <c r="P269" s="101">
        <v>48127</v>
      </c>
      <c r="Q269" s="101">
        <v>20888</v>
      </c>
      <c r="R269" s="101">
        <v>4439</v>
      </c>
      <c r="S269" s="101"/>
      <c r="T269" t="s">
        <v>438</v>
      </c>
      <c r="U269" s="101">
        <f t="shared" si="12"/>
        <v>341952</v>
      </c>
      <c r="V269" s="101">
        <v>284742000</v>
      </c>
      <c r="W269" s="101">
        <v>213273103</v>
      </c>
      <c r="X269" s="101">
        <v>9821</v>
      </c>
      <c r="Y269" s="101">
        <v>11933</v>
      </c>
      <c r="Z269" s="101">
        <v>1462</v>
      </c>
      <c r="AA269" s="101">
        <v>625</v>
      </c>
      <c r="AB269" s="101">
        <v>2793</v>
      </c>
      <c r="AC269" s="101">
        <v>2055</v>
      </c>
      <c r="AD269" s="101">
        <v>3636</v>
      </c>
      <c r="AE269" s="101">
        <v>2077</v>
      </c>
      <c r="AF269" s="101">
        <v>431</v>
      </c>
      <c r="AG269" s="101">
        <f t="shared" si="13"/>
        <v>235650.103</v>
      </c>
      <c r="AH269" s="101">
        <v>90532</v>
      </c>
      <c r="AI269" s="101">
        <f t="shared" si="14"/>
        <v>2602.9481619758758</v>
      </c>
      <c r="AJ269" t="s">
        <v>116</v>
      </c>
      <c r="AN269" t="s">
        <v>404</v>
      </c>
      <c r="AO269" s="259">
        <v>2260.1683789954341</v>
      </c>
      <c r="AP269" t="s">
        <v>116</v>
      </c>
    </row>
    <row r="270" spans="2:42" x14ac:dyDescent="0.25">
      <c r="B270" t="s">
        <v>337</v>
      </c>
      <c r="C270" s="101">
        <v>229915</v>
      </c>
      <c r="D270" s="101">
        <v>1292</v>
      </c>
      <c r="E270" s="101">
        <v>4158</v>
      </c>
      <c r="F270" s="101">
        <v>12073</v>
      </c>
      <c r="G270" s="101">
        <v>44840</v>
      </c>
      <c r="H270" s="101">
        <v>12321</v>
      </c>
      <c r="I270" s="101">
        <v>5307</v>
      </c>
      <c r="J270" s="101">
        <v>7761</v>
      </c>
      <c r="K270" s="101">
        <v>3054</v>
      </c>
      <c r="L270" s="101">
        <v>6467</v>
      </c>
      <c r="M270" s="101">
        <v>15142</v>
      </c>
      <c r="N270" s="101">
        <v>34186</v>
      </c>
      <c r="O270" s="101">
        <v>34206</v>
      </c>
      <c r="P270" s="101">
        <v>31357</v>
      </c>
      <c r="Q270" s="101">
        <v>14853</v>
      </c>
      <c r="R270" s="101">
        <v>2898</v>
      </c>
      <c r="S270" s="101"/>
      <c r="T270" t="s">
        <v>337</v>
      </c>
      <c r="U270" s="101">
        <f t="shared" si="12"/>
        <v>212392</v>
      </c>
      <c r="V270" s="101">
        <v>165399000</v>
      </c>
      <c r="W270" s="101">
        <v>128391122</v>
      </c>
      <c r="X270" s="101">
        <v>6921</v>
      </c>
      <c r="Y270" s="101">
        <v>10495</v>
      </c>
      <c r="Z270" s="101">
        <v>1251</v>
      </c>
      <c r="AA270" s="101">
        <v>594</v>
      </c>
      <c r="AB270" s="101">
        <v>2265</v>
      </c>
      <c r="AC270" s="101">
        <v>211</v>
      </c>
      <c r="AD270" s="101">
        <v>592</v>
      </c>
      <c r="AE270" s="101">
        <v>1148</v>
      </c>
      <c r="AF270" s="101">
        <v>48</v>
      </c>
      <c r="AG270" s="101">
        <f t="shared" si="13"/>
        <v>151859.122</v>
      </c>
      <c r="AH270" s="101">
        <v>55663</v>
      </c>
      <c r="AI270" s="101">
        <f t="shared" si="14"/>
        <v>2728.1878806388445</v>
      </c>
      <c r="AJ270" t="s">
        <v>116</v>
      </c>
      <c r="AN270" t="s">
        <v>145</v>
      </c>
      <c r="AO270" s="259">
        <v>2291.8934070924329</v>
      </c>
      <c r="AP270" t="s">
        <v>116</v>
      </c>
    </row>
    <row r="271" spans="2:42" x14ac:dyDescent="0.25">
      <c r="B271" t="s">
        <v>135</v>
      </c>
      <c r="C271" s="101">
        <v>31534</v>
      </c>
      <c r="D271" s="101">
        <v>0</v>
      </c>
      <c r="E271" s="101">
        <v>0</v>
      </c>
      <c r="F271" s="101">
        <v>996</v>
      </c>
      <c r="G271" s="101">
        <v>10563</v>
      </c>
      <c r="H271" s="101">
        <v>4165</v>
      </c>
      <c r="I271" s="101">
        <v>1193</v>
      </c>
      <c r="J271" s="101">
        <v>3160</v>
      </c>
      <c r="K271" s="101">
        <v>429</v>
      </c>
      <c r="L271" s="101">
        <v>983</v>
      </c>
      <c r="M271" s="101">
        <v>1682</v>
      </c>
      <c r="N271" s="101">
        <v>684</v>
      </c>
      <c r="O271" s="101">
        <v>1392</v>
      </c>
      <c r="P271" s="101">
        <v>1584</v>
      </c>
      <c r="Q271" s="101">
        <v>2904</v>
      </c>
      <c r="R271" s="101">
        <v>1799</v>
      </c>
      <c r="S271" s="101"/>
      <c r="T271" t="s">
        <v>135</v>
      </c>
      <c r="U271" s="101">
        <f t="shared" si="12"/>
        <v>30538</v>
      </c>
      <c r="V271" s="101">
        <v>17694000</v>
      </c>
      <c r="W271" s="101">
        <v>13105044</v>
      </c>
      <c r="X271" s="101">
        <v>940</v>
      </c>
      <c r="Y271" s="101">
        <v>1135</v>
      </c>
      <c r="Z271" s="101">
        <v>130</v>
      </c>
      <c r="AA271" s="101">
        <v>10</v>
      </c>
      <c r="AB271" s="101">
        <v>287</v>
      </c>
      <c r="AC271" s="101">
        <v>22</v>
      </c>
      <c r="AD271" s="101">
        <v>4345</v>
      </c>
      <c r="AE271" s="101">
        <v>0</v>
      </c>
      <c r="AF271" s="101">
        <v>153</v>
      </c>
      <c r="AG271" s="101">
        <f t="shared" si="13"/>
        <v>18927.044000000002</v>
      </c>
      <c r="AH271" s="101">
        <v>4923</v>
      </c>
      <c r="AI271" s="101">
        <f t="shared" si="14"/>
        <v>3844.6158846231974</v>
      </c>
      <c r="AJ271" t="s">
        <v>465</v>
      </c>
      <c r="AN271" t="s">
        <v>368</v>
      </c>
      <c r="AO271" s="286">
        <v>2107.6273165130301</v>
      </c>
      <c r="AP271" t="s">
        <v>116</v>
      </c>
    </row>
    <row r="272" spans="2:42" x14ac:dyDescent="0.25">
      <c r="B272" t="s">
        <v>271</v>
      </c>
      <c r="C272" s="101">
        <v>80431</v>
      </c>
      <c r="D272" s="101">
        <v>1000</v>
      </c>
      <c r="E272" s="101">
        <v>2879</v>
      </c>
      <c r="F272" s="101">
        <v>5548</v>
      </c>
      <c r="G272" s="101">
        <v>22627</v>
      </c>
      <c r="H272" s="101">
        <v>6980</v>
      </c>
      <c r="I272" s="101">
        <v>2257</v>
      </c>
      <c r="J272" s="101">
        <v>5683</v>
      </c>
      <c r="K272" s="101">
        <v>1514</v>
      </c>
      <c r="L272" s="101">
        <v>958</v>
      </c>
      <c r="M272" s="101">
        <v>6451</v>
      </c>
      <c r="N272" s="101">
        <v>4354</v>
      </c>
      <c r="O272" s="101">
        <v>4139</v>
      </c>
      <c r="P272" s="101">
        <v>5066</v>
      </c>
      <c r="Q272" s="101">
        <v>9529</v>
      </c>
      <c r="R272" s="101">
        <v>1446</v>
      </c>
      <c r="S272" s="101"/>
      <c r="T272" t="s">
        <v>271</v>
      </c>
      <c r="U272" s="101">
        <f t="shared" si="12"/>
        <v>71004</v>
      </c>
      <c r="V272" s="101">
        <v>41828000</v>
      </c>
      <c r="W272" s="101">
        <v>34446252</v>
      </c>
      <c r="X272" s="101">
        <v>3710</v>
      </c>
      <c r="Y272" s="101">
        <v>2965</v>
      </c>
      <c r="Z272" s="101">
        <v>235</v>
      </c>
      <c r="AA272" s="101">
        <v>71</v>
      </c>
      <c r="AB272" s="101">
        <v>1181</v>
      </c>
      <c r="AC272" s="101">
        <v>316</v>
      </c>
      <c r="AD272" s="101">
        <v>9000</v>
      </c>
      <c r="AE272" s="101">
        <v>5977</v>
      </c>
      <c r="AF272" s="101">
        <v>361</v>
      </c>
      <c r="AG272" s="101">
        <f t="shared" si="13"/>
        <v>39806.252</v>
      </c>
      <c r="AH272" s="101">
        <v>13844</v>
      </c>
      <c r="AI272" s="101">
        <f t="shared" si="14"/>
        <v>2875.3432533949726</v>
      </c>
      <c r="AJ272" t="s">
        <v>116</v>
      </c>
      <c r="AN272" t="s">
        <v>146</v>
      </c>
      <c r="AO272" s="259">
        <v>2794.3204042697448</v>
      </c>
      <c r="AP272" t="s">
        <v>116</v>
      </c>
    </row>
    <row r="273" spans="2:42" x14ac:dyDescent="0.25">
      <c r="B273" t="s">
        <v>317</v>
      </c>
      <c r="C273" s="101">
        <v>104453</v>
      </c>
      <c r="D273" s="101">
        <v>226</v>
      </c>
      <c r="E273" s="101">
        <v>261</v>
      </c>
      <c r="F273" s="101">
        <v>4771</v>
      </c>
      <c r="G273" s="101">
        <v>1763</v>
      </c>
      <c r="H273" s="101">
        <v>18661</v>
      </c>
      <c r="I273" s="101">
        <v>4614</v>
      </c>
      <c r="J273" s="101">
        <v>5038</v>
      </c>
      <c r="K273" s="101">
        <v>1318</v>
      </c>
      <c r="L273" s="101">
        <v>3394</v>
      </c>
      <c r="M273" s="101">
        <v>7776</v>
      </c>
      <c r="N273" s="101">
        <v>13152</v>
      </c>
      <c r="O273" s="101">
        <v>13823</v>
      </c>
      <c r="P273" s="101">
        <v>14001</v>
      </c>
      <c r="Q273" s="101">
        <v>12619</v>
      </c>
      <c r="R273" s="101">
        <v>3036</v>
      </c>
      <c r="S273" s="101"/>
      <c r="T273" t="s">
        <v>317</v>
      </c>
      <c r="U273" s="101">
        <f t="shared" si="12"/>
        <v>99195</v>
      </c>
      <c r="V273" s="101">
        <v>74373000</v>
      </c>
      <c r="W273" s="101">
        <v>61616044</v>
      </c>
      <c r="X273" s="101">
        <v>3745</v>
      </c>
      <c r="Y273" s="101">
        <v>6428</v>
      </c>
      <c r="Z273" s="101">
        <v>742</v>
      </c>
      <c r="AA273" s="101">
        <v>0</v>
      </c>
      <c r="AB273" s="101">
        <v>1294</v>
      </c>
      <c r="AC273" s="101">
        <v>235</v>
      </c>
      <c r="AD273" s="101">
        <v>0</v>
      </c>
      <c r="AE273" s="101">
        <v>17</v>
      </c>
      <c r="AF273" s="101">
        <v>171</v>
      </c>
      <c r="AG273" s="101">
        <f t="shared" si="13"/>
        <v>73806.043999999994</v>
      </c>
      <c r="AH273" s="101">
        <v>38410</v>
      </c>
      <c r="AI273" s="101">
        <f t="shared" si="14"/>
        <v>1921.5319968758135</v>
      </c>
      <c r="AJ273" t="s">
        <v>465</v>
      </c>
      <c r="AN273" t="s">
        <v>252</v>
      </c>
      <c r="AO273" s="259">
        <v>2269.7178764566988</v>
      </c>
      <c r="AP273" t="s">
        <v>116</v>
      </c>
    </row>
    <row r="274" spans="2:42" x14ac:dyDescent="0.25">
      <c r="B274" t="s">
        <v>338</v>
      </c>
      <c r="C274" s="101">
        <v>97150</v>
      </c>
      <c r="D274" s="101">
        <v>5487</v>
      </c>
      <c r="E274" s="101">
        <v>1122</v>
      </c>
      <c r="F274" s="101">
        <v>3459</v>
      </c>
      <c r="G274" s="101">
        <v>19389</v>
      </c>
      <c r="H274" s="101">
        <v>7656</v>
      </c>
      <c r="I274" s="101">
        <v>2635</v>
      </c>
      <c r="J274" s="101">
        <v>4434</v>
      </c>
      <c r="K274" s="101">
        <v>2194</v>
      </c>
      <c r="L274" s="101">
        <v>2907</v>
      </c>
      <c r="M274" s="101">
        <v>3928</v>
      </c>
      <c r="N274" s="101">
        <v>10263</v>
      </c>
      <c r="O274" s="101">
        <v>8687</v>
      </c>
      <c r="P274" s="101">
        <v>16326</v>
      </c>
      <c r="Q274" s="101">
        <v>7924</v>
      </c>
      <c r="R274" s="101">
        <v>739</v>
      </c>
      <c r="S274" s="101"/>
      <c r="T274" t="s">
        <v>338</v>
      </c>
      <c r="U274" s="101">
        <f t="shared" si="12"/>
        <v>87082</v>
      </c>
      <c r="V274" s="101">
        <v>70712000</v>
      </c>
      <c r="W274" s="101">
        <v>54011435</v>
      </c>
      <c r="X274" s="101">
        <v>2478</v>
      </c>
      <c r="Y274" s="101">
        <v>3239</v>
      </c>
      <c r="Z274" s="101">
        <v>536</v>
      </c>
      <c r="AA274" s="101">
        <v>496</v>
      </c>
      <c r="AB274" s="101">
        <v>552</v>
      </c>
      <c r="AC274" s="101">
        <v>162</v>
      </c>
      <c r="AD274" s="101">
        <v>460</v>
      </c>
      <c r="AE274" s="101">
        <v>6</v>
      </c>
      <c r="AF274" s="101">
        <v>1335</v>
      </c>
      <c r="AG274" s="101">
        <f t="shared" si="13"/>
        <v>61117.434999999998</v>
      </c>
      <c r="AH274" s="101">
        <v>26944</v>
      </c>
      <c r="AI274" s="101">
        <f t="shared" si="14"/>
        <v>2268.3133536223277</v>
      </c>
      <c r="AJ274" t="s">
        <v>465</v>
      </c>
      <c r="AN274" t="s">
        <v>147</v>
      </c>
      <c r="AO274" s="259">
        <v>2233.3505012289083</v>
      </c>
      <c r="AP274" t="s">
        <v>116</v>
      </c>
    </row>
    <row r="275" spans="2:42" x14ac:dyDescent="0.25">
      <c r="B275" t="s">
        <v>202</v>
      </c>
      <c r="C275" s="101">
        <v>183408</v>
      </c>
      <c r="D275" s="101">
        <v>32</v>
      </c>
      <c r="E275" s="101">
        <v>1319</v>
      </c>
      <c r="F275" s="101">
        <v>5977</v>
      </c>
      <c r="G275" s="101">
        <v>27403</v>
      </c>
      <c r="H275" s="101">
        <v>14256</v>
      </c>
      <c r="I275" s="101">
        <v>5141</v>
      </c>
      <c r="J275" s="101">
        <v>8185</v>
      </c>
      <c r="K275" s="101">
        <v>1873</v>
      </c>
      <c r="L275" s="101">
        <v>7646</v>
      </c>
      <c r="M275" s="101">
        <v>12965</v>
      </c>
      <c r="N275" s="101">
        <v>43183</v>
      </c>
      <c r="O275" s="101">
        <v>22466</v>
      </c>
      <c r="P275" s="101">
        <v>18240</v>
      </c>
      <c r="Q275" s="101">
        <v>14131</v>
      </c>
      <c r="R275" s="101">
        <v>591</v>
      </c>
      <c r="S275" s="101"/>
      <c r="T275" t="s">
        <v>202</v>
      </c>
      <c r="U275" s="101">
        <f t="shared" si="12"/>
        <v>176080</v>
      </c>
      <c r="V275" s="101">
        <v>143342000</v>
      </c>
      <c r="W275" s="101">
        <v>100482958</v>
      </c>
      <c r="X275" s="101">
        <v>4713</v>
      </c>
      <c r="Y275" s="101">
        <v>0</v>
      </c>
      <c r="Z275" s="101">
        <v>668</v>
      </c>
      <c r="AA275" s="101">
        <v>300</v>
      </c>
      <c r="AB275" s="101">
        <v>852</v>
      </c>
      <c r="AC275" s="101">
        <v>491</v>
      </c>
      <c r="AD275" s="101">
        <v>354</v>
      </c>
      <c r="AE275" s="101">
        <v>2651</v>
      </c>
      <c r="AF275" s="101">
        <v>200</v>
      </c>
      <c r="AG275" s="101">
        <f t="shared" si="13"/>
        <v>122991.95799999998</v>
      </c>
      <c r="AH275" s="101">
        <v>42590</v>
      </c>
      <c r="AI275" s="101">
        <f t="shared" si="14"/>
        <v>2887.8130547076776</v>
      </c>
      <c r="AJ275" t="s">
        <v>439</v>
      </c>
      <c r="AN275" t="s">
        <v>593</v>
      </c>
      <c r="AO275" s="259">
        <v>3169.5245486615481</v>
      </c>
      <c r="AP275" t="s">
        <v>116</v>
      </c>
    </row>
    <row r="276" spans="2:42" x14ac:dyDescent="0.25">
      <c r="B276" t="s">
        <v>389</v>
      </c>
      <c r="C276" s="101">
        <v>1190506</v>
      </c>
      <c r="D276" s="101">
        <v>29277</v>
      </c>
      <c r="E276" s="101">
        <v>8713</v>
      </c>
      <c r="F276" s="101">
        <v>62570</v>
      </c>
      <c r="G276" s="101">
        <v>236085</v>
      </c>
      <c r="H276" s="101">
        <v>32733</v>
      </c>
      <c r="I276" s="101">
        <v>29292</v>
      </c>
      <c r="J276" s="101">
        <v>39451</v>
      </c>
      <c r="K276" s="101">
        <v>47881</v>
      </c>
      <c r="L276" s="101">
        <v>28976</v>
      </c>
      <c r="M276" s="101">
        <v>79391</v>
      </c>
      <c r="N276" s="101">
        <v>186165</v>
      </c>
      <c r="O276" s="101">
        <v>97896</v>
      </c>
      <c r="P276" s="101">
        <v>245347</v>
      </c>
      <c r="Q276" s="101">
        <v>51702</v>
      </c>
      <c r="R276" s="101">
        <v>15027</v>
      </c>
      <c r="S276" s="101"/>
      <c r="T276" t="s">
        <v>389</v>
      </c>
      <c r="U276" s="101">
        <f t="shared" si="12"/>
        <v>1089946</v>
      </c>
      <c r="V276" s="101">
        <v>864683000</v>
      </c>
      <c r="W276" s="101">
        <v>552556972</v>
      </c>
      <c r="X276" s="101">
        <v>16259</v>
      </c>
      <c r="Y276" s="101">
        <v>33708</v>
      </c>
      <c r="Z276" s="101">
        <v>4492</v>
      </c>
      <c r="AA276" s="101">
        <v>268</v>
      </c>
      <c r="AB276" s="101">
        <v>7630</v>
      </c>
      <c r="AC276" s="101">
        <v>1850</v>
      </c>
      <c r="AD276" s="101">
        <v>809</v>
      </c>
      <c r="AE276" s="101">
        <v>24391</v>
      </c>
      <c r="AF276" s="101">
        <v>2380</v>
      </c>
      <c r="AG276" s="101">
        <f t="shared" si="13"/>
        <v>686032.97199999995</v>
      </c>
      <c r="AH276" s="101">
        <v>230359</v>
      </c>
      <c r="AI276" s="101">
        <f t="shared" si="14"/>
        <v>2978.1036208700334</v>
      </c>
      <c r="AJ276" t="s">
        <v>439</v>
      </c>
      <c r="AN276" t="s">
        <v>296</v>
      </c>
      <c r="AO276" s="259">
        <v>1975.5380024574338</v>
      </c>
      <c r="AP276" t="s">
        <v>116</v>
      </c>
    </row>
    <row r="277" spans="2:42" x14ac:dyDescent="0.25">
      <c r="B277" t="s">
        <v>158</v>
      </c>
      <c r="C277" s="101">
        <v>60376</v>
      </c>
      <c r="D277" s="101">
        <v>1055</v>
      </c>
      <c r="E277" s="101">
        <v>623</v>
      </c>
      <c r="F277" s="101">
        <v>1741</v>
      </c>
      <c r="G277" s="101">
        <v>1175</v>
      </c>
      <c r="H277" s="101">
        <v>12317</v>
      </c>
      <c r="I277" s="101">
        <v>3881</v>
      </c>
      <c r="J277" s="101">
        <v>3217</v>
      </c>
      <c r="K277" s="101">
        <v>646</v>
      </c>
      <c r="L277" s="101">
        <v>2225</v>
      </c>
      <c r="M277" s="101">
        <v>4798</v>
      </c>
      <c r="N277" s="101">
        <v>6360</v>
      </c>
      <c r="O277" s="101">
        <v>6659</v>
      </c>
      <c r="P277" s="101">
        <v>9548</v>
      </c>
      <c r="Q277" s="101">
        <v>4232</v>
      </c>
      <c r="R277" s="101">
        <v>1899</v>
      </c>
      <c r="S277" s="101"/>
      <c r="T277" t="s">
        <v>158</v>
      </c>
      <c r="U277" s="101">
        <f t="shared" si="12"/>
        <v>56957</v>
      </c>
      <c r="V277" s="101">
        <v>43029000</v>
      </c>
      <c r="W277" s="101">
        <v>36299878</v>
      </c>
      <c r="X277" s="101">
        <v>2401</v>
      </c>
      <c r="Y277" s="101">
        <v>1823</v>
      </c>
      <c r="Z277" s="101">
        <v>472</v>
      </c>
      <c r="AA277" s="101">
        <v>0</v>
      </c>
      <c r="AB277" s="101">
        <v>568</v>
      </c>
      <c r="AC277" s="101">
        <v>21</v>
      </c>
      <c r="AD277" s="101">
        <v>245</v>
      </c>
      <c r="AE277" s="101">
        <v>2</v>
      </c>
      <c r="AF277" s="101">
        <v>16</v>
      </c>
      <c r="AG277" s="101">
        <f t="shared" si="13"/>
        <v>44679.877999999997</v>
      </c>
      <c r="AH277" s="101">
        <v>21508</v>
      </c>
      <c r="AI277" s="101">
        <f t="shared" si="14"/>
        <v>2077.3608889715456</v>
      </c>
      <c r="AJ277" t="s">
        <v>465</v>
      </c>
      <c r="AN277" t="s">
        <v>259</v>
      </c>
      <c r="AO277" s="259">
        <v>2132.8456441002986</v>
      </c>
      <c r="AP277" t="s">
        <v>116</v>
      </c>
    </row>
    <row r="278" spans="2:42" x14ac:dyDescent="0.25">
      <c r="B278" t="s">
        <v>159</v>
      </c>
      <c r="C278" s="101">
        <v>152684</v>
      </c>
      <c r="D278" s="101">
        <v>2565</v>
      </c>
      <c r="E278" s="101">
        <v>367</v>
      </c>
      <c r="F278" s="101">
        <v>7194</v>
      </c>
      <c r="G278" s="101">
        <v>32462</v>
      </c>
      <c r="H278" s="101">
        <v>19588</v>
      </c>
      <c r="I278" s="101">
        <v>3581</v>
      </c>
      <c r="J278" s="101">
        <v>3358</v>
      </c>
      <c r="K278" s="101">
        <v>3289</v>
      </c>
      <c r="L278" s="101">
        <v>4224</v>
      </c>
      <c r="M278" s="101">
        <v>11518</v>
      </c>
      <c r="N278" s="101">
        <v>13892</v>
      </c>
      <c r="O278" s="101">
        <v>16966</v>
      </c>
      <c r="P278" s="101">
        <v>19704</v>
      </c>
      <c r="Q278" s="101">
        <v>9352</v>
      </c>
      <c r="R278" s="101">
        <v>4624</v>
      </c>
      <c r="S278" s="101"/>
      <c r="T278" t="s">
        <v>159</v>
      </c>
      <c r="U278" s="101">
        <f t="shared" si="12"/>
        <v>142558</v>
      </c>
      <c r="V278" s="101">
        <v>86943000</v>
      </c>
      <c r="W278" s="101">
        <v>69242022</v>
      </c>
      <c r="X278" s="101">
        <v>3921</v>
      </c>
      <c r="Y278" s="101">
        <v>2499</v>
      </c>
      <c r="Z278" s="101">
        <v>536</v>
      </c>
      <c r="AA278" s="101">
        <v>650</v>
      </c>
      <c r="AB278" s="101">
        <v>975</v>
      </c>
      <c r="AC278" s="101">
        <v>31</v>
      </c>
      <c r="AD278" s="101">
        <v>81</v>
      </c>
      <c r="AE278" s="101">
        <v>0</v>
      </c>
      <c r="AF278" s="101">
        <v>59</v>
      </c>
      <c r="AG278" s="101">
        <f t="shared" si="13"/>
        <v>116105.022</v>
      </c>
      <c r="AH278" s="101">
        <v>34115</v>
      </c>
      <c r="AI278" s="101">
        <f t="shared" si="14"/>
        <v>3403.3422834530265</v>
      </c>
      <c r="AJ278" t="s">
        <v>116</v>
      </c>
      <c r="AN278" t="s">
        <v>330</v>
      </c>
      <c r="AO278" s="259">
        <v>2095.6831111922588</v>
      </c>
      <c r="AP278" t="s">
        <v>116</v>
      </c>
    </row>
    <row r="279" spans="2:42" x14ac:dyDescent="0.25">
      <c r="B279" t="s">
        <v>113</v>
      </c>
      <c r="C279" s="101">
        <v>108181</v>
      </c>
      <c r="D279" s="101">
        <v>3145</v>
      </c>
      <c r="E279" s="101">
        <v>1479</v>
      </c>
      <c r="F279" s="101">
        <v>3888</v>
      </c>
      <c r="G279" s="101">
        <v>27512</v>
      </c>
      <c r="H279" s="101">
        <v>8892</v>
      </c>
      <c r="I279" s="101">
        <v>2777</v>
      </c>
      <c r="J279" s="101">
        <v>3740</v>
      </c>
      <c r="K279" s="101">
        <v>2855</v>
      </c>
      <c r="L279" s="101">
        <v>3325</v>
      </c>
      <c r="M279" s="101">
        <v>6945</v>
      </c>
      <c r="N279" s="101">
        <v>12676</v>
      </c>
      <c r="O279" s="101">
        <v>9843</v>
      </c>
      <c r="P279" s="101">
        <v>12852</v>
      </c>
      <c r="Q279" s="101">
        <v>6535</v>
      </c>
      <c r="R279" s="101">
        <v>1717</v>
      </c>
      <c r="S279" s="101"/>
      <c r="T279" t="s">
        <v>113</v>
      </c>
      <c r="U279" s="101">
        <f t="shared" si="12"/>
        <v>99669</v>
      </c>
      <c r="V279" s="101">
        <v>77371000</v>
      </c>
      <c r="W279" s="101">
        <v>63730027</v>
      </c>
      <c r="X279" s="101">
        <v>3469</v>
      </c>
      <c r="Y279" s="101">
        <v>3747</v>
      </c>
      <c r="Z279" s="101">
        <v>849</v>
      </c>
      <c r="AA279" s="101">
        <v>484</v>
      </c>
      <c r="AB279" s="101">
        <v>879</v>
      </c>
      <c r="AC279" s="101">
        <v>324</v>
      </c>
      <c r="AD279" s="101">
        <v>517</v>
      </c>
      <c r="AE279" s="101">
        <v>0</v>
      </c>
      <c r="AF279" s="101">
        <v>123</v>
      </c>
      <c r="AG279" s="101">
        <f t="shared" si="13"/>
        <v>75636.027000000002</v>
      </c>
      <c r="AH279" s="101">
        <v>35013</v>
      </c>
      <c r="AI279" s="101">
        <f t="shared" si="14"/>
        <v>2160.22697283866</v>
      </c>
      <c r="AJ279" t="s">
        <v>465</v>
      </c>
      <c r="AN279" t="s">
        <v>975</v>
      </c>
      <c r="AO279" s="259">
        <v>2276.2160303533319</v>
      </c>
      <c r="AP279" t="s">
        <v>116</v>
      </c>
    </row>
    <row r="280" spans="2:42" x14ac:dyDescent="0.25">
      <c r="B280" t="s">
        <v>136</v>
      </c>
      <c r="C280" s="101">
        <v>108706</v>
      </c>
      <c r="D280" s="101">
        <v>279</v>
      </c>
      <c r="E280" s="101">
        <v>609</v>
      </c>
      <c r="F280" s="101">
        <v>4368</v>
      </c>
      <c r="G280" s="101">
        <v>29068</v>
      </c>
      <c r="H280" s="101">
        <v>9595</v>
      </c>
      <c r="I280" s="101">
        <v>2796</v>
      </c>
      <c r="J280" s="101">
        <v>3509</v>
      </c>
      <c r="K280" s="101">
        <v>189</v>
      </c>
      <c r="L280" s="101">
        <v>4540</v>
      </c>
      <c r="M280" s="101">
        <v>6049</v>
      </c>
      <c r="N280" s="101">
        <v>16426</v>
      </c>
      <c r="O280" s="101">
        <v>10479</v>
      </c>
      <c r="P280" s="101">
        <v>12223</v>
      </c>
      <c r="Q280" s="101">
        <v>8432</v>
      </c>
      <c r="R280" s="101">
        <v>144</v>
      </c>
      <c r="S280" s="101"/>
      <c r="T280" t="s">
        <v>136</v>
      </c>
      <c r="U280" s="101">
        <f t="shared" si="12"/>
        <v>103450</v>
      </c>
      <c r="V280" s="101">
        <v>85816000</v>
      </c>
      <c r="W280" s="101">
        <v>69229991</v>
      </c>
      <c r="X280" s="101">
        <v>2376</v>
      </c>
      <c r="Y280" s="101">
        <v>3727</v>
      </c>
      <c r="Z280" s="101">
        <v>618</v>
      </c>
      <c r="AA280" s="101">
        <v>17</v>
      </c>
      <c r="AB280" s="101">
        <v>497</v>
      </c>
      <c r="AC280" s="101">
        <v>233</v>
      </c>
      <c r="AD280" s="101">
        <v>460</v>
      </c>
      <c r="AE280" s="101">
        <v>0</v>
      </c>
      <c r="AF280" s="101">
        <v>199</v>
      </c>
      <c r="AG280" s="101">
        <f t="shared" si="13"/>
        <v>78736.990999999995</v>
      </c>
      <c r="AH280" s="101">
        <v>32823</v>
      </c>
      <c r="AI280" s="101">
        <f t="shared" si="14"/>
        <v>2398.8359077476161</v>
      </c>
      <c r="AJ280" t="s">
        <v>116</v>
      </c>
      <c r="AN280" t="s">
        <v>303</v>
      </c>
      <c r="AO280" s="259">
        <v>2467.8966785426965</v>
      </c>
      <c r="AP280" t="s">
        <v>116</v>
      </c>
    </row>
    <row r="281" spans="2:42" x14ac:dyDescent="0.25">
      <c r="B281" t="s">
        <v>272</v>
      </c>
      <c r="C281" s="101">
        <v>34928</v>
      </c>
      <c r="D281" s="101">
        <v>4</v>
      </c>
      <c r="E281" s="101">
        <v>537</v>
      </c>
      <c r="F281" s="101">
        <v>1723</v>
      </c>
      <c r="G281" s="101">
        <v>1793</v>
      </c>
      <c r="H281" s="101">
        <v>7073</v>
      </c>
      <c r="I281" s="101">
        <v>1506</v>
      </c>
      <c r="J281" s="101">
        <v>2277</v>
      </c>
      <c r="K281" s="101">
        <v>83</v>
      </c>
      <c r="L281" s="101">
        <v>605</v>
      </c>
      <c r="M281" s="101">
        <v>2311</v>
      </c>
      <c r="N281" s="101">
        <v>4208</v>
      </c>
      <c r="O281" s="101">
        <v>5254</v>
      </c>
      <c r="P281" s="101">
        <v>2856</v>
      </c>
      <c r="Q281" s="101">
        <v>3386</v>
      </c>
      <c r="R281" s="101">
        <v>1312</v>
      </c>
      <c r="S281" s="101"/>
      <c r="T281" t="s">
        <v>272</v>
      </c>
      <c r="U281" s="101">
        <f t="shared" si="12"/>
        <v>32664</v>
      </c>
      <c r="V281" s="101">
        <v>25430000</v>
      </c>
      <c r="W281" s="101">
        <v>21242996</v>
      </c>
      <c r="X281" s="101">
        <v>1281</v>
      </c>
      <c r="Y281" s="101">
        <v>1888</v>
      </c>
      <c r="Z281" s="101">
        <v>257</v>
      </c>
      <c r="AA281" s="101">
        <v>16</v>
      </c>
      <c r="AB281" s="101">
        <v>206</v>
      </c>
      <c r="AC281" s="101">
        <v>81</v>
      </c>
      <c r="AD281" s="101">
        <v>114</v>
      </c>
      <c r="AE281" s="101">
        <v>0</v>
      </c>
      <c r="AF281" s="101">
        <v>23</v>
      </c>
      <c r="AG281" s="101">
        <f t="shared" si="13"/>
        <v>24610.995999999999</v>
      </c>
      <c r="AH281" s="101">
        <v>13423</v>
      </c>
      <c r="AI281" s="101">
        <f t="shared" si="14"/>
        <v>1833.4944498249274</v>
      </c>
      <c r="AJ281" t="s">
        <v>465</v>
      </c>
      <c r="AN281" t="s">
        <v>150</v>
      </c>
      <c r="AO281" s="259">
        <v>2400.8996889248733</v>
      </c>
      <c r="AP281" t="s">
        <v>116</v>
      </c>
    </row>
    <row r="282" spans="2:42" x14ac:dyDescent="0.25">
      <c r="B282" t="s">
        <v>273</v>
      </c>
      <c r="C282" s="101">
        <v>100975</v>
      </c>
      <c r="D282" s="101">
        <v>2430</v>
      </c>
      <c r="E282" s="101">
        <v>2092</v>
      </c>
      <c r="F282" s="101">
        <v>5170</v>
      </c>
      <c r="G282" s="101">
        <v>8084</v>
      </c>
      <c r="H282" s="101">
        <v>14915</v>
      </c>
      <c r="I282" s="101">
        <v>3309</v>
      </c>
      <c r="J282" s="101">
        <v>5992</v>
      </c>
      <c r="K282" s="101">
        <v>462</v>
      </c>
      <c r="L282" s="101">
        <v>2800</v>
      </c>
      <c r="M282" s="101">
        <v>4799</v>
      </c>
      <c r="N282" s="101">
        <v>13141</v>
      </c>
      <c r="O282" s="101">
        <v>12263</v>
      </c>
      <c r="P282" s="101">
        <v>14779</v>
      </c>
      <c r="Q282" s="101">
        <v>8586</v>
      </c>
      <c r="R282" s="101">
        <v>2153</v>
      </c>
      <c r="S282" s="101"/>
      <c r="T282" t="s">
        <v>273</v>
      </c>
      <c r="U282" s="101">
        <f t="shared" si="12"/>
        <v>91283</v>
      </c>
      <c r="V282" s="101">
        <v>72554000</v>
      </c>
      <c r="W282" s="101">
        <v>58398316</v>
      </c>
      <c r="X282" s="101">
        <v>4685</v>
      </c>
      <c r="Y282" s="101">
        <v>4696</v>
      </c>
      <c r="Z282" s="101">
        <v>694</v>
      </c>
      <c r="AA282" s="101">
        <v>354</v>
      </c>
      <c r="AB282" s="101">
        <v>927</v>
      </c>
      <c r="AC282" s="101">
        <v>111</v>
      </c>
      <c r="AD282" s="101">
        <v>194</v>
      </c>
      <c r="AE282" s="101">
        <v>2</v>
      </c>
      <c r="AF282" s="101">
        <v>35</v>
      </c>
      <c r="AG282" s="101">
        <f t="shared" si="13"/>
        <v>65429.315999999992</v>
      </c>
      <c r="AH282" s="101">
        <v>32117</v>
      </c>
      <c r="AI282" s="101">
        <f t="shared" si="14"/>
        <v>2037.2175483388858</v>
      </c>
      <c r="AJ282" t="s">
        <v>465</v>
      </c>
      <c r="AN282" t="s">
        <v>410</v>
      </c>
      <c r="AO282" s="259">
        <v>2236.3376596873595</v>
      </c>
      <c r="AP282" t="s">
        <v>116</v>
      </c>
    </row>
    <row r="283" spans="2:42" x14ac:dyDescent="0.25">
      <c r="B283" t="s">
        <v>431</v>
      </c>
      <c r="C283" s="101">
        <v>79480</v>
      </c>
      <c r="D283" s="101">
        <v>5537</v>
      </c>
      <c r="E283" s="101">
        <v>2580</v>
      </c>
      <c r="F283" s="101">
        <v>3374</v>
      </c>
      <c r="G283" s="101">
        <v>19961</v>
      </c>
      <c r="H283" s="101">
        <v>4829</v>
      </c>
      <c r="I283" s="101">
        <v>1699</v>
      </c>
      <c r="J283" s="101">
        <v>2849</v>
      </c>
      <c r="K283" s="101">
        <v>10990</v>
      </c>
      <c r="L283" s="101">
        <v>3186</v>
      </c>
      <c r="M283" s="101">
        <v>3699</v>
      </c>
      <c r="N283" s="101">
        <v>5523</v>
      </c>
      <c r="O283" s="101">
        <v>3562</v>
      </c>
      <c r="P283" s="101">
        <v>5268</v>
      </c>
      <c r="Q283" s="101">
        <v>5645</v>
      </c>
      <c r="R283" s="101">
        <v>778</v>
      </c>
      <c r="S283" s="101"/>
      <c r="T283" t="s">
        <v>431</v>
      </c>
      <c r="U283" s="101">
        <f t="shared" si="12"/>
        <v>67989</v>
      </c>
      <c r="V283" s="101">
        <v>45874000</v>
      </c>
      <c r="W283" s="101">
        <v>38293834</v>
      </c>
      <c r="X283" s="101">
        <v>2356</v>
      </c>
      <c r="Y283" s="101">
        <v>2266</v>
      </c>
      <c r="Z283" s="101">
        <v>198</v>
      </c>
      <c r="AA283" s="101">
        <v>400</v>
      </c>
      <c r="AB283" s="101">
        <v>610</v>
      </c>
      <c r="AC283" s="101">
        <v>800</v>
      </c>
      <c r="AD283" s="101">
        <v>133</v>
      </c>
      <c r="AE283" s="101">
        <v>0</v>
      </c>
      <c r="AF283" s="101">
        <v>26</v>
      </c>
      <c r="AG283" s="101">
        <f t="shared" si="13"/>
        <v>53619.834000000003</v>
      </c>
      <c r="AH283" s="101">
        <v>22172</v>
      </c>
      <c r="AI283" s="101">
        <f t="shared" si="14"/>
        <v>2418.3580191232186</v>
      </c>
      <c r="AJ283" t="s">
        <v>465</v>
      </c>
      <c r="AN283" t="s">
        <v>774</v>
      </c>
      <c r="AO283" s="259">
        <v>2418.5570825232958</v>
      </c>
      <c r="AP283" t="s">
        <v>116</v>
      </c>
    </row>
    <row r="284" spans="2:42" x14ac:dyDescent="0.25">
      <c r="B284" t="s">
        <v>728</v>
      </c>
      <c r="C284" s="101">
        <v>2084930</v>
      </c>
      <c r="D284" s="101">
        <v>154488</v>
      </c>
      <c r="E284" s="101">
        <v>35695</v>
      </c>
      <c r="F284" s="101">
        <v>81096</v>
      </c>
      <c r="G284" s="101">
        <v>517672</v>
      </c>
      <c r="H284" s="101">
        <v>53788</v>
      </c>
      <c r="I284" s="101">
        <v>51989</v>
      </c>
      <c r="J284" s="101">
        <v>102238</v>
      </c>
      <c r="K284" s="101">
        <v>30756</v>
      </c>
      <c r="L284" s="101">
        <v>77090</v>
      </c>
      <c r="M284" s="101">
        <v>142114</v>
      </c>
      <c r="N284" s="101">
        <v>235832</v>
      </c>
      <c r="O284" s="101">
        <v>175618</v>
      </c>
      <c r="P284" s="101">
        <v>289021</v>
      </c>
      <c r="Q284" s="101">
        <v>114297</v>
      </c>
      <c r="R284" s="101">
        <v>23236</v>
      </c>
      <c r="S284" s="101"/>
      <c r="T284" t="s">
        <v>728</v>
      </c>
      <c r="U284" s="101">
        <f t="shared" si="12"/>
        <v>1813651</v>
      </c>
      <c r="V284" s="101">
        <v>1277564000</v>
      </c>
      <c r="W284" s="101">
        <v>896935677</v>
      </c>
      <c r="X284" s="101">
        <v>51190</v>
      </c>
      <c r="Y284" s="101">
        <v>65546</v>
      </c>
      <c r="Z284" s="101">
        <v>7789</v>
      </c>
      <c r="AA284" s="101">
        <v>1366</v>
      </c>
      <c r="AB284" s="101">
        <v>20145</v>
      </c>
      <c r="AC284" s="101">
        <v>4918</v>
      </c>
      <c r="AD284" s="101">
        <v>7352</v>
      </c>
      <c r="AE284" s="101">
        <v>89099</v>
      </c>
      <c r="AF284" s="101">
        <v>2811</v>
      </c>
      <c r="AG284" s="101">
        <f t="shared" si="13"/>
        <v>1182806.6770000001</v>
      </c>
      <c r="AH284" s="101">
        <v>376435</v>
      </c>
      <c r="AI284" s="101">
        <f t="shared" si="14"/>
        <v>3142.1272649992702</v>
      </c>
      <c r="AJ284" t="s">
        <v>439</v>
      </c>
      <c r="AN284" t="s">
        <v>305</v>
      </c>
      <c r="AO284" s="259">
        <v>2267.4135905810026</v>
      </c>
      <c r="AP284" t="s">
        <v>116</v>
      </c>
    </row>
    <row r="285" spans="2:42" x14ac:dyDescent="0.25">
      <c r="B285" t="s">
        <v>230</v>
      </c>
      <c r="C285" s="101">
        <v>156901</v>
      </c>
      <c r="D285" s="101">
        <v>2547</v>
      </c>
      <c r="E285" s="101">
        <v>2090</v>
      </c>
      <c r="F285" s="101">
        <v>6965</v>
      </c>
      <c r="G285" s="101">
        <v>33910</v>
      </c>
      <c r="H285" s="101">
        <v>12729</v>
      </c>
      <c r="I285" s="101">
        <v>8258</v>
      </c>
      <c r="J285" s="101">
        <v>4172</v>
      </c>
      <c r="K285" s="101">
        <v>316</v>
      </c>
      <c r="L285" s="101">
        <v>3756</v>
      </c>
      <c r="M285" s="101">
        <v>7788</v>
      </c>
      <c r="N285" s="101">
        <v>19739</v>
      </c>
      <c r="O285" s="101">
        <v>22678</v>
      </c>
      <c r="P285" s="101">
        <v>15328</v>
      </c>
      <c r="Q285" s="101">
        <v>13128</v>
      </c>
      <c r="R285" s="101">
        <v>3497</v>
      </c>
      <c r="S285" s="101"/>
      <c r="T285" t="s">
        <v>230</v>
      </c>
      <c r="U285" s="101">
        <f t="shared" si="12"/>
        <v>145299</v>
      </c>
      <c r="V285" s="101">
        <v>108408000</v>
      </c>
      <c r="W285" s="101">
        <v>89290510</v>
      </c>
      <c r="X285" s="101">
        <v>8413</v>
      </c>
      <c r="Y285" s="101">
        <v>7406</v>
      </c>
      <c r="Z285" s="101">
        <v>1079</v>
      </c>
      <c r="AA285" s="101">
        <v>1329</v>
      </c>
      <c r="AB285" s="101">
        <v>1849</v>
      </c>
      <c r="AC285" s="101">
        <v>252</v>
      </c>
      <c r="AD285" s="101">
        <v>2256</v>
      </c>
      <c r="AE285" s="101">
        <v>22</v>
      </c>
      <c r="AF285" s="101">
        <v>234</v>
      </c>
      <c r="AG285" s="101">
        <f t="shared" si="13"/>
        <v>103341.51</v>
      </c>
      <c r="AH285" s="101">
        <v>50941</v>
      </c>
      <c r="AI285" s="101">
        <f t="shared" si="14"/>
        <v>2028.6509883983431</v>
      </c>
      <c r="AJ285" t="s">
        <v>465</v>
      </c>
      <c r="AN285" t="s">
        <v>264</v>
      </c>
      <c r="AO285" s="259">
        <v>2568.2027512352265</v>
      </c>
      <c r="AP285" t="s">
        <v>116</v>
      </c>
    </row>
    <row r="286" spans="2:42" x14ac:dyDescent="0.25">
      <c r="B286" t="s">
        <v>421</v>
      </c>
      <c r="C286" s="101">
        <v>43905</v>
      </c>
      <c r="D286" s="101">
        <v>0</v>
      </c>
      <c r="E286" s="101">
        <v>392</v>
      </c>
      <c r="F286" s="101">
        <v>1734</v>
      </c>
      <c r="G286" s="101">
        <v>10718</v>
      </c>
      <c r="H286" s="101">
        <v>3484</v>
      </c>
      <c r="I286" s="101">
        <v>1319</v>
      </c>
      <c r="J286" s="101">
        <v>1420</v>
      </c>
      <c r="K286" s="101">
        <v>297</v>
      </c>
      <c r="L286" s="101">
        <v>786</v>
      </c>
      <c r="M286" s="101">
        <v>2933</v>
      </c>
      <c r="N286" s="101">
        <v>8557</v>
      </c>
      <c r="O286" s="101">
        <v>2446</v>
      </c>
      <c r="P286" s="101">
        <v>5664</v>
      </c>
      <c r="Q286" s="101">
        <v>3651</v>
      </c>
      <c r="R286" s="101">
        <v>504</v>
      </c>
      <c r="S286" s="101"/>
      <c r="T286" t="s">
        <v>421</v>
      </c>
      <c r="U286" s="101">
        <f t="shared" si="12"/>
        <v>41779</v>
      </c>
      <c r="V286" s="101">
        <v>33211000</v>
      </c>
      <c r="W286" s="101">
        <v>24134292</v>
      </c>
      <c r="X286" s="101">
        <v>1597</v>
      </c>
      <c r="Y286" s="101">
        <v>2313</v>
      </c>
      <c r="Z286" s="101">
        <v>103</v>
      </c>
      <c r="AA286" s="101">
        <v>0</v>
      </c>
      <c r="AB286" s="101">
        <v>230</v>
      </c>
      <c r="AC286" s="101">
        <v>54</v>
      </c>
      <c r="AD286" s="101">
        <v>1803</v>
      </c>
      <c r="AE286" s="101">
        <v>807</v>
      </c>
      <c r="AF286" s="101">
        <v>21</v>
      </c>
      <c r="AG286" s="101">
        <f t="shared" si="13"/>
        <v>25774.292000000001</v>
      </c>
      <c r="AH286" s="101">
        <v>10015</v>
      </c>
      <c r="AI286" s="101">
        <f t="shared" si="14"/>
        <v>2573.5688467299051</v>
      </c>
      <c r="AJ286" t="s">
        <v>439</v>
      </c>
      <c r="AN286" t="s">
        <v>412</v>
      </c>
      <c r="AO286" s="259">
        <v>2124.2023944959096</v>
      </c>
      <c r="AP286" t="s">
        <v>116</v>
      </c>
    </row>
    <row r="287" spans="2:42" x14ac:dyDescent="0.25">
      <c r="B287" t="s">
        <v>422</v>
      </c>
      <c r="C287" s="101">
        <v>69351</v>
      </c>
      <c r="D287" s="101">
        <v>147</v>
      </c>
      <c r="E287" s="101">
        <v>127</v>
      </c>
      <c r="F287" s="101">
        <v>5249</v>
      </c>
      <c r="G287" s="101">
        <v>14129</v>
      </c>
      <c r="H287" s="101">
        <v>5528</v>
      </c>
      <c r="I287" s="101">
        <v>2551</v>
      </c>
      <c r="J287" s="101">
        <v>3995</v>
      </c>
      <c r="K287" s="101">
        <v>2976</v>
      </c>
      <c r="L287" s="101">
        <v>1232</v>
      </c>
      <c r="M287" s="101">
        <v>4222</v>
      </c>
      <c r="N287" s="101">
        <v>7148</v>
      </c>
      <c r="O287" s="101">
        <v>7015</v>
      </c>
      <c r="P287" s="101">
        <v>9330</v>
      </c>
      <c r="Q287" s="101">
        <v>4589</v>
      </c>
      <c r="R287" s="101">
        <v>1113</v>
      </c>
      <c r="S287" s="101"/>
      <c r="T287" t="s">
        <v>422</v>
      </c>
      <c r="U287" s="101">
        <f t="shared" si="12"/>
        <v>63828</v>
      </c>
      <c r="V287" s="101">
        <v>43827000</v>
      </c>
      <c r="W287" s="101">
        <v>34372064</v>
      </c>
      <c r="X287" s="101">
        <v>2303</v>
      </c>
      <c r="Y287" s="101">
        <v>2211</v>
      </c>
      <c r="Z287" s="101">
        <v>403</v>
      </c>
      <c r="AA287" s="101">
        <v>139</v>
      </c>
      <c r="AB287" s="101">
        <v>651</v>
      </c>
      <c r="AC287" s="101">
        <v>327</v>
      </c>
      <c r="AD287" s="101">
        <v>3440</v>
      </c>
      <c r="AE287" s="101">
        <v>2962</v>
      </c>
      <c r="AF287" s="101">
        <v>58</v>
      </c>
      <c r="AG287" s="101">
        <f t="shared" si="13"/>
        <v>41879.063999999998</v>
      </c>
      <c r="AH287" s="101">
        <v>16460</v>
      </c>
      <c r="AI287" s="101">
        <f t="shared" si="14"/>
        <v>2544.2930741190767</v>
      </c>
      <c r="AJ287" t="s">
        <v>116</v>
      </c>
      <c r="AN287" t="s">
        <v>111</v>
      </c>
      <c r="AO287" s="285">
        <v>2157</v>
      </c>
      <c r="AP287" t="s">
        <v>116</v>
      </c>
    </row>
    <row r="288" spans="2:42" x14ac:dyDescent="0.25">
      <c r="B288" t="s">
        <v>391</v>
      </c>
      <c r="C288" s="101">
        <v>109643</v>
      </c>
      <c r="D288" s="101">
        <v>1890</v>
      </c>
      <c r="E288" s="101">
        <v>1109</v>
      </c>
      <c r="F288" s="101">
        <v>5335</v>
      </c>
      <c r="G288" s="101">
        <v>20334</v>
      </c>
      <c r="H288" s="101">
        <v>15290</v>
      </c>
      <c r="I288" s="101">
        <v>2278</v>
      </c>
      <c r="J288" s="101">
        <v>2259</v>
      </c>
      <c r="K288" s="101">
        <v>1179</v>
      </c>
      <c r="L288" s="101">
        <v>3324</v>
      </c>
      <c r="M288" s="101">
        <v>7803</v>
      </c>
      <c r="N288" s="101">
        <v>17519</v>
      </c>
      <c r="O288" s="101">
        <v>9088</v>
      </c>
      <c r="P288" s="101">
        <v>13265</v>
      </c>
      <c r="Q288" s="101">
        <v>7874</v>
      </c>
      <c r="R288" s="101">
        <v>1096</v>
      </c>
      <c r="S288" s="101"/>
      <c r="T288" t="s">
        <v>391</v>
      </c>
      <c r="U288" s="101">
        <f t="shared" si="12"/>
        <v>101309</v>
      </c>
      <c r="V288" s="101">
        <v>80471000</v>
      </c>
      <c r="W288" s="101">
        <v>65322093</v>
      </c>
      <c r="X288" s="101">
        <v>3637</v>
      </c>
      <c r="Y288" s="101">
        <v>4853</v>
      </c>
      <c r="Z288" s="101">
        <v>555</v>
      </c>
      <c r="AA288" s="101">
        <v>188</v>
      </c>
      <c r="AB288" s="101">
        <v>879</v>
      </c>
      <c r="AC288" s="101">
        <v>237</v>
      </c>
      <c r="AD288" s="101">
        <v>0</v>
      </c>
      <c r="AE288" s="101">
        <v>701</v>
      </c>
      <c r="AF288" s="101">
        <v>255</v>
      </c>
      <c r="AG288" s="101">
        <f t="shared" si="13"/>
        <v>74855.092999999993</v>
      </c>
      <c r="AH288" s="101">
        <v>31958</v>
      </c>
      <c r="AI288" s="101">
        <f t="shared" si="14"/>
        <v>2342.2959196445336</v>
      </c>
      <c r="AJ288" t="s">
        <v>116</v>
      </c>
      <c r="AN288" t="s">
        <v>188</v>
      </c>
      <c r="AO288" s="259">
        <v>2332.4499107963452</v>
      </c>
      <c r="AP288" t="s">
        <v>116</v>
      </c>
    </row>
    <row r="289" spans="2:42" x14ac:dyDescent="0.25">
      <c r="B289" t="s">
        <v>124</v>
      </c>
      <c r="C289" s="101">
        <v>135499</v>
      </c>
      <c r="D289" s="101">
        <v>1856</v>
      </c>
      <c r="E289" s="101">
        <v>534</v>
      </c>
      <c r="F289" s="101">
        <v>3565</v>
      </c>
      <c r="G289" s="101">
        <v>23582</v>
      </c>
      <c r="H289" s="101">
        <v>10894</v>
      </c>
      <c r="I289" s="101">
        <v>1983</v>
      </c>
      <c r="J289" s="101">
        <v>4016</v>
      </c>
      <c r="K289" s="101">
        <v>2654</v>
      </c>
      <c r="L289" s="101">
        <v>3161</v>
      </c>
      <c r="M289" s="101">
        <v>5723</v>
      </c>
      <c r="N289" s="101">
        <v>30590</v>
      </c>
      <c r="O289" s="101">
        <v>21083</v>
      </c>
      <c r="P289" s="101">
        <v>17787</v>
      </c>
      <c r="Q289" s="101">
        <v>6822</v>
      </c>
      <c r="R289" s="101">
        <v>1249</v>
      </c>
      <c r="S289" s="101"/>
      <c r="T289" t="s">
        <v>124</v>
      </c>
      <c r="U289" s="101">
        <f t="shared" si="12"/>
        <v>129544</v>
      </c>
      <c r="V289" s="101">
        <v>101195000</v>
      </c>
      <c r="W289" s="101">
        <v>72474025</v>
      </c>
      <c r="X289" s="101">
        <v>2458</v>
      </c>
      <c r="Y289" s="101">
        <v>4886</v>
      </c>
      <c r="Z289" s="101">
        <v>315</v>
      </c>
      <c r="AA289" s="101">
        <v>83</v>
      </c>
      <c r="AB289" s="101">
        <v>394</v>
      </c>
      <c r="AC289" s="101">
        <v>45</v>
      </c>
      <c r="AD289" s="101">
        <v>0</v>
      </c>
      <c r="AE289" s="101">
        <v>0</v>
      </c>
      <c r="AF289" s="101">
        <v>27</v>
      </c>
      <c r="AG289" s="101">
        <f t="shared" si="13"/>
        <v>92615.024999999994</v>
      </c>
      <c r="AH289" s="101">
        <v>27688</v>
      </c>
      <c r="AI289" s="101">
        <f t="shared" si="14"/>
        <v>3344.951784166426</v>
      </c>
      <c r="AJ289" t="s">
        <v>439</v>
      </c>
      <c r="AN289" t="s">
        <v>223</v>
      </c>
      <c r="AO289" s="259">
        <v>2516.7059475655433</v>
      </c>
      <c r="AP289" t="s">
        <v>116</v>
      </c>
    </row>
    <row r="290" spans="2:42" x14ac:dyDescent="0.25">
      <c r="B290" t="s">
        <v>231</v>
      </c>
      <c r="C290" s="101">
        <v>253946</v>
      </c>
      <c r="D290" s="101">
        <v>7905</v>
      </c>
      <c r="E290" s="101">
        <v>3432</v>
      </c>
      <c r="F290" s="101">
        <v>11752</v>
      </c>
      <c r="G290" s="101">
        <v>52716</v>
      </c>
      <c r="H290" s="101">
        <v>15817</v>
      </c>
      <c r="I290" s="101">
        <v>5335</v>
      </c>
      <c r="J290" s="101">
        <v>8029</v>
      </c>
      <c r="K290" s="101">
        <v>1968</v>
      </c>
      <c r="L290" s="101">
        <v>6139</v>
      </c>
      <c r="M290" s="101">
        <v>19941</v>
      </c>
      <c r="N290" s="101">
        <v>36805</v>
      </c>
      <c r="O290" s="101">
        <v>37519</v>
      </c>
      <c r="P290" s="101">
        <v>26692</v>
      </c>
      <c r="Q290" s="101">
        <v>18204</v>
      </c>
      <c r="R290" s="101">
        <v>1692</v>
      </c>
      <c r="S290" s="101"/>
      <c r="T290" t="s">
        <v>231</v>
      </c>
      <c r="U290" s="101">
        <f t="shared" si="12"/>
        <v>230857</v>
      </c>
      <c r="V290" s="101">
        <v>183924000</v>
      </c>
      <c r="W290" s="101">
        <v>147312110</v>
      </c>
      <c r="X290" s="101">
        <v>5153</v>
      </c>
      <c r="Y290" s="101">
        <v>9008</v>
      </c>
      <c r="Z290" s="101">
        <v>878</v>
      </c>
      <c r="AA290" s="101">
        <v>999</v>
      </c>
      <c r="AB290" s="101">
        <v>1905</v>
      </c>
      <c r="AC290" s="101">
        <v>85</v>
      </c>
      <c r="AD290" s="101">
        <v>257</v>
      </c>
      <c r="AE290" s="101">
        <v>2993</v>
      </c>
      <c r="AF290" s="101">
        <v>261</v>
      </c>
      <c r="AG290" s="101">
        <f t="shared" si="13"/>
        <v>172706.11</v>
      </c>
      <c r="AH290" s="101">
        <v>70339</v>
      </c>
      <c r="AI290" s="101">
        <f t="shared" si="14"/>
        <v>2455.3392854604131</v>
      </c>
      <c r="AJ290" t="s">
        <v>439</v>
      </c>
      <c r="AN290" t="s">
        <v>475</v>
      </c>
      <c r="AO290" s="259">
        <v>2675.658253635901</v>
      </c>
      <c r="AP290" t="s">
        <v>116</v>
      </c>
    </row>
    <row r="291" spans="2:42" x14ac:dyDescent="0.25">
      <c r="B291" t="s">
        <v>339</v>
      </c>
      <c r="C291" s="101">
        <v>93177</v>
      </c>
      <c r="D291" s="101">
        <v>5593</v>
      </c>
      <c r="E291" s="101">
        <v>630</v>
      </c>
      <c r="F291" s="101">
        <v>3851</v>
      </c>
      <c r="G291" s="101">
        <v>24675</v>
      </c>
      <c r="H291" s="101">
        <v>8128</v>
      </c>
      <c r="I291" s="101">
        <v>3128</v>
      </c>
      <c r="J291" s="101">
        <v>6406</v>
      </c>
      <c r="K291" s="101">
        <v>1201</v>
      </c>
      <c r="L291" s="101">
        <v>2319</v>
      </c>
      <c r="M291" s="101">
        <v>8974</v>
      </c>
      <c r="N291" s="101">
        <v>6072</v>
      </c>
      <c r="O291" s="101">
        <v>6213</v>
      </c>
      <c r="P291" s="101">
        <v>8122</v>
      </c>
      <c r="Q291" s="101">
        <v>6827</v>
      </c>
      <c r="R291" s="101">
        <v>1038</v>
      </c>
      <c r="S291" s="101"/>
      <c r="T291" t="s">
        <v>339</v>
      </c>
      <c r="U291" s="101">
        <f t="shared" si="12"/>
        <v>83103</v>
      </c>
      <c r="V291" s="101">
        <v>43600000</v>
      </c>
      <c r="W291" s="101">
        <v>38296274</v>
      </c>
      <c r="X291" s="101">
        <v>2708</v>
      </c>
      <c r="Y291" s="101">
        <v>4113</v>
      </c>
      <c r="Z291" s="101">
        <v>349</v>
      </c>
      <c r="AA291" s="101">
        <v>596</v>
      </c>
      <c r="AB291" s="101">
        <v>977</v>
      </c>
      <c r="AC291" s="101">
        <v>319</v>
      </c>
      <c r="AD291" s="101">
        <v>10700</v>
      </c>
      <c r="AE291" s="101">
        <v>7582</v>
      </c>
      <c r="AF291" s="101">
        <v>391</v>
      </c>
      <c r="AG291" s="101">
        <f t="shared" si="13"/>
        <v>50064.274000000005</v>
      </c>
      <c r="AH291" s="101">
        <v>21944</v>
      </c>
      <c r="AI291" s="101">
        <f t="shared" si="14"/>
        <v>2281.4561611374411</v>
      </c>
      <c r="AJ291" t="s">
        <v>465</v>
      </c>
      <c r="AN291" t="s">
        <v>597</v>
      </c>
      <c r="AO291" s="259">
        <v>2698.3757166212536</v>
      </c>
      <c r="AP291" t="s">
        <v>116</v>
      </c>
    </row>
    <row r="292" spans="2:42" x14ac:dyDescent="0.25">
      <c r="B292" t="s">
        <v>392</v>
      </c>
      <c r="C292" s="101">
        <v>170650</v>
      </c>
      <c r="D292" s="101">
        <v>12453</v>
      </c>
      <c r="E292" s="101">
        <v>3726</v>
      </c>
      <c r="F292" s="101">
        <v>6824</v>
      </c>
      <c r="G292" s="101">
        <v>35928</v>
      </c>
      <c r="H292" s="101">
        <v>8912</v>
      </c>
      <c r="I292" s="101">
        <v>3281</v>
      </c>
      <c r="J292" s="101">
        <v>5056</v>
      </c>
      <c r="K292" s="101">
        <v>12259</v>
      </c>
      <c r="L292" s="101">
        <v>3112</v>
      </c>
      <c r="M292" s="101">
        <v>10569</v>
      </c>
      <c r="N292" s="101">
        <v>17851</v>
      </c>
      <c r="O292" s="101">
        <v>14717</v>
      </c>
      <c r="P292" s="101">
        <v>18283</v>
      </c>
      <c r="Q292" s="101">
        <v>13549</v>
      </c>
      <c r="R292" s="101">
        <v>4130</v>
      </c>
      <c r="S292" s="101"/>
      <c r="T292" t="s">
        <v>392</v>
      </c>
      <c r="U292" s="101">
        <f t="shared" si="12"/>
        <v>147647</v>
      </c>
      <c r="V292" s="101">
        <v>101327000</v>
      </c>
      <c r="W292" s="101">
        <v>84099232</v>
      </c>
      <c r="X292" s="101">
        <v>5405</v>
      </c>
      <c r="Y292" s="101">
        <v>6108</v>
      </c>
      <c r="Z292" s="101">
        <v>579</v>
      </c>
      <c r="AA292" s="101">
        <v>132</v>
      </c>
      <c r="AB292" s="101">
        <v>1207</v>
      </c>
      <c r="AC292" s="101">
        <v>83</v>
      </c>
      <c r="AD292" s="101">
        <v>456</v>
      </c>
      <c r="AE292" s="101">
        <v>704</v>
      </c>
      <c r="AF292" s="101">
        <v>125</v>
      </c>
      <c r="AG292" s="101">
        <f t="shared" si="13"/>
        <v>115620.232</v>
      </c>
      <c r="AH292" s="101">
        <v>47604</v>
      </c>
      <c r="AI292" s="101">
        <f t="shared" si="14"/>
        <v>2428.7923703890428</v>
      </c>
      <c r="AJ292" t="s">
        <v>465</v>
      </c>
      <c r="AN292" t="s">
        <v>333</v>
      </c>
      <c r="AO292" s="259">
        <v>2657.3688004972032</v>
      </c>
      <c r="AP292" t="s">
        <v>116</v>
      </c>
    </row>
    <row r="293" spans="2:42" x14ac:dyDescent="0.25">
      <c r="B293" t="s">
        <v>274</v>
      </c>
      <c r="C293" s="101">
        <v>263278</v>
      </c>
      <c r="D293" s="101">
        <v>10859</v>
      </c>
      <c r="E293" s="101">
        <v>3246</v>
      </c>
      <c r="F293" s="101">
        <v>10586</v>
      </c>
      <c r="G293" s="101">
        <v>73175</v>
      </c>
      <c r="H293" s="101">
        <v>20704</v>
      </c>
      <c r="I293" s="101">
        <v>9239</v>
      </c>
      <c r="J293" s="101">
        <v>11694</v>
      </c>
      <c r="K293" s="101">
        <v>1584</v>
      </c>
      <c r="L293" s="101">
        <v>5172</v>
      </c>
      <c r="M293" s="101">
        <v>16765</v>
      </c>
      <c r="N293" s="101">
        <v>41560</v>
      </c>
      <c r="O293" s="101">
        <v>18954</v>
      </c>
      <c r="P293" s="101">
        <v>19129</v>
      </c>
      <c r="Q293" s="101">
        <v>19379</v>
      </c>
      <c r="R293" s="101">
        <v>1232</v>
      </c>
      <c r="S293" s="101"/>
      <c r="T293" t="s">
        <v>274</v>
      </c>
      <c r="U293" s="101">
        <f t="shared" si="12"/>
        <v>238587</v>
      </c>
      <c r="V293" s="101">
        <v>183497000</v>
      </c>
      <c r="W293" s="101">
        <v>141046486</v>
      </c>
      <c r="X293" s="101">
        <v>6570</v>
      </c>
      <c r="Y293" s="101">
        <v>13431</v>
      </c>
      <c r="Z293" s="101">
        <v>1430</v>
      </c>
      <c r="AA293" s="101">
        <v>380</v>
      </c>
      <c r="AB293" s="101">
        <v>2411</v>
      </c>
      <c r="AC293" s="101">
        <v>178</v>
      </c>
      <c r="AD293" s="101">
        <v>1111</v>
      </c>
      <c r="AE293" s="101">
        <v>317</v>
      </c>
      <c r="AF293" s="101">
        <v>870</v>
      </c>
      <c r="AG293" s="101">
        <f t="shared" si="13"/>
        <v>169438.486</v>
      </c>
      <c r="AH293" s="101">
        <v>70004</v>
      </c>
      <c r="AI293" s="101">
        <f t="shared" si="14"/>
        <v>2420.4114907719559</v>
      </c>
      <c r="AJ293" t="s">
        <v>116</v>
      </c>
      <c r="AN293" t="s">
        <v>112</v>
      </c>
      <c r="AO293" s="259">
        <v>2217.7386063200306</v>
      </c>
      <c r="AP293" t="s">
        <v>116</v>
      </c>
    </row>
    <row r="294" spans="2:42" x14ac:dyDescent="0.25">
      <c r="B294" t="s">
        <v>423</v>
      </c>
      <c r="C294" s="101">
        <v>601964</v>
      </c>
      <c r="D294" s="101">
        <v>52941</v>
      </c>
      <c r="E294" s="101">
        <v>8543</v>
      </c>
      <c r="F294" s="101">
        <v>14646</v>
      </c>
      <c r="G294" s="101">
        <v>104456</v>
      </c>
      <c r="H294" s="101">
        <v>44670</v>
      </c>
      <c r="I294" s="101">
        <v>13695</v>
      </c>
      <c r="J294" s="101">
        <v>18595</v>
      </c>
      <c r="K294" s="101">
        <v>10165</v>
      </c>
      <c r="L294" s="101">
        <v>14857</v>
      </c>
      <c r="M294" s="101">
        <v>28169</v>
      </c>
      <c r="N294" s="101">
        <v>78278</v>
      </c>
      <c r="O294" s="101">
        <v>48701</v>
      </c>
      <c r="P294" s="101">
        <v>129356</v>
      </c>
      <c r="Q294" s="101">
        <v>26434</v>
      </c>
      <c r="R294" s="101">
        <v>8458</v>
      </c>
      <c r="S294" s="101"/>
      <c r="T294" t="s">
        <v>423</v>
      </c>
      <c r="U294" s="101">
        <f t="shared" si="12"/>
        <v>525834</v>
      </c>
      <c r="V294" s="101">
        <v>411379000</v>
      </c>
      <c r="W294" s="101">
        <v>244933551</v>
      </c>
      <c r="X294" s="101">
        <v>8282</v>
      </c>
      <c r="Y294" s="101">
        <v>10924</v>
      </c>
      <c r="Z294" s="101">
        <v>3271</v>
      </c>
      <c r="AA294" s="101">
        <v>384</v>
      </c>
      <c r="AB294" s="101">
        <v>4142</v>
      </c>
      <c r="AC294" s="101">
        <v>1214</v>
      </c>
      <c r="AD294" s="101">
        <v>2675</v>
      </c>
      <c r="AE294" s="101">
        <v>2840</v>
      </c>
      <c r="AF294" s="101">
        <v>1376</v>
      </c>
      <c r="AG294" s="101">
        <f t="shared" si="13"/>
        <v>324280.55099999998</v>
      </c>
      <c r="AH294" s="101">
        <v>103982</v>
      </c>
      <c r="AI294" s="101">
        <f t="shared" si="14"/>
        <v>3118.6219826508436</v>
      </c>
      <c r="AJ294" t="s">
        <v>439</v>
      </c>
      <c r="AN294" t="s">
        <v>430</v>
      </c>
      <c r="AO294" s="259">
        <v>2374.1771745763044</v>
      </c>
      <c r="AP294" t="s">
        <v>116</v>
      </c>
    </row>
    <row r="295" spans="2:42" x14ac:dyDescent="0.25">
      <c r="B295" t="s">
        <v>424</v>
      </c>
      <c r="C295" s="101">
        <v>169464</v>
      </c>
      <c r="D295" s="101">
        <v>229</v>
      </c>
      <c r="E295" s="101">
        <v>2900</v>
      </c>
      <c r="F295" s="101">
        <v>8249</v>
      </c>
      <c r="G295" s="101">
        <v>41692</v>
      </c>
      <c r="H295" s="101">
        <v>10644</v>
      </c>
      <c r="I295" s="101">
        <v>4120</v>
      </c>
      <c r="J295" s="101">
        <v>6031</v>
      </c>
      <c r="K295" s="101">
        <v>1114</v>
      </c>
      <c r="L295" s="101">
        <v>3519</v>
      </c>
      <c r="M295" s="101">
        <v>10285</v>
      </c>
      <c r="N295" s="101">
        <v>30193</v>
      </c>
      <c r="O295" s="101">
        <v>16314</v>
      </c>
      <c r="P295" s="101">
        <v>20308</v>
      </c>
      <c r="Q295" s="101">
        <v>13074</v>
      </c>
      <c r="R295" s="101">
        <v>792</v>
      </c>
      <c r="S295" s="101"/>
      <c r="T295" t="s">
        <v>424</v>
      </c>
      <c r="U295" s="101">
        <f t="shared" si="12"/>
        <v>158086</v>
      </c>
      <c r="V295" s="101">
        <v>126733000</v>
      </c>
      <c r="W295" s="101">
        <v>96933990</v>
      </c>
      <c r="X295" s="101">
        <v>5015</v>
      </c>
      <c r="Y295" s="101">
        <v>5466</v>
      </c>
      <c r="Z295" s="101">
        <v>982</v>
      </c>
      <c r="AA295" s="101">
        <v>17</v>
      </c>
      <c r="AB295" s="101">
        <v>1035</v>
      </c>
      <c r="AC295" s="101">
        <v>470</v>
      </c>
      <c r="AD295" s="101">
        <v>707</v>
      </c>
      <c r="AE295" s="101">
        <v>511</v>
      </c>
      <c r="AF295" s="101">
        <v>445</v>
      </c>
      <c r="AG295" s="101">
        <f t="shared" si="13"/>
        <v>113638.99</v>
      </c>
      <c r="AH295" s="101">
        <v>44810</v>
      </c>
      <c r="AI295" s="101">
        <f t="shared" si="14"/>
        <v>2536.018522651194</v>
      </c>
      <c r="AJ295" t="s">
        <v>439</v>
      </c>
      <c r="AN295" t="s">
        <v>308</v>
      </c>
      <c r="AO295" s="259">
        <v>2163.8652766290861</v>
      </c>
      <c r="AP295" t="s">
        <v>116</v>
      </c>
    </row>
    <row r="296" spans="2:42" x14ac:dyDescent="0.25">
      <c r="B296" t="s">
        <v>598</v>
      </c>
      <c r="C296" s="187">
        <v>187267</v>
      </c>
      <c r="D296" s="187">
        <v>15420</v>
      </c>
      <c r="E296" s="187">
        <v>3852</v>
      </c>
      <c r="F296" s="187">
        <v>11297</v>
      </c>
      <c r="G296" s="187">
        <v>34279</v>
      </c>
      <c r="H296" s="187">
        <v>13884</v>
      </c>
      <c r="I296" s="187">
        <v>4860</v>
      </c>
      <c r="J296" s="187">
        <v>6554</v>
      </c>
      <c r="K296" s="187">
        <v>1257</v>
      </c>
      <c r="L296" s="187">
        <v>6728</v>
      </c>
      <c r="M296" s="187">
        <v>9631</v>
      </c>
      <c r="N296" s="187">
        <v>23107</v>
      </c>
      <c r="O296" s="187">
        <v>18200</v>
      </c>
      <c r="P296" s="187">
        <v>19253</v>
      </c>
      <c r="Q296" s="187">
        <v>14218</v>
      </c>
      <c r="R296" s="187">
        <v>2012</v>
      </c>
      <c r="S296" s="101"/>
      <c r="T296" t="s">
        <v>598</v>
      </c>
      <c r="U296" s="101">
        <f t="shared" si="12"/>
        <v>156698</v>
      </c>
      <c r="V296" s="101">
        <v>140000000</v>
      </c>
      <c r="W296" s="101">
        <v>114852385.04471263</v>
      </c>
      <c r="X296" s="101">
        <v>5253</v>
      </c>
      <c r="Y296" s="101">
        <v>9271</v>
      </c>
      <c r="Z296" s="101">
        <v>672</v>
      </c>
      <c r="AA296" s="101">
        <v>893</v>
      </c>
      <c r="AB296" s="101">
        <v>2432</v>
      </c>
      <c r="AC296" s="101">
        <v>354</v>
      </c>
      <c r="AD296" s="101">
        <v>229</v>
      </c>
      <c r="AE296" s="101">
        <v>531</v>
      </c>
      <c r="AF296" s="101">
        <v>0</v>
      </c>
      <c r="AG296" s="101">
        <f t="shared" si="13"/>
        <v>111915.38504471263</v>
      </c>
      <c r="AH296" s="101">
        <v>62554</v>
      </c>
      <c r="AI296" s="101">
        <f t="shared" si="14"/>
        <v>1789.1003779888197</v>
      </c>
      <c r="AJ296" t="s">
        <v>116</v>
      </c>
      <c r="AN296" t="s">
        <v>151</v>
      </c>
      <c r="AO296" s="259">
        <v>2591.3600761999937</v>
      </c>
      <c r="AP296" t="s">
        <v>116</v>
      </c>
    </row>
    <row r="297" spans="2:42" x14ac:dyDescent="0.25">
      <c r="B297" t="s">
        <v>318</v>
      </c>
      <c r="C297" s="101">
        <v>389176</v>
      </c>
      <c r="D297" s="101">
        <v>9127</v>
      </c>
      <c r="E297" s="101">
        <v>2862</v>
      </c>
      <c r="F297" s="101">
        <v>11805</v>
      </c>
      <c r="G297" s="101">
        <v>52625</v>
      </c>
      <c r="H297" s="101">
        <v>-15247</v>
      </c>
      <c r="I297" s="101">
        <v>13127</v>
      </c>
      <c r="J297" s="101">
        <v>13011</v>
      </c>
      <c r="K297" s="101">
        <v>7559</v>
      </c>
      <c r="L297" s="101">
        <v>12334</v>
      </c>
      <c r="M297" s="101">
        <v>26451</v>
      </c>
      <c r="N297" s="101">
        <v>81482</v>
      </c>
      <c r="O297" s="101">
        <v>43687</v>
      </c>
      <c r="P297" s="101">
        <v>94821</v>
      </c>
      <c r="Q297" s="101">
        <v>26254</v>
      </c>
      <c r="R297" s="101">
        <v>9278</v>
      </c>
      <c r="S297" s="101"/>
      <c r="T297" t="s">
        <v>318</v>
      </c>
      <c r="U297" s="101">
        <f t="shared" si="12"/>
        <v>365382</v>
      </c>
      <c r="V297" s="101">
        <v>301878000</v>
      </c>
      <c r="W297" s="101">
        <v>183950448</v>
      </c>
      <c r="X297" s="101">
        <v>8158</v>
      </c>
      <c r="Y297" s="101">
        <v>13147</v>
      </c>
      <c r="Z297" s="101">
        <v>862</v>
      </c>
      <c r="AA297" s="101">
        <v>925</v>
      </c>
      <c r="AB297" s="101">
        <v>1537</v>
      </c>
      <c r="AC297" s="101">
        <v>1194</v>
      </c>
      <c r="AD297" s="101">
        <v>363</v>
      </c>
      <c r="AE297" s="101">
        <v>3423</v>
      </c>
      <c r="AF297" s="101">
        <v>4582</v>
      </c>
      <c r="AG297" s="101">
        <f t="shared" si="13"/>
        <v>213263.448</v>
      </c>
      <c r="AH297" s="101">
        <v>77234</v>
      </c>
      <c r="AI297" s="101">
        <f t="shared" si="14"/>
        <v>2761.2637957376287</v>
      </c>
      <c r="AJ297" t="s">
        <v>116</v>
      </c>
      <c r="AN297" t="s">
        <v>194</v>
      </c>
      <c r="AO297" s="259">
        <v>2189.5895234291797</v>
      </c>
      <c r="AP297" t="s">
        <v>116</v>
      </c>
    </row>
    <row r="298" spans="2:42" x14ac:dyDescent="0.25">
      <c r="B298" t="s">
        <v>137</v>
      </c>
      <c r="C298" s="101">
        <v>10952</v>
      </c>
      <c r="D298" s="101">
        <v>0</v>
      </c>
      <c r="E298" s="101">
        <v>329</v>
      </c>
      <c r="F298" s="101">
        <v>894</v>
      </c>
      <c r="G298" s="101">
        <v>3568</v>
      </c>
      <c r="H298" s="101">
        <v>2108</v>
      </c>
      <c r="I298" s="101">
        <v>333</v>
      </c>
      <c r="J298" s="101">
        <v>123</v>
      </c>
      <c r="K298" s="101">
        <v>226</v>
      </c>
      <c r="L298" s="101">
        <v>175</v>
      </c>
      <c r="M298" s="101">
        <v>1075</v>
      </c>
      <c r="N298" s="101">
        <v>172</v>
      </c>
      <c r="O298" s="101">
        <v>298</v>
      </c>
      <c r="P298" s="101">
        <v>489</v>
      </c>
      <c r="Q298" s="101">
        <v>911</v>
      </c>
      <c r="R298" s="101">
        <v>251</v>
      </c>
      <c r="S298" s="101"/>
      <c r="T298" t="s">
        <v>137</v>
      </c>
      <c r="U298" s="101">
        <f t="shared" si="12"/>
        <v>9729</v>
      </c>
      <c r="V298" s="101">
        <v>5699000</v>
      </c>
      <c r="W298" s="101">
        <v>5099201</v>
      </c>
      <c r="X298" s="101">
        <v>245</v>
      </c>
      <c r="Y298" s="101">
        <v>571</v>
      </c>
      <c r="Z298" s="101">
        <v>120</v>
      </c>
      <c r="AA298" s="101">
        <v>21</v>
      </c>
      <c r="AB298" s="101">
        <v>180</v>
      </c>
      <c r="AC298" s="101">
        <v>0</v>
      </c>
      <c r="AD298" s="101">
        <v>1750</v>
      </c>
      <c r="AE298" s="101">
        <v>0</v>
      </c>
      <c r="AF298" s="101">
        <v>49</v>
      </c>
      <c r="AG298" s="101">
        <f t="shared" si="13"/>
        <v>6193.2010000000009</v>
      </c>
      <c r="AH298" s="101">
        <v>1212</v>
      </c>
      <c r="AI298" s="101">
        <f t="shared" si="14"/>
        <v>5109.9018151815189</v>
      </c>
      <c r="AJ298" t="s">
        <v>116</v>
      </c>
      <c r="AN298" t="s">
        <v>380</v>
      </c>
      <c r="AO298" s="259">
        <v>2601.1759819119234</v>
      </c>
      <c r="AP298" t="s">
        <v>116</v>
      </c>
    </row>
    <row r="299" spans="2:42" x14ac:dyDescent="0.25">
      <c r="B299" t="s">
        <v>340</v>
      </c>
      <c r="C299" s="101">
        <v>297731</v>
      </c>
      <c r="D299" s="101">
        <v>15303</v>
      </c>
      <c r="E299" s="101">
        <v>3252</v>
      </c>
      <c r="F299" s="101">
        <v>8687</v>
      </c>
      <c r="G299" s="101">
        <v>42026</v>
      </c>
      <c r="H299" s="101">
        <v>13239</v>
      </c>
      <c r="I299" s="101">
        <v>4665</v>
      </c>
      <c r="J299" s="101">
        <v>7849</v>
      </c>
      <c r="K299" s="101">
        <v>10316</v>
      </c>
      <c r="L299" s="101">
        <v>6541</v>
      </c>
      <c r="M299" s="101">
        <v>8684</v>
      </c>
      <c r="N299" s="101">
        <v>55397</v>
      </c>
      <c r="O299" s="101">
        <v>32328</v>
      </c>
      <c r="P299" s="101">
        <v>75439</v>
      </c>
      <c r="Q299" s="101">
        <v>13200</v>
      </c>
      <c r="R299" s="101">
        <v>805</v>
      </c>
      <c r="S299" s="101"/>
      <c r="T299" t="s">
        <v>340</v>
      </c>
      <c r="U299" s="101">
        <f t="shared" si="12"/>
        <v>270489</v>
      </c>
      <c r="V299" s="101">
        <v>225140000</v>
      </c>
      <c r="W299" s="101">
        <v>125424134</v>
      </c>
      <c r="X299" s="101">
        <v>7318</v>
      </c>
      <c r="Y299" s="101">
        <v>7991</v>
      </c>
      <c r="Z299" s="101">
        <v>669</v>
      </c>
      <c r="AA299" s="101">
        <v>666</v>
      </c>
      <c r="AB299" s="101">
        <v>1035</v>
      </c>
      <c r="AC299" s="101">
        <v>365</v>
      </c>
      <c r="AD299" s="101">
        <v>1094</v>
      </c>
      <c r="AE299" s="101">
        <v>3382</v>
      </c>
      <c r="AF299" s="101">
        <v>391</v>
      </c>
      <c r="AG299" s="101">
        <f t="shared" si="13"/>
        <v>147862.13400000002</v>
      </c>
      <c r="AH299" s="101">
        <v>45768</v>
      </c>
      <c r="AI299" s="101">
        <f t="shared" si="14"/>
        <v>3230.6881227058211</v>
      </c>
      <c r="AJ299" t="s">
        <v>439</v>
      </c>
      <c r="AN299" t="s">
        <v>131</v>
      </c>
      <c r="AO299" s="259">
        <v>2123.853340533868</v>
      </c>
      <c r="AP299" t="s">
        <v>116</v>
      </c>
    </row>
    <row r="300" spans="2:42" x14ac:dyDescent="0.25">
      <c r="B300" t="s">
        <v>425</v>
      </c>
      <c r="C300" s="101">
        <v>37530</v>
      </c>
      <c r="D300" s="101">
        <v>0</v>
      </c>
      <c r="E300" s="101">
        <v>712</v>
      </c>
      <c r="F300" s="101">
        <v>1908</v>
      </c>
      <c r="G300" s="101">
        <v>10188</v>
      </c>
      <c r="H300" s="101">
        <v>3603</v>
      </c>
      <c r="I300" s="101">
        <v>1313</v>
      </c>
      <c r="J300" s="101">
        <v>1589</v>
      </c>
      <c r="K300" s="101">
        <v>109</v>
      </c>
      <c r="L300" s="101">
        <v>706</v>
      </c>
      <c r="M300" s="101">
        <v>2278</v>
      </c>
      <c r="N300" s="101">
        <v>4668</v>
      </c>
      <c r="O300" s="101">
        <v>2934</v>
      </c>
      <c r="P300" s="101">
        <v>3729</v>
      </c>
      <c r="Q300" s="101">
        <v>2916</v>
      </c>
      <c r="R300" s="101">
        <v>877</v>
      </c>
      <c r="S300" s="101"/>
      <c r="T300" t="s">
        <v>425</v>
      </c>
      <c r="U300" s="101">
        <f t="shared" si="12"/>
        <v>34910</v>
      </c>
      <c r="V300" s="101">
        <v>27136000</v>
      </c>
      <c r="W300" s="101">
        <v>23546175</v>
      </c>
      <c r="X300" s="101">
        <v>2109</v>
      </c>
      <c r="Y300" s="101">
        <v>1855</v>
      </c>
      <c r="Z300" s="101">
        <v>242</v>
      </c>
      <c r="AA300" s="101">
        <v>28</v>
      </c>
      <c r="AB300" s="101">
        <v>82</v>
      </c>
      <c r="AC300" s="101">
        <v>42</v>
      </c>
      <c r="AD300" s="101">
        <v>63</v>
      </c>
      <c r="AE300" s="101">
        <v>2</v>
      </c>
      <c r="AF300" s="101">
        <v>53</v>
      </c>
      <c r="AG300" s="101">
        <f t="shared" si="13"/>
        <v>26844.174999999999</v>
      </c>
      <c r="AH300" s="101">
        <v>12583</v>
      </c>
      <c r="AI300" s="101">
        <f t="shared" si="14"/>
        <v>2133.3684336008901</v>
      </c>
      <c r="AJ300" t="s">
        <v>465</v>
      </c>
      <c r="AN300" t="s">
        <v>132</v>
      </c>
      <c r="AO300" s="259">
        <v>2393.4365981271035</v>
      </c>
      <c r="AP300" t="s">
        <v>116</v>
      </c>
    </row>
    <row r="301" spans="2:42" x14ac:dyDescent="0.25">
      <c r="B301" t="s">
        <v>827</v>
      </c>
      <c r="C301" s="101">
        <v>252568</v>
      </c>
      <c r="D301" s="101">
        <v>497</v>
      </c>
      <c r="E301" s="101">
        <v>4937</v>
      </c>
      <c r="F301" s="101">
        <v>14579</v>
      </c>
      <c r="G301" s="101">
        <v>53610</v>
      </c>
      <c r="H301" s="101">
        <v>27191</v>
      </c>
      <c r="I301" s="101">
        <v>6874</v>
      </c>
      <c r="J301" s="101">
        <v>8219</v>
      </c>
      <c r="K301" s="101">
        <v>841</v>
      </c>
      <c r="L301" s="101">
        <v>6556</v>
      </c>
      <c r="M301" s="101">
        <v>17166</v>
      </c>
      <c r="N301" s="101">
        <v>26573</v>
      </c>
      <c r="O301" s="101">
        <v>27276</v>
      </c>
      <c r="P301" s="101">
        <v>22312</v>
      </c>
      <c r="Q301" s="101">
        <v>31024</v>
      </c>
      <c r="R301" s="101">
        <v>4913</v>
      </c>
      <c r="S301" s="101"/>
      <c r="T301" t="s">
        <v>827</v>
      </c>
      <c r="U301" s="101">
        <f t="shared" si="12"/>
        <v>232555</v>
      </c>
      <c r="V301" s="101">
        <v>168736000</v>
      </c>
      <c r="W301" s="101">
        <v>138879603</v>
      </c>
      <c r="X301" s="101">
        <v>8272</v>
      </c>
      <c r="Y301" s="101">
        <v>12171</v>
      </c>
      <c r="Z301" s="101">
        <v>2160</v>
      </c>
      <c r="AA301" s="101">
        <v>581</v>
      </c>
      <c r="AB301" s="101">
        <v>2313</v>
      </c>
      <c r="AC301" s="101">
        <v>289</v>
      </c>
      <c r="AD301" s="101">
        <v>2469</v>
      </c>
      <c r="AE301" s="101">
        <v>3</v>
      </c>
      <c r="AF301" s="101">
        <v>277</v>
      </c>
      <c r="AG301" s="101">
        <f t="shared" si="13"/>
        <v>174163.603</v>
      </c>
      <c r="AH301" s="101">
        <v>74544</v>
      </c>
      <c r="AI301" s="101">
        <f t="shared" si="14"/>
        <v>2336.3866038849537</v>
      </c>
      <c r="AJ301" t="s">
        <v>465</v>
      </c>
      <c r="AN301" t="s">
        <v>195</v>
      </c>
      <c r="AO301" s="259">
        <v>2483.3115032150272</v>
      </c>
      <c r="AP301" t="s">
        <v>116</v>
      </c>
    </row>
    <row r="302" spans="2:42" x14ac:dyDescent="0.25">
      <c r="B302" t="s">
        <v>319</v>
      </c>
      <c r="C302" s="101">
        <v>83605</v>
      </c>
      <c r="D302" s="101">
        <v>4747</v>
      </c>
      <c r="E302" s="101">
        <v>431</v>
      </c>
      <c r="F302" s="101">
        <v>2728</v>
      </c>
      <c r="G302" s="101">
        <v>19650</v>
      </c>
      <c r="H302" s="101">
        <v>10755</v>
      </c>
      <c r="I302" s="101">
        <v>2140</v>
      </c>
      <c r="J302" s="101">
        <v>2238</v>
      </c>
      <c r="K302" s="101">
        <v>529</v>
      </c>
      <c r="L302" s="101">
        <v>1058</v>
      </c>
      <c r="M302" s="101">
        <v>5242</v>
      </c>
      <c r="N302" s="101">
        <v>8946</v>
      </c>
      <c r="O302" s="101">
        <v>8568</v>
      </c>
      <c r="P302" s="101">
        <v>10423</v>
      </c>
      <c r="Q302" s="101">
        <v>5297</v>
      </c>
      <c r="R302" s="101">
        <v>853</v>
      </c>
      <c r="S302" s="101"/>
      <c r="T302" t="s">
        <v>319</v>
      </c>
      <c r="U302" s="101">
        <f t="shared" si="12"/>
        <v>75699</v>
      </c>
      <c r="V302" s="101">
        <v>56029000</v>
      </c>
      <c r="W302" s="101">
        <v>44362309</v>
      </c>
      <c r="X302" s="101">
        <v>2974</v>
      </c>
      <c r="Y302" s="101">
        <v>5352</v>
      </c>
      <c r="Z302" s="101">
        <v>573</v>
      </c>
      <c r="AA302" s="101">
        <v>716</v>
      </c>
      <c r="AB302" s="101">
        <v>1305</v>
      </c>
      <c r="AC302" s="101">
        <v>112</v>
      </c>
      <c r="AD302" s="101">
        <v>280</v>
      </c>
      <c r="AE302" s="101">
        <v>3</v>
      </c>
      <c r="AF302" s="101">
        <v>31</v>
      </c>
      <c r="AG302" s="101">
        <f t="shared" si="13"/>
        <v>52686.309000000001</v>
      </c>
      <c r="AH302" s="101">
        <v>25914</v>
      </c>
      <c r="AI302" s="101">
        <f t="shared" si="14"/>
        <v>2033.1214401481825</v>
      </c>
      <c r="AJ302" t="s">
        <v>465</v>
      </c>
      <c r="AN302" t="s">
        <v>268</v>
      </c>
      <c r="AO302" s="259">
        <v>2178.5181764160088</v>
      </c>
      <c r="AP302" t="s">
        <v>116</v>
      </c>
    </row>
    <row r="303" spans="2:42" x14ac:dyDescent="0.25">
      <c r="B303" t="s">
        <v>203</v>
      </c>
      <c r="C303" s="101">
        <v>89391</v>
      </c>
      <c r="D303" s="101">
        <v>15049</v>
      </c>
      <c r="E303" s="101">
        <v>654</v>
      </c>
      <c r="F303" s="101">
        <v>3841</v>
      </c>
      <c r="G303" s="101">
        <v>23510</v>
      </c>
      <c r="H303" s="101">
        <v>5139</v>
      </c>
      <c r="I303" s="101">
        <v>2108</v>
      </c>
      <c r="J303" s="101">
        <v>2278</v>
      </c>
      <c r="K303" s="101">
        <v>408</v>
      </c>
      <c r="L303" s="101">
        <v>1641</v>
      </c>
      <c r="M303" s="101">
        <v>5396</v>
      </c>
      <c r="N303" s="101">
        <v>6288</v>
      </c>
      <c r="O303" s="101">
        <v>6022</v>
      </c>
      <c r="P303" s="101">
        <v>10322</v>
      </c>
      <c r="Q303" s="101">
        <v>6375</v>
      </c>
      <c r="R303" s="101">
        <v>360</v>
      </c>
      <c r="S303" s="101"/>
      <c r="T303" t="s">
        <v>203</v>
      </c>
      <c r="U303" s="101">
        <f t="shared" si="12"/>
        <v>69847</v>
      </c>
      <c r="V303" s="101">
        <v>54297000</v>
      </c>
      <c r="W303" s="101">
        <v>46818688</v>
      </c>
      <c r="X303" s="101">
        <v>2632</v>
      </c>
      <c r="Y303" s="101">
        <v>2252</v>
      </c>
      <c r="Z303" s="101">
        <v>394</v>
      </c>
      <c r="AA303" s="101">
        <v>174</v>
      </c>
      <c r="AB303" s="101">
        <v>1239</v>
      </c>
      <c r="AC303" s="101">
        <v>126</v>
      </c>
      <c r="AD303" s="101">
        <v>207</v>
      </c>
      <c r="AE303" s="101">
        <v>0</v>
      </c>
      <c r="AF303" s="101">
        <v>11</v>
      </c>
      <c r="AG303" s="101">
        <f t="shared" si="13"/>
        <v>55333.688000000002</v>
      </c>
      <c r="AH303" s="101">
        <v>25567</v>
      </c>
      <c r="AI303" s="101">
        <f t="shared" si="14"/>
        <v>2164.2620565572811</v>
      </c>
      <c r="AJ303" t="s">
        <v>465</v>
      </c>
      <c r="AN303" t="s">
        <v>198</v>
      </c>
      <c r="AO303" s="259">
        <v>2385.9300907994157</v>
      </c>
      <c r="AP303" t="s">
        <v>116</v>
      </c>
    </row>
    <row r="304" spans="2:42" x14ac:dyDescent="0.25">
      <c r="B304" t="s">
        <v>393</v>
      </c>
      <c r="C304" s="101">
        <v>107545</v>
      </c>
      <c r="D304" s="101">
        <v>300</v>
      </c>
      <c r="E304" s="101">
        <v>1245</v>
      </c>
      <c r="F304" s="101">
        <v>6204</v>
      </c>
      <c r="G304" s="101">
        <v>27706</v>
      </c>
      <c r="H304" s="101">
        <v>14871</v>
      </c>
      <c r="I304" s="101">
        <v>2668</v>
      </c>
      <c r="J304" s="101">
        <v>3936</v>
      </c>
      <c r="K304" s="101">
        <v>334</v>
      </c>
      <c r="L304" s="101">
        <v>2462</v>
      </c>
      <c r="M304" s="101">
        <v>6318</v>
      </c>
      <c r="N304" s="101">
        <v>13123</v>
      </c>
      <c r="O304" s="101">
        <v>9107</v>
      </c>
      <c r="P304" s="101">
        <v>11018</v>
      </c>
      <c r="Q304" s="101">
        <v>7421</v>
      </c>
      <c r="R304" s="101">
        <v>832</v>
      </c>
      <c r="S304" s="101"/>
      <c r="T304" t="s">
        <v>393</v>
      </c>
      <c r="U304" s="101">
        <f t="shared" si="12"/>
        <v>99796</v>
      </c>
      <c r="V304" s="101">
        <v>79622000</v>
      </c>
      <c r="W304" s="101">
        <v>58203338</v>
      </c>
      <c r="X304" s="101">
        <v>4699</v>
      </c>
      <c r="Y304" s="101">
        <v>3851</v>
      </c>
      <c r="Z304" s="101">
        <v>707</v>
      </c>
      <c r="AA304" s="101">
        <v>20</v>
      </c>
      <c r="AB304" s="101">
        <v>2063</v>
      </c>
      <c r="AC304" s="101">
        <v>99</v>
      </c>
      <c r="AD304" s="101">
        <v>581</v>
      </c>
      <c r="AE304" s="101">
        <v>0</v>
      </c>
      <c r="AF304" s="101">
        <v>292</v>
      </c>
      <c r="AG304" s="101">
        <f t="shared" si="13"/>
        <v>66065.338000000003</v>
      </c>
      <c r="AH304" s="101">
        <v>33024</v>
      </c>
      <c r="AI304" s="101">
        <f t="shared" si="14"/>
        <v>2000.5250121124031</v>
      </c>
      <c r="AJ304" t="s">
        <v>116</v>
      </c>
      <c r="AN304" t="s">
        <v>199</v>
      </c>
      <c r="AO304" s="259">
        <v>2563.9860911270985</v>
      </c>
      <c r="AP304" t="s">
        <v>116</v>
      </c>
    </row>
    <row r="305" spans="2:42" x14ac:dyDescent="0.25">
      <c r="B305" t="s">
        <v>599</v>
      </c>
      <c r="C305" s="101">
        <v>163933</v>
      </c>
      <c r="D305" s="101">
        <v>499</v>
      </c>
      <c r="E305" s="101">
        <v>807</v>
      </c>
      <c r="F305" s="101">
        <v>4301</v>
      </c>
      <c r="G305" s="101">
        <v>31311</v>
      </c>
      <c r="H305" s="101">
        <v>11522</v>
      </c>
      <c r="I305" s="101">
        <v>4479</v>
      </c>
      <c r="J305" s="101">
        <v>7310</v>
      </c>
      <c r="K305" s="101">
        <v>3558</v>
      </c>
      <c r="L305" s="101">
        <v>4378</v>
      </c>
      <c r="M305" s="101">
        <v>10678</v>
      </c>
      <c r="N305" s="101">
        <v>31109</v>
      </c>
      <c r="O305" s="101">
        <v>20281</v>
      </c>
      <c r="P305" s="101">
        <v>17780</v>
      </c>
      <c r="Q305" s="101">
        <v>13943</v>
      </c>
      <c r="R305" s="101">
        <v>1977</v>
      </c>
      <c r="S305" s="101"/>
      <c r="T305" t="s">
        <v>599</v>
      </c>
      <c r="U305" s="101">
        <f t="shared" si="12"/>
        <v>158326</v>
      </c>
      <c r="V305" s="101">
        <v>132359000</v>
      </c>
      <c r="W305" s="101">
        <v>105864967</v>
      </c>
      <c r="X305" s="101">
        <v>6935</v>
      </c>
      <c r="Y305" s="101">
        <v>6104</v>
      </c>
      <c r="Z305" s="101">
        <v>797</v>
      </c>
      <c r="AA305" s="101">
        <v>170</v>
      </c>
      <c r="AB305" s="101">
        <v>759</v>
      </c>
      <c r="AC305" s="101">
        <v>119</v>
      </c>
      <c r="AD305" s="101">
        <v>135</v>
      </c>
      <c r="AE305" s="101">
        <v>513</v>
      </c>
      <c r="AF305" s="101">
        <v>492</v>
      </c>
      <c r="AG305" s="101">
        <f t="shared" si="13"/>
        <v>115807.967</v>
      </c>
      <c r="AH305" s="101">
        <v>46865</v>
      </c>
      <c r="AI305" s="101">
        <f t="shared" si="14"/>
        <v>2471.0971300544115</v>
      </c>
      <c r="AJ305" t="s">
        <v>116</v>
      </c>
      <c r="AN305" t="s">
        <v>312</v>
      </c>
      <c r="AO305" s="259">
        <v>2589.3327570765036</v>
      </c>
      <c r="AP305" t="s">
        <v>116</v>
      </c>
    </row>
    <row r="306" spans="2:42" x14ac:dyDescent="0.25">
      <c r="B306" t="s">
        <v>394</v>
      </c>
      <c r="C306" s="101">
        <v>48637</v>
      </c>
      <c r="D306" s="101">
        <v>661</v>
      </c>
      <c r="E306" s="101">
        <v>651</v>
      </c>
      <c r="F306" s="101">
        <v>2226</v>
      </c>
      <c r="G306" s="101">
        <v>12650</v>
      </c>
      <c r="H306" s="101">
        <v>3763</v>
      </c>
      <c r="I306" s="101">
        <v>1246</v>
      </c>
      <c r="J306" s="101">
        <v>1909</v>
      </c>
      <c r="K306" s="101">
        <v>78</v>
      </c>
      <c r="L306" s="101">
        <v>888</v>
      </c>
      <c r="M306" s="101">
        <v>3879</v>
      </c>
      <c r="N306" s="101">
        <v>6407</v>
      </c>
      <c r="O306" s="101">
        <v>5065</v>
      </c>
      <c r="P306" s="101">
        <v>4999</v>
      </c>
      <c r="Q306" s="101">
        <v>3766</v>
      </c>
      <c r="R306" s="101">
        <v>449</v>
      </c>
      <c r="S306" s="101"/>
      <c r="T306" t="s">
        <v>394</v>
      </c>
      <c r="U306" s="101">
        <f t="shared" si="12"/>
        <v>45099</v>
      </c>
      <c r="V306" s="101">
        <v>34251000</v>
      </c>
      <c r="W306" s="101">
        <v>28400203</v>
      </c>
      <c r="X306" s="101">
        <v>1772</v>
      </c>
      <c r="Y306" s="101">
        <v>1952</v>
      </c>
      <c r="Z306" s="101">
        <v>398</v>
      </c>
      <c r="AA306" s="101">
        <v>70</v>
      </c>
      <c r="AB306" s="101">
        <v>990</v>
      </c>
      <c r="AC306" s="101">
        <v>5</v>
      </c>
      <c r="AD306" s="101">
        <v>220</v>
      </c>
      <c r="AE306" s="101">
        <v>0</v>
      </c>
      <c r="AF306" s="101">
        <v>21</v>
      </c>
      <c r="AG306" s="101">
        <f t="shared" si="13"/>
        <v>33820.203000000001</v>
      </c>
      <c r="AH306" s="101">
        <v>17894</v>
      </c>
      <c r="AI306" s="101">
        <f t="shared" si="14"/>
        <v>1890.0303453671622</v>
      </c>
      <c r="AJ306" t="s">
        <v>465</v>
      </c>
      <c r="AN306" t="s">
        <v>726</v>
      </c>
      <c r="AO306" s="259">
        <v>2444.5785373085159</v>
      </c>
      <c r="AP306" t="s">
        <v>116</v>
      </c>
    </row>
    <row r="307" spans="2:42" x14ac:dyDescent="0.25">
      <c r="B307" t="s">
        <v>395</v>
      </c>
      <c r="C307" s="101">
        <v>214639</v>
      </c>
      <c r="D307" s="101">
        <v>5339</v>
      </c>
      <c r="E307" s="101">
        <v>3629</v>
      </c>
      <c r="F307" s="101">
        <v>8275</v>
      </c>
      <c r="G307" s="101">
        <v>40254</v>
      </c>
      <c r="H307" s="101">
        <v>10100</v>
      </c>
      <c r="I307" s="101">
        <v>4098</v>
      </c>
      <c r="J307" s="101">
        <v>5185</v>
      </c>
      <c r="K307" s="101">
        <v>33781</v>
      </c>
      <c r="L307" s="101">
        <v>7296</v>
      </c>
      <c r="M307" s="101">
        <v>15730</v>
      </c>
      <c r="N307" s="101">
        <v>30719</v>
      </c>
      <c r="O307" s="101">
        <v>18662</v>
      </c>
      <c r="P307" s="101">
        <v>19150</v>
      </c>
      <c r="Q307" s="101">
        <v>10854</v>
      </c>
      <c r="R307" s="101">
        <v>1567</v>
      </c>
      <c r="S307" s="101"/>
      <c r="T307" t="s">
        <v>395</v>
      </c>
      <c r="U307" s="101">
        <f t="shared" si="12"/>
        <v>197396</v>
      </c>
      <c r="V307" s="101">
        <v>130785000</v>
      </c>
      <c r="W307" s="101">
        <v>105730618</v>
      </c>
      <c r="X307" s="101">
        <v>5276</v>
      </c>
      <c r="Y307" s="101">
        <v>4889</v>
      </c>
      <c r="Z307" s="101">
        <v>1092</v>
      </c>
      <c r="AA307" s="101">
        <v>390</v>
      </c>
      <c r="AB307" s="101">
        <v>1486</v>
      </c>
      <c r="AC307" s="101">
        <v>248</v>
      </c>
      <c r="AD307" s="101">
        <v>509</v>
      </c>
      <c r="AE307" s="101">
        <v>1337</v>
      </c>
      <c r="AF307" s="101">
        <v>748</v>
      </c>
      <c r="AG307" s="101">
        <f t="shared" si="13"/>
        <v>156366.61800000002</v>
      </c>
      <c r="AH307" s="101">
        <v>51238</v>
      </c>
      <c r="AI307" s="101">
        <f t="shared" si="14"/>
        <v>3051.7705218782939</v>
      </c>
      <c r="AJ307" t="s">
        <v>116</v>
      </c>
      <c r="AN307" t="s">
        <v>416</v>
      </c>
      <c r="AO307" s="259">
        <v>2306.9723955832933</v>
      </c>
      <c r="AP307" t="s">
        <v>116</v>
      </c>
    </row>
    <row r="308" spans="2:42" x14ac:dyDescent="0.25">
      <c r="B308" t="s">
        <v>320</v>
      </c>
      <c r="C308" s="101">
        <v>127793</v>
      </c>
      <c r="D308" s="101">
        <v>18484</v>
      </c>
      <c r="E308" s="101">
        <v>1517</v>
      </c>
      <c r="F308" s="101">
        <v>4659</v>
      </c>
      <c r="G308" s="101">
        <v>22894</v>
      </c>
      <c r="H308" s="101">
        <v>7440</v>
      </c>
      <c r="I308" s="101">
        <v>2534</v>
      </c>
      <c r="J308" s="101">
        <v>3738</v>
      </c>
      <c r="K308" s="101">
        <v>503</v>
      </c>
      <c r="L308" s="101">
        <v>3393</v>
      </c>
      <c r="M308" s="101">
        <v>8834</v>
      </c>
      <c r="N308" s="101">
        <v>10076</v>
      </c>
      <c r="O308" s="101">
        <v>16716</v>
      </c>
      <c r="P308" s="101">
        <v>8089</v>
      </c>
      <c r="Q308" s="101">
        <v>10272</v>
      </c>
      <c r="R308" s="101">
        <v>8644</v>
      </c>
      <c r="S308" s="101"/>
      <c r="T308" t="s">
        <v>320</v>
      </c>
      <c r="U308" s="101">
        <f t="shared" si="12"/>
        <v>103133</v>
      </c>
      <c r="V308" s="101">
        <v>76925000</v>
      </c>
      <c r="W308" s="101">
        <v>62647918</v>
      </c>
      <c r="X308" s="101">
        <v>3618</v>
      </c>
      <c r="Y308" s="101">
        <v>5780</v>
      </c>
      <c r="Z308" s="101">
        <v>642</v>
      </c>
      <c r="AA308" s="101">
        <v>380</v>
      </c>
      <c r="AB308" s="101">
        <v>1813</v>
      </c>
      <c r="AC308" s="101">
        <v>151</v>
      </c>
      <c r="AD308" s="101">
        <v>33</v>
      </c>
      <c r="AE308" s="101">
        <v>20</v>
      </c>
      <c r="AF308" s="101">
        <v>37</v>
      </c>
      <c r="AG308" s="101">
        <f t="shared" si="13"/>
        <v>76381.918000000005</v>
      </c>
      <c r="AH308" s="101">
        <v>35043</v>
      </c>
      <c r="AI308" s="101">
        <f t="shared" si="14"/>
        <v>2179.6626430385527</v>
      </c>
      <c r="AJ308" t="s">
        <v>465</v>
      </c>
      <c r="AN308" t="s">
        <v>384</v>
      </c>
      <c r="AO308" s="259">
        <v>2041.1978576192064</v>
      </c>
      <c r="AP308" t="s">
        <v>116</v>
      </c>
    </row>
    <row r="309" spans="2:42" x14ac:dyDescent="0.25">
      <c r="B309" t="s">
        <v>204</v>
      </c>
      <c r="C309" s="101">
        <v>143838</v>
      </c>
      <c r="D309" s="101">
        <v>208</v>
      </c>
      <c r="E309" s="101">
        <v>1556</v>
      </c>
      <c r="F309" s="101">
        <v>5118</v>
      </c>
      <c r="G309" s="101">
        <v>39920</v>
      </c>
      <c r="H309" s="101">
        <v>11029</v>
      </c>
      <c r="I309" s="101">
        <v>3492</v>
      </c>
      <c r="J309" s="101">
        <v>4027</v>
      </c>
      <c r="K309" s="101">
        <v>908</v>
      </c>
      <c r="L309" s="101">
        <v>3028</v>
      </c>
      <c r="M309" s="101">
        <v>9416</v>
      </c>
      <c r="N309" s="101">
        <v>19055</v>
      </c>
      <c r="O309" s="101">
        <v>15297</v>
      </c>
      <c r="P309" s="101">
        <v>18280</v>
      </c>
      <c r="Q309" s="101">
        <v>9559</v>
      </c>
      <c r="R309" s="101">
        <v>2945</v>
      </c>
      <c r="S309" s="101"/>
      <c r="T309" t="s">
        <v>204</v>
      </c>
      <c r="U309" s="101">
        <f t="shared" si="12"/>
        <v>136956</v>
      </c>
      <c r="V309" s="101">
        <v>101903000</v>
      </c>
      <c r="W309" s="101">
        <v>78029978</v>
      </c>
      <c r="X309" s="101">
        <v>2499</v>
      </c>
      <c r="Y309" s="101">
        <v>5940</v>
      </c>
      <c r="Z309" s="101">
        <v>781</v>
      </c>
      <c r="AA309" s="101">
        <v>562</v>
      </c>
      <c r="AB309" s="101">
        <v>1391</v>
      </c>
      <c r="AC309" s="101">
        <v>1314</v>
      </c>
      <c r="AD309" s="101">
        <v>264</v>
      </c>
      <c r="AE309" s="101">
        <v>1296</v>
      </c>
      <c r="AF309" s="101">
        <v>236</v>
      </c>
      <c r="AG309" s="101">
        <f t="shared" si="13"/>
        <v>98799.978000000003</v>
      </c>
      <c r="AH309" s="101">
        <v>42802</v>
      </c>
      <c r="AI309" s="101">
        <f t="shared" si="14"/>
        <v>2308.3028363160602</v>
      </c>
      <c r="AJ309" t="s">
        <v>116</v>
      </c>
      <c r="AN309" t="s">
        <v>269</v>
      </c>
      <c r="AO309" s="259">
        <v>2148.3310400396676</v>
      </c>
      <c r="AP309" t="s">
        <v>116</v>
      </c>
    </row>
    <row r="310" spans="2:42" x14ac:dyDescent="0.25">
      <c r="B310" t="s">
        <v>321</v>
      </c>
      <c r="C310" s="101">
        <v>93250</v>
      </c>
      <c r="D310" s="101">
        <v>81</v>
      </c>
      <c r="E310" s="101">
        <v>13</v>
      </c>
      <c r="F310" s="101">
        <v>3130</v>
      </c>
      <c r="G310" s="101">
        <v>25614</v>
      </c>
      <c r="H310" s="101">
        <v>8928</v>
      </c>
      <c r="I310" s="101">
        <v>2996</v>
      </c>
      <c r="J310" s="101">
        <v>3212</v>
      </c>
      <c r="K310" s="101">
        <v>348</v>
      </c>
      <c r="L310" s="101">
        <v>2425</v>
      </c>
      <c r="M310" s="101">
        <v>6686</v>
      </c>
      <c r="N310" s="101">
        <v>11128</v>
      </c>
      <c r="O310" s="101">
        <v>8014</v>
      </c>
      <c r="P310" s="101">
        <v>10502</v>
      </c>
      <c r="Q310" s="101">
        <v>9114</v>
      </c>
      <c r="R310" s="101">
        <v>1059</v>
      </c>
      <c r="S310" s="101"/>
      <c r="T310" t="s">
        <v>321</v>
      </c>
      <c r="U310" s="101">
        <f t="shared" si="12"/>
        <v>90026</v>
      </c>
      <c r="V310" s="101">
        <v>55176000</v>
      </c>
      <c r="W310" s="101">
        <v>43194102</v>
      </c>
      <c r="X310" s="101">
        <v>3001</v>
      </c>
      <c r="Y310" s="101">
        <v>6459</v>
      </c>
      <c r="Z310" s="101">
        <v>606</v>
      </c>
      <c r="AA310" s="101">
        <v>57</v>
      </c>
      <c r="AB310" s="101">
        <v>2056</v>
      </c>
      <c r="AC310" s="101">
        <v>89</v>
      </c>
      <c r="AD310" s="101">
        <v>2266</v>
      </c>
      <c r="AE310" s="101">
        <v>19</v>
      </c>
      <c r="AF310" s="101">
        <v>225</v>
      </c>
      <c r="AG310" s="101">
        <f t="shared" si="13"/>
        <v>63266.101999999999</v>
      </c>
      <c r="AH310" s="101">
        <v>27534</v>
      </c>
      <c r="AI310" s="101">
        <f t="shared" si="14"/>
        <v>2297.744679305586</v>
      </c>
      <c r="AJ310" t="s">
        <v>465</v>
      </c>
      <c r="AN310" t="s">
        <v>315</v>
      </c>
      <c r="AO310" s="259">
        <v>2769.6150631669475</v>
      </c>
      <c r="AP310" t="s">
        <v>116</v>
      </c>
    </row>
    <row r="311" spans="2:42" x14ac:dyDescent="0.25">
      <c r="B311" t="s">
        <v>275</v>
      </c>
      <c r="C311" s="101">
        <v>52341</v>
      </c>
      <c r="D311" s="101">
        <v>0</v>
      </c>
      <c r="E311" s="101">
        <v>306</v>
      </c>
      <c r="F311" s="101">
        <v>2620</v>
      </c>
      <c r="G311" s="101">
        <v>16219</v>
      </c>
      <c r="H311" s="101">
        <v>4460</v>
      </c>
      <c r="I311" s="101">
        <v>2209</v>
      </c>
      <c r="J311" s="101">
        <v>2877</v>
      </c>
      <c r="K311" s="101">
        <v>175</v>
      </c>
      <c r="L311" s="101">
        <v>879</v>
      </c>
      <c r="M311" s="101">
        <v>2046</v>
      </c>
      <c r="N311" s="101">
        <v>3598</v>
      </c>
      <c r="O311" s="101">
        <v>5816</v>
      </c>
      <c r="P311" s="101">
        <v>5400</v>
      </c>
      <c r="Q311" s="101">
        <v>4408</v>
      </c>
      <c r="R311" s="101">
        <v>1328</v>
      </c>
      <c r="S311" s="101"/>
      <c r="T311" t="s">
        <v>275</v>
      </c>
      <c r="U311" s="101">
        <f t="shared" si="12"/>
        <v>49415</v>
      </c>
      <c r="V311" s="101">
        <v>36441000</v>
      </c>
      <c r="W311" s="101">
        <v>31795789</v>
      </c>
      <c r="X311" s="101">
        <v>1353</v>
      </c>
      <c r="Y311" s="101">
        <v>2377</v>
      </c>
      <c r="Z311" s="101">
        <v>375</v>
      </c>
      <c r="AA311" s="101">
        <v>269</v>
      </c>
      <c r="AB311" s="101">
        <v>910</v>
      </c>
      <c r="AC311" s="101">
        <v>162</v>
      </c>
      <c r="AD311" s="101">
        <v>832</v>
      </c>
      <c r="AE311" s="101">
        <v>563</v>
      </c>
      <c r="AF311" s="101">
        <v>268</v>
      </c>
      <c r="AG311" s="101">
        <f t="shared" si="13"/>
        <v>37660.789000000004</v>
      </c>
      <c r="AH311" s="101">
        <v>17547</v>
      </c>
      <c r="AI311" s="101">
        <f t="shared" si="14"/>
        <v>2146.2807887388162</v>
      </c>
      <c r="AJ311" t="s">
        <v>465</v>
      </c>
      <c r="AN311" t="s">
        <v>335</v>
      </c>
      <c r="AO311" s="259">
        <v>2869.6148036253776</v>
      </c>
      <c r="AP311" t="s">
        <v>116</v>
      </c>
    </row>
    <row r="312" spans="2:42" x14ac:dyDescent="0.25">
      <c r="B312" t="s">
        <v>426</v>
      </c>
      <c r="C312" s="101">
        <v>200270</v>
      </c>
      <c r="D312" s="101">
        <v>1259</v>
      </c>
      <c r="E312" s="101">
        <v>1846</v>
      </c>
      <c r="F312" s="101">
        <v>6235</v>
      </c>
      <c r="G312" s="101">
        <v>41364</v>
      </c>
      <c r="H312" s="101">
        <v>16971</v>
      </c>
      <c r="I312" s="101">
        <v>5276</v>
      </c>
      <c r="J312" s="101">
        <v>9502</v>
      </c>
      <c r="K312" s="101">
        <v>7975</v>
      </c>
      <c r="L312" s="101">
        <v>3895</v>
      </c>
      <c r="M312" s="101">
        <v>16698</v>
      </c>
      <c r="N312" s="101">
        <v>31460</v>
      </c>
      <c r="O312" s="101">
        <v>18566</v>
      </c>
      <c r="P312" s="101">
        <v>24434</v>
      </c>
      <c r="Q312" s="101">
        <v>13057</v>
      </c>
      <c r="R312" s="101">
        <v>1732</v>
      </c>
      <c r="S312" s="101"/>
      <c r="T312" t="s">
        <v>426</v>
      </c>
      <c r="U312" s="101">
        <f t="shared" si="12"/>
        <v>190930</v>
      </c>
      <c r="V312" s="101">
        <v>143537000</v>
      </c>
      <c r="W312" s="101">
        <v>115495084</v>
      </c>
      <c r="X312" s="101">
        <v>5709</v>
      </c>
      <c r="Y312" s="101">
        <v>8163</v>
      </c>
      <c r="Z312" s="101">
        <v>1044</v>
      </c>
      <c r="AA312" s="101">
        <v>4</v>
      </c>
      <c r="AB312" s="101">
        <v>1353</v>
      </c>
      <c r="AC312" s="101">
        <v>815</v>
      </c>
      <c r="AD312" s="101">
        <v>1803</v>
      </c>
      <c r="AE312" s="101">
        <v>3065</v>
      </c>
      <c r="AF312" s="101">
        <v>108</v>
      </c>
      <c r="AG312" s="101">
        <f t="shared" si="13"/>
        <v>140824.084</v>
      </c>
      <c r="AH312" s="101">
        <v>51378</v>
      </c>
      <c r="AI312" s="101">
        <f t="shared" si="14"/>
        <v>2740.9413367589241</v>
      </c>
      <c r="AJ312" t="s">
        <v>439</v>
      </c>
      <c r="AN312" t="s">
        <v>418</v>
      </c>
      <c r="AO312" s="259">
        <v>2339.845112928349</v>
      </c>
      <c r="AP312" t="s">
        <v>116</v>
      </c>
    </row>
    <row r="313" spans="2:42" x14ac:dyDescent="0.25">
      <c r="B313" t="s">
        <v>828</v>
      </c>
      <c r="C313" s="101">
        <v>170690</v>
      </c>
      <c r="D313" s="101">
        <v>12638</v>
      </c>
      <c r="E313" s="101">
        <v>4328</v>
      </c>
      <c r="F313" s="101">
        <v>4838</v>
      </c>
      <c r="G313" s="101">
        <v>29911</v>
      </c>
      <c r="H313" s="101">
        <v>19292</v>
      </c>
      <c r="I313" s="101">
        <v>6227</v>
      </c>
      <c r="J313" s="101">
        <v>7672</v>
      </c>
      <c r="K313" s="101">
        <v>90</v>
      </c>
      <c r="L313" s="101">
        <v>5040</v>
      </c>
      <c r="M313" s="101">
        <v>7825</v>
      </c>
      <c r="N313" s="101">
        <v>18908</v>
      </c>
      <c r="O313" s="101">
        <v>17091</v>
      </c>
      <c r="P313" s="101">
        <v>13196</v>
      </c>
      <c r="Q313" s="101">
        <v>19186</v>
      </c>
      <c r="R313" s="101">
        <v>4448</v>
      </c>
      <c r="S313" s="101"/>
      <c r="T313" t="s">
        <v>828</v>
      </c>
      <c r="U313" s="101">
        <f t="shared" si="12"/>
        <v>148886</v>
      </c>
      <c r="V313" s="101">
        <v>108027000</v>
      </c>
      <c r="W313" s="101">
        <v>91465813</v>
      </c>
      <c r="X313" s="101">
        <v>11129</v>
      </c>
      <c r="Y313" s="101">
        <v>0</v>
      </c>
      <c r="Z313" s="101">
        <v>1088</v>
      </c>
      <c r="AA313" s="101">
        <v>825</v>
      </c>
      <c r="AB313" s="101">
        <v>2510</v>
      </c>
      <c r="AC313" s="101">
        <v>350</v>
      </c>
      <c r="AD313" s="101">
        <v>518</v>
      </c>
      <c r="AE313" s="101">
        <v>199</v>
      </c>
      <c r="AF313" s="101">
        <v>99</v>
      </c>
      <c r="AG313" s="101">
        <f t="shared" si="13"/>
        <v>115606.81299999999</v>
      </c>
      <c r="AH313" s="101">
        <v>53263</v>
      </c>
      <c r="AI313" s="101">
        <f t="shared" si="14"/>
        <v>2170.4900775397555</v>
      </c>
      <c r="AJ313" t="s">
        <v>465</v>
      </c>
      <c r="AN313" t="s">
        <v>316</v>
      </c>
      <c r="AO313" s="259">
        <v>2292.6066313296492</v>
      </c>
      <c r="AP313" t="s">
        <v>116</v>
      </c>
    </row>
    <row r="314" spans="2:42" x14ac:dyDescent="0.25">
      <c r="B314" t="s">
        <v>205</v>
      </c>
      <c r="C314" s="101">
        <v>57884</v>
      </c>
      <c r="D314" s="101">
        <v>404</v>
      </c>
      <c r="E314" s="101">
        <v>506</v>
      </c>
      <c r="F314" s="101">
        <v>2095</v>
      </c>
      <c r="G314" s="101">
        <v>10796</v>
      </c>
      <c r="H314" s="101">
        <v>5420</v>
      </c>
      <c r="I314" s="101">
        <v>2083</v>
      </c>
      <c r="J314" s="101">
        <v>1761</v>
      </c>
      <c r="K314" s="101">
        <v>122</v>
      </c>
      <c r="L314" s="101">
        <v>1874</v>
      </c>
      <c r="M314" s="101">
        <v>2218</v>
      </c>
      <c r="N314" s="101">
        <v>7871</v>
      </c>
      <c r="O314" s="101">
        <v>8300</v>
      </c>
      <c r="P314" s="101">
        <v>6495</v>
      </c>
      <c r="Q314" s="101">
        <v>4828</v>
      </c>
      <c r="R314" s="101">
        <v>3111</v>
      </c>
      <c r="S314" s="101"/>
      <c r="T314" t="s">
        <v>205</v>
      </c>
      <c r="U314" s="101">
        <f t="shared" si="12"/>
        <v>54879</v>
      </c>
      <c r="V314" s="101">
        <v>43337000</v>
      </c>
      <c r="W314" s="101">
        <v>37388701</v>
      </c>
      <c r="X314" s="101">
        <v>2720</v>
      </c>
      <c r="Y314" s="101">
        <v>0</v>
      </c>
      <c r="Z314" s="101">
        <v>349</v>
      </c>
      <c r="AA314" s="101">
        <v>13</v>
      </c>
      <c r="AB314" s="101">
        <v>1320</v>
      </c>
      <c r="AC314" s="101">
        <v>67</v>
      </c>
      <c r="AD314" s="101">
        <v>333</v>
      </c>
      <c r="AE314" s="101">
        <v>0</v>
      </c>
      <c r="AF314" s="101">
        <v>56</v>
      </c>
      <c r="AG314" s="101">
        <f t="shared" si="13"/>
        <v>44072.701000000001</v>
      </c>
      <c r="AH314" s="101">
        <v>20601</v>
      </c>
      <c r="AI314" s="101">
        <f t="shared" si="14"/>
        <v>2139.3476530265521</v>
      </c>
      <c r="AJ314" t="s">
        <v>465</v>
      </c>
      <c r="AN314" t="s">
        <v>336</v>
      </c>
      <c r="AO314" s="259">
        <v>2770.3050047623174</v>
      </c>
      <c r="AP314" t="s">
        <v>116</v>
      </c>
    </row>
    <row r="315" spans="2:42" x14ac:dyDescent="0.25">
      <c r="B315" t="s">
        <v>601</v>
      </c>
      <c r="C315" s="101">
        <v>218573</v>
      </c>
      <c r="D315" s="101">
        <v>381</v>
      </c>
      <c r="E315" s="101">
        <v>4103</v>
      </c>
      <c r="F315" s="101">
        <v>9628</v>
      </c>
      <c r="G315" s="101">
        <v>65281</v>
      </c>
      <c r="H315" s="101">
        <v>16858</v>
      </c>
      <c r="I315" s="101">
        <v>5273</v>
      </c>
      <c r="J315" s="101">
        <v>7189</v>
      </c>
      <c r="K315" s="101">
        <v>244</v>
      </c>
      <c r="L315" s="101">
        <v>3843</v>
      </c>
      <c r="M315" s="101">
        <v>12717</v>
      </c>
      <c r="N315" s="101">
        <v>21768</v>
      </c>
      <c r="O315" s="101">
        <v>24772</v>
      </c>
      <c r="P315" s="101">
        <v>25570</v>
      </c>
      <c r="Q315" s="101">
        <v>19279</v>
      </c>
      <c r="R315" s="101">
        <v>1667</v>
      </c>
      <c r="S315" s="101"/>
      <c r="T315" t="s">
        <v>601</v>
      </c>
      <c r="U315" s="101">
        <f t="shared" si="12"/>
        <v>204461</v>
      </c>
      <c r="V315" s="101">
        <v>160742000</v>
      </c>
      <c r="W315" s="101">
        <v>131157855</v>
      </c>
      <c r="X315" s="101">
        <v>7204</v>
      </c>
      <c r="Y315" s="101">
        <v>10974</v>
      </c>
      <c r="Z315" s="101">
        <v>970</v>
      </c>
      <c r="AA315" s="101">
        <v>539</v>
      </c>
      <c r="AB315" s="101">
        <v>1780</v>
      </c>
      <c r="AC315" s="101">
        <v>202</v>
      </c>
      <c r="AD315" s="101">
        <v>0</v>
      </c>
      <c r="AE315" s="101">
        <v>7</v>
      </c>
      <c r="AF315" s="101">
        <v>128</v>
      </c>
      <c r="AG315" s="101">
        <f t="shared" si="13"/>
        <v>153072.85500000001</v>
      </c>
      <c r="AH315" s="101">
        <v>64834</v>
      </c>
      <c r="AI315" s="101">
        <f t="shared" si="14"/>
        <v>2360.996622142703</v>
      </c>
      <c r="AJ315" t="s">
        <v>116</v>
      </c>
      <c r="AN315" t="s">
        <v>227</v>
      </c>
      <c r="AO315" s="259">
        <v>2227.3546801108309</v>
      </c>
      <c r="AP315" t="s">
        <v>116</v>
      </c>
    </row>
    <row r="316" spans="2:42" x14ac:dyDescent="0.25">
      <c r="B316" t="s">
        <v>114</v>
      </c>
      <c r="C316" s="101">
        <v>66875</v>
      </c>
      <c r="D316" s="101">
        <v>940</v>
      </c>
      <c r="E316" s="101">
        <v>251</v>
      </c>
      <c r="F316" s="101">
        <v>2230</v>
      </c>
      <c r="G316" s="101">
        <v>16586</v>
      </c>
      <c r="H316" s="101">
        <v>7321</v>
      </c>
      <c r="I316" s="101">
        <v>1699</v>
      </c>
      <c r="J316" s="101">
        <v>4100</v>
      </c>
      <c r="K316" s="101">
        <v>1549</v>
      </c>
      <c r="L316" s="101">
        <v>926</v>
      </c>
      <c r="M316" s="101">
        <v>4000</v>
      </c>
      <c r="N316" s="101">
        <v>8018</v>
      </c>
      <c r="O316" s="101">
        <v>4347</v>
      </c>
      <c r="P316" s="101">
        <v>7839</v>
      </c>
      <c r="Q316" s="101">
        <v>5170</v>
      </c>
      <c r="R316" s="101">
        <v>1899</v>
      </c>
      <c r="S316" s="101"/>
      <c r="T316" t="s">
        <v>114</v>
      </c>
      <c r="U316" s="101">
        <f t="shared" si="12"/>
        <v>63454</v>
      </c>
      <c r="V316" s="101">
        <v>50144000</v>
      </c>
      <c r="W316" s="101">
        <v>42688027</v>
      </c>
      <c r="X316" s="101">
        <v>2148</v>
      </c>
      <c r="Y316" s="101">
        <v>2110</v>
      </c>
      <c r="Z316" s="101">
        <v>301</v>
      </c>
      <c r="AA316" s="101">
        <v>375</v>
      </c>
      <c r="AB316" s="101">
        <v>551</v>
      </c>
      <c r="AC316" s="101">
        <v>19</v>
      </c>
      <c r="AD316" s="101">
        <v>1307</v>
      </c>
      <c r="AE316" s="101">
        <v>0</v>
      </c>
      <c r="AF316" s="101">
        <v>45</v>
      </c>
      <c r="AG316" s="101">
        <f t="shared" si="13"/>
        <v>49142.027000000002</v>
      </c>
      <c r="AH316" s="101">
        <v>19987</v>
      </c>
      <c r="AI316" s="101">
        <f t="shared" si="14"/>
        <v>2458.6995046780407</v>
      </c>
      <c r="AJ316" t="s">
        <v>116</v>
      </c>
      <c r="AN316" t="s">
        <v>270</v>
      </c>
      <c r="AO316" s="259">
        <v>2416.6270447600214</v>
      </c>
      <c r="AP316" t="s">
        <v>116</v>
      </c>
    </row>
    <row r="317" spans="2:42" x14ac:dyDescent="0.25">
      <c r="B317" t="s">
        <v>206</v>
      </c>
      <c r="C317" s="101">
        <v>51607</v>
      </c>
      <c r="D317" s="101">
        <v>404</v>
      </c>
      <c r="E317" s="101">
        <v>389</v>
      </c>
      <c r="F317" s="101">
        <v>1419</v>
      </c>
      <c r="G317" s="101">
        <v>1067</v>
      </c>
      <c r="H317" s="101">
        <v>8982</v>
      </c>
      <c r="I317" s="101">
        <v>1209</v>
      </c>
      <c r="J317" s="101">
        <v>1541</v>
      </c>
      <c r="K317" s="101">
        <v>401</v>
      </c>
      <c r="L317" s="101">
        <v>1429</v>
      </c>
      <c r="M317" s="101">
        <v>2649</v>
      </c>
      <c r="N317" s="101">
        <v>10635</v>
      </c>
      <c r="O317" s="101">
        <v>8560</v>
      </c>
      <c r="P317" s="101">
        <v>6684</v>
      </c>
      <c r="Q317" s="101">
        <v>4261</v>
      </c>
      <c r="R317" s="101">
        <v>1977</v>
      </c>
      <c r="S317" s="101"/>
      <c r="T317" t="s">
        <v>206</v>
      </c>
      <c r="U317" s="101">
        <f t="shared" si="12"/>
        <v>49395</v>
      </c>
      <c r="V317" s="101">
        <v>40913000</v>
      </c>
      <c r="W317" s="101">
        <v>31906574</v>
      </c>
      <c r="X317" s="101">
        <v>1880</v>
      </c>
      <c r="Y317" s="101">
        <v>1842</v>
      </c>
      <c r="Z317" s="101">
        <v>367</v>
      </c>
      <c r="AA317" s="101">
        <v>54</v>
      </c>
      <c r="AB317" s="101">
        <v>296</v>
      </c>
      <c r="AC317" s="101">
        <v>36</v>
      </c>
      <c r="AD317" s="101">
        <v>0</v>
      </c>
      <c r="AE317" s="101">
        <v>2</v>
      </c>
      <c r="AF317" s="101">
        <v>20</v>
      </c>
      <c r="AG317" s="101">
        <f t="shared" si="13"/>
        <v>35891.574000000001</v>
      </c>
      <c r="AH317" s="101">
        <v>15202</v>
      </c>
      <c r="AI317" s="101">
        <f t="shared" si="14"/>
        <v>2360.9771082752268</v>
      </c>
      <c r="AJ317" t="s">
        <v>116</v>
      </c>
      <c r="AN317" t="s">
        <v>388</v>
      </c>
      <c r="AO317" s="259">
        <v>2278.6931337455258</v>
      </c>
      <c r="AP317" t="s">
        <v>116</v>
      </c>
    </row>
    <row r="318" spans="2:42" x14ac:dyDescent="0.25">
      <c r="B318" t="s">
        <v>602</v>
      </c>
      <c r="C318" s="101">
        <v>136808</v>
      </c>
      <c r="D318" s="101">
        <v>34</v>
      </c>
      <c r="E318" s="101">
        <v>278</v>
      </c>
      <c r="F318" s="101">
        <v>2939</v>
      </c>
      <c r="G318" s="101">
        <v>31782</v>
      </c>
      <c r="H318" s="101">
        <v>9603</v>
      </c>
      <c r="I318" s="101">
        <v>3704</v>
      </c>
      <c r="J318" s="101">
        <v>3253</v>
      </c>
      <c r="K318" s="101">
        <v>396</v>
      </c>
      <c r="L318" s="101">
        <v>4131</v>
      </c>
      <c r="M318" s="101">
        <v>8471</v>
      </c>
      <c r="N318" s="101">
        <v>22720</v>
      </c>
      <c r="O318" s="101">
        <v>12018</v>
      </c>
      <c r="P318" s="101">
        <v>19743</v>
      </c>
      <c r="Q318" s="101">
        <v>9992</v>
      </c>
      <c r="R318" s="101">
        <v>7744</v>
      </c>
      <c r="S318" s="101"/>
      <c r="T318" t="s">
        <v>602</v>
      </c>
      <c r="U318" s="101">
        <f t="shared" si="12"/>
        <v>133557</v>
      </c>
      <c r="V318" s="101">
        <v>106998000</v>
      </c>
      <c r="W318" s="101">
        <v>65453426</v>
      </c>
      <c r="X318" s="101">
        <v>4197</v>
      </c>
      <c r="Y318" s="101">
        <v>4412</v>
      </c>
      <c r="Z318" s="101">
        <v>479</v>
      </c>
      <c r="AA318" s="101">
        <v>110</v>
      </c>
      <c r="AB318" s="101">
        <v>500</v>
      </c>
      <c r="AC318" s="101">
        <v>44</v>
      </c>
      <c r="AD318" s="101">
        <v>392</v>
      </c>
      <c r="AE318" s="101">
        <v>0</v>
      </c>
      <c r="AF318" s="101">
        <v>18</v>
      </c>
      <c r="AG318" s="101">
        <f t="shared" si="13"/>
        <v>81860.426000000007</v>
      </c>
      <c r="AH318" s="101">
        <v>27464</v>
      </c>
      <c r="AI318" s="101">
        <f t="shared" si="14"/>
        <v>2980.6446985144189</v>
      </c>
      <c r="AJ318" t="s">
        <v>116</v>
      </c>
      <c r="AN318" t="s">
        <v>157</v>
      </c>
      <c r="AO318" s="286">
        <v>2621.611210781954</v>
      </c>
      <c r="AP318" t="s">
        <v>116</v>
      </c>
    </row>
    <row r="319" spans="2:42" x14ac:dyDescent="0.25">
      <c r="B319" t="s">
        <v>322</v>
      </c>
      <c r="C319" s="101">
        <v>382630</v>
      </c>
      <c r="D319" s="101">
        <v>23445</v>
      </c>
      <c r="E319" s="101">
        <v>8683</v>
      </c>
      <c r="F319" s="101">
        <v>24559</v>
      </c>
      <c r="G319" s="101">
        <v>95115</v>
      </c>
      <c r="H319" s="101">
        <v>21392</v>
      </c>
      <c r="I319" s="101">
        <v>10123</v>
      </c>
      <c r="J319" s="101">
        <v>13493</v>
      </c>
      <c r="K319" s="101">
        <v>2716</v>
      </c>
      <c r="L319" s="101">
        <v>5798</v>
      </c>
      <c r="M319" s="101">
        <v>22495</v>
      </c>
      <c r="N319" s="101">
        <v>39606</v>
      </c>
      <c r="O319" s="101">
        <v>47709</v>
      </c>
      <c r="P319" s="101">
        <v>34622</v>
      </c>
      <c r="Q319" s="101">
        <v>28607</v>
      </c>
      <c r="R319" s="101">
        <v>4267</v>
      </c>
      <c r="S319" s="101"/>
      <c r="T319" t="s">
        <v>322</v>
      </c>
      <c r="U319" s="101">
        <f t="shared" si="12"/>
        <v>325943</v>
      </c>
      <c r="V319" s="101">
        <v>242260000</v>
      </c>
      <c r="W319" s="101">
        <v>206359489</v>
      </c>
      <c r="X319" s="101">
        <v>17676</v>
      </c>
      <c r="Y319" s="101">
        <v>15790</v>
      </c>
      <c r="Z319" s="101">
        <v>1919</v>
      </c>
      <c r="AA319" s="101">
        <v>938</v>
      </c>
      <c r="AB319" s="101">
        <v>5374</v>
      </c>
      <c r="AC319" s="101">
        <v>431</v>
      </c>
      <c r="AD319" s="101">
        <v>318</v>
      </c>
      <c r="AE319" s="101">
        <v>373</v>
      </c>
      <c r="AF319" s="101">
        <v>71</v>
      </c>
      <c r="AG319" s="101">
        <f t="shared" si="13"/>
        <v>247152.489</v>
      </c>
      <c r="AH319" s="101">
        <v>116897</v>
      </c>
      <c r="AI319" s="101">
        <f t="shared" si="14"/>
        <v>2114.2757213615405</v>
      </c>
      <c r="AJ319" t="s">
        <v>465</v>
      </c>
      <c r="AN319" t="s">
        <v>727</v>
      </c>
      <c r="AO319" s="259">
        <v>2255.6462355995459</v>
      </c>
      <c r="AP319" t="s">
        <v>116</v>
      </c>
    </row>
    <row r="320" spans="2:42" x14ac:dyDescent="0.25">
      <c r="B320" t="s">
        <v>138</v>
      </c>
      <c r="C320" s="101">
        <v>104886</v>
      </c>
      <c r="D320" s="101">
        <v>-164</v>
      </c>
      <c r="E320" s="101">
        <v>1400</v>
      </c>
      <c r="F320" s="101">
        <v>5326</v>
      </c>
      <c r="G320" s="101">
        <v>31969</v>
      </c>
      <c r="H320" s="101">
        <v>9979</v>
      </c>
      <c r="I320" s="101">
        <v>2156</v>
      </c>
      <c r="J320" s="101">
        <v>4440</v>
      </c>
      <c r="K320" s="101">
        <v>119</v>
      </c>
      <c r="L320" s="101">
        <v>2347</v>
      </c>
      <c r="M320" s="101">
        <v>3128</v>
      </c>
      <c r="N320" s="101">
        <v>14451</v>
      </c>
      <c r="O320" s="101">
        <v>10318</v>
      </c>
      <c r="P320" s="101">
        <v>10191</v>
      </c>
      <c r="Q320" s="101">
        <v>7423</v>
      </c>
      <c r="R320" s="101">
        <v>1803</v>
      </c>
      <c r="S320" s="101"/>
      <c r="T320" t="s">
        <v>138</v>
      </c>
      <c r="U320" s="101">
        <f t="shared" si="12"/>
        <v>98324</v>
      </c>
      <c r="V320" s="101">
        <v>79605000</v>
      </c>
      <c r="W320" s="101">
        <v>61972823</v>
      </c>
      <c r="X320" s="101">
        <v>2467</v>
      </c>
      <c r="Y320" s="101">
        <v>3388</v>
      </c>
      <c r="Z320" s="101">
        <v>399</v>
      </c>
      <c r="AA320" s="101">
        <v>97</v>
      </c>
      <c r="AB320" s="101">
        <v>525</v>
      </c>
      <c r="AC320" s="101">
        <v>75</v>
      </c>
      <c r="AD320" s="101">
        <v>170</v>
      </c>
      <c r="AE320" s="101">
        <v>0</v>
      </c>
      <c r="AF320" s="101">
        <v>0</v>
      </c>
      <c r="AG320" s="101">
        <f t="shared" si="13"/>
        <v>73570.823000000004</v>
      </c>
      <c r="AH320" s="101">
        <v>26595</v>
      </c>
      <c r="AI320" s="101">
        <f t="shared" si="14"/>
        <v>2766.3404023312651</v>
      </c>
      <c r="AJ320" t="s">
        <v>116</v>
      </c>
      <c r="AN320" t="s">
        <v>438</v>
      </c>
      <c r="AO320" s="259">
        <v>2602.9481619758758</v>
      </c>
      <c r="AP320" t="s">
        <v>116</v>
      </c>
    </row>
    <row r="321" spans="2:42" x14ac:dyDescent="0.25">
      <c r="B321" t="s">
        <v>160</v>
      </c>
      <c r="C321" s="101">
        <v>83579</v>
      </c>
      <c r="D321" s="101">
        <v>10649</v>
      </c>
      <c r="E321" s="101">
        <v>915</v>
      </c>
      <c r="F321" s="101">
        <v>3247</v>
      </c>
      <c r="G321" s="101">
        <v>22705</v>
      </c>
      <c r="H321" s="101">
        <v>5859</v>
      </c>
      <c r="I321" s="101">
        <v>2124</v>
      </c>
      <c r="J321" s="101">
        <v>2087</v>
      </c>
      <c r="K321" s="101">
        <v>1568</v>
      </c>
      <c r="L321" s="101">
        <v>994</v>
      </c>
      <c r="M321" s="101">
        <v>4836</v>
      </c>
      <c r="N321" s="101">
        <v>6456</v>
      </c>
      <c r="O321" s="101">
        <v>6718</v>
      </c>
      <c r="P321" s="101">
        <v>8291</v>
      </c>
      <c r="Q321" s="101">
        <v>6645</v>
      </c>
      <c r="R321" s="101">
        <v>485</v>
      </c>
      <c r="S321" s="101"/>
      <c r="T321" t="s">
        <v>160</v>
      </c>
      <c r="U321" s="101">
        <f t="shared" si="12"/>
        <v>68768</v>
      </c>
      <c r="V321" s="101">
        <v>51037000</v>
      </c>
      <c r="W321" s="101">
        <v>44192639</v>
      </c>
      <c r="X321" s="101">
        <v>3879</v>
      </c>
      <c r="Y321" s="101">
        <v>2675</v>
      </c>
      <c r="Z321" s="101">
        <v>503</v>
      </c>
      <c r="AA321" s="101">
        <v>334</v>
      </c>
      <c r="AB321" s="101">
        <v>1111</v>
      </c>
      <c r="AC321" s="101">
        <v>42</v>
      </c>
      <c r="AD321" s="101">
        <v>328</v>
      </c>
      <c r="AE321" s="101">
        <v>0</v>
      </c>
      <c r="AF321" s="101">
        <v>4</v>
      </c>
      <c r="AG321" s="101">
        <f t="shared" si="13"/>
        <v>53047.639000000003</v>
      </c>
      <c r="AH321" s="101">
        <v>25349</v>
      </c>
      <c r="AI321" s="101">
        <f t="shared" si="14"/>
        <v>2092.6915854668823</v>
      </c>
      <c r="AJ321" t="s">
        <v>465</v>
      </c>
      <c r="AN321" t="s">
        <v>337</v>
      </c>
      <c r="AO321" s="259">
        <v>2728.1878806388445</v>
      </c>
      <c r="AP321" t="s">
        <v>116</v>
      </c>
    </row>
    <row r="322" spans="2:42" x14ac:dyDescent="0.25">
      <c r="B322" t="s">
        <v>207</v>
      </c>
      <c r="C322" s="101">
        <v>139453</v>
      </c>
      <c r="D322" s="101">
        <v>50</v>
      </c>
      <c r="E322" s="101">
        <v>313</v>
      </c>
      <c r="F322" s="101">
        <v>4532</v>
      </c>
      <c r="G322" s="101">
        <v>2259</v>
      </c>
      <c r="H322" s="101">
        <v>20840</v>
      </c>
      <c r="I322" s="101">
        <v>4633</v>
      </c>
      <c r="J322" s="101">
        <v>5407</v>
      </c>
      <c r="K322" s="101">
        <v>1643</v>
      </c>
      <c r="L322" s="101">
        <v>2790</v>
      </c>
      <c r="M322" s="101">
        <v>11367</v>
      </c>
      <c r="N322" s="101">
        <v>26108</v>
      </c>
      <c r="O322" s="101">
        <v>21023</v>
      </c>
      <c r="P322" s="101">
        <v>21441</v>
      </c>
      <c r="Q322" s="101">
        <v>13672</v>
      </c>
      <c r="R322" s="101">
        <v>3375</v>
      </c>
      <c r="S322" s="101"/>
      <c r="T322" t="s">
        <v>207</v>
      </c>
      <c r="U322" s="101">
        <f t="shared" si="12"/>
        <v>134558</v>
      </c>
      <c r="V322" s="101">
        <v>104048000</v>
      </c>
      <c r="W322" s="101">
        <v>83223932</v>
      </c>
      <c r="X322" s="101">
        <v>4676</v>
      </c>
      <c r="Y322" s="101">
        <v>4571</v>
      </c>
      <c r="Z322" s="101">
        <v>866</v>
      </c>
      <c r="AA322" s="101">
        <v>0</v>
      </c>
      <c r="AB322" s="101">
        <v>1442</v>
      </c>
      <c r="AC322" s="101">
        <v>364</v>
      </c>
      <c r="AD322" s="101">
        <v>215</v>
      </c>
      <c r="AE322" s="101">
        <v>0</v>
      </c>
      <c r="AF322" s="101">
        <v>38</v>
      </c>
      <c r="AG322" s="101">
        <f t="shared" si="13"/>
        <v>101561.932</v>
      </c>
      <c r="AH322" s="101">
        <v>41833</v>
      </c>
      <c r="AI322" s="101">
        <f t="shared" si="14"/>
        <v>2427.794611909258</v>
      </c>
      <c r="AJ322" t="s">
        <v>116</v>
      </c>
      <c r="AN322" t="s">
        <v>159</v>
      </c>
      <c r="AO322" s="259">
        <v>3403.3422834530265</v>
      </c>
      <c r="AP322" t="s">
        <v>116</v>
      </c>
    </row>
    <row r="323" spans="2:42" x14ac:dyDescent="0.25">
      <c r="B323" t="s">
        <v>277</v>
      </c>
      <c r="C323" s="101">
        <v>67792</v>
      </c>
      <c r="D323" s="101">
        <v>17</v>
      </c>
      <c r="E323" s="101">
        <v>810</v>
      </c>
      <c r="F323" s="101">
        <v>2661</v>
      </c>
      <c r="G323" s="101">
        <v>22013</v>
      </c>
      <c r="H323" s="101">
        <v>6925</v>
      </c>
      <c r="I323" s="101">
        <v>2845</v>
      </c>
      <c r="J323" s="101">
        <v>2728</v>
      </c>
      <c r="K323" s="101">
        <v>383</v>
      </c>
      <c r="L323" s="101">
        <v>1601</v>
      </c>
      <c r="M323" s="101">
        <v>3029</v>
      </c>
      <c r="N323" s="101">
        <v>5456</v>
      </c>
      <c r="O323" s="101">
        <v>5881</v>
      </c>
      <c r="P323" s="101">
        <v>5581</v>
      </c>
      <c r="Q323" s="101">
        <v>7232</v>
      </c>
      <c r="R323" s="101">
        <v>630</v>
      </c>
      <c r="S323" s="101"/>
      <c r="T323" t="s">
        <v>277</v>
      </c>
      <c r="U323" s="101">
        <f t="shared" ref="U323:U343" si="15">SUM(C323,-D323,-E323,-F323)</f>
        <v>64304</v>
      </c>
      <c r="V323" s="101">
        <v>43761000</v>
      </c>
      <c r="W323" s="101">
        <v>38837955</v>
      </c>
      <c r="X323" s="101">
        <v>4973</v>
      </c>
      <c r="Y323" s="101">
        <v>4864</v>
      </c>
      <c r="Z323" s="101">
        <v>261</v>
      </c>
      <c r="AA323" s="101">
        <v>282</v>
      </c>
      <c r="AB323" s="101">
        <v>412</v>
      </c>
      <c r="AC323" s="101">
        <v>32</v>
      </c>
      <c r="AD323" s="101">
        <v>325</v>
      </c>
      <c r="AE323" s="101">
        <v>0</v>
      </c>
      <c r="AF323" s="101">
        <v>29</v>
      </c>
      <c r="AG323" s="101">
        <f t="shared" ref="AG323:AG344" si="16">SUM(U323,-V323/1000,W323/1000,-X323,-Y323,-Z323,-AA323,-AB323,-AC323,-AD323,-AE323,-AF323)</f>
        <v>48202.955000000002</v>
      </c>
      <c r="AH323" s="101">
        <v>24662</v>
      </c>
      <c r="AI323" s="101">
        <f t="shared" ref="AI323:AI344" si="17">AG323*1000/AH323</f>
        <v>1954.5436298759225</v>
      </c>
      <c r="AJ323" t="s">
        <v>465</v>
      </c>
      <c r="AN323" t="s">
        <v>136</v>
      </c>
      <c r="AO323" s="259">
        <v>2398.8359077476161</v>
      </c>
      <c r="AP323" t="s">
        <v>116</v>
      </c>
    </row>
    <row r="324" spans="2:42" x14ac:dyDescent="0.25">
      <c r="B324" t="s">
        <v>232</v>
      </c>
      <c r="C324" s="101">
        <v>67437</v>
      </c>
      <c r="D324" s="101">
        <v>864</v>
      </c>
      <c r="E324" s="101">
        <v>943</v>
      </c>
      <c r="F324" s="101">
        <v>2785</v>
      </c>
      <c r="G324" s="101">
        <v>15926</v>
      </c>
      <c r="H324" s="101">
        <v>3805</v>
      </c>
      <c r="I324" s="101">
        <v>2031</v>
      </c>
      <c r="J324" s="101">
        <v>2189</v>
      </c>
      <c r="K324" s="101">
        <v>675</v>
      </c>
      <c r="L324" s="101">
        <v>1299</v>
      </c>
      <c r="M324" s="101">
        <v>3664</v>
      </c>
      <c r="N324" s="101">
        <v>8375</v>
      </c>
      <c r="O324" s="101">
        <v>11393</v>
      </c>
      <c r="P324" s="101">
        <v>7170</v>
      </c>
      <c r="Q324" s="101">
        <v>5986</v>
      </c>
      <c r="R324" s="101">
        <v>332</v>
      </c>
      <c r="S324" s="101"/>
      <c r="T324" t="s">
        <v>232</v>
      </c>
      <c r="U324" s="101">
        <f t="shared" si="15"/>
        <v>62845</v>
      </c>
      <c r="V324" s="101">
        <v>48877000</v>
      </c>
      <c r="W324" s="101">
        <v>40810408</v>
      </c>
      <c r="X324" s="101">
        <v>2737</v>
      </c>
      <c r="Y324" s="101">
        <v>3605</v>
      </c>
      <c r="Z324" s="101">
        <v>435</v>
      </c>
      <c r="AA324" s="101">
        <v>191</v>
      </c>
      <c r="AB324" s="101">
        <v>618</v>
      </c>
      <c r="AC324" s="101">
        <v>138</v>
      </c>
      <c r="AD324" s="101">
        <v>46</v>
      </c>
      <c r="AE324" s="101">
        <v>36</v>
      </c>
      <c r="AF324" s="101">
        <v>50</v>
      </c>
      <c r="AG324" s="101">
        <f t="shared" si="16"/>
        <v>46922.408000000003</v>
      </c>
      <c r="AH324" s="101">
        <v>23826</v>
      </c>
      <c r="AI324" s="101">
        <f t="shared" si="17"/>
        <v>1969.3783261982708</v>
      </c>
      <c r="AJ324" t="s">
        <v>465</v>
      </c>
      <c r="AN324" t="s">
        <v>422</v>
      </c>
      <c r="AO324" s="259">
        <v>2544.2930741190767</v>
      </c>
      <c r="AP324" t="s">
        <v>116</v>
      </c>
    </row>
    <row r="325" spans="2:42" x14ac:dyDescent="0.25">
      <c r="B325" t="s">
        <v>208</v>
      </c>
      <c r="C325" s="101">
        <v>127568</v>
      </c>
      <c r="D325" s="101">
        <v>3263</v>
      </c>
      <c r="E325" s="101">
        <v>2549</v>
      </c>
      <c r="F325" s="101">
        <v>5856</v>
      </c>
      <c r="G325" s="101">
        <v>28108</v>
      </c>
      <c r="H325" s="101">
        <v>6902</v>
      </c>
      <c r="I325" s="101">
        <v>2308</v>
      </c>
      <c r="J325" s="101">
        <v>2160</v>
      </c>
      <c r="K325" s="101">
        <v>1902</v>
      </c>
      <c r="L325" s="101">
        <v>2296</v>
      </c>
      <c r="M325" s="101">
        <v>8401</v>
      </c>
      <c r="N325" s="101">
        <v>18830</v>
      </c>
      <c r="O325" s="101">
        <v>11241</v>
      </c>
      <c r="P325" s="101">
        <v>24645</v>
      </c>
      <c r="Q325" s="101">
        <v>8594</v>
      </c>
      <c r="R325" s="101">
        <v>513</v>
      </c>
      <c r="S325" s="101"/>
      <c r="T325" t="s">
        <v>208</v>
      </c>
      <c r="U325" s="101">
        <f t="shared" si="15"/>
        <v>115900</v>
      </c>
      <c r="V325" s="101">
        <v>85217000</v>
      </c>
      <c r="W325" s="101">
        <v>66130179</v>
      </c>
      <c r="X325" s="101">
        <v>4554</v>
      </c>
      <c r="Y325" s="101">
        <v>3160</v>
      </c>
      <c r="Z325" s="101">
        <v>559</v>
      </c>
      <c r="AA325" s="101">
        <v>237</v>
      </c>
      <c r="AB325" s="101">
        <v>1300</v>
      </c>
      <c r="AC325" s="101">
        <v>208</v>
      </c>
      <c r="AD325" s="101">
        <v>1159</v>
      </c>
      <c r="AE325" s="101">
        <v>0</v>
      </c>
      <c r="AF325" s="101">
        <v>62</v>
      </c>
      <c r="AG325" s="101">
        <f t="shared" si="16"/>
        <v>85574.179000000004</v>
      </c>
      <c r="AH325" s="101">
        <v>29217</v>
      </c>
      <c r="AI325" s="101">
        <f t="shared" si="17"/>
        <v>2928.9173768696305</v>
      </c>
      <c r="AJ325" t="s">
        <v>116</v>
      </c>
      <c r="AN325" t="s">
        <v>391</v>
      </c>
      <c r="AO325" s="259">
        <v>2342.2959196445336</v>
      </c>
      <c r="AP325" t="s">
        <v>116</v>
      </c>
    </row>
    <row r="326" spans="2:42" x14ac:dyDescent="0.25">
      <c r="B326" t="s">
        <v>396</v>
      </c>
      <c r="C326" s="101">
        <v>66696</v>
      </c>
      <c r="D326" s="101">
        <v>704</v>
      </c>
      <c r="E326" s="101">
        <v>41</v>
      </c>
      <c r="F326" s="101">
        <v>2573</v>
      </c>
      <c r="G326" s="101">
        <v>14002</v>
      </c>
      <c r="H326" s="101">
        <v>5157</v>
      </c>
      <c r="I326" s="101">
        <v>1944</v>
      </c>
      <c r="J326" s="101">
        <v>2428</v>
      </c>
      <c r="K326" s="101">
        <v>155</v>
      </c>
      <c r="L326" s="101">
        <v>1922</v>
      </c>
      <c r="M326" s="101">
        <v>3523</v>
      </c>
      <c r="N326" s="101">
        <v>10356</v>
      </c>
      <c r="O326" s="101">
        <v>6888</v>
      </c>
      <c r="P326" s="101">
        <v>10799</v>
      </c>
      <c r="Q326" s="101">
        <v>5952</v>
      </c>
      <c r="R326" s="101">
        <v>252</v>
      </c>
      <c r="S326" s="101"/>
      <c r="T326" t="s">
        <v>396</v>
      </c>
      <c r="U326" s="101">
        <f t="shared" si="15"/>
        <v>63378</v>
      </c>
      <c r="V326" s="101">
        <v>49439000</v>
      </c>
      <c r="W326" s="101">
        <v>40903146</v>
      </c>
      <c r="X326" s="101">
        <v>2356</v>
      </c>
      <c r="Y326" s="101">
        <v>2884</v>
      </c>
      <c r="Z326" s="101">
        <v>412</v>
      </c>
      <c r="AA326" s="101">
        <v>88</v>
      </c>
      <c r="AB326" s="101">
        <v>782</v>
      </c>
      <c r="AC326" s="101">
        <v>123</v>
      </c>
      <c r="AD326" s="101">
        <v>641</v>
      </c>
      <c r="AE326" s="101">
        <v>0</v>
      </c>
      <c r="AF326" s="101">
        <v>24</v>
      </c>
      <c r="AG326" s="101">
        <f t="shared" si="16"/>
        <v>47532.146000000001</v>
      </c>
      <c r="AH326" s="101">
        <v>22194</v>
      </c>
      <c r="AI326" s="101">
        <f t="shared" si="17"/>
        <v>2141.6664864377758</v>
      </c>
      <c r="AJ326" t="s">
        <v>465</v>
      </c>
      <c r="AN326" t="s">
        <v>274</v>
      </c>
      <c r="AO326" s="259">
        <v>2420.4114907719559</v>
      </c>
      <c r="AP326" t="s">
        <v>116</v>
      </c>
    </row>
    <row r="327" spans="2:42" x14ac:dyDescent="0.25">
      <c r="B327" t="s">
        <v>233</v>
      </c>
      <c r="C327" s="101">
        <v>193130</v>
      </c>
      <c r="D327" s="101">
        <v>7139</v>
      </c>
      <c r="E327" s="101">
        <v>3298</v>
      </c>
      <c r="F327" s="101">
        <v>12573</v>
      </c>
      <c r="G327" s="101">
        <v>45108</v>
      </c>
      <c r="H327" s="101">
        <v>9067</v>
      </c>
      <c r="I327" s="101">
        <v>4720</v>
      </c>
      <c r="J327" s="101">
        <v>9538</v>
      </c>
      <c r="K327" s="101">
        <v>6302</v>
      </c>
      <c r="L327" s="101">
        <v>4826</v>
      </c>
      <c r="M327" s="101">
        <v>12535</v>
      </c>
      <c r="N327" s="101">
        <v>27210</v>
      </c>
      <c r="O327" s="101">
        <v>19606</v>
      </c>
      <c r="P327" s="101">
        <v>15705</v>
      </c>
      <c r="Q327" s="101">
        <v>13456</v>
      </c>
      <c r="R327" s="101">
        <v>2047</v>
      </c>
      <c r="S327" s="101"/>
      <c r="T327" t="s">
        <v>233</v>
      </c>
      <c r="U327" s="101">
        <f t="shared" si="15"/>
        <v>170120</v>
      </c>
      <c r="V327" s="101">
        <v>122826000</v>
      </c>
      <c r="W327" s="101">
        <v>102299912</v>
      </c>
      <c r="X327" s="101">
        <v>8114</v>
      </c>
      <c r="Y327" s="101">
        <v>7230</v>
      </c>
      <c r="Z327" s="101">
        <v>941</v>
      </c>
      <c r="AA327" s="101">
        <v>958</v>
      </c>
      <c r="AB327" s="101">
        <v>1766</v>
      </c>
      <c r="AC327" s="101">
        <v>469</v>
      </c>
      <c r="AD327" s="101">
        <v>221</v>
      </c>
      <c r="AE327" s="101">
        <v>2356</v>
      </c>
      <c r="AF327" s="101">
        <v>240</v>
      </c>
      <c r="AG327" s="101">
        <f t="shared" si="16"/>
        <v>127298.91200000001</v>
      </c>
      <c r="AH327" s="101">
        <v>53974</v>
      </c>
      <c r="AI327" s="101">
        <f t="shared" si="17"/>
        <v>2358.5228443324568</v>
      </c>
      <c r="AJ327" t="s">
        <v>465</v>
      </c>
      <c r="AN327" t="s">
        <v>598</v>
      </c>
      <c r="AO327" s="285">
        <v>2278</v>
      </c>
      <c r="AP327" t="s">
        <v>116</v>
      </c>
    </row>
    <row r="328" spans="2:42" x14ac:dyDescent="0.25">
      <c r="B328" t="s">
        <v>278</v>
      </c>
      <c r="C328" s="101">
        <v>53383</v>
      </c>
      <c r="D328" s="101">
        <v>0</v>
      </c>
      <c r="E328" s="101">
        <v>387</v>
      </c>
      <c r="F328" s="101">
        <v>2631</v>
      </c>
      <c r="G328" s="101">
        <v>1339</v>
      </c>
      <c r="H328" s="101">
        <v>12735</v>
      </c>
      <c r="I328" s="101">
        <v>2706</v>
      </c>
      <c r="J328" s="101">
        <v>3260</v>
      </c>
      <c r="K328" s="101">
        <v>44</v>
      </c>
      <c r="L328" s="101">
        <v>1300</v>
      </c>
      <c r="M328" s="101">
        <v>3212</v>
      </c>
      <c r="N328" s="101">
        <v>5524</v>
      </c>
      <c r="O328" s="101">
        <v>5595</v>
      </c>
      <c r="P328" s="101">
        <v>5966</v>
      </c>
      <c r="Q328" s="101">
        <v>7143</v>
      </c>
      <c r="R328" s="101">
        <v>1541</v>
      </c>
      <c r="S328" s="101"/>
      <c r="T328" t="s">
        <v>278</v>
      </c>
      <c r="U328" s="101">
        <f t="shared" si="15"/>
        <v>50365</v>
      </c>
      <c r="V328" s="101">
        <v>37198000</v>
      </c>
      <c r="W328" s="101">
        <v>31492224</v>
      </c>
      <c r="X328" s="101">
        <v>2252</v>
      </c>
      <c r="Y328" s="101">
        <v>3013</v>
      </c>
      <c r="Z328" s="101">
        <v>360</v>
      </c>
      <c r="AA328" s="101">
        <v>181</v>
      </c>
      <c r="AB328" s="101">
        <v>254</v>
      </c>
      <c r="AC328" s="101">
        <v>63</v>
      </c>
      <c r="AD328" s="101">
        <v>31</v>
      </c>
      <c r="AE328" s="101">
        <v>0</v>
      </c>
      <c r="AF328" s="101">
        <v>58</v>
      </c>
      <c r="AG328" s="101">
        <f t="shared" si="16"/>
        <v>38447.224000000002</v>
      </c>
      <c r="AH328" s="101">
        <v>16421</v>
      </c>
      <c r="AI328" s="101">
        <f t="shared" si="17"/>
        <v>2341.3448632848181</v>
      </c>
      <c r="AJ328" t="s">
        <v>465</v>
      </c>
      <c r="AN328" t="s">
        <v>318</v>
      </c>
      <c r="AO328" s="259">
        <v>2761.2637957376287</v>
      </c>
      <c r="AP328" t="s">
        <v>116</v>
      </c>
    </row>
    <row r="329" spans="2:42" x14ac:dyDescent="0.25">
      <c r="B329" t="s">
        <v>234</v>
      </c>
      <c r="C329" s="101">
        <v>46268</v>
      </c>
      <c r="D329" s="101">
        <v>7273</v>
      </c>
      <c r="E329" s="101">
        <v>38</v>
      </c>
      <c r="F329" s="101">
        <v>1516</v>
      </c>
      <c r="G329" s="101">
        <v>11399</v>
      </c>
      <c r="H329" s="101">
        <v>2876</v>
      </c>
      <c r="I329" s="101">
        <v>1039</v>
      </c>
      <c r="J329" s="101">
        <v>813</v>
      </c>
      <c r="K329" s="101">
        <v>59</v>
      </c>
      <c r="L329" s="101">
        <v>1091</v>
      </c>
      <c r="M329" s="101">
        <v>1648</v>
      </c>
      <c r="N329" s="101">
        <v>3261</v>
      </c>
      <c r="O329" s="101">
        <v>8036</v>
      </c>
      <c r="P329" s="101">
        <v>3178</v>
      </c>
      <c r="Q329" s="101">
        <v>3596</v>
      </c>
      <c r="R329" s="101">
        <v>445</v>
      </c>
      <c r="S329" s="101"/>
      <c r="T329" t="s">
        <v>234</v>
      </c>
      <c r="U329" s="101">
        <f t="shared" si="15"/>
        <v>37441</v>
      </c>
      <c r="V329" s="101">
        <v>31279000</v>
      </c>
      <c r="W329" s="101">
        <v>23526022</v>
      </c>
      <c r="X329" s="101">
        <v>1493</v>
      </c>
      <c r="Y329" s="101">
        <v>1866</v>
      </c>
      <c r="Z329" s="101">
        <v>205</v>
      </c>
      <c r="AA329" s="101">
        <v>234</v>
      </c>
      <c r="AB329" s="101">
        <v>481</v>
      </c>
      <c r="AC329" s="101">
        <v>7</v>
      </c>
      <c r="AD329" s="101">
        <v>357</v>
      </c>
      <c r="AE329" s="101">
        <v>0</v>
      </c>
      <c r="AF329" s="101">
        <v>8</v>
      </c>
      <c r="AG329" s="101">
        <f t="shared" si="16"/>
        <v>25037.022000000001</v>
      </c>
      <c r="AH329" s="101">
        <v>14764</v>
      </c>
      <c r="AI329" s="101">
        <f t="shared" si="17"/>
        <v>1695.8156326198862</v>
      </c>
      <c r="AJ329" t="s">
        <v>465</v>
      </c>
      <c r="AN329" t="s">
        <v>393</v>
      </c>
      <c r="AO329" s="259">
        <v>2000.5250121124031</v>
      </c>
      <c r="AP329" t="s">
        <v>116</v>
      </c>
    </row>
    <row r="330" spans="2:42" x14ac:dyDescent="0.25">
      <c r="B330" t="s">
        <v>279</v>
      </c>
      <c r="C330" s="101">
        <v>741143</v>
      </c>
      <c r="D330" s="101">
        <v>40962</v>
      </c>
      <c r="E330" s="101">
        <v>11626</v>
      </c>
      <c r="F330" s="101">
        <v>34367</v>
      </c>
      <c r="G330" s="101">
        <v>144335</v>
      </c>
      <c r="H330" s="101">
        <v>32337</v>
      </c>
      <c r="I330" s="101">
        <v>22701</v>
      </c>
      <c r="J330" s="101">
        <v>27196</v>
      </c>
      <c r="K330" s="101">
        <v>4401</v>
      </c>
      <c r="L330" s="101">
        <v>29186</v>
      </c>
      <c r="M330" s="101">
        <v>40885</v>
      </c>
      <c r="N330" s="101">
        <v>96104</v>
      </c>
      <c r="O330" s="101">
        <v>107126</v>
      </c>
      <c r="P330" s="101">
        <v>88848</v>
      </c>
      <c r="Q330" s="101">
        <v>53874</v>
      </c>
      <c r="R330" s="101">
        <v>7195</v>
      </c>
      <c r="S330" s="101"/>
      <c r="T330" t="s">
        <v>279</v>
      </c>
      <c r="U330" s="101">
        <f t="shared" si="15"/>
        <v>654188</v>
      </c>
      <c r="V330" s="101">
        <v>519437000</v>
      </c>
      <c r="W330" s="101">
        <v>378635273</v>
      </c>
      <c r="X330" s="101">
        <v>26024</v>
      </c>
      <c r="Y330" s="101">
        <v>25168</v>
      </c>
      <c r="Z330" s="101">
        <v>3693</v>
      </c>
      <c r="AA330" s="101">
        <v>1390</v>
      </c>
      <c r="AB330" s="101">
        <v>7105</v>
      </c>
      <c r="AC330" s="101">
        <v>1965</v>
      </c>
      <c r="AD330" s="101">
        <v>3033</v>
      </c>
      <c r="AE330" s="101">
        <v>6740</v>
      </c>
      <c r="AF330" s="101">
        <v>4145</v>
      </c>
      <c r="AG330" s="101">
        <f t="shared" si="16"/>
        <v>434123.27299999999</v>
      </c>
      <c r="AH330" s="101">
        <v>162784</v>
      </c>
      <c r="AI330" s="101">
        <f t="shared" si="17"/>
        <v>2666.8669709553765</v>
      </c>
      <c r="AJ330" t="s">
        <v>439</v>
      </c>
      <c r="AN330" t="s">
        <v>599</v>
      </c>
      <c r="AO330" s="259">
        <v>2471.0971300544115</v>
      </c>
      <c r="AP330" t="s">
        <v>116</v>
      </c>
    </row>
    <row r="331" spans="2:42" x14ac:dyDescent="0.25">
      <c r="B331" t="s">
        <v>209</v>
      </c>
      <c r="C331" s="101">
        <v>104307</v>
      </c>
      <c r="D331" s="101">
        <v>2861</v>
      </c>
      <c r="E331" s="101">
        <v>1258</v>
      </c>
      <c r="F331" s="101">
        <v>4025</v>
      </c>
      <c r="G331" s="101">
        <v>13767</v>
      </c>
      <c r="H331" s="101">
        <v>12221</v>
      </c>
      <c r="I331" s="101">
        <v>3751</v>
      </c>
      <c r="J331" s="101">
        <v>4189</v>
      </c>
      <c r="K331" s="101">
        <v>4921</v>
      </c>
      <c r="L331" s="101">
        <v>3461</v>
      </c>
      <c r="M331" s="101">
        <v>6765</v>
      </c>
      <c r="N331" s="101">
        <v>13308</v>
      </c>
      <c r="O331" s="101">
        <v>9777</v>
      </c>
      <c r="P331" s="101">
        <v>10971</v>
      </c>
      <c r="Q331" s="101">
        <v>10283</v>
      </c>
      <c r="R331" s="101">
        <v>2749</v>
      </c>
      <c r="S331" s="101"/>
      <c r="T331" t="s">
        <v>209</v>
      </c>
      <c r="U331" s="101">
        <f t="shared" si="15"/>
        <v>96163</v>
      </c>
      <c r="V331" s="101">
        <v>69423000</v>
      </c>
      <c r="W331" s="101">
        <v>58523935</v>
      </c>
      <c r="X331" s="101">
        <v>5307</v>
      </c>
      <c r="Y331" s="101">
        <v>0</v>
      </c>
      <c r="Z331" s="101">
        <v>596</v>
      </c>
      <c r="AA331" s="101">
        <v>434</v>
      </c>
      <c r="AB331" s="101">
        <v>1471</v>
      </c>
      <c r="AC331" s="101">
        <v>175</v>
      </c>
      <c r="AD331" s="101">
        <v>324</v>
      </c>
      <c r="AE331" s="101">
        <v>792</v>
      </c>
      <c r="AF331" s="101">
        <v>89</v>
      </c>
      <c r="AG331" s="101">
        <f t="shared" si="16"/>
        <v>76075.934999999998</v>
      </c>
      <c r="AH331" s="101">
        <v>30396</v>
      </c>
      <c r="AI331" s="101">
        <f t="shared" si="17"/>
        <v>2502.8271812080538</v>
      </c>
      <c r="AJ331" t="s">
        <v>465</v>
      </c>
      <c r="AN331" t="s">
        <v>395</v>
      </c>
      <c r="AO331" s="259">
        <v>3051.7705218782939</v>
      </c>
      <c r="AP331" t="s">
        <v>116</v>
      </c>
    </row>
    <row r="332" spans="2:42" x14ac:dyDescent="0.25">
      <c r="B332" t="s">
        <v>280</v>
      </c>
      <c r="C332" s="101">
        <v>77412</v>
      </c>
      <c r="D332" s="101">
        <v>1014</v>
      </c>
      <c r="E332" s="101">
        <v>1379</v>
      </c>
      <c r="F332" s="101">
        <v>3133</v>
      </c>
      <c r="G332" s="101">
        <v>1706</v>
      </c>
      <c r="H332" s="101">
        <v>12630</v>
      </c>
      <c r="I332" s="101">
        <v>5282</v>
      </c>
      <c r="J332" s="101">
        <v>6398</v>
      </c>
      <c r="K332" s="101">
        <v>3194</v>
      </c>
      <c r="L332" s="101">
        <v>1504</v>
      </c>
      <c r="M332" s="101">
        <v>5532</v>
      </c>
      <c r="N332" s="101">
        <v>11828</v>
      </c>
      <c r="O332" s="101">
        <v>6308</v>
      </c>
      <c r="P332" s="101">
        <v>8298</v>
      </c>
      <c r="Q332" s="101">
        <v>6428</v>
      </c>
      <c r="R332" s="101">
        <v>2778</v>
      </c>
      <c r="S332" s="101"/>
      <c r="T332" t="s">
        <v>280</v>
      </c>
      <c r="U332" s="101">
        <f t="shared" si="15"/>
        <v>71886</v>
      </c>
      <c r="V332" s="101">
        <v>42958000</v>
      </c>
      <c r="W332" s="101">
        <v>34677960</v>
      </c>
      <c r="X332" s="101">
        <v>2390</v>
      </c>
      <c r="Y332" s="101">
        <v>2493</v>
      </c>
      <c r="Z332" s="101">
        <v>394</v>
      </c>
      <c r="AA332" s="101">
        <v>146</v>
      </c>
      <c r="AB332" s="101">
        <v>494</v>
      </c>
      <c r="AC332" s="101">
        <v>995</v>
      </c>
      <c r="AD332" s="101">
        <v>4310</v>
      </c>
      <c r="AE332" s="101">
        <v>10506</v>
      </c>
      <c r="AF332" s="101">
        <v>953</v>
      </c>
      <c r="AG332" s="101">
        <f t="shared" si="16"/>
        <v>40924.959999999999</v>
      </c>
      <c r="AH332" s="101">
        <v>17370</v>
      </c>
      <c r="AI332" s="101">
        <f t="shared" si="17"/>
        <v>2356.0713874496259</v>
      </c>
      <c r="AJ332" t="s">
        <v>116</v>
      </c>
      <c r="AN332" t="s">
        <v>204</v>
      </c>
      <c r="AO332" s="259">
        <v>2308.3028363160602</v>
      </c>
      <c r="AP332" t="s">
        <v>116</v>
      </c>
    </row>
    <row r="333" spans="2:42" x14ac:dyDescent="0.25">
      <c r="B333" t="s">
        <v>432</v>
      </c>
      <c r="C333" s="101">
        <v>93709</v>
      </c>
      <c r="D333" s="101">
        <v>7969</v>
      </c>
      <c r="E333" s="101">
        <v>3</v>
      </c>
      <c r="F333" s="101">
        <v>2055</v>
      </c>
      <c r="G333" s="101">
        <v>11978</v>
      </c>
      <c r="H333" s="101">
        <v>13637</v>
      </c>
      <c r="I333" s="101">
        <v>2282</v>
      </c>
      <c r="J333" s="101">
        <v>6166</v>
      </c>
      <c r="K333" s="101">
        <v>5345</v>
      </c>
      <c r="L333" s="101">
        <v>1781</v>
      </c>
      <c r="M333" s="101">
        <v>4677</v>
      </c>
      <c r="N333" s="101">
        <v>8370</v>
      </c>
      <c r="O333" s="101">
        <v>13471</v>
      </c>
      <c r="P333" s="101">
        <v>8181</v>
      </c>
      <c r="Q333" s="101">
        <v>7621</v>
      </c>
      <c r="R333" s="101">
        <v>173</v>
      </c>
      <c r="S333" s="101"/>
      <c r="T333" t="s">
        <v>432</v>
      </c>
      <c r="U333" s="101">
        <f t="shared" si="15"/>
        <v>83682</v>
      </c>
      <c r="V333" s="101">
        <v>50941000</v>
      </c>
      <c r="W333" s="101">
        <v>41521924</v>
      </c>
      <c r="X333" s="101">
        <v>1339</v>
      </c>
      <c r="Y333" s="101">
        <v>3739</v>
      </c>
      <c r="Z333" s="101">
        <v>507</v>
      </c>
      <c r="AA333" s="101">
        <v>110</v>
      </c>
      <c r="AB333" s="101">
        <v>800</v>
      </c>
      <c r="AC333" s="101">
        <v>85</v>
      </c>
      <c r="AD333" s="101">
        <v>3850</v>
      </c>
      <c r="AE333" s="101">
        <v>0</v>
      </c>
      <c r="AF333" s="101">
        <v>123</v>
      </c>
      <c r="AG333" s="101">
        <f t="shared" si="16"/>
        <v>63709.923999999999</v>
      </c>
      <c r="AH333" s="101">
        <v>24296</v>
      </c>
      <c r="AI333" s="101">
        <f t="shared" si="17"/>
        <v>2622.2392163319064</v>
      </c>
      <c r="AJ333" t="s">
        <v>465</v>
      </c>
      <c r="AN333" t="s">
        <v>601</v>
      </c>
      <c r="AO333" s="259">
        <v>2360.996622142703</v>
      </c>
      <c r="AP333" t="s">
        <v>116</v>
      </c>
    </row>
    <row r="334" spans="2:42" x14ac:dyDescent="0.25">
      <c r="B334" t="s">
        <v>235</v>
      </c>
      <c r="C334" s="101">
        <v>222819</v>
      </c>
      <c r="D334" s="101">
        <v>577</v>
      </c>
      <c r="E334" s="101">
        <v>606</v>
      </c>
      <c r="F334" s="101">
        <v>8076</v>
      </c>
      <c r="G334" s="101">
        <v>34587</v>
      </c>
      <c r="H334" s="101">
        <v>14474</v>
      </c>
      <c r="I334" s="101">
        <v>7231</v>
      </c>
      <c r="J334" s="101">
        <v>7701</v>
      </c>
      <c r="K334" s="101">
        <v>794</v>
      </c>
      <c r="L334" s="101">
        <v>5033</v>
      </c>
      <c r="M334" s="101">
        <v>15084</v>
      </c>
      <c r="N334" s="101">
        <v>41817</v>
      </c>
      <c r="O334" s="101">
        <v>33736</v>
      </c>
      <c r="P334" s="101">
        <v>28201</v>
      </c>
      <c r="Q334" s="101">
        <v>22363</v>
      </c>
      <c r="R334" s="101">
        <v>2539</v>
      </c>
      <c r="S334" s="101"/>
      <c r="T334" t="s">
        <v>235</v>
      </c>
      <c r="U334" s="101">
        <f t="shared" si="15"/>
        <v>213560</v>
      </c>
      <c r="V334" s="101">
        <v>167861000</v>
      </c>
      <c r="W334" s="101">
        <v>134112290</v>
      </c>
      <c r="X334" s="101">
        <v>6199</v>
      </c>
      <c r="Y334" s="101">
        <v>10896</v>
      </c>
      <c r="Z334" s="101">
        <v>1582</v>
      </c>
      <c r="AA334" s="101">
        <v>1874</v>
      </c>
      <c r="AB334" s="101">
        <v>4026</v>
      </c>
      <c r="AC334" s="101">
        <v>115</v>
      </c>
      <c r="AD334" s="101">
        <v>462</v>
      </c>
      <c r="AE334" s="101">
        <v>3574</v>
      </c>
      <c r="AF334" s="101">
        <v>360</v>
      </c>
      <c r="AG334" s="101">
        <f t="shared" si="16"/>
        <v>150723.29</v>
      </c>
      <c r="AH334" s="101">
        <v>66740</v>
      </c>
      <c r="AI334" s="101">
        <f t="shared" si="17"/>
        <v>2258.3651483368294</v>
      </c>
      <c r="AJ334" t="s">
        <v>116</v>
      </c>
      <c r="AN334" t="s">
        <v>114</v>
      </c>
      <c r="AO334" s="259">
        <v>2458.6995046780407</v>
      </c>
      <c r="AP334" t="s">
        <v>116</v>
      </c>
    </row>
    <row r="335" spans="2:42" x14ac:dyDescent="0.25">
      <c r="B335" t="s">
        <v>210</v>
      </c>
      <c r="C335" s="101">
        <v>181459</v>
      </c>
      <c r="D335" s="101">
        <v>-2092</v>
      </c>
      <c r="E335" s="101">
        <v>3174</v>
      </c>
      <c r="F335" s="101">
        <v>5987</v>
      </c>
      <c r="G335" s="101">
        <v>35489</v>
      </c>
      <c r="H335" s="101">
        <v>9550</v>
      </c>
      <c r="I335" s="101">
        <v>3605</v>
      </c>
      <c r="J335" s="101">
        <v>3915</v>
      </c>
      <c r="K335" s="101">
        <v>23424</v>
      </c>
      <c r="L335" s="101">
        <v>3608</v>
      </c>
      <c r="M335" s="101">
        <v>9943</v>
      </c>
      <c r="N335" s="101">
        <v>27451</v>
      </c>
      <c r="O335" s="101">
        <v>23023</v>
      </c>
      <c r="P335" s="101">
        <v>20686</v>
      </c>
      <c r="Q335" s="101">
        <v>12297</v>
      </c>
      <c r="R335" s="101">
        <v>1399</v>
      </c>
      <c r="S335" s="101"/>
      <c r="T335" t="s">
        <v>210</v>
      </c>
      <c r="U335" s="101">
        <f t="shared" si="15"/>
        <v>174390</v>
      </c>
      <c r="V335" s="101">
        <v>118259000</v>
      </c>
      <c r="W335" s="101">
        <v>96611143</v>
      </c>
      <c r="X335" s="101">
        <v>5182</v>
      </c>
      <c r="Y335" s="101">
        <v>4703</v>
      </c>
      <c r="Z335" s="101">
        <v>1110</v>
      </c>
      <c r="AA335" s="101">
        <v>135</v>
      </c>
      <c r="AB335" s="101">
        <v>961</v>
      </c>
      <c r="AC335" s="101">
        <v>154</v>
      </c>
      <c r="AD335" s="101">
        <v>382</v>
      </c>
      <c r="AE335" s="101">
        <v>1290</v>
      </c>
      <c r="AF335" s="101">
        <v>118</v>
      </c>
      <c r="AG335" s="101">
        <f t="shared" si="16"/>
        <v>138707.14299999998</v>
      </c>
      <c r="AH335" s="101">
        <v>45212</v>
      </c>
      <c r="AI335" s="101">
        <f t="shared" si="17"/>
        <v>3067.9276077147651</v>
      </c>
      <c r="AJ335" t="s">
        <v>116</v>
      </c>
      <c r="AN335" t="s">
        <v>206</v>
      </c>
      <c r="AO335" s="259">
        <v>2360.9771082752268</v>
      </c>
      <c r="AP335" t="s">
        <v>116</v>
      </c>
    </row>
    <row r="336" spans="2:42" x14ac:dyDescent="0.25">
      <c r="B336" t="s">
        <v>324</v>
      </c>
      <c r="C336" s="101">
        <v>548961</v>
      </c>
      <c r="D336" s="101">
        <v>10309</v>
      </c>
      <c r="E336" s="101">
        <v>451</v>
      </c>
      <c r="F336" s="101">
        <v>10430</v>
      </c>
      <c r="G336" s="101">
        <v>129911</v>
      </c>
      <c r="H336" s="101">
        <v>23233</v>
      </c>
      <c r="I336" s="101">
        <v>15217</v>
      </c>
      <c r="J336" s="101">
        <v>19348</v>
      </c>
      <c r="K336" s="101">
        <v>4575</v>
      </c>
      <c r="L336" s="101">
        <v>19734</v>
      </c>
      <c r="M336" s="101">
        <v>48898</v>
      </c>
      <c r="N336" s="101">
        <v>82113</v>
      </c>
      <c r="O336" s="101">
        <v>82116</v>
      </c>
      <c r="P336" s="101">
        <v>54908</v>
      </c>
      <c r="Q336" s="101">
        <v>32653</v>
      </c>
      <c r="R336" s="101">
        <v>15065</v>
      </c>
      <c r="S336" s="101"/>
      <c r="T336" t="s">
        <v>324</v>
      </c>
      <c r="U336" s="101">
        <f t="shared" si="15"/>
        <v>527771</v>
      </c>
      <c r="V336" s="101">
        <v>365973000</v>
      </c>
      <c r="W336" s="101">
        <v>286539032</v>
      </c>
      <c r="X336" s="101">
        <v>8066</v>
      </c>
      <c r="Y336" s="101">
        <v>18748</v>
      </c>
      <c r="Z336" s="101">
        <v>2550</v>
      </c>
      <c r="AA336" s="101">
        <v>484</v>
      </c>
      <c r="AB336" s="101">
        <v>4065</v>
      </c>
      <c r="AC336" s="101">
        <v>566</v>
      </c>
      <c r="AD336" s="101">
        <v>442</v>
      </c>
      <c r="AE336" s="101">
        <v>2074</v>
      </c>
      <c r="AF336" s="101">
        <v>2631</v>
      </c>
      <c r="AG336" s="101">
        <f t="shared" si="16"/>
        <v>408711.03200000001</v>
      </c>
      <c r="AH336" s="101">
        <v>129941</v>
      </c>
      <c r="AI336" s="101">
        <f t="shared" si="17"/>
        <v>3145.358524253315</v>
      </c>
      <c r="AJ336" t="s">
        <v>439</v>
      </c>
      <c r="AN336" t="s">
        <v>602</v>
      </c>
      <c r="AO336" s="259">
        <v>2980.6446985144189</v>
      </c>
      <c r="AP336" t="s">
        <v>116</v>
      </c>
    </row>
    <row r="337" spans="2:45" x14ac:dyDescent="0.25">
      <c r="B337" t="s">
        <v>325</v>
      </c>
      <c r="C337" s="101">
        <v>31097</v>
      </c>
      <c r="D337" s="101">
        <v>457</v>
      </c>
      <c r="E337" s="101">
        <v>509</v>
      </c>
      <c r="F337" s="101">
        <v>1553</v>
      </c>
      <c r="G337" s="101">
        <v>8148</v>
      </c>
      <c r="H337" s="101">
        <v>5323</v>
      </c>
      <c r="I337" s="101">
        <v>814</v>
      </c>
      <c r="J337" s="101">
        <v>1076</v>
      </c>
      <c r="K337" s="101">
        <v>51</v>
      </c>
      <c r="L337" s="101">
        <v>476</v>
      </c>
      <c r="M337" s="101">
        <v>1285</v>
      </c>
      <c r="N337" s="101">
        <v>1530</v>
      </c>
      <c r="O337" s="101">
        <v>2661</v>
      </c>
      <c r="P337" s="101">
        <v>3853</v>
      </c>
      <c r="Q337" s="101">
        <v>3172</v>
      </c>
      <c r="R337" s="101">
        <v>189</v>
      </c>
      <c r="S337" s="101"/>
      <c r="T337" t="s">
        <v>325</v>
      </c>
      <c r="U337" s="101">
        <f t="shared" si="15"/>
        <v>28578</v>
      </c>
      <c r="V337" s="101">
        <v>21046000</v>
      </c>
      <c r="W337" s="101">
        <v>17688826</v>
      </c>
      <c r="X337" s="101">
        <v>1467</v>
      </c>
      <c r="Y337" s="101">
        <v>1185</v>
      </c>
      <c r="Z337" s="101">
        <v>219</v>
      </c>
      <c r="AA337" s="101">
        <v>5</v>
      </c>
      <c r="AB337" s="101">
        <v>113</v>
      </c>
      <c r="AC337" s="101">
        <v>28</v>
      </c>
      <c r="AD337" s="101">
        <v>0</v>
      </c>
      <c r="AE337" s="101">
        <v>0</v>
      </c>
      <c r="AF337" s="101">
        <v>0</v>
      </c>
      <c r="AG337" s="101">
        <f t="shared" si="16"/>
        <v>22203.826000000001</v>
      </c>
      <c r="AH337" s="101">
        <v>10142</v>
      </c>
      <c r="AI337" s="101">
        <f t="shared" si="17"/>
        <v>2189.2946164464602</v>
      </c>
      <c r="AJ337" t="s">
        <v>465</v>
      </c>
      <c r="AN337" t="s">
        <v>138</v>
      </c>
      <c r="AO337" s="259">
        <v>2766.3404023312651</v>
      </c>
      <c r="AP337" t="s">
        <v>116</v>
      </c>
    </row>
    <row r="338" spans="2:45" x14ac:dyDescent="0.25">
      <c r="B338" t="s">
        <v>326</v>
      </c>
      <c r="C338" s="101">
        <v>280242</v>
      </c>
      <c r="D338" s="101">
        <v>140930</v>
      </c>
      <c r="E338" s="101">
        <v>4080</v>
      </c>
      <c r="F338" s="101">
        <v>7988</v>
      </c>
      <c r="G338" s="101">
        <v>30457</v>
      </c>
      <c r="H338" s="101">
        <v>8484</v>
      </c>
      <c r="I338" s="101">
        <v>5032</v>
      </c>
      <c r="J338" s="101">
        <v>4970</v>
      </c>
      <c r="K338" s="101">
        <v>94</v>
      </c>
      <c r="L338" s="101">
        <v>3025</v>
      </c>
      <c r="M338" s="101">
        <v>9080</v>
      </c>
      <c r="N338" s="101">
        <v>14791</v>
      </c>
      <c r="O338" s="101">
        <v>24349</v>
      </c>
      <c r="P338" s="101">
        <v>8075</v>
      </c>
      <c r="Q338" s="101">
        <v>14880</v>
      </c>
      <c r="R338" s="101">
        <v>4007</v>
      </c>
      <c r="S338" s="101"/>
      <c r="T338" t="s">
        <v>326</v>
      </c>
      <c r="U338" s="101">
        <f t="shared" si="15"/>
        <v>127244</v>
      </c>
      <c r="V338" s="101">
        <v>97243000</v>
      </c>
      <c r="W338" s="101">
        <v>82661813</v>
      </c>
      <c r="X338" s="101">
        <v>4917</v>
      </c>
      <c r="Y338" s="101">
        <v>5769</v>
      </c>
      <c r="Z338" s="101">
        <v>1127</v>
      </c>
      <c r="AA338" s="101">
        <v>324</v>
      </c>
      <c r="AB338" s="101">
        <v>1922</v>
      </c>
      <c r="AC338" s="101">
        <v>47</v>
      </c>
      <c r="AD338" s="101">
        <v>481</v>
      </c>
      <c r="AE338" s="101">
        <v>12</v>
      </c>
      <c r="AF338" s="101">
        <v>412</v>
      </c>
      <c r="AG338" s="101">
        <f t="shared" si="16"/>
        <v>97651.812999999995</v>
      </c>
      <c r="AH338" s="101">
        <v>48705</v>
      </c>
      <c r="AI338" s="101">
        <f t="shared" si="17"/>
        <v>2004.9648496047635</v>
      </c>
      <c r="AJ338" t="s">
        <v>465</v>
      </c>
      <c r="AN338" t="s">
        <v>207</v>
      </c>
      <c r="AO338" s="259">
        <v>2427.794611909258</v>
      </c>
      <c r="AP338" t="s">
        <v>116</v>
      </c>
    </row>
    <row r="339" spans="2:45" x14ac:dyDescent="0.25">
      <c r="B339" t="s">
        <v>397</v>
      </c>
      <c r="C339" s="101">
        <v>68432</v>
      </c>
      <c r="D339" s="101">
        <v>0</v>
      </c>
      <c r="E339" s="101">
        <v>616</v>
      </c>
      <c r="F339" s="101">
        <v>2233</v>
      </c>
      <c r="G339" s="101">
        <v>14901</v>
      </c>
      <c r="H339" s="101">
        <v>6655</v>
      </c>
      <c r="I339" s="101">
        <v>1722</v>
      </c>
      <c r="J339" s="101">
        <v>2711</v>
      </c>
      <c r="K339" s="101">
        <v>1381</v>
      </c>
      <c r="L339" s="101">
        <v>1540</v>
      </c>
      <c r="M339" s="101">
        <v>4639</v>
      </c>
      <c r="N339" s="101">
        <v>8216</v>
      </c>
      <c r="O339" s="101">
        <v>6338</v>
      </c>
      <c r="P339" s="101">
        <v>10547</v>
      </c>
      <c r="Q339" s="101">
        <v>5575</v>
      </c>
      <c r="R339" s="101">
        <v>1358</v>
      </c>
      <c r="S339" s="101"/>
      <c r="T339" t="s">
        <v>397</v>
      </c>
      <c r="U339" s="101">
        <f t="shared" si="15"/>
        <v>65583</v>
      </c>
      <c r="V339" s="101">
        <v>50311000</v>
      </c>
      <c r="W339" s="101">
        <v>40356147</v>
      </c>
      <c r="X339" s="101">
        <v>3287</v>
      </c>
      <c r="Y339" s="101">
        <v>3358</v>
      </c>
      <c r="Z339" s="101">
        <v>336</v>
      </c>
      <c r="AA339" s="101">
        <v>2</v>
      </c>
      <c r="AB339" s="101">
        <v>1433</v>
      </c>
      <c r="AC339" s="101">
        <v>166</v>
      </c>
      <c r="AD339" s="101">
        <v>103</v>
      </c>
      <c r="AE339" s="101">
        <v>0</v>
      </c>
      <c r="AF339" s="101">
        <v>29</v>
      </c>
      <c r="AG339" s="101">
        <f t="shared" si="16"/>
        <v>46914.146999999997</v>
      </c>
      <c r="AH339" s="101">
        <v>22804</v>
      </c>
      <c r="AI339" s="101">
        <f t="shared" si="17"/>
        <v>2057.2771005086829</v>
      </c>
      <c r="AJ339" t="s">
        <v>465</v>
      </c>
      <c r="AN339" t="s">
        <v>208</v>
      </c>
      <c r="AO339" s="259">
        <v>2928.9173768696305</v>
      </c>
      <c r="AP339" t="s">
        <v>116</v>
      </c>
    </row>
    <row r="340" spans="2:45" x14ac:dyDescent="0.25">
      <c r="B340" t="s">
        <v>211</v>
      </c>
      <c r="C340" s="101">
        <v>223725</v>
      </c>
      <c r="D340" s="101">
        <v>4334</v>
      </c>
      <c r="E340" s="101">
        <v>2611</v>
      </c>
      <c r="F340" s="101">
        <v>13277</v>
      </c>
      <c r="G340" s="101">
        <v>59513</v>
      </c>
      <c r="H340" s="101">
        <v>8964</v>
      </c>
      <c r="I340" s="101">
        <v>4072</v>
      </c>
      <c r="J340" s="101">
        <v>6035</v>
      </c>
      <c r="K340" s="101">
        <v>3628</v>
      </c>
      <c r="L340" s="101">
        <v>4833</v>
      </c>
      <c r="M340" s="101">
        <v>14110</v>
      </c>
      <c r="N340" s="101">
        <v>32322</v>
      </c>
      <c r="O340" s="101">
        <v>28960</v>
      </c>
      <c r="P340" s="101">
        <v>24895</v>
      </c>
      <c r="Q340" s="101">
        <v>14582</v>
      </c>
      <c r="R340" s="101">
        <v>1589</v>
      </c>
      <c r="S340" s="101"/>
      <c r="T340" t="s">
        <v>211</v>
      </c>
      <c r="U340" s="101">
        <f t="shared" si="15"/>
        <v>203503</v>
      </c>
      <c r="V340" s="101">
        <v>159638000</v>
      </c>
      <c r="W340" s="101">
        <v>122409006</v>
      </c>
      <c r="X340" s="101">
        <v>4009</v>
      </c>
      <c r="Y340" s="101">
        <v>6585</v>
      </c>
      <c r="Z340" s="101">
        <v>942</v>
      </c>
      <c r="AA340" s="101">
        <v>215</v>
      </c>
      <c r="AB340" s="101">
        <v>1631</v>
      </c>
      <c r="AC340" s="101">
        <v>295</v>
      </c>
      <c r="AD340" s="101">
        <v>200</v>
      </c>
      <c r="AE340" s="101">
        <v>3085</v>
      </c>
      <c r="AF340" s="101">
        <v>922</v>
      </c>
      <c r="AG340" s="101">
        <f t="shared" si="16"/>
        <v>148390.00599999999</v>
      </c>
      <c r="AH340" s="101">
        <v>49038</v>
      </c>
      <c r="AI340" s="101">
        <f t="shared" si="17"/>
        <v>3026.0207594110689</v>
      </c>
      <c r="AJ340" t="s">
        <v>439</v>
      </c>
      <c r="AN340" t="s">
        <v>280</v>
      </c>
      <c r="AO340" s="259">
        <v>2356.0713874496259</v>
      </c>
      <c r="AP340" t="s">
        <v>116</v>
      </c>
    </row>
    <row r="341" spans="2:45" x14ac:dyDescent="0.25">
      <c r="B341" t="s">
        <v>161</v>
      </c>
      <c r="C341" s="101">
        <v>79467</v>
      </c>
      <c r="D341" s="101">
        <v>3022</v>
      </c>
      <c r="E341" s="101">
        <v>624</v>
      </c>
      <c r="F341" s="101">
        <v>3415</v>
      </c>
      <c r="G341" s="101">
        <v>18607</v>
      </c>
      <c r="H341" s="101">
        <v>7191</v>
      </c>
      <c r="I341" s="101">
        <v>2094</v>
      </c>
      <c r="J341" s="101">
        <v>3304</v>
      </c>
      <c r="K341" s="101">
        <v>7820</v>
      </c>
      <c r="L341" s="101">
        <v>1816</v>
      </c>
      <c r="M341" s="101">
        <v>3459</v>
      </c>
      <c r="N341" s="101">
        <v>6191</v>
      </c>
      <c r="O341" s="101">
        <v>7394</v>
      </c>
      <c r="P341" s="101">
        <v>6607</v>
      </c>
      <c r="Q341" s="101">
        <v>5556</v>
      </c>
      <c r="R341" s="101">
        <v>2367</v>
      </c>
      <c r="S341" s="101"/>
      <c r="T341" t="s">
        <v>161</v>
      </c>
      <c r="U341" s="101">
        <f t="shared" si="15"/>
        <v>72406</v>
      </c>
      <c r="V341" s="101">
        <v>50669000</v>
      </c>
      <c r="W341" s="101">
        <v>43378071</v>
      </c>
      <c r="X341" s="101">
        <v>3602</v>
      </c>
      <c r="Y341" s="101">
        <v>2140</v>
      </c>
      <c r="Z341" s="101">
        <v>468</v>
      </c>
      <c r="AA341" s="101">
        <v>507</v>
      </c>
      <c r="AB341" s="101">
        <v>917</v>
      </c>
      <c r="AC341" s="101">
        <v>349</v>
      </c>
      <c r="AD341" s="101">
        <v>91</v>
      </c>
      <c r="AE341" s="101">
        <v>0</v>
      </c>
      <c r="AF341" s="101">
        <v>418</v>
      </c>
      <c r="AG341" s="101">
        <f t="shared" si="16"/>
        <v>56623.071000000004</v>
      </c>
      <c r="AH341" s="101">
        <v>23510</v>
      </c>
      <c r="AI341" s="101">
        <f t="shared" si="17"/>
        <v>2408.467503190132</v>
      </c>
      <c r="AJ341" t="s">
        <v>465</v>
      </c>
      <c r="AN341" t="s">
        <v>235</v>
      </c>
      <c r="AO341" s="259">
        <v>2258.3651483368294</v>
      </c>
      <c r="AP341" t="s">
        <v>116</v>
      </c>
    </row>
    <row r="342" spans="2:45" x14ac:dyDescent="0.25">
      <c r="B342" t="s">
        <v>327</v>
      </c>
      <c r="C342" s="101">
        <v>195464</v>
      </c>
      <c r="D342" s="101">
        <v>17817</v>
      </c>
      <c r="E342" s="101">
        <v>5812</v>
      </c>
      <c r="F342" s="101">
        <v>8882</v>
      </c>
      <c r="G342" s="101">
        <v>25157</v>
      </c>
      <c r="H342" s="101">
        <v>13259</v>
      </c>
      <c r="I342" s="101">
        <v>5017</v>
      </c>
      <c r="J342" s="101">
        <v>5444</v>
      </c>
      <c r="K342" s="101">
        <v>1050</v>
      </c>
      <c r="L342" s="101">
        <v>2483</v>
      </c>
      <c r="M342" s="101">
        <v>9027</v>
      </c>
      <c r="N342" s="101">
        <v>38695</v>
      </c>
      <c r="O342" s="101">
        <v>21403</v>
      </c>
      <c r="P342" s="101">
        <v>26827</v>
      </c>
      <c r="Q342" s="101">
        <v>13271</v>
      </c>
      <c r="R342" s="101">
        <v>1320</v>
      </c>
      <c r="S342" s="101"/>
      <c r="T342" t="s">
        <v>327</v>
      </c>
      <c r="U342" s="101">
        <f t="shared" si="15"/>
        <v>162953</v>
      </c>
      <c r="V342" s="101">
        <v>132344000</v>
      </c>
      <c r="W342" s="101">
        <v>104666111</v>
      </c>
      <c r="X342" s="101">
        <v>7357</v>
      </c>
      <c r="Y342" s="101">
        <v>7485</v>
      </c>
      <c r="Z342" s="101">
        <v>943</v>
      </c>
      <c r="AA342" s="101">
        <v>690</v>
      </c>
      <c r="AB342" s="101">
        <v>1459</v>
      </c>
      <c r="AC342" s="101">
        <v>784</v>
      </c>
      <c r="AD342" s="101">
        <v>0</v>
      </c>
      <c r="AE342" s="101">
        <v>217</v>
      </c>
      <c r="AF342" s="101">
        <v>1153</v>
      </c>
      <c r="AG342" s="101">
        <f t="shared" si="16"/>
        <v>115187.111</v>
      </c>
      <c r="AH342" s="101">
        <v>44680</v>
      </c>
      <c r="AI342" s="101">
        <f t="shared" si="17"/>
        <v>2578.0463518352731</v>
      </c>
      <c r="AJ342" t="s">
        <v>116</v>
      </c>
      <c r="AN342" t="s">
        <v>210</v>
      </c>
      <c r="AO342" s="259">
        <v>3067.9276077147651</v>
      </c>
      <c r="AP342" t="s">
        <v>116</v>
      </c>
      <c r="AQ342">
        <f>_xlfn.QUARTILE.INC(AO233:AO343,3)</f>
        <v>2566.0944211811625</v>
      </c>
      <c r="AR342">
        <f>5%*AQ342</f>
        <v>128.30472105905812</v>
      </c>
      <c r="AS342">
        <f>SUM(AQ342,AR342)</f>
        <v>2694.3991422402205</v>
      </c>
    </row>
    <row r="343" spans="2:45" x14ac:dyDescent="0.25">
      <c r="B343" t="s">
        <v>162</v>
      </c>
      <c r="C343" s="101">
        <v>759375</v>
      </c>
      <c r="D343" s="101">
        <v>115543</v>
      </c>
      <c r="E343" s="101">
        <v>4755</v>
      </c>
      <c r="F343" s="101">
        <v>21833</v>
      </c>
      <c r="G343" s="101">
        <v>121819</v>
      </c>
      <c r="H343" s="101">
        <v>51568</v>
      </c>
      <c r="I343" s="101">
        <v>15154</v>
      </c>
      <c r="J343" s="101">
        <v>21461</v>
      </c>
      <c r="K343" s="101">
        <v>4459</v>
      </c>
      <c r="L343" s="101">
        <v>19629</v>
      </c>
      <c r="M343" s="101">
        <v>43680</v>
      </c>
      <c r="N343" s="101">
        <v>86766</v>
      </c>
      <c r="O343" s="101">
        <v>62110</v>
      </c>
      <c r="P343" s="101">
        <v>151330</v>
      </c>
      <c r="Q343" s="101">
        <v>36778</v>
      </c>
      <c r="R343" s="101">
        <v>2490</v>
      </c>
      <c r="S343" s="101"/>
      <c r="T343" t="s">
        <v>162</v>
      </c>
      <c r="U343" s="101">
        <f t="shared" si="15"/>
        <v>617244</v>
      </c>
      <c r="V343" s="101">
        <v>493240000</v>
      </c>
      <c r="W343" s="101">
        <v>318149497</v>
      </c>
      <c r="X343" s="101">
        <v>8835</v>
      </c>
      <c r="Y343" s="101">
        <v>18911</v>
      </c>
      <c r="Z343" s="101">
        <v>3416</v>
      </c>
      <c r="AA343" s="101">
        <v>1559</v>
      </c>
      <c r="AB343" s="101">
        <v>6080</v>
      </c>
      <c r="AC343" s="101">
        <v>731</v>
      </c>
      <c r="AD343" s="101">
        <v>1006</v>
      </c>
      <c r="AE343" s="101">
        <v>13232</v>
      </c>
      <c r="AF343" s="101">
        <v>992</v>
      </c>
      <c r="AG343" s="101">
        <f t="shared" si="16"/>
        <v>387391.49699999997</v>
      </c>
      <c r="AH343" s="101">
        <v>133830</v>
      </c>
      <c r="AI343" s="101">
        <f t="shared" si="17"/>
        <v>2894.653642681013</v>
      </c>
      <c r="AJ343" t="s">
        <v>439</v>
      </c>
      <c r="AN343" t="s">
        <v>327</v>
      </c>
      <c r="AO343" s="259">
        <v>2578.0463518352731</v>
      </c>
      <c r="AP343" t="s">
        <v>116</v>
      </c>
      <c r="AQ343">
        <f>_xlfn.QUARTILE.INC(AO233:AO343,1)</f>
        <v>2257.0056919681874</v>
      </c>
      <c r="AR343">
        <f>5%*AQ343</f>
        <v>112.85028459840937</v>
      </c>
      <c r="AS343">
        <f>SUM(AQ343,-AR343)</f>
        <v>2144.155407369778</v>
      </c>
    </row>
    <row r="344" spans="2:45" x14ac:dyDescent="0.25">
      <c r="B344" t="s">
        <v>440</v>
      </c>
      <c r="C344" s="101">
        <f>SUM(C2:C343)</f>
        <v>79976893</v>
      </c>
      <c r="D344" s="101">
        <f t="shared" ref="D344:R344" si="18">SUM(D2:D343)</f>
        <v>3096873</v>
      </c>
      <c r="E344" s="101">
        <f t="shared" si="18"/>
        <v>972484</v>
      </c>
      <c r="F344" s="101">
        <f t="shared" si="18"/>
        <v>3155508</v>
      </c>
      <c r="G344" s="101">
        <f t="shared" si="18"/>
        <v>17222610</v>
      </c>
      <c r="H344" s="101">
        <f t="shared" si="18"/>
        <v>5049615</v>
      </c>
      <c r="I344" s="101">
        <f t="shared" si="18"/>
        <v>2046940</v>
      </c>
      <c r="J344" s="101">
        <f t="shared" si="18"/>
        <v>3301492</v>
      </c>
      <c r="K344" s="101">
        <f t="shared" si="18"/>
        <v>1325811</v>
      </c>
      <c r="L344" s="101">
        <f t="shared" si="18"/>
        <v>2276447</v>
      </c>
      <c r="M344" s="101">
        <f t="shared" si="18"/>
        <v>4996691</v>
      </c>
      <c r="N344" s="101">
        <f t="shared" si="18"/>
        <v>11531592</v>
      </c>
      <c r="O344" s="101">
        <f t="shared" si="18"/>
        <v>7660680</v>
      </c>
      <c r="P344" s="101">
        <f t="shared" si="18"/>
        <v>10779763</v>
      </c>
      <c r="Q344" s="101">
        <f t="shared" si="18"/>
        <v>5360683</v>
      </c>
      <c r="R344" s="101">
        <f t="shared" si="18"/>
        <v>1184643</v>
      </c>
      <c r="S344" s="101"/>
      <c r="T344" t="s">
        <v>440</v>
      </c>
      <c r="U344" s="101">
        <f>SUM(U2:U343)</f>
        <v>72752028</v>
      </c>
      <c r="V344" s="101">
        <v>54336040000</v>
      </c>
      <c r="W344" s="101">
        <v>39646127002</v>
      </c>
      <c r="X344" s="101">
        <v>2081994</v>
      </c>
      <c r="Y344" s="101">
        <v>2650579</v>
      </c>
      <c r="Z344" s="101">
        <v>367450</v>
      </c>
      <c r="AA344" s="101">
        <v>131754</v>
      </c>
      <c r="AB344" s="101">
        <v>672614</v>
      </c>
      <c r="AC344" s="101">
        <v>185997</v>
      </c>
      <c r="AD344" s="101">
        <f>SUM(AD2:AD343)</f>
        <v>599626</v>
      </c>
      <c r="AE344" s="101">
        <f>SUM(AE2:AE343)</f>
        <v>1475223</v>
      </c>
      <c r="AF344" s="101">
        <v>226872</v>
      </c>
      <c r="AG344" s="101">
        <f t="shared" si="16"/>
        <v>49670006.001999997</v>
      </c>
      <c r="AH344" s="101">
        <v>18047556</v>
      </c>
      <c r="AI344" s="101">
        <f t="shared" si="17"/>
        <v>2752.1735354083398</v>
      </c>
      <c r="AJ344" t="s">
        <v>116</v>
      </c>
      <c r="AN344" t="s">
        <v>440</v>
      </c>
      <c r="AO344" s="259">
        <v>2729</v>
      </c>
      <c r="AP344" t="s">
        <v>116</v>
      </c>
    </row>
    <row r="345" spans="2:45" x14ac:dyDescent="0.25">
      <c r="F345" s="101"/>
      <c r="G345" s="101"/>
      <c r="H345" s="101"/>
      <c r="I345" s="101"/>
      <c r="J345" s="101"/>
      <c r="K345" s="101"/>
      <c r="L345" s="101"/>
      <c r="M345" s="101"/>
      <c r="N345" s="101"/>
      <c r="O345" s="101"/>
      <c r="P345" s="101"/>
      <c r="Q345" s="101"/>
      <c r="R345" s="101"/>
      <c r="S345" s="101"/>
      <c r="U345" s="101"/>
      <c r="V345" s="101"/>
      <c r="X345" s="101"/>
      <c r="Y345" s="101"/>
      <c r="Z345" s="101"/>
      <c r="AA345" s="101"/>
      <c r="AB345" s="101"/>
      <c r="AC345" s="101"/>
      <c r="AD345" s="101"/>
      <c r="AE345" s="101"/>
      <c r="AF345" s="101"/>
      <c r="AH345" s="101"/>
      <c r="AI345" s="101"/>
    </row>
    <row r="346" spans="2:45" x14ac:dyDescent="0.25">
      <c r="F346" s="101"/>
      <c r="G346" s="101"/>
      <c r="H346" s="101"/>
      <c r="I346" s="101"/>
      <c r="J346" s="101"/>
      <c r="K346" s="101"/>
      <c r="L346" s="101"/>
      <c r="M346" s="101"/>
      <c r="N346" s="101"/>
      <c r="O346" s="101"/>
      <c r="P346" s="101"/>
      <c r="Q346" s="101"/>
      <c r="R346" s="101"/>
      <c r="S346" s="101"/>
      <c r="U346" s="101"/>
      <c r="V346" s="101"/>
      <c r="X346" s="101"/>
      <c r="Y346" s="101"/>
      <c r="Z346" s="101"/>
      <c r="AA346" s="101"/>
      <c r="AB346" s="101"/>
      <c r="AC346" s="101"/>
      <c r="AD346" s="101"/>
      <c r="AE346" s="101"/>
      <c r="AF346" s="101"/>
      <c r="AH346" s="101"/>
      <c r="AI346" s="101"/>
    </row>
    <row r="347" spans="2:45" x14ac:dyDescent="0.25">
      <c r="F347" s="101"/>
      <c r="G347" s="101"/>
      <c r="H347" s="101"/>
      <c r="I347" s="101"/>
      <c r="J347" s="101"/>
      <c r="K347" s="101"/>
      <c r="L347" s="101"/>
      <c r="M347" s="101"/>
      <c r="N347" s="101"/>
      <c r="O347" s="101"/>
      <c r="P347" s="101"/>
      <c r="Q347" s="101"/>
      <c r="R347" s="101"/>
      <c r="S347" s="101"/>
      <c r="U347" s="101"/>
      <c r="V347" s="101"/>
      <c r="X347" s="101"/>
      <c r="Y347" s="101"/>
      <c r="Z347" s="101"/>
      <c r="AA347" s="101"/>
      <c r="AB347" s="101"/>
      <c r="AC347" s="101"/>
      <c r="AD347" s="101"/>
      <c r="AE347" s="101"/>
      <c r="AF347" s="101"/>
      <c r="AH347" s="101"/>
      <c r="AI347" s="101"/>
    </row>
    <row r="348" spans="2:45" x14ac:dyDescent="0.25">
      <c r="H348" s="102"/>
      <c r="U348" s="101"/>
    </row>
    <row r="349" spans="2:45" x14ac:dyDescent="0.25">
      <c r="H349" s="102"/>
      <c r="U349" s="101"/>
    </row>
    <row r="350" spans="2:45" x14ac:dyDescent="0.25">
      <c r="H350" s="102"/>
      <c r="U350" s="101"/>
    </row>
    <row r="351" spans="2:45" x14ac:dyDescent="0.25">
      <c r="H351" s="102"/>
      <c r="U351" s="101"/>
    </row>
    <row r="352" spans="2:45" x14ac:dyDescent="0.25">
      <c r="H352" s="102"/>
      <c r="U352" s="101"/>
    </row>
    <row r="353" spans="4:23" x14ac:dyDescent="0.25">
      <c r="H353" s="102"/>
      <c r="U353" s="101"/>
    </row>
    <row r="354" spans="4:23" x14ac:dyDescent="0.25">
      <c r="H354" s="102"/>
      <c r="U354" s="101"/>
    </row>
    <row r="355" spans="4:23" x14ac:dyDescent="0.25">
      <c r="H355" s="102"/>
      <c r="U355" s="101"/>
    </row>
    <row r="356" spans="4:23" ht="13" customHeight="1" x14ac:dyDescent="0.25">
      <c r="H356" s="102"/>
      <c r="U356" s="101"/>
    </row>
    <row r="357" spans="4:23" x14ac:dyDescent="0.25">
      <c r="D357" s="102"/>
      <c r="E357" s="102"/>
      <c r="F357" s="102"/>
      <c r="G357" s="102"/>
      <c r="H357" s="102"/>
      <c r="U357" s="101"/>
      <c r="W357"/>
    </row>
  </sheetData>
  <sheetProtection algorithmName="SHA-512" hashValue="4nQ7Rc922AgedgOu73Chcyvl9KDCkrbwcm9FsHsZPvs2EHCa7KaL0S5PCb2aibUkJr5Nj8j8QFzor3BLxgJpZg==" saltValue="TvF1ro07nz2MaaBlRMc+hA==" spinCount="100000" sheet="1" objects="1" scenarios="1"/>
  <sortState xmlns:xlrd2="http://schemas.microsoft.com/office/spreadsheetml/2017/richdata2" ref="AN2:AP343">
    <sortCondition ref="AP2:AP343"/>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5D27E-B342-4739-A040-97E56EA79473}">
  <sheetPr codeName="Blad11"/>
  <dimension ref="A1:AS357"/>
  <sheetViews>
    <sheetView zoomScaleNormal="100" workbookViewId="0">
      <pane xSplit="1" ySplit="1" topLeftCell="B287" activePane="bottomRight" state="frozen"/>
      <selection pane="topRight" activeCell="B1" sqref="B1"/>
      <selection pane="bottomLeft" activeCell="A2" sqref="A2"/>
      <selection pane="bottomRight" activeCell="H296" sqref="H296:R296"/>
    </sheetView>
  </sheetViews>
  <sheetFormatPr defaultRowHeight="12.5" x14ac:dyDescent="0.25"/>
  <cols>
    <col min="1" max="1" width="10.6328125" bestFit="1" customWidth="1"/>
    <col min="2" max="2" width="29.36328125" bestFit="1" customWidth="1"/>
    <col min="3" max="3" width="22.54296875" style="101" bestFit="1" customWidth="1"/>
    <col min="4" max="4" width="19.26953125" style="101" bestFit="1" customWidth="1"/>
    <col min="5" max="5" width="8.90625" style="101" bestFit="1" customWidth="1"/>
    <col min="6" max="6" width="14.1796875" customWidth="1"/>
    <col min="7" max="7" width="18.90625" bestFit="1" customWidth="1"/>
    <col min="8" max="8" width="25" bestFit="1" customWidth="1"/>
    <col min="9" max="9" width="12.90625" bestFit="1" customWidth="1"/>
    <col min="10" max="10" width="20" bestFit="1" customWidth="1"/>
    <col min="11" max="11" width="14.1796875" bestFit="1" customWidth="1"/>
    <col min="12" max="12" width="14.36328125" bestFit="1" customWidth="1"/>
    <col min="13" max="13" width="27.6328125" bestFit="1" customWidth="1"/>
    <col min="14" max="14" width="15.26953125" bestFit="1" customWidth="1"/>
    <col min="15" max="15" width="11.08984375" bestFit="1" customWidth="1"/>
    <col min="16" max="16" width="15.08984375" bestFit="1" customWidth="1"/>
    <col min="17" max="17" width="26.7265625" bestFit="1" customWidth="1"/>
    <col min="18" max="18" width="19.453125" bestFit="1" customWidth="1"/>
    <col min="19" max="20" width="19.453125" customWidth="1"/>
    <col min="21" max="21" width="34.81640625" bestFit="1" customWidth="1"/>
    <col min="22" max="22" width="13.81640625" bestFit="1" customWidth="1"/>
    <col min="23" max="23" width="18.1796875" style="101" bestFit="1" customWidth="1"/>
    <col min="24" max="24" width="12.1796875" bestFit="1" customWidth="1"/>
    <col min="25" max="25" width="17.7265625" bestFit="1" customWidth="1"/>
    <col min="26" max="26" width="20.1796875" bestFit="1" customWidth="1"/>
    <col min="27" max="27" width="15.54296875" bestFit="1" customWidth="1"/>
    <col min="28" max="28" width="11.6328125" bestFit="1" customWidth="1"/>
    <col min="29" max="29" width="15.08984375" bestFit="1" customWidth="1"/>
    <col min="30" max="30" width="18.6328125" bestFit="1" customWidth="1"/>
    <col min="31" max="31" width="17.54296875" bestFit="1" customWidth="1"/>
    <col min="32" max="32" width="10.36328125" bestFit="1" customWidth="1"/>
    <col min="33" max="33" width="13.54296875" style="101" bestFit="1" customWidth="1"/>
    <col min="34" max="34" width="20.7265625" bestFit="1" customWidth="1"/>
    <col min="35" max="35" width="23.6328125" bestFit="1" customWidth="1"/>
    <col min="36" max="36" width="9.26953125" bestFit="1" customWidth="1"/>
    <col min="40" max="40" width="27.7265625" bestFit="1" customWidth="1"/>
    <col min="41" max="41" width="23.6328125" style="259" bestFit="1" customWidth="1"/>
    <col min="48" max="48" width="27.7265625" bestFit="1" customWidth="1"/>
  </cols>
  <sheetData>
    <row r="1" spans="1:45" x14ac:dyDescent="0.25">
      <c r="A1" t="s">
        <v>549</v>
      </c>
      <c r="B1" t="s">
        <v>582</v>
      </c>
      <c r="C1" s="101" t="s">
        <v>829</v>
      </c>
      <c r="D1" s="101" t="s">
        <v>802</v>
      </c>
      <c r="E1" s="101" t="s">
        <v>742</v>
      </c>
      <c r="F1" t="s">
        <v>761</v>
      </c>
      <c r="G1" t="s">
        <v>669</v>
      </c>
      <c r="H1" t="s">
        <v>803</v>
      </c>
      <c r="I1" t="s">
        <v>804</v>
      </c>
      <c r="J1" t="s">
        <v>805</v>
      </c>
      <c r="K1" t="s">
        <v>806</v>
      </c>
      <c r="L1" t="s">
        <v>807</v>
      </c>
      <c r="M1" t="s">
        <v>808</v>
      </c>
      <c r="N1" t="s">
        <v>809</v>
      </c>
      <c r="O1" t="s">
        <v>880</v>
      </c>
      <c r="P1" t="s">
        <v>881</v>
      </c>
      <c r="Q1" t="s">
        <v>882</v>
      </c>
      <c r="R1" t="s">
        <v>883</v>
      </c>
      <c r="T1" t="s">
        <v>582</v>
      </c>
      <c r="U1" t="s">
        <v>810</v>
      </c>
      <c r="V1" t="s">
        <v>811</v>
      </c>
      <c r="W1" s="101" t="s">
        <v>842</v>
      </c>
      <c r="X1" t="s">
        <v>843</v>
      </c>
      <c r="Y1" t="s">
        <v>844</v>
      </c>
      <c r="Z1" t="s">
        <v>845</v>
      </c>
      <c r="AA1" t="s">
        <v>846</v>
      </c>
      <c r="AB1" t="s">
        <v>847</v>
      </c>
      <c r="AC1" t="s">
        <v>848</v>
      </c>
      <c r="AD1" t="s">
        <v>849</v>
      </c>
      <c r="AE1" t="s">
        <v>850</v>
      </c>
      <c r="AF1" t="s">
        <v>777</v>
      </c>
      <c r="AG1" s="101" t="s">
        <v>851</v>
      </c>
      <c r="AH1" t="s">
        <v>888</v>
      </c>
      <c r="AI1" t="s">
        <v>852</v>
      </c>
      <c r="AJ1" t="s">
        <v>853</v>
      </c>
      <c r="AN1" t="s">
        <v>582</v>
      </c>
      <c r="AO1" s="259" t="s">
        <v>855</v>
      </c>
      <c r="AP1" t="s">
        <v>819</v>
      </c>
    </row>
    <row r="2" spans="1:45" x14ac:dyDescent="0.25">
      <c r="B2" t="s">
        <v>104</v>
      </c>
      <c r="C2" s="101">
        <v>80353</v>
      </c>
      <c r="D2" s="101">
        <v>2866</v>
      </c>
      <c r="E2" s="101">
        <v>640</v>
      </c>
      <c r="F2" s="101">
        <v>3512</v>
      </c>
      <c r="G2" s="101">
        <v>19755</v>
      </c>
      <c r="H2" s="101">
        <v>7371</v>
      </c>
      <c r="I2" s="101">
        <v>1930</v>
      </c>
      <c r="J2" s="101">
        <v>2713</v>
      </c>
      <c r="K2" s="101">
        <v>463</v>
      </c>
      <c r="L2" s="101">
        <v>1785</v>
      </c>
      <c r="M2" s="101">
        <v>6316</v>
      </c>
      <c r="N2" s="101">
        <v>9005</v>
      </c>
      <c r="O2" s="101">
        <v>4654</v>
      </c>
      <c r="P2" s="101">
        <v>13244</v>
      </c>
      <c r="Q2" s="101">
        <v>5784</v>
      </c>
      <c r="R2" s="101">
        <v>483</v>
      </c>
      <c r="S2" s="101"/>
      <c r="T2" t="s">
        <v>104</v>
      </c>
      <c r="U2" s="101">
        <f>SUM(C2,-D2,-E2,-F2)</f>
        <v>73335</v>
      </c>
      <c r="V2" s="101">
        <f>Inkomsten!M2</f>
        <v>58647000</v>
      </c>
      <c r="W2" s="101">
        <f>Inkomsten!D2</f>
        <v>50939880</v>
      </c>
      <c r="X2" s="101">
        <v>2219</v>
      </c>
      <c r="Y2" s="101">
        <v>2869</v>
      </c>
      <c r="Z2" s="101">
        <v>100</v>
      </c>
      <c r="AA2" s="101">
        <v>362</v>
      </c>
      <c r="AB2" s="101">
        <v>467</v>
      </c>
      <c r="AC2" s="101">
        <v>25</v>
      </c>
      <c r="AD2" s="101">
        <v>1865</v>
      </c>
      <c r="AE2" s="101">
        <v>0</v>
      </c>
      <c r="AF2" s="101">
        <v>36</v>
      </c>
      <c r="AG2" s="101">
        <f>SUM(U2,-V2/1000,W2/1000,-X2,-Y2,-Z2,-AA2,-AB2,-AC2,-AD2,-AE2,-AF2)</f>
        <v>57684.880000000005</v>
      </c>
      <c r="AH2" s="101">
        <v>25853</v>
      </c>
      <c r="AI2" s="101">
        <f>AG2*1000/AH2</f>
        <v>2231.2644567361626</v>
      </c>
      <c r="AJ2" t="s">
        <v>116</v>
      </c>
      <c r="AN2" t="s">
        <v>314</v>
      </c>
      <c r="AO2" s="259">
        <v>3897.1326703624941</v>
      </c>
      <c r="AP2" t="s">
        <v>439</v>
      </c>
      <c r="AR2" t="s">
        <v>439</v>
      </c>
      <c r="AS2">
        <v>2530</v>
      </c>
    </row>
    <row r="3" spans="1:45" x14ac:dyDescent="0.25">
      <c r="B3" t="s">
        <v>236</v>
      </c>
      <c r="C3" s="101">
        <v>99923</v>
      </c>
      <c r="D3" s="101">
        <v>3807</v>
      </c>
      <c r="E3" s="101">
        <v>153</v>
      </c>
      <c r="F3" s="101">
        <v>4230</v>
      </c>
      <c r="G3" s="101">
        <v>4103</v>
      </c>
      <c r="H3" s="101">
        <v>15074</v>
      </c>
      <c r="I3" s="101">
        <v>3486</v>
      </c>
      <c r="J3" s="101">
        <v>6301</v>
      </c>
      <c r="K3" s="101">
        <v>9467</v>
      </c>
      <c r="L3" s="101">
        <v>2069</v>
      </c>
      <c r="M3" s="101">
        <v>7743</v>
      </c>
      <c r="N3" s="101">
        <v>7896</v>
      </c>
      <c r="O3" s="101">
        <v>8171</v>
      </c>
      <c r="P3" s="101">
        <v>12682</v>
      </c>
      <c r="Q3" s="101">
        <v>10131</v>
      </c>
      <c r="R3" s="101">
        <v>4826</v>
      </c>
      <c r="S3" s="101"/>
      <c r="T3" t="s">
        <v>236</v>
      </c>
      <c r="U3" s="101">
        <f t="shared" ref="U3:U66" si="0">SUM(C3,-D3,-E3,-F3)</f>
        <v>91733</v>
      </c>
      <c r="V3" s="101">
        <f>Inkomsten!M3</f>
        <v>62637000</v>
      </c>
      <c r="W3" s="101">
        <f>Inkomsten!D3</f>
        <v>53987394</v>
      </c>
      <c r="X3" s="101">
        <v>3142</v>
      </c>
      <c r="Y3" s="101">
        <v>4572</v>
      </c>
      <c r="Z3" s="101">
        <v>538</v>
      </c>
      <c r="AA3" s="101">
        <v>594</v>
      </c>
      <c r="AB3" s="101">
        <v>924</v>
      </c>
      <c r="AC3" s="101">
        <v>147</v>
      </c>
      <c r="AD3" s="101">
        <v>1014</v>
      </c>
      <c r="AE3" s="101">
        <v>20</v>
      </c>
      <c r="AF3" s="101">
        <v>959</v>
      </c>
      <c r="AG3" s="101">
        <f t="shared" ref="AG3:AG66" si="1">SUM(U3,-V3/1000,W3/1000,-X3,-Y3,-Z3,-AA3,-AB3,-AC3,-AD3,-AE3,-AF3)</f>
        <v>71173.394</v>
      </c>
      <c r="AH3" s="101">
        <v>33354</v>
      </c>
      <c r="AI3" s="101">
        <f t="shared" ref="AI3:AI66" si="2">AG3*1000/AH3</f>
        <v>2133.8788151346166</v>
      </c>
      <c r="AJ3" t="s">
        <v>465</v>
      </c>
      <c r="AN3" t="s">
        <v>239</v>
      </c>
      <c r="AO3" s="259">
        <v>3838.5421608681563</v>
      </c>
      <c r="AP3" t="s">
        <v>439</v>
      </c>
      <c r="AR3" t="s">
        <v>439</v>
      </c>
      <c r="AS3">
        <v>3120</v>
      </c>
    </row>
    <row r="4" spans="1:45" x14ac:dyDescent="0.25">
      <c r="B4" t="s">
        <v>163</v>
      </c>
      <c r="C4" s="101">
        <v>79948</v>
      </c>
      <c r="D4" s="101">
        <v>21</v>
      </c>
      <c r="E4" s="101">
        <v>837</v>
      </c>
      <c r="F4" s="101">
        <v>2629</v>
      </c>
      <c r="G4" s="101">
        <v>17847</v>
      </c>
      <c r="H4" s="101">
        <v>6393</v>
      </c>
      <c r="I4" s="101">
        <v>2138</v>
      </c>
      <c r="J4" s="101">
        <v>1487</v>
      </c>
      <c r="K4" s="101">
        <v>319</v>
      </c>
      <c r="L4" s="101">
        <v>1539</v>
      </c>
      <c r="M4" s="101">
        <v>3558</v>
      </c>
      <c r="N4" s="101">
        <v>15230</v>
      </c>
      <c r="O4" s="101">
        <v>8788</v>
      </c>
      <c r="P4" s="101">
        <v>13708</v>
      </c>
      <c r="Q4" s="101">
        <v>5047</v>
      </c>
      <c r="R4" s="101">
        <v>487</v>
      </c>
      <c r="S4" s="101"/>
      <c r="T4" t="s">
        <v>163</v>
      </c>
      <c r="U4" s="101">
        <f t="shared" si="0"/>
        <v>76461</v>
      </c>
      <c r="V4" s="101">
        <f>Inkomsten!M4</f>
        <v>72791000</v>
      </c>
      <c r="W4" s="101">
        <f>Inkomsten!D4</f>
        <v>57235641</v>
      </c>
      <c r="X4" s="101">
        <v>2019</v>
      </c>
      <c r="Y4" s="101">
        <v>1551</v>
      </c>
      <c r="Z4" s="101">
        <v>314</v>
      </c>
      <c r="AA4" s="101">
        <v>398</v>
      </c>
      <c r="AB4" s="101">
        <v>175</v>
      </c>
      <c r="AC4" s="101">
        <v>143</v>
      </c>
      <c r="AD4" s="101">
        <v>106</v>
      </c>
      <c r="AE4" s="101">
        <v>1</v>
      </c>
      <c r="AF4" s="101">
        <v>171</v>
      </c>
      <c r="AG4" s="101">
        <f t="shared" si="1"/>
        <v>56027.641000000003</v>
      </c>
      <c r="AH4" s="101">
        <v>27308</v>
      </c>
      <c r="AI4" s="101">
        <f t="shared" si="2"/>
        <v>2051.6933133147795</v>
      </c>
      <c r="AJ4" t="s">
        <v>116</v>
      </c>
      <c r="AN4" t="s">
        <v>441</v>
      </c>
      <c r="AO4" s="259">
        <v>3520.6484358226712</v>
      </c>
      <c r="AP4" t="s">
        <v>439</v>
      </c>
      <c r="AR4" t="s">
        <v>116</v>
      </c>
      <c r="AS4">
        <v>2045</v>
      </c>
    </row>
    <row r="5" spans="1:45" x14ac:dyDescent="0.25">
      <c r="B5" t="s">
        <v>125</v>
      </c>
      <c r="C5" s="101">
        <v>97358</v>
      </c>
      <c r="D5" s="101">
        <v>353</v>
      </c>
      <c r="E5" s="101">
        <v>321</v>
      </c>
      <c r="F5" s="101">
        <v>4395</v>
      </c>
      <c r="G5" s="101">
        <v>7234</v>
      </c>
      <c r="H5" s="101">
        <v>15889</v>
      </c>
      <c r="I5" s="101">
        <v>2380</v>
      </c>
      <c r="J5" s="101">
        <v>2763</v>
      </c>
      <c r="K5" s="101">
        <v>710</v>
      </c>
      <c r="L5" s="101">
        <v>2689</v>
      </c>
      <c r="M5" s="101">
        <v>4857</v>
      </c>
      <c r="N5" s="101">
        <v>21803</v>
      </c>
      <c r="O5" s="101">
        <v>9648</v>
      </c>
      <c r="P5" s="101">
        <v>15703</v>
      </c>
      <c r="Q5" s="101">
        <v>6327</v>
      </c>
      <c r="R5" s="101">
        <v>2312</v>
      </c>
      <c r="S5" s="101"/>
      <c r="T5" t="s">
        <v>125</v>
      </c>
      <c r="U5" s="101">
        <f t="shared" si="0"/>
        <v>92289</v>
      </c>
      <c r="V5" s="101">
        <f>Inkomsten!M5</f>
        <v>82487000</v>
      </c>
      <c r="W5" s="101">
        <f>Inkomsten!D5</f>
        <v>63588769</v>
      </c>
      <c r="X5" s="101">
        <v>2670</v>
      </c>
      <c r="Y5" s="101">
        <v>3760</v>
      </c>
      <c r="Z5" s="101">
        <v>0</v>
      </c>
      <c r="AA5" s="101">
        <v>242</v>
      </c>
      <c r="AB5" s="101">
        <v>484</v>
      </c>
      <c r="AC5" s="101">
        <v>121</v>
      </c>
      <c r="AD5" s="101">
        <v>20</v>
      </c>
      <c r="AE5" s="101">
        <v>0</v>
      </c>
      <c r="AF5" s="101">
        <v>25</v>
      </c>
      <c r="AG5" s="101">
        <f t="shared" si="1"/>
        <v>66068.769</v>
      </c>
      <c r="AH5" s="101">
        <v>28226</v>
      </c>
      <c r="AI5" s="101">
        <f t="shared" si="2"/>
        <v>2340.7060511585064</v>
      </c>
      <c r="AJ5" t="s">
        <v>116</v>
      </c>
      <c r="AN5" t="s">
        <v>289</v>
      </c>
      <c r="AO5" s="259">
        <v>3442.77862197483</v>
      </c>
      <c r="AP5" t="s">
        <v>439</v>
      </c>
      <c r="AR5" t="s">
        <v>116</v>
      </c>
      <c r="AS5">
        <v>2578</v>
      </c>
    </row>
    <row r="6" spans="1:45" x14ac:dyDescent="0.25">
      <c r="B6" t="s">
        <v>281</v>
      </c>
      <c r="C6" s="101">
        <v>65510</v>
      </c>
      <c r="D6" s="101">
        <v>688</v>
      </c>
      <c r="E6" s="101">
        <v>1221</v>
      </c>
      <c r="F6" s="101">
        <v>2675</v>
      </c>
      <c r="G6" s="101">
        <v>10144</v>
      </c>
      <c r="H6" s="101">
        <v>7140</v>
      </c>
      <c r="I6" s="101">
        <v>2109</v>
      </c>
      <c r="J6" s="101">
        <v>1076</v>
      </c>
      <c r="K6" s="101">
        <v>476</v>
      </c>
      <c r="L6" s="101">
        <v>1536</v>
      </c>
      <c r="M6" s="101">
        <v>4125</v>
      </c>
      <c r="N6" s="101">
        <v>11395</v>
      </c>
      <c r="O6" s="101">
        <v>5919</v>
      </c>
      <c r="P6" s="101">
        <v>10590</v>
      </c>
      <c r="Q6" s="101">
        <v>4249</v>
      </c>
      <c r="R6" s="101">
        <v>2271</v>
      </c>
      <c r="S6" s="101"/>
      <c r="T6" t="s">
        <v>281</v>
      </c>
      <c r="U6" s="101">
        <f t="shared" si="0"/>
        <v>60926</v>
      </c>
      <c r="V6" s="101">
        <f>Inkomsten!M6</f>
        <v>49939000</v>
      </c>
      <c r="W6" s="101">
        <f>Inkomsten!D6</f>
        <v>40847475</v>
      </c>
      <c r="X6" s="101">
        <v>1611</v>
      </c>
      <c r="Y6" s="101">
        <v>3517</v>
      </c>
      <c r="Z6" s="101">
        <v>642</v>
      </c>
      <c r="AA6" s="101">
        <v>365</v>
      </c>
      <c r="AB6" s="101">
        <v>1120</v>
      </c>
      <c r="AC6" s="101">
        <v>80</v>
      </c>
      <c r="AD6" s="101">
        <v>20</v>
      </c>
      <c r="AE6" s="101">
        <v>0</v>
      </c>
      <c r="AF6" s="101">
        <v>3</v>
      </c>
      <c r="AG6" s="101">
        <f t="shared" si="1"/>
        <v>44476.474999999999</v>
      </c>
      <c r="AH6" s="101">
        <v>20306</v>
      </c>
      <c r="AI6" s="101">
        <f t="shared" si="2"/>
        <v>2190.3119767556386</v>
      </c>
      <c r="AJ6" t="s">
        <v>465</v>
      </c>
      <c r="AN6" t="s">
        <v>124</v>
      </c>
      <c r="AO6" s="259">
        <v>3250.005626727745</v>
      </c>
      <c r="AP6" t="s">
        <v>439</v>
      </c>
      <c r="AR6" t="s">
        <v>465</v>
      </c>
      <c r="AS6">
        <v>1841</v>
      </c>
    </row>
    <row r="7" spans="1:45" x14ac:dyDescent="0.25">
      <c r="B7" t="s">
        <v>282</v>
      </c>
      <c r="C7" s="101">
        <v>72608</v>
      </c>
      <c r="D7" s="101">
        <v>6378</v>
      </c>
      <c r="E7" s="101">
        <v>497</v>
      </c>
      <c r="F7" s="101">
        <v>3591</v>
      </c>
      <c r="G7" s="101">
        <v>8674</v>
      </c>
      <c r="H7" s="101">
        <v>10176</v>
      </c>
      <c r="I7" s="101">
        <v>2562</v>
      </c>
      <c r="J7" s="101">
        <v>3772</v>
      </c>
      <c r="K7" s="101">
        <v>110</v>
      </c>
      <c r="L7" s="101">
        <v>1594</v>
      </c>
      <c r="M7" s="101">
        <v>4306</v>
      </c>
      <c r="N7" s="101">
        <v>7011</v>
      </c>
      <c r="O7" s="101">
        <v>5713</v>
      </c>
      <c r="P7" s="101">
        <v>8393</v>
      </c>
      <c r="Q7" s="101">
        <v>8832</v>
      </c>
      <c r="R7" s="101">
        <v>1043</v>
      </c>
      <c r="S7" s="101"/>
      <c r="T7" t="s">
        <v>282</v>
      </c>
      <c r="U7" s="101">
        <f t="shared" si="0"/>
        <v>62142</v>
      </c>
      <c r="V7" s="101">
        <f>Inkomsten!M7</f>
        <v>49341000</v>
      </c>
      <c r="W7" s="101">
        <f>Inkomsten!D7</f>
        <v>41760520</v>
      </c>
      <c r="X7" s="101">
        <v>3174</v>
      </c>
      <c r="Y7" s="101">
        <v>4326</v>
      </c>
      <c r="Z7" s="101">
        <v>213</v>
      </c>
      <c r="AA7" s="101">
        <v>650</v>
      </c>
      <c r="AB7" s="101">
        <v>384</v>
      </c>
      <c r="AC7" s="101">
        <v>26</v>
      </c>
      <c r="AD7" s="101">
        <v>0</v>
      </c>
      <c r="AE7" s="101">
        <v>0</v>
      </c>
      <c r="AF7" s="101">
        <v>160</v>
      </c>
      <c r="AG7" s="101">
        <f t="shared" si="1"/>
        <v>45628.52</v>
      </c>
      <c r="AH7" s="101">
        <v>26431</v>
      </c>
      <c r="AI7" s="101">
        <f t="shared" si="2"/>
        <v>1726.3259051870909</v>
      </c>
      <c r="AJ7" t="s">
        <v>465</v>
      </c>
      <c r="AN7" t="s">
        <v>405</v>
      </c>
      <c r="AO7" s="259">
        <v>3248.0447605617428</v>
      </c>
      <c r="AP7" t="s">
        <v>439</v>
      </c>
      <c r="AR7" t="s">
        <v>465</v>
      </c>
      <c r="AS7">
        <v>2332</v>
      </c>
    </row>
    <row r="8" spans="1:45" x14ac:dyDescent="0.25">
      <c r="B8" t="s">
        <v>237</v>
      </c>
      <c r="C8" s="101">
        <v>462170</v>
      </c>
      <c r="D8" s="101">
        <v>1126</v>
      </c>
      <c r="E8" s="101">
        <v>4639</v>
      </c>
      <c r="F8" s="101">
        <v>19364</v>
      </c>
      <c r="G8" s="101">
        <v>59259</v>
      </c>
      <c r="H8" s="101">
        <v>23096</v>
      </c>
      <c r="I8" s="101">
        <v>13527</v>
      </c>
      <c r="J8" s="101">
        <v>24011</v>
      </c>
      <c r="K8" s="101">
        <v>17537</v>
      </c>
      <c r="L8" s="101">
        <v>13313</v>
      </c>
      <c r="M8" s="101">
        <v>47718</v>
      </c>
      <c r="N8" s="101">
        <v>76859</v>
      </c>
      <c r="O8" s="101">
        <v>41232</v>
      </c>
      <c r="P8" s="101">
        <v>77090</v>
      </c>
      <c r="Q8" s="101">
        <v>35582</v>
      </c>
      <c r="R8" s="101">
        <v>10080</v>
      </c>
      <c r="S8" s="101"/>
      <c r="T8" t="s">
        <v>237</v>
      </c>
      <c r="U8" s="101">
        <f t="shared" si="0"/>
        <v>437041</v>
      </c>
      <c r="V8" s="101">
        <f>Inkomsten!M8</f>
        <v>354628000</v>
      </c>
      <c r="W8" s="101">
        <f>Inkomsten!D8</f>
        <v>255438868</v>
      </c>
      <c r="X8" s="101">
        <v>11160</v>
      </c>
      <c r="Y8" s="101">
        <v>17386</v>
      </c>
      <c r="Z8" s="101">
        <v>497</v>
      </c>
      <c r="AA8" s="101">
        <v>1641</v>
      </c>
      <c r="AB8" s="101">
        <v>4388</v>
      </c>
      <c r="AC8" s="101">
        <v>901</v>
      </c>
      <c r="AD8" s="101">
        <v>628</v>
      </c>
      <c r="AE8" s="101">
        <v>9602</v>
      </c>
      <c r="AF8" s="101">
        <v>1634</v>
      </c>
      <c r="AG8" s="101">
        <f t="shared" si="1"/>
        <v>290014.86800000002</v>
      </c>
      <c r="AH8" s="101">
        <v>112311</v>
      </c>
      <c r="AI8" s="101">
        <f t="shared" si="2"/>
        <v>2582.2481146103232</v>
      </c>
      <c r="AJ8" t="s">
        <v>439</v>
      </c>
      <c r="AN8" t="s">
        <v>144</v>
      </c>
      <c r="AO8" s="259">
        <v>3243.4626716170596</v>
      </c>
      <c r="AP8" t="s">
        <v>439</v>
      </c>
    </row>
    <row r="9" spans="1:45" x14ac:dyDescent="0.25">
      <c r="B9" t="s">
        <v>139</v>
      </c>
      <c r="C9" s="101">
        <v>352135</v>
      </c>
      <c r="D9" s="101">
        <v>10268</v>
      </c>
      <c r="E9" s="101">
        <v>2498</v>
      </c>
      <c r="F9" s="101">
        <v>12729</v>
      </c>
      <c r="G9" s="101">
        <v>85220</v>
      </c>
      <c r="H9" s="101">
        <v>17128</v>
      </c>
      <c r="I9" s="101">
        <v>6807</v>
      </c>
      <c r="J9" s="101">
        <v>10075</v>
      </c>
      <c r="K9" s="101">
        <v>6373</v>
      </c>
      <c r="L9" s="101">
        <v>8638</v>
      </c>
      <c r="M9" s="101">
        <v>13782</v>
      </c>
      <c r="N9" s="101">
        <v>56826</v>
      </c>
      <c r="O9" s="101">
        <v>44318</v>
      </c>
      <c r="P9" s="101">
        <v>53368</v>
      </c>
      <c r="Q9" s="101">
        <v>22049</v>
      </c>
      <c r="R9" s="101">
        <v>3344</v>
      </c>
      <c r="S9" s="101"/>
      <c r="T9" t="s">
        <v>139</v>
      </c>
      <c r="U9" s="101">
        <f t="shared" si="0"/>
        <v>326640</v>
      </c>
      <c r="V9" s="101">
        <f>Inkomsten!M9</f>
        <v>278527000</v>
      </c>
      <c r="W9" s="101">
        <f>Inkomsten!D9</f>
        <v>195268940</v>
      </c>
      <c r="X9" s="101">
        <v>11934</v>
      </c>
      <c r="Y9" s="101">
        <v>9051</v>
      </c>
      <c r="Z9" s="101">
        <v>431</v>
      </c>
      <c r="AA9" s="101">
        <v>1297</v>
      </c>
      <c r="AB9" s="101">
        <v>2180</v>
      </c>
      <c r="AC9" s="101">
        <v>224</v>
      </c>
      <c r="AD9" s="101">
        <v>447</v>
      </c>
      <c r="AE9" s="101">
        <v>1687</v>
      </c>
      <c r="AF9" s="101">
        <v>237</v>
      </c>
      <c r="AG9" s="101">
        <f t="shared" si="1"/>
        <v>215893.94</v>
      </c>
      <c r="AH9" s="101">
        <v>74355</v>
      </c>
      <c r="AI9" s="101">
        <f t="shared" si="2"/>
        <v>2903.5564521552014</v>
      </c>
      <c r="AJ9" t="s">
        <v>439</v>
      </c>
      <c r="AN9" t="s">
        <v>476</v>
      </c>
      <c r="AO9" s="259">
        <v>3107.4341812419357</v>
      </c>
      <c r="AP9" t="s">
        <v>439</v>
      </c>
    </row>
    <row r="10" spans="1:45" x14ac:dyDescent="0.25">
      <c r="B10" t="s">
        <v>427</v>
      </c>
      <c r="C10" s="101">
        <v>1130933</v>
      </c>
      <c r="D10" s="101">
        <v>114299</v>
      </c>
      <c r="E10" s="101">
        <v>17556</v>
      </c>
      <c r="F10" s="101">
        <v>32238</v>
      </c>
      <c r="G10" s="101">
        <v>181381</v>
      </c>
      <c r="H10" s="101">
        <v>57125</v>
      </c>
      <c r="I10" s="101">
        <v>21654</v>
      </c>
      <c r="J10" s="101">
        <v>56665</v>
      </c>
      <c r="K10" s="101">
        <v>15763</v>
      </c>
      <c r="L10" s="101">
        <v>36552</v>
      </c>
      <c r="M10" s="101">
        <v>64744</v>
      </c>
      <c r="N10" s="101">
        <v>132473</v>
      </c>
      <c r="O10" s="101">
        <v>107943</v>
      </c>
      <c r="P10" s="101">
        <v>177933</v>
      </c>
      <c r="Q10" s="101">
        <v>84979</v>
      </c>
      <c r="R10" s="101">
        <v>33593</v>
      </c>
      <c r="S10" s="101"/>
      <c r="T10" t="s">
        <v>427</v>
      </c>
      <c r="U10" s="101">
        <f t="shared" si="0"/>
        <v>966840</v>
      </c>
      <c r="V10" s="101">
        <f>Inkomsten!M10</f>
        <v>734165000</v>
      </c>
      <c r="W10" s="101">
        <f>Inkomsten!D10</f>
        <v>494929444</v>
      </c>
      <c r="X10" s="101">
        <v>22325</v>
      </c>
      <c r="Y10" s="101">
        <v>39252</v>
      </c>
      <c r="Z10" s="101">
        <v>0</v>
      </c>
      <c r="AA10" s="101">
        <v>3911</v>
      </c>
      <c r="AB10" s="101">
        <v>10029</v>
      </c>
      <c r="AC10" s="101">
        <v>825</v>
      </c>
      <c r="AD10" s="101">
        <v>1192</v>
      </c>
      <c r="AE10" s="101">
        <v>19196</v>
      </c>
      <c r="AF10" s="101">
        <v>3811</v>
      </c>
      <c r="AG10" s="101">
        <f t="shared" si="1"/>
        <v>627063.44400000002</v>
      </c>
      <c r="AH10" s="101">
        <v>226630</v>
      </c>
      <c r="AI10" s="101">
        <f t="shared" si="2"/>
        <v>2766.9039579932046</v>
      </c>
      <c r="AJ10" t="s">
        <v>439</v>
      </c>
      <c r="AN10" t="s">
        <v>419</v>
      </c>
      <c r="AO10" s="259">
        <v>3087.9968009614076</v>
      </c>
      <c r="AP10" t="s">
        <v>439</v>
      </c>
    </row>
    <row r="11" spans="1:45" x14ac:dyDescent="0.25">
      <c r="B11" t="s">
        <v>283</v>
      </c>
      <c r="C11" s="101">
        <v>411434</v>
      </c>
      <c r="D11" s="101">
        <v>29690</v>
      </c>
      <c r="E11" s="101">
        <v>4094</v>
      </c>
      <c r="F11" s="101">
        <v>17182</v>
      </c>
      <c r="G11" s="101">
        <v>82646</v>
      </c>
      <c r="H11" s="101">
        <v>23041</v>
      </c>
      <c r="I11" s="101">
        <v>8784</v>
      </c>
      <c r="J11" s="101">
        <v>21376</v>
      </c>
      <c r="K11" s="101">
        <v>9639</v>
      </c>
      <c r="L11" s="101">
        <v>15751</v>
      </c>
      <c r="M11" s="101">
        <v>20454</v>
      </c>
      <c r="N11" s="101">
        <v>50686</v>
      </c>
      <c r="O11" s="101">
        <v>39117</v>
      </c>
      <c r="P11" s="101">
        <v>53287</v>
      </c>
      <c r="Q11" s="101">
        <v>30547</v>
      </c>
      <c r="R11" s="101">
        <v>6549</v>
      </c>
      <c r="S11" s="101"/>
      <c r="T11" t="s">
        <v>283</v>
      </c>
      <c r="U11" s="101">
        <f t="shared" si="0"/>
        <v>360468</v>
      </c>
      <c r="V11" s="101">
        <f>Inkomsten!M11</f>
        <v>281535000</v>
      </c>
      <c r="W11" s="101">
        <f>Inkomsten!D11</f>
        <v>226293401</v>
      </c>
      <c r="X11" s="101">
        <v>14575</v>
      </c>
      <c r="Y11" s="101">
        <v>14610</v>
      </c>
      <c r="Z11" s="101">
        <v>900</v>
      </c>
      <c r="AA11" s="101">
        <v>1784</v>
      </c>
      <c r="AB11" s="101">
        <v>5275</v>
      </c>
      <c r="AC11" s="101">
        <v>488</v>
      </c>
      <c r="AD11" s="101">
        <v>250</v>
      </c>
      <c r="AE11" s="101">
        <v>3772</v>
      </c>
      <c r="AF11" s="101">
        <v>912</v>
      </c>
      <c r="AG11" s="101">
        <f t="shared" si="1"/>
        <v>262660.40100000001</v>
      </c>
      <c r="AH11" s="101">
        <v>114968</v>
      </c>
      <c r="AI11" s="101">
        <f t="shared" si="2"/>
        <v>2284.6392126504766</v>
      </c>
      <c r="AJ11" t="s">
        <v>465</v>
      </c>
      <c r="AN11" t="s">
        <v>429</v>
      </c>
      <c r="AO11" s="259">
        <v>3087.8339123043875</v>
      </c>
      <c r="AP11" t="s">
        <v>439</v>
      </c>
    </row>
    <row r="12" spans="1:45" x14ac:dyDescent="0.25">
      <c r="B12" t="s">
        <v>341</v>
      </c>
      <c r="C12" s="101">
        <v>28050</v>
      </c>
      <c r="D12" s="101">
        <v>810</v>
      </c>
      <c r="E12" s="101">
        <v>435</v>
      </c>
      <c r="F12" s="101">
        <v>883</v>
      </c>
      <c r="G12" s="101">
        <v>941</v>
      </c>
      <c r="H12" s="101">
        <v>6174</v>
      </c>
      <c r="I12" s="101">
        <v>1325</v>
      </c>
      <c r="J12" s="101">
        <v>1442</v>
      </c>
      <c r="K12" s="101">
        <v>178</v>
      </c>
      <c r="L12" s="101">
        <v>592</v>
      </c>
      <c r="M12" s="101">
        <v>2525</v>
      </c>
      <c r="N12" s="101">
        <v>2388</v>
      </c>
      <c r="O12" s="101">
        <v>1671</v>
      </c>
      <c r="P12" s="101">
        <v>4140</v>
      </c>
      <c r="Q12" s="101">
        <v>2876</v>
      </c>
      <c r="R12" s="101">
        <v>1671</v>
      </c>
      <c r="S12" s="101"/>
      <c r="T12" t="s">
        <v>341</v>
      </c>
      <c r="U12" s="101">
        <f t="shared" si="0"/>
        <v>25922</v>
      </c>
      <c r="V12" s="101">
        <f>Inkomsten!M12</f>
        <v>20972000</v>
      </c>
      <c r="W12" s="101">
        <f>Inkomsten!D12</f>
        <v>18249606</v>
      </c>
      <c r="X12" s="101">
        <v>1419</v>
      </c>
      <c r="Y12" s="101">
        <v>1207</v>
      </c>
      <c r="Z12" s="101">
        <v>19</v>
      </c>
      <c r="AA12" s="101">
        <v>160</v>
      </c>
      <c r="AB12" s="101">
        <v>478</v>
      </c>
      <c r="AC12" s="101">
        <v>56</v>
      </c>
      <c r="AD12" s="101">
        <v>300</v>
      </c>
      <c r="AE12" s="101">
        <v>0</v>
      </c>
      <c r="AF12" s="101">
        <v>43</v>
      </c>
      <c r="AG12" s="101">
        <f t="shared" si="1"/>
        <v>19517.606</v>
      </c>
      <c r="AH12" s="101">
        <v>10492</v>
      </c>
      <c r="AI12" s="101">
        <f t="shared" si="2"/>
        <v>1860.2369424323294</v>
      </c>
      <c r="AJ12" t="s">
        <v>465</v>
      </c>
      <c r="AN12" t="s">
        <v>719</v>
      </c>
      <c r="AO12" s="259">
        <v>3086.7967971856415</v>
      </c>
      <c r="AP12" t="s">
        <v>439</v>
      </c>
    </row>
    <row r="13" spans="1:45" x14ac:dyDescent="0.25">
      <c r="B13" t="s">
        <v>591</v>
      </c>
      <c r="C13" s="101">
        <v>164339</v>
      </c>
      <c r="D13" s="101">
        <v>9328</v>
      </c>
      <c r="E13" s="101">
        <v>1815</v>
      </c>
      <c r="F13" s="101">
        <v>7628</v>
      </c>
      <c r="G13" s="101">
        <v>41087</v>
      </c>
      <c r="H13" s="101">
        <v>15015</v>
      </c>
      <c r="I13" s="101">
        <v>3885</v>
      </c>
      <c r="J13" s="101">
        <v>8987</v>
      </c>
      <c r="K13" s="101">
        <v>1481</v>
      </c>
      <c r="L13" s="101">
        <v>3754</v>
      </c>
      <c r="M13" s="101">
        <v>9129</v>
      </c>
      <c r="N13" s="101">
        <v>16343</v>
      </c>
      <c r="O13" s="101">
        <v>13518</v>
      </c>
      <c r="P13" s="101">
        <v>17870</v>
      </c>
      <c r="Q13" s="101">
        <v>14459</v>
      </c>
      <c r="R13" s="101">
        <v>571</v>
      </c>
      <c r="S13" s="101"/>
      <c r="T13" t="s">
        <v>591</v>
      </c>
      <c r="U13" s="101">
        <f t="shared" si="0"/>
        <v>145568</v>
      </c>
      <c r="V13" s="101">
        <f>Inkomsten!M13</f>
        <v>126988000</v>
      </c>
      <c r="W13" s="101">
        <f>Inkomsten!D13</f>
        <v>103905647</v>
      </c>
      <c r="X13" s="101">
        <v>6000</v>
      </c>
      <c r="Y13" s="101">
        <v>8147</v>
      </c>
      <c r="Z13" s="101">
        <v>923</v>
      </c>
      <c r="AA13" s="101">
        <v>1281</v>
      </c>
      <c r="AB13" s="101">
        <v>2789</v>
      </c>
      <c r="AC13" s="101">
        <v>478</v>
      </c>
      <c r="AD13" s="101">
        <v>332</v>
      </c>
      <c r="AE13" s="101">
        <v>0</v>
      </c>
      <c r="AF13" s="101">
        <v>853</v>
      </c>
      <c r="AG13" s="101">
        <f t="shared" si="1"/>
        <v>101682.647</v>
      </c>
      <c r="AH13" s="101">
        <v>58293</v>
      </c>
      <c r="AI13" s="101">
        <f t="shared" si="2"/>
        <v>1744.3371759902561</v>
      </c>
      <c r="AJ13" t="s">
        <v>465</v>
      </c>
      <c r="AN13" t="s">
        <v>721</v>
      </c>
      <c r="AO13" s="259">
        <v>3077.9657099194101</v>
      </c>
      <c r="AP13" t="s">
        <v>439</v>
      </c>
    </row>
    <row r="14" spans="1:45" x14ac:dyDescent="0.25">
      <c r="B14" t="s">
        <v>126</v>
      </c>
      <c r="C14" s="101">
        <v>38550</v>
      </c>
      <c r="D14" s="101">
        <v>12</v>
      </c>
      <c r="E14" s="101">
        <v>1034</v>
      </c>
      <c r="F14" s="101">
        <v>2492</v>
      </c>
      <c r="G14" s="101">
        <v>10121</v>
      </c>
      <c r="H14" s="101">
        <v>2942</v>
      </c>
      <c r="I14" s="101">
        <v>846</v>
      </c>
      <c r="J14" s="101">
        <v>1035</v>
      </c>
      <c r="K14" s="101">
        <v>575</v>
      </c>
      <c r="L14" s="101">
        <v>837</v>
      </c>
      <c r="M14" s="101">
        <v>1605</v>
      </c>
      <c r="N14" s="101">
        <v>288</v>
      </c>
      <c r="O14" s="101">
        <v>516</v>
      </c>
      <c r="P14" s="101">
        <v>13499</v>
      </c>
      <c r="Q14" s="101">
        <v>1605</v>
      </c>
      <c r="R14" s="101">
        <v>1253</v>
      </c>
      <c r="S14" s="101"/>
      <c r="T14" t="s">
        <v>126</v>
      </c>
      <c r="U14" s="101">
        <f t="shared" si="0"/>
        <v>35012</v>
      </c>
      <c r="V14" s="101">
        <f>Inkomsten!M14</f>
        <v>14760000</v>
      </c>
      <c r="W14" s="101">
        <f>Inkomsten!D14</f>
        <v>11148791</v>
      </c>
      <c r="X14" s="101">
        <v>853</v>
      </c>
      <c r="Y14" s="101">
        <v>1476</v>
      </c>
      <c r="Z14" s="101">
        <v>50</v>
      </c>
      <c r="AA14" s="101">
        <v>58</v>
      </c>
      <c r="AB14" s="101">
        <v>238</v>
      </c>
      <c r="AC14" s="101">
        <v>102</v>
      </c>
      <c r="AD14" s="101">
        <v>3874</v>
      </c>
      <c r="AE14" s="101">
        <v>0</v>
      </c>
      <c r="AF14" s="101">
        <v>69</v>
      </c>
      <c r="AG14" s="101">
        <f t="shared" si="1"/>
        <v>24680.790999999997</v>
      </c>
      <c r="AH14" s="101">
        <v>3832</v>
      </c>
      <c r="AI14" s="101">
        <f t="shared" si="2"/>
        <v>6440.7074634655519</v>
      </c>
      <c r="AJ14" t="s">
        <v>465</v>
      </c>
      <c r="AN14" t="s">
        <v>345</v>
      </c>
      <c r="AO14" s="259">
        <v>3065.1202715148261</v>
      </c>
      <c r="AP14" t="s">
        <v>439</v>
      </c>
    </row>
    <row r="15" spans="1:45" x14ac:dyDescent="0.25">
      <c r="B15" t="s">
        <v>212</v>
      </c>
      <c r="C15" s="101">
        <v>683259</v>
      </c>
      <c r="D15" s="101">
        <v>32285</v>
      </c>
      <c r="E15" s="101">
        <v>6376</v>
      </c>
      <c r="F15" s="101">
        <v>23117</v>
      </c>
      <c r="G15" s="101">
        <v>117788</v>
      </c>
      <c r="H15" s="101">
        <v>38572</v>
      </c>
      <c r="I15" s="101">
        <v>12956</v>
      </c>
      <c r="J15" s="101">
        <v>21411</v>
      </c>
      <c r="K15" s="101">
        <v>11691</v>
      </c>
      <c r="L15" s="101">
        <v>29293</v>
      </c>
      <c r="M15" s="101">
        <v>64659</v>
      </c>
      <c r="N15" s="101">
        <v>91319</v>
      </c>
      <c r="O15" s="101">
        <v>61276</v>
      </c>
      <c r="P15" s="101">
        <v>117125</v>
      </c>
      <c r="Q15" s="101">
        <v>51555</v>
      </c>
      <c r="R15" s="101">
        <v>5978</v>
      </c>
      <c r="S15" s="101"/>
      <c r="T15" t="s">
        <v>212</v>
      </c>
      <c r="U15" s="101">
        <f t="shared" si="0"/>
        <v>621481</v>
      </c>
      <c r="V15" s="101">
        <f>Inkomsten!M15</f>
        <v>493830000</v>
      </c>
      <c r="W15" s="101">
        <f>Inkomsten!D15</f>
        <v>356380371</v>
      </c>
      <c r="X15" s="101">
        <v>16529</v>
      </c>
      <c r="Y15" s="101">
        <v>25636</v>
      </c>
      <c r="Z15" s="101">
        <v>4359</v>
      </c>
      <c r="AA15" s="101">
        <v>2801</v>
      </c>
      <c r="AB15" s="101">
        <v>6011</v>
      </c>
      <c r="AC15" s="101">
        <v>1215</v>
      </c>
      <c r="AD15" s="101">
        <v>630</v>
      </c>
      <c r="AE15" s="101">
        <v>4015</v>
      </c>
      <c r="AF15" s="101">
        <v>2101</v>
      </c>
      <c r="AG15" s="101">
        <f t="shared" si="1"/>
        <v>420734.37099999998</v>
      </c>
      <c r="AH15" s="101">
        <v>161825</v>
      </c>
      <c r="AI15" s="101">
        <f t="shared" si="2"/>
        <v>2599.9343179360421</v>
      </c>
      <c r="AJ15" t="s">
        <v>439</v>
      </c>
      <c r="AN15" t="s">
        <v>122</v>
      </c>
      <c r="AO15" s="259">
        <v>3023.609217147472</v>
      </c>
      <c r="AP15" t="s">
        <v>439</v>
      </c>
    </row>
    <row r="16" spans="1:45" x14ac:dyDescent="0.25">
      <c r="B16" t="s">
        <v>238</v>
      </c>
      <c r="C16" s="101">
        <v>350360</v>
      </c>
      <c r="D16" s="101">
        <v>6737</v>
      </c>
      <c r="E16" s="101">
        <v>2966</v>
      </c>
      <c r="F16" s="101">
        <v>13164</v>
      </c>
      <c r="G16" s="101">
        <v>109082</v>
      </c>
      <c r="H16" s="101">
        <v>36624</v>
      </c>
      <c r="I16" s="101">
        <v>8661</v>
      </c>
      <c r="J16" s="101">
        <v>13166</v>
      </c>
      <c r="K16" s="101">
        <v>14348</v>
      </c>
      <c r="L16" s="101">
        <v>9920</v>
      </c>
      <c r="M16" s="101">
        <v>24577</v>
      </c>
      <c r="N16" s="101">
        <v>28085</v>
      </c>
      <c r="O16" s="101">
        <v>25633</v>
      </c>
      <c r="P16" s="101">
        <v>33184</v>
      </c>
      <c r="Q16" s="101">
        <v>18656</v>
      </c>
      <c r="R16" s="101">
        <v>6936</v>
      </c>
      <c r="S16" s="101"/>
      <c r="T16" t="s">
        <v>238</v>
      </c>
      <c r="U16" s="101">
        <f t="shared" si="0"/>
        <v>327493</v>
      </c>
      <c r="V16" s="101">
        <f>Inkomsten!M16</f>
        <v>205155000</v>
      </c>
      <c r="W16" s="101">
        <f>Inkomsten!D16</f>
        <v>168731020</v>
      </c>
      <c r="X16" s="101">
        <v>9467</v>
      </c>
      <c r="Y16" s="101">
        <v>11846</v>
      </c>
      <c r="Z16" s="101">
        <v>4953</v>
      </c>
      <c r="AA16" s="101">
        <v>2718</v>
      </c>
      <c r="AB16" s="101">
        <v>2142</v>
      </c>
      <c r="AC16" s="101">
        <v>322</v>
      </c>
      <c r="AD16" s="101">
        <v>3199</v>
      </c>
      <c r="AE16" s="101">
        <v>4009</v>
      </c>
      <c r="AF16" s="101">
        <v>1355</v>
      </c>
      <c r="AG16" s="101">
        <f t="shared" si="1"/>
        <v>251058.02000000002</v>
      </c>
      <c r="AH16" s="101">
        <v>95007</v>
      </c>
      <c r="AI16" s="101">
        <f t="shared" si="2"/>
        <v>2642.5212879051019</v>
      </c>
      <c r="AJ16" t="s">
        <v>465</v>
      </c>
      <c r="AN16" t="s">
        <v>165</v>
      </c>
      <c r="AO16" s="259">
        <v>3012.2802037340443</v>
      </c>
      <c r="AP16" t="s">
        <v>439</v>
      </c>
    </row>
    <row r="17" spans="2:42" x14ac:dyDescent="0.25">
      <c r="B17" t="s">
        <v>239</v>
      </c>
      <c r="C17" s="101">
        <v>6484064</v>
      </c>
      <c r="D17" s="101">
        <v>439982</v>
      </c>
      <c r="E17" s="101">
        <v>105529</v>
      </c>
      <c r="F17" s="101">
        <v>234245</v>
      </c>
      <c r="G17" s="101">
        <v>1520406</v>
      </c>
      <c r="H17" s="101">
        <v>430408</v>
      </c>
      <c r="I17" s="101">
        <v>150480</v>
      </c>
      <c r="J17" s="101">
        <v>346745</v>
      </c>
      <c r="K17" s="101">
        <v>295373</v>
      </c>
      <c r="L17" s="101">
        <v>197325</v>
      </c>
      <c r="M17" s="101">
        <v>382188</v>
      </c>
      <c r="N17" s="101">
        <v>911488</v>
      </c>
      <c r="O17" s="101">
        <v>333256</v>
      </c>
      <c r="P17" s="101">
        <v>801321</v>
      </c>
      <c r="Q17" s="101">
        <v>280325</v>
      </c>
      <c r="R17" s="101">
        <v>121782</v>
      </c>
      <c r="S17" s="101"/>
      <c r="T17" t="s">
        <v>239</v>
      </c>
      <c r="U17" s="101">
        <f t="shared" si="0"/>
        <v>5704308</v>
      </c>
      <c r="V17" s="101">
        <f>Inkomsten!M17</f>
        <v>3941035000</v>
      </c>
      <c r="W17" s="101">
        <f>Inkomsten!D17</f>
        <v>2764100917</v>
      </c>
      <c r="X17" s="101">
        <v>98136</v>
      </c>
      <c r="Y17" s="101">
        <v>196502</v>
      </c>
      <c r="Z17" s="101">
        <v>6841</v>
      </c>
      <c r="AA17" s="101">
        <v>22132</v>
      </c>
      <c r="AB17" s="101">
        <v>57244</v>
      </c>
      <c r="AC17" s="101">
        <v>49764</v>
      </c>
      <c r="AD17" s="101">
        <v>242500</v>
      </c>
      <c r="AE17" s="101">
        <v>367627</v>
      </c>
      <c r="AF17" s="101">
        <v>14109</v>
      </c>
      <c r="AG17" s="101">
        <f t="shared" si="1"/>
        <v>3472518.9169999994</v>
      </c>
      <c r="AH17" s="101">
        <v>934927</v>
      </c>
      <c r="AI17" s="101">
        <f t="shared" si="2"/>
        <v>3714.213962159612</v>
      </c>
      <c r="AJ17" t="s">
        <v>439</v>
      </c>
      <c r="AN17" t="s">
        <v>423</v>
      </c>
      <c r="AO17" s="259">
        <v>2999.0188351758534</v>
      </c>
      <c r="AP17" t="s">
        <v>439</v>
      </c>
    </row>
    <row r="18" spans="2:42" x14ac:dyDescent="0.25">
      <c r="B18" t="s">
        <v>164</v>
      </c>
      <c r="C18" s="101">
        <v>696171</v>
      </c>
      <c r="D18" s="101">
        <v>13103</v>
      </c>
      <c r="E18" s="101">
        <v>6835</v>
      </c>
      <c r="F18" s="101">
        <v>25507</v>
      </c>
      <c r="G18" s="101">
        <v>131888</v>
      </c>
      <c r="H18" s="101">
        <v>32165</v>
      </c>
      <c r="I18" s="101">
        <v>17880</v>
      </c>
      <c r="J18" s="101">
        <v>13395</v>
      </c>
      <c r="K18" s="101">
        <v>12453</v>
      </c>
      <c r="L18" s="101">
        <v>19551</v>
      </c>
      <c r="M18" s="101">
        <v>54038</v>
      </c>
      <c r="N18" s="101">
        <v>98395</v>
      </c>
      <c r="O18" s="101">
        <v>71150</v>
      </c>
      <c r="P18" s="101">
        <v>141479</v>
      </c>
      <c r="Q18" s="101">
        <v>52393</v>
      </c>
      <c r="R18" s="101">
        <v>8287</v>
      </c>
      <c r="S18" s="101"/>
      <c r="T18" t="s">
        <v>164</v>
      </c>
      <c r="U18" s="101">
        <f t="shared" si="0"/>
        <v>650726</v>
      </c>
      <c r="V18" s="101">
        <f>Inkomsten!M18</f>
        <v>539338000</v>
      </c>
      <c r="W18" s="101">
        <f>Inkomsten!D18</f>
        <v>386953086</v>
      </c>
      <c r="X18" s="101">
        <v>14043</v>
      </c>
      <c r="Y18" s="101">
        <v>22071</v>
      </c>
      <c r="Z18" s="101">
        <v>1677</v>
      </c>
      <c r="AA18" s="101">
        <v>2982</v>
      </c>
      <c r="AB18" s="101">
        <v>5642</v>
      </c>
      <c r="AC18" s="101">
        <v>1071</v>
      </c>
      <c r="AD18" s="101">
        <v>2338</v>
      </c>
      <c r="AE18" s="101">
        <v>4689</v>
      </c>
      <c r="AF18" s="101">
        <v>1245</v>
      </c>
      <c r="AG18" s="101">
        <f t="shared" si="1"/>
        <v>442583.08600000001</v>
      </c>
      <c r="AH18" s="101">
        <v>168212</v>
      </c>
      <c r="AI18" s="101">
        <f t="shared" si="2"/>
        <v>2631.1029296364113</v>
      </c>
      <c r="AJ18" t="s">
        <v>439</v>
      </c>
      <c r="AN18" t="s">
        <v>139</v>
      </c>
      <c r="AO18" s="259">
        <v>2991.9313792689504</v>
      </c>
      <c r="AP18" t="s">
        <v>439</v>
      </c>
    </row>
    <row r="19" spans="2:42" x14ac:dyDescent="0.25">
      <c r="B19" t="s">
        <v>165</v>
      </c>
      <c r="C19" s="101">
        <v>900297</v>
      </c>
      <c r="D19" s="101">
        <v>33076</v>
      </c>
      <c r="E19" s="101">
        <v>10500</v>
      </c>
      <c r="F19" s="101">
        <v>38414</v>
      </c>
      <c r="G19" s="101">
        <v>115357</v>
      </c>
      <c r="H19" s="101">
        <v>50499</v>
      </c>
      <c r="I19" s="101">
        <v>24544</v>
      </c>
      <c r="J19" s="101">
        <v>33232</v>
      </c>
      <c r="K19" s="101">
        <v>9693</v>
      </c>
      <c r="L19" s="101">
        <v>32530</v>
      </c>
      <c r="M19" s="101">
        <v>74346</v>
      </c>
      <c r="N19" s="101">
        <v>190740</v>
      </c>
      <c r="O19" s="101">
        <v>61199</v>
      </c>
      <c r="P19" s="101">
        <v>161024</v>
      </c>
      <c r="Q19" s="101">
        <v>57996</v>
      </c>
      <c r="R19" s="101">
        <v>10259</v>
      </c>
      <c r="S19" s="101"/>
      <c r="T19" t="s">
        <v>165</v>
      </c>
      <c r="U19" s="101">
        <f t="shared" si="0"/>
        <v>818307</v>
      </c>
      <c r="V19" s="101">
        <f>Inkomsten!M19</f>
        <v>727530000</v>
      </c>
      <c r="W19" s="101">
        <f>Inkomsten!D19</f>
        <v>448518262</v>
      </c>
      <c r="X19" s="101">
        <v>17766</v>
      </c>
      <c r="Y19" s="101">
        <v>23112</v>
      </c>
      <c r="Z19" s="101">
        <v>0</v>
      </c>
      <c r="AA19" s="101">
        <v>3322</v>
      </c>
      <c r="AB19" s="101">
        <v>3761</v>
      </c>
      <c r="AC19" s="101">
        <v>1267</v>
      </c>
      <c r="AD19" s="101">
        <v>1312</v>
      </c>
      <c r="AE19" s="101">
        <v>20306</v>
      </c>
      <c r="AF19" s="101">
        <v>0</v>
      </c>
      <c r="AG19" s="101">
        <f t="shared" si="1"/>
        <v>468449.26199999999</v>
      </c>
      <c r="AH19" s="101">
        <v>167651</v>
      </c>
      <c r="AI19" s="101">
        <f t="shared" si="2"/>
        <v>2794.1930677419164</v>
      </c>
      <c r="AJ19" t="s">
        <v>439</v>
      </c>
      <c r="AN19" t="s">
        <v>329</v>
      </c>
      <c r="AO19" s="259">
        <v>2987.1328997568089</v>
      </c>
      <c r="AP19" t="s">
        <v>439</v>
      </c>
    </row>
    <row r="20" spans="2:42" x14ac:dyDescent="0.25">
      <c r="B20" t="s">
        <v>105</v>
      </c>
      <c r="C20" s="101">
        <v>347278</v>
      </c>
      <c r="D20" s="101">
        <v>3313</v>
      </c>
      <c r="E20" s="101">
        <v>3653</v>
      </c>
      <c r="F20" s="101">
        <v>12704</v>
      </c>
      <c r="G20" s="101">
        <v>65849</v>
      </c>
      <c r="H20" s="101">
        <v>15462</v>
      </c>
      <c r="I20" s="101">
        <v>6097</v>
      </c>
      <c r="J20" s="101">
        <v>9646</v>
      </c>
      <c r="K20" s="101">
        <v>7966</v>
      </c>
      <c r="L20" s="101">
        <v>9326</v>
      </c>
      <c r="M20" s="101">
        <v>25225</v>
      </c>
      <c r="N20" s="101">
        <v>63689</v>
      </c>
      <c r="O20" s="101">
        <v>39303</v>
      </c>
      <c r="P20" s="101">
        <v>68574</v>
      </c>
      <c r="Q20" s="101">
        <v>13300</v>
      </c>
      <c r="R20" s="101">
        <v>4123</v>
      </c>
      <c r="S20" s="101"/>
      <c r="T20" t="s">
        <v>105</v>
      </c>
      <c r="U20" s="101">
        <f t="shared" si="0"/>
        <v>327608</v>
      </c>
      <c r="V20" s="101">
        <f>Inkomsten!M20</f>
        <v>307798000</v>
      </c>
      <c r="W20" s="101">
        <f>Inkomsten!D20</f>
        <v>173459807</v>
      </c>
      <c r="X20" s="101">
        <v>6105</v>
      </c>
      <c r="Y20" s="101">
        <v>7594</v>
      </c>
      <c r="Z20" s="101">
        <v>598</v>
      </c>
      <c r="AA20" s="101">
        <v>1293</v>
      </c>
      <c r="AB20" s="101">
        <v>1885</v>
      </c>
      <c r="AC20" s="101">
        <v>144</v>
      </c>
      <c r="AD20" s="101">
        <v>740</v>
      </c>
      <c r="AE20" s="101">
        <v>4891</v>
      </c>
      <c r="AF20" s="101">
        <v>110</v>
      </c>
      <c r="AG20" s="101">
        <f t="shared" si="1"/>
        <v>169909.807</v>
      </c>
      <c r="AH20" s="101">
        <v>69691</v>
      </c>
      <c r="AI20" s="101">
        <f t="shared" si="2"/>
        <v>2438.0451851745561</v>
      </c>
      <c r="AJ20" t="s">
        <v>439</v>
      </c>
      <c r="AN20" t="s">
        <v>340</v>
      </c>
      <c r="AO20" s="259">
        <v>2954.9786254242945</v>
      </c>
      <c r="AP20" t="s">
        <v>439</v>
      </c>
    </row>
    <row r="21" spans="2:42" x14ac:dyDescent="0.25">
      <c r="B21" t="s">
        <v>342</v>
      </c>
      <c r="C21" s="101">
        <v>53574</v>
      </c>
      <c r="D21" s="101">
        <v>281</v>
      </c>
      <c r="E21" s="101">
        <v>0</v>
      </c>
      <c r="F21" s="101">
        <v>2264</v>
      </c>
      <c r="G21" s="101">
        <v>13453</v>
      </c>
      <c r="H21" s="101">
        <v>5577</v>
      </c>
      <c r="I21" s="101">
        <v>1213</v>
      </c>
      <c r="J21" s="101">
        <v>3145</v>
      </c>
      <c r="K21" s="101">
        <v>539</v>
      </c>
      <c r="L21" s="101">
        <v>1403</v>
      </c>
      <c r="M21" s="101">
        <v>2661</v>
      </c>
      <c r="N21" s="101">
        <v>5764</v>
      </c>
      <c r="O21" s="101">
        <v>4714</v>
      </c>
      <c r="P21" s="101">
        <v>7464</v>
      </c>
      <c r="Q21" s="101">
        <v>2997</v>
      </c>
      <c r="R21" s="101">
        <v>2216</v>
      </c>
      <c r="S21" s="101"/>
      <c r="T21" t="s">
        <v>342</v>
      </c>
      <c r="U21" s="101">
        <f t="shared" si="0"/>
        <v>51029</v>
      </c>
      <c r="V21" s="101">
        <f>Inkomsten!M21</f>
        <v>38506000</v>
      </c>
      <c r="W21" s="101">
        <f>Inkomsten!D21</f>
        <v>31263565</v>
      </c>
      <c r="X21" s="101">
        <v>2694</v>
      </c>
      <c r="Y21" s="101">
        <v>1099</v>
      </c>
      <c r="Z21" s="101">
        <v>0</v>
      </c>
      <c r="AA21" s="101">
        <v>280</v>
      </c>
      <c r="AB21" s="101">
        <v>998</v>
      </c>
      <c r="AC21" s="101">
        <v>31</v>
      </c>
      <c r="AD21" s="101">
        <v>555</v>
      </c>
      <c r="AE21" s="101">
        <v>0</v>
      </c>
      <c r="AF21" s="101">
        <v>118</v>
      </c>
      <c r="AG21" s="101">
        <f t="shared" si="1"/>
        <v>38011.565000000002</v>
      </c>
      <c r="AH21" s="101">
        <v>17294</v>
      </c>
      <c r="AI21" s="101">
        <f t="shared" si="2"/>
        <v>2197.962588180872</v>
      </c>
      <c r="AJ21" t="s">
        <v>465</v>
      </c>
      <c r="AN21" t="s">
        <v>728</v>
      </c>
      <c r="AO21" s="259">
        <v>2932.2593899685326</v>
      </c>
      <c r="AP21" t="s">
        <v>439</v>
      </c>
    </row>
    <row r="22" spans="2:42" x14ac:dyDescent="0.25">
      <c r="B22" t="s">
        <v>343</v>
      </c>
      <c r="C22" s="101">
        <v>22784</v>
      </c>
      <c r="D22" s="101">
        <v>470</v>
      </c>
      <c r="E22" s="101">
        <v>278</v>
      </c>
      <c r="F22" s="101">
        <v>801</v>
      </c>
      <c r="G22" s="101">
        <v>690</v>
      </c>
      <c r="H22" s="101">
        <v>5366</v>
      </c>
      <c r="I22" s="101">
        <v>1067</v>
      </c>
      <c r="J22" s="101">
        <v>1147</v>
      </c>
      <c r="K22" s="101">
        <v>232</v>
      </c>
      <c r="L22" s="101">
        <v>511</v>
      </c>
      <c r="M22" s="101">
        <v>1832</v>
      </c>
      <c r="N22" s="101">
        <v>2170</v>
      </c>
      <c r="O22" s="101">
        <v>1329</v>
      </c>
      <c r="P22" s="101">
        <v>3656</v>
      </c>
      <c r="Q22" s="101">
        <v>2155</v>
      </c>
      <c r="R22" s="101">
        <v>1081</v>
      </c>
      <c r="S22" s="101"/>
      <c r="T22" t="s">
        <v>343</v>
      </c>
      <c r="U22" s="101">
        <f t="shared" si="0"/>
        <v>21235</v>
      </c>
      <c r="V22" s="101">
        <f>Inkomsten!M22</f>
        <v>17556000</v>
      </c>
      <c r="W22" s="101">
        <f>Inkomsten!D22</f>
        <v>15640286</v>
      </c>
      <c r="X22" s="101">
        <v>639</v>
      </c>
      <c r="Y22" s="101">
        <v>829</v>
      </c>
      <c r="Z22" s="101">
        <v>0</v>
      </c>
      <c r="AA22" s="101">
        <v>70</v>
      </c>
      <c r="AB22" s="101">
        <v>497</v>
      </c>
      <c r="AC22" s="101">
        <v>41</v>
      </c>
      <c r="AD22" s="101">
        <v>143</v>
      </c>
      <c r="AE22" s="101">
        <v>1</v>
      </c>
      <c r="AF22" s="101">
        <v>12</v>
      </c>
      <c r="AG22" s="101">
        <f t="shared" si="1"/>
        <v>17087.286</v>
      </c>
      <c r="AH22" s="101">
        <v>7077</v>
      </c>
      <c r="AI22" s="101">
        <f t="shared" si="2"/>
        <v>2414.4815599830436</v>
      </c>
      <c r="AJ22" t="s">
        <v>465</v>
      </c>
      <c r="AN22" t="s">
        <v>105</v>
      </c>
      <c r="AO22" s="259">
        <v>2930.3620598135572</v>
      </c>
      <c r="AP22" t="s">
        <v>439</v>
      </c>
    </row>
    <row r="23" spans="2:42" x14ac:dyDescent="0.25">
      <c r="B23" t="s">
        <v>213</v>
      </c>
      <c r="C23" s="101">
        <v>74335</v>
      </c>
      <c r="D23" s="101">
        <v>0</v>
      </c>
      <c r="E23" s="101">
        <v>531</v>
      </c>
      <c r="F23" s="101">
        <v>2760</v>
      </c>
      <c r="G23" s="101">
        <v>16220</v>
      </c>
      <c r="H23" s="101">
        <v>6614</v>
      </c>
      <c r="I23" s="101">
        <v>2083</v>
      </c>
      <c r="J23" s="101">
        <v>1995</v>
      </c>
      <c r="K23" s="101">
        <v>358</v>
      </c>
      <c r="L23" s="101">
        <v>1840</v>
      </c>
      <c r="M23" s="101">
        <v>5704</v>
      </c>
      <c r="N23" s="101">
        <v>12876</v>
      </c>
      <c r="O23" s="101">
        <v>6597</v>
      </c>
      <c r="P23" s="101">
        <v>7417</v>
      </c>
      <c r="Q23" s="101">
        <v>7779</v>
      </c>
      <c r="R23" s="101">
        <v>1727</v>
      </c>
      <c r="S23" s="101"/>
      <c r="T23" t="s">
        <v>213</v>
      </c>
      <c r="U23" s="101">
        <f t="shared" si="0"/>
        <v>71044</v>
      </c>
      <c r="V23" s="101">
        <f>Inkomsten!M23</f>
        <v>54346000</v>
      </c>
      <c r="W23" s="101">
        <f>Inkomsten!D23</f>
        <v>46941991</v>
      </c>
      <c r="X23" s="101">
        <v>3300</v>
      </c>
      <c r="Y23" s="101">
        <v>4740</v>
      </c>
      <c r="Z23" s="101">
        <v>479</v>
      </c>
      <c r="AA23" s="101">
        <v>345</v>
      </c>
      <c r="AB23" s="101">
        <v>439</v>
      </c>
      <c r="AC23" s="101">
        <v>59</v>
      </c>
      <c r="AD23" s="101">
        <v>107</v>
      </c>
      <c r="AE23" s="101">
        <v>23</v>
      </c>
      <c r="AF23" s="101">
        <v>57</v>
      </c>
      <c r="AG23" s="101">
        <f t="shared" si="1"/>
        <v>54090.991000000002</v>
      </c>
      <c r="AH23" s="101">
        <v>25062</v>
      </c>
      <c r="AI23" s="101">
        <f t="shared" si="2"/>
        <v>2158.287088021706</v>
      </c>
      <c r="AJ23" t="s">
        <v>116</v>
      </c>
      <c r="AN23" t="s">
        <v>595</v>
      </c>
      <c r="AO23" s="259">
        <v>2923.4287080640079</v>
      </c>
      <c r="AP23" t="s">
        <v>439</v>
      </c>
    </row>
    <row r="24" spans="2:42" x14ac:dyDescent="0.25">
      <c r="B24" t="s">
        <v>284</v>
      </c>
      <c r="C24" s="101">
        <v>141857</v>
      </c>
      <c r="D24" s="101">
        <v>7641</v>
      </c>
      <c r="E24" s="101">
        <v>1630</v>
      </c>
      <c r="F24" s="101">
        <v>8266</v>
      </c>
      <c r="G24" s="101">
        <v>26097</v>
      </c>
      <c r="H24" s="101">
        <v>18073</v>
      </c>
      <c r="I24" s="101">
        <v>4240</v>
      </c>
      <c r="J24" s="101">
        <v>5945</v>
      </c>
      <c r="K24" s="101">
        <v>342</v>
      </c>
      <c r="L24" s="101">
        <v>3579</v>
      </c>
      <c r="M24" s="101">
        <v>11397</v>
      </c>
      <c r="N24" s="101">
        <v>9959</v>
      </c>
      <c r="O24" s="101">
        <v>14547</v>
      </c>
      <c r="P24" s="101">
        <v>14499</v>
      </c>
      <c r="Q24" s="101">
        <v>13641</v>
      </c>
      <c r="R24" s="101">
        <v>2211</v>
      </c>
      <c r="S24" s="101"/>
      <c r="T24" t="s">
        <v>284</v>
      </c>
      <c r="U24" s="101">
        <f t="shared" si="0"/>
        <v>124320</v>
      </c>
      <c r="V24" s="101">
        <f>Inkomsten!M24</f>
        <v>96796000</v>
      </c>
      <c r="W24" s="101">
        <f>Inkomsten!D24</f>
        <v>86546464</v>
      </c>
      <c r="X24" s="101">
        <v>3442</v>
      </c>
      <c r="Y24" s="101">
        <v>6716</v>
      </c>
      <c r="Z24" s="101">
        <v>680</v>
      </c>
      <c r="AA24" s="101">
        <v>1015</v>
      </c>
      <c r="AB24" s="101">
        <v>1300</v>
      </c>
      <c r="AC24" s="101">
        <v>140</v>
      </c>
      <c r="AD24" s="101">
        <v>25</v>
      </c>
      <c r="AE24" s="101">
        <v>58</v>
      </c>
      <c r="AF24" s="101">
        <v>1194</v>
      </c>
      <c r="AG24" s="101">
        <f t="shared" si="1"/>
        <v>99500.464000000007</v>
      </c>
      <c r="AH24" s="101">
        <v>48689</v>
      </c>
      <c r="AI24" s="101">
        <f t="shared" si="2"/>
        <v>2043.5922693010741</v>
      </c>
      <c r="AJ24" t="s">
        <v>465</v>
      </c>
      <c r="AN24" t="s">
        <v>123</v>
      </c>
      <c r="AO24" s="259">
        <v>2900.0014660089691</v>
      </c>
      <c r="AP24" t="s">
        <v>439</v>
      </c>
    </row>
    <row r="25" spans="2:42" x14ac:dyDescent="0.25">
      <c r="B25" t="s">
        <v>166</v>
      </c>
      <c r="C25" s="101">
        <v>175679</v>
      </c>
      <c r="D25" s="101">
        <v>0</v>
      </c>
      <c r="E25" s="101">
        <v>4675</v>
      </c>
      <c r="F25" s="101">
        <v>13599</v>
      </c>
      <c r="G25" s="101">
        <v>54003</v>
      </c>
      <c r="H25" s="101">
        <v>7464</v>
      </c>
      <c r="I25" s="101">
        <v>5477</v>
      </c>
      <c r="J25" s="101">
        <v>7353</v>
      </c>
      <c r="K25" s="101">
        <v>2191</v>
      </c>
      <c r="L25" s="101">
        <v>6618</v>
      </c>
      <c r="M25" s="101">
        <v>12439</v>
      </c>
      <c r="N25" s="101">
        <v>12004</v>
      </c>
      <c r="O25" s="101">
        <v>18680</v>
      </c>
      <c r="P25" s="101">
        <v>15519</v>
      </c>
      <c r="Q25" s="101">
        <v>10648</v>
      </c>
      <c r="R25" s="101">
        <v>6108</v>
      </c>
      <c r="S25" s="101"/>
      <c r="T25" t="s">
        <v>166</v>
      </c>
      <c r="U25" s="101">
        <f t="shared" si="0"/>
        <v>157405</v>
      </c>
      <c r="V25" s="101">
        <f>Inkomsten!M25</f>
        <v>136688000</v>
      </c>
      <c r="W25" s="101">
        <f>Inkomsten!D25</f>
        <v>109964549</v>
      </c>
      <c r="X25" s="101">
        <v>6107</v>
      </c>
      <c r="Y25" s="101">
        <v>7111</v>
      </c>
      <c r="Z25" s="101">
        <v>1100</v>
      </c>
      <c r="AA25" s="101">
        <v>1029</v>
      </c>
      <c r="AB25" s="101">
        <v>3363</v>
      </c>
      <c r="AC25" s="101">
        <v>125</v>
      </c>
      <c r="AD25" s="101">
        <v>734</v>
      </c>
      <c r="AE25" s="101">
        <v>871</v>
      </c>
      <c r="AF25" s="101">
        <v>376</v>
      </c>
      <c r="AG25" s="101">
        <f t="shared" si="1"/>
        <v>109865.549</v>
      </c>
      <c r="AH25" s="101">
        <v>62603</v>
      </c>
      <c r="AI25" s="101">
        <f t="shared" si="2"/>
        <v>1754.9566154976599</v>
      </c>
      <c r="AJ25" t="s">
        <v>465</v>
      </c>
      <c r="AN25" t="s">
        <v>142</v>
      </c>
      <c r="AO25" s="260">
        <v>2896.2182863654443</v>
      </c>
      <c r="AP25" t="s">
        <v>439</v>
      </c>
    </row>
    <row r="26" spans="2:42" x14ac:dyDescent="0.25">
      <c r="B26" t="s">
        <v>826</v>
      </c>
      <c r="C26" s="101">
        <v>51234</v>
      </c>
      <c r="D26" s="101">
        <v>307</v>
      </c>
      <c r="E26" s="101">
        <v>200</v>
      </c>
      <c r="F26" s="101">
        <v>2167</v>
      </c>
      <c r="G26" s="101">
        <v>11547</v>
      </c>
      <c r="H26" s="101">
        <v>3224</v>
      </c>
      <c r="I26" s="101">
        <v>1469</v>
      </c>
      <c r="J26" s="101">
        <v>1342</v>
      </c>
      <c r="K26" s="101">
        <v>655</v>
      </c>
      <c r="L26" s="101">
        <v>941</v>
      </c>
      <c r="M26" s="101">
        <v>3857</v>
      </c>
      <c r="N26" s="101">
        <v>7555</v>
      </c>
      <c r="O26" s="101">
        <v>4809</v>
      </c>
      <c r="P26" s="101">
        <v>7192</v>
      </c>
      <c r="Q26" s="101">
        <v>5742</v>
      </c>
      <c r="R26" s="101">
        <v>449</v>
      </c>
      <c r="S26" s="101"/>
      <c r="T26" t="s">
        <v>826</v>
      </c>
      <c r="U26" s="101">
        <f t="shared" si="0"/>
        <v>48560</v>
      </c>
      <c r="V26" s="101">
        <f>Inkomsten!M26</f>
        <v>37313000</v>
      </c>
      <c r="W26" s="101">
        <f>Inkomsten!D26</f>
        <v>30294559</v>
      </c>
      <c r="X26" s="101">
        <v>2050</v>
      </c>
      <c r="Y26" s="101">
        <v>2492</v>
      </c>
      <c r="Z26" s="101">
        <v>56</v>
      </c>
      <c r="AA26" s="101">
        <v>352</v>
      </c>
      <c r="AB26" s="101">
        <v>498</v>
      </c>
      <c r="AC26" s="101">
        <v>53</v>
      </c>
      <c r="AD26" s="101">
        <v>38</v>
      </c>
      <c r="AE26" s="101">
        <v>0</v>
      </c>
      <c r="AF26" s="101">
        <v>0</v>
      </c>
      <c r="AG26" s="101">
        <f t="shared" si="1"/>
        <v>36002.559000000001</v>
      </c>
      <c r="AH26" s="101">
        <v>16216</v>
      </c>
      <c r="AI26" s="101">
        <f t="shared" si="2"/>
        <v>2220.1874074987668</v>
      </c>
      <c r="AJ26" t="s">
        <v>116</v>
      </c>
      <c r="AN26" t="s">
        <v>130</v>
      </c>
      <c r="AO26" s="259">
        <v>2892.7984543931584</v>
      </c>
      <c r="AP26" t="s">
        <v>439</v>
      </c>
    </row>
    <row r="27" spans="2:42" x14ac:dyDescent="0.25">
      <c r="B27" t="s">
        <v>592</v>
      </c>
      <c r="C27" s="101">
        <v>107304</v>
      </c>
      <c r="D27" s="101">
        <v>270</v>
      </c>
      <c r="E27" s="101">
        <v>949</v>
      </c>
      <c r="F27" s="101">
        <v>7611</v>
      </c>
      <c r="G27" s="101">
        <v>20177</v>
      </c>
      <c r="H27" s="101">
        <v>10120</v>
      </c>
      <c r="I27" s="101">
        <v>3415</v>
      </c>
      <c r="J27" s="101">
        <v>3361</v>
      </c>
      <c r="K27" s="101">
        <v>663</v>
      </c>
      <c r="L27" s="101">
        <v>1903</v>
      </c>
      <c r="M27" s="101">
        <v>5645</v>
      </c>
      <c r="N27" s="101">
        <v>17072</v>
      </c>
      <c r="O27" s="101">
        <v>11132</v>
      </c>
      <c r="P27" s="101">
        <v>14320</v>
      </c>
      <c r="Q27" s="101">
        <v>9586</v>
      </c>
      <c r="R27" s="101">
        <v>1427</v>
      </c>
      <c r="S27" s="101"/>
      <c r="T27" t="s">
        <v>592</v>
      </c>
      <c r="U27" s="101">
        <f t="shared" si="0"/>
        <v>98474</v>
      </c>
      <c r="V27" s="101">
        <f>Inkomsten!M27</f>
        <v>82463000</v>
      </c>
      <c r="W27" s="101">
        <f>Inkomsten!D27</f>
        <v>66844370</v>
      </c>
      <c r="X27" s="101">
        <v>5847</v>
      </c>
      <c r="Y27" s="101">
        <v>5597</v>
      </c>
      <c r="Z27" s="101">
        <v>122</v>
      </c>
      <c r="AA27" s="101">
        <v>584</v>
      </c>
      <c r="AB27" s="101">
        <v>386</v>
      </c>
      <c r="AC27" s="101">
        <v>89</v>
      </c>
      <c r="AD27" s="101">
        <v>154</v>
      </c>
      <c r="AE27" s="101">
        <v>0</v>
      </c>
      <c r="AF27" s="101">
        <v>30</v>
      </c>
      <c r="AG27" s="101">
        <f t="shared" si="1"/>
        <v>70046.37</v>
      </c>
      <c r="AH27" s="101">
        <v>35892</v>
      </c>
      <c r="AI27" s="101">
        <f t="shared" si="2"/>
        <v>1951.5872617853561</v>
      </c>
      <c r="AJ27" t="s">
        <v>116</v>
      </c>
      <c r="AN27" t="s">
        <v>128</v>
      </c>
      <c r="AO27" s="259">
        <v>2891.5137397799408</v>
      </c>
      <c r="AP27" t="s">
        <v>439</v>
      </c>
    </row>
    <row r="28" spans="2:42" x14ac:dyDescent="0.25">
      <c r="B28" t="s">
        <v>399</v>
      </c>
      <c r="C28" s="101">
        <v>44250</v>
      </c>
      <c r="D28" s="101">
        <v>386</v>
      </c>
      <c r="E28" s="101">
        <v>0</v>
      </c>
      <c r="F28" s="101">
        <v>1303</v>
      </c>
      <c r="G28" s="101">
        <v>14145</v>
      </c>
      <c r="H28" s="101">
        <v>3775</v>
      </c>
      <c r="I28" s="101">
        <v>1165</v>
      </c>
      <c r="J28" s="101">
        <v>1137</v>
      </c>
      <c r="K28" s="101">
        <v>1065</v>
      </c>
      <c r="L28" s="101">
        <v>1038</v>
      </c>
      <c r="M28" s="101">
        <v>2214</v>
      </c>
      <c r="N28" s="101">
        <v>5621</v>
      </c>
      <c r="O28" s="101">
        <v>4891</v>
      </c>
      <c r="P28" s="101">
        <v>5226</v>
      </c>
      <c r="Q28" s="101">
        <v>2456</v>
      </c>
      <c r="R28" s="101">
        <v>458</v>
      </c>
      <c r="S28" s="101"/>
      <c r="T28" t="s">
        <v>399</v>
      </c>
      <c r="U28" s="101">
        <f t="shared" si="0"/>
        <v>42561</v>
      </c>
      <c r="V28" s="101">
        <f>Inkomsten!M28</f>
        <v>35813000</v>
      </c>
      <c r="W28" s="101">
        <f>Inkomsten!D28</f>
        <v>29284146</v>
      </c>
      <c r="X28" s="101">
        <v>1184</v>
      </c>
      <c r="Y28" s="101">
        <v>1257</v>
      </c>
      <c r="Z28" s="101">
        <v>71</v>
      </c>
      <c r="AA28" s="101">
        <v>137</v>
      </c>
      <c r="AB28" s="101">
        <v>130</v>
      </c>
      <c r="AC28" s="101">
        <v>77</v>
      </c>
      <c r="AD28" s="101">
        <v>1126</v>
      </c>
      <c r="AE28" s="101">
        <v>0</v>
      </c>
      <c r="AF28" s="101">
        <v>80</v>
      </c>
      <c r="AG28" s="101">
        <f t="shared" si="1"/>
        <v>31970.146000000001</v>
      </c>
      <c r="AH28" s="101">
        <v>13393</v>
      </c>
      <c r="AI28" s="101">
        <f t="shared" si="2"/>
        <v>2387.0787724930933</v>
      </c>
      <c r="AJ28" t="s">
        <v>116</v>
      </c>
      <c r="AN28" t="s">
        <v>722</v>
      </c>
      <c r="AO28" s="259">
        <v>2885.9900091972713</v>
      </c>
      <c r="AP28" t="s">
        <v>439</v>
      </c>
    </row>
    <row r="29" spans="2:42" x14ac:dyDescent="0.25">
      <c r="B29" t="s">
        <v>523</v>
      </c>
      <c r="C29" s="101">
        <v>147007</v>
      </c>
      <c r="D29" s="101">
        <v>20</v>
      </c>
      <c r="E29" s="101">
        <v>1194</v>
      </c>
      <c r="F29" s="101">
        <v>5228</v>
      </c>
      <c r="G29" s="101">
        <v>45449</v>
      </c>
      <c r="H29" s="101">
        <v>14435</v>
      </c>
      <c r="I29" s="101">
        <v>3041</v>
      </c>
      <c r="J29" s="101">
        <v>6074</v>
      </c>
      <c r="K29" s="101">
        <v>680</v>
      </c>
      <c r="L29" s="101">
        <v>3530</v>
      </c>
      <c r="M29" s="101">
        <v>6395</v>
      </c>
      <c r="N29" s="101">
        <v>22128</v>
      </c>
      <c r="O29" s="101">
        <v>10734</v>
      </c>
      <c r="P29" s="101">
        <v>16180</v>
      </c>
      <c r="Q29" s="101">
        <v>9902</v>
      </c>
      <c r="R29" s="101">
        <v>2203</v>
      </c>
      <c r="S29" s="101"/>
      <c r="T29" t="s">
        <v>523</v>
      </c>
      <c r="U29" s="101">
        <f t="shared" si="0"/>
        <v>140565</v>
      </c>
      <c r="V29" s="101">
        <f>Inkomsten!M29</f>
        <v>90685000</v>
      </c>
      <c r="W29" s="101">
        <f>Inkomsten!D29</f>
        <v>70707721</v>
      </c>
      <c r="X29" s="101">
        <v>4327</v>
      </c>
      <c r="Y29" s="101">
        <v>4820</v>
      </c>
      <c r="Z29" s="101">
        <v>75</v>
      </c>
      <c r="AA29" s="101">
        <v>642</v>
      </c>
      <c r="AB29" s="101">
        <v>843</v>
      </c>
      <c r="AC29" s="101">
        <v>189</v>
      </c>
      <c r="AD29" s="101">
        <v>700</v>
      </c>
      <c r="AE29" s="101">
        <v>69</v>
      </c>
      <c r="AF29" s="101">
        <v>178</v>
      </c>
      <c r="AG29" s="101">
        <f t="shared" si="1"/>
        <v>108744.72100000001</v>
      </c>
      <c r="AH29" s="101">
        <v>35478</v>
      </c>
      <c r="AI29" s="101">
        <f t="shared" si="2"/>
        <v>3065.1310953266811</v>
      </c>
      <c r="AJ29" t="s">
        <v>116</v>
      </c>
      <c r="AN29" t="s">
        <v>121</v>
      </c>
      <c r="AO29" s="259">
        <v>2859.3636967821744</v>
      </c>
      <c r="AP29" t="s">
        <v>439</v>
      </c>
    </row>
    <row r="30" spans="2:42" x14ac:dyDescent="0.25">
      <c r="B30" t="s">
        <v>344</v>
      </c>
      <c r="C30" s="101">
        <v>58891</v>
      </c>
      <c r="D30" s="101">
        <v>5295</v>
      </c>
      <c r="E30" s="101">
        <v>785</v>
      </c>
      <c r="F30" s="101">
        <v>3154</v>
      </c>
      <c r="G30" s="101">
        <v>10423</v>
      </c>
      <c r="H30" s="101">
        <v>5218</v>
      </c>
      <c r="I30" s="101">
        <v>1625</v>
      </c>
      <c r="J30" s="101">
        <v>1910</v>
      </c>
      <c r="K30" s="101">
        <v>2181</v>
      </c>
      <c r="L30" s="101">
        <v>1067</v>
      </c>
      <c r="M30" s="101">
        <v>4292</v>
      </c>
      <c r="N30" s="101">
        <v>7594</v>
      </c>
      <c r="O30" s="101">
        <v>4143</v>
      </c>
      <c r="P30" s="101">
        <v>7003</v>
      </c>
      <c r="Q30" s="101">
        <v>3953</v>
      </c>
      <c r="R30" s="101">
        <v>462</v>
      </c>
      <c r="S30" s="101"/>
      <c r="T30" t="s">
        <v>344</v>
      </c>
      <c r="U30" s="101">
        <f t="shared" si="0"/>
        <v>49657</v>
      </c>
      <c r="V30" s="101">
        <f>Inkomsten!M30</f>
        <v>39745000</v>
      </c>
      <c r="W30" s="101">
        <f>Inkomsten!D30</f>
        <v>34076303</v>
      </c>
      <c r="X30" s="101">
        <v>2029</v>
      </c>
      <c r="Y30" s="101">
        <v>1753</v>
      </c>
      <c r="Z30" s="101">
        <v>14</v>
      </c>
      <c r="AA30" s="101">
        <v>893</v>
      </c>
      <c r="AB30" s="101">
        <v>687</v>
      </c>
      <c r="AC30" s="101">
        <v>118</v>
      </c>
      <c r="AD30" s="101">
        <v>1200</v>
      </c>
      <c r="AE30" s="101">
        <v>0</v>
      </c>
      <c r="AF30" s="101">
        <v>1302</v>
      </c>
      <c r="AG30" s="101">
        <f t="shared" si="1"/>
        <v>35992.303</v>
      </c>
      <c r="AH30" s="101">
        <v>19193</v>
      </c>
      <c r="AI30" s="101">
        <f t="shared" si="2"/>
        <v>1875.2828114416714</v>
      </c>
      <c r="AJ30" t="s">
        <v>465</v>
      </c>
      <c r="AN30" t="s">
        <v>389</v>
      </c>
      <c r="AO30" s="259">
        <v>2846.8001547961308</v>
      </c>
      <c r="AP30" t="s">
        <v>439</v>
      </c>
    </row>
    <row r="31" spans="2:42" x14ac:dyDescent="0.25">
      <c r="B31" t="s">
        <v>434</v>
      </c>
      <c r="C31" s="101">
        <v>41985</v>
      </c>
      <c r="D31" s="101">
        <v>16</v>
      </c>
      <c r="E31" s="101">
        <v>314</v>
      </c>
      <c r="F31" s="101">
        <v>2048</v>
      </c>
      <c r="G31" s="101">
        <v>11797</v>
      </c>
      <c r="H31" s="101">
        <v>6280</v>
      </c>
      <c r="I31" s="101">
        <v>1316</v>
      </c>
      <c r="J31" s="101">
        <v>703</v>
      </c>
      <c r="K31" s="101">
        <v>357</v>
      </c>
      <c r="L31" s="101">
        <v>970</v>
      </c>
      <c r="M31" s="101">
        <v>1362</v>
      </c>
      <c r="N31" s="101">
        <v>5858</v>
      </c>
      <c r="O31" s="101">
        <v>3050</v>
      </c>
      <c r="P31" s="101">
        <v>4357</v>
      </c>
      <c r="Q31" s="101">
        <v>3447</v>
      </c>
      <c r="R31" s="101">
        <v>184</v>
      </c>
      <c r="S31" s="101"/>
      <c r="T31" t="s">
        <v>434</v>
      </c>
      <c r="U31" s="101">
        <f t="shared" si="0"/>
        <v>39607</v>
      </c>
      <c r="V31" s="101">
        <f>Inkomsten!M31</f>
        <v>32840000</v>
      </c>
      <c r="W31" s="101">
        <f>Inkomsten!D31</f>
        <v>27204370</v>
      </c>
      <c r="X31" s="101">
        <v>1679</v>
      </c>
      <c r="Y31" s="101">
        <v>1502</v>
      </c>
      <c r="Z31" s="101">
        <v>10</v>
      </c>
      <c r="AA31" s="101">
        <v>209</v>
      </c>
      <c r="AB31" s="101">
        <v>222</v>
      </c>
      <c r="AC31" s="101">
        <v>27</v>
      </c>
      <c r="AD31" s="101">
        <v>588</v>
      </c>
      <c r="AE31" s="101">
        <v>0</v>
      </c>
      <c r="AF31" s="101">
        <v>612</v>
      </c>
      <c r="AG31" s="101">
        <f t="shared" si="1"/>
        <v>29122.369999999995</v>
      </c>
      <c r="AH31" s="101">
        <v>13151</v>
      </c>
      <c r="AI31" s="101">
        <f t="shared" si="2"/>
        <v>2214.4604973005853</v>
      </c>
      <c r="AJ31" t="s">
        <v>116</v>
      </c>
      <c r="AN31" t="s">
        <v>129</v>
      </c>
      <c r="AO31" s="259">
        <v>2846.3401890408595</v>
      </c>
      <c r="AP31" t="s">
        <v>439</v>
      </c>
    </row>
    <row r="32" spans="2:42" x14ac:dyDescent="0.25">
      <c r="B32" t="s">
        <v>435</v>
      </c>
      <c r="C32" s="101">
        <v>93564</v>
      </c>
      <c r="D32" s="101">
        <v>3012</v>
      </c>
      <c r="E32" s="101">
        <v>1307</v>
      </c>
      <c r="F32" s="101">
        <v>4773</v>
      </c>
      <c r="G32" s="101">
        <v>1366</v>
      </c>
      <c r="H32" s="101">
        <v>17471</v>
      </c>
      <c r="I32" s="101">
        <v>4605</v>
      </c>
      <c r="J32" s="101">
        <v>6349</v>
      </c>
      <c r="K32" s="101">
        <v>479</v>
      </c>
      <c r="L32" s="101">
        <v>2624</v>
      </c>
      <c r="M32" s="101">
        <v>9172</v>
      </c>
      <c r="N32" s="101">
        <v>9375</v>
      </c>
      <c r="O32" s="101">
        <v>5153</v>
      </c>
      <c r="P32" s="101">
        <v>14639</v>
      </c>
      <c r="Q32" s="101">
        <v>8870</v>
      </c>
      <c r="R32" s="101">
        <v>4380</v>
      </c>
      <c r="S32" s="101"/>
      <c r="T32" t="s">
        <v>435</v>
      </c>
      <c r="U32" s="101">
        <f t="shared" si="0"/>
        <v>84472</v>
      </c>
      <c r="V32" s="101">
        <f>Inkomsten!M32</f>
        <v>59375000</v>
      </c>
      <c r="W32" s="101">
        <f>Inkomsten!D32</f>
        <v>49135434</v>
      </c>
      <c r="X32" s="101">
        <v>3884</v>
      </c>
      <c r="Y32" s="101">
        <v>4962</v>
      </c>
      <c r="Z32" s="101">
        <v>460</v>
      </c>
      <c r="AA32" s="101">
        <v>558</v>
      </c>
      <c r="AB32" s="101">
        <v>1105</v>
      </c>
      <c r="AC32" s="101">
        <v>157</v>
      </c>
      <c r="AD32" s="101">
        <v>3351</v>
      </c>
      <c r="AE32" s="101">
        <v>5735</v>
      </c>
      <c r="AF32" s="101">
        <v>193</v>
      </c>
      <c r="AG32" s="101">
        <f t="shared" si="1"/>
        <v>53827.434000000008</v>
      </c>
      <c r="AH32" s="101">
        <v>29933</v>
      </c>
      <c r="AI32" s="101">
        <f t="shared" si="2"/>
        <v>1798.2639227608329</v>
      </c>
      <c r="AJ32" t="s">
        <v>465</v>
      </c>
      <c r="AN32" t="s">
        <v>134</v>
      </c>
      <c r="AO32" s="259">
        <v>2842.4853999543889</v>
      </c>
      <c r="AP32" t="s">
        <v>439</v>
      </c>
    </row>
    <row r="33" spans="2:42" x14ac:dyDescent="0.25">
      <c r="B33" t="s">
        <v>345</v>
      </c>
      <c r="C33" s="101">
        <v>335299</v>
      </c>
      <c r="D33" s="101">
        <v>8922</v>
      </c>
      <c r="E33" s="101">
        <v>4238</v>
      </c>
      <c r="F33" s="101">
        <v>12058</v>
      </c>
      <c r="G33" s="101">
        <v>57560</v>
      </c>
      <c r="H33" s="101">
        <v>40439</v>
      </c>
      <c r="I33" s="101">
        <v>5830</v>
      </c>
      <c r="J33" s="101">
        <v>16729</v>
      </c>
      <c r="K33" s="101">
        <v>5348</v>
      </c>
      <c r="L33" s="101">
        <v>10061</v>
      </c>
      <c r="M33" s="101">
        <v>16892</v>
      </c>
      <c r="N33" s="101">
        <v>56918</v>
      </c>
      <c r="O33" s="101">
        <v>20033</v>
      </c>
      <c r="P33" s="101">
        <v>62157</v>
      </c>
      <c r="Q33" s="101">
        <v>18799</v>
      </c>
      <c r="R33" s="101">
        <v>1547</v>
      </c>
      <c r="S33" s="101"/>
      <c r="T33" t="s">
        <v>345</v>
      </c>
      <c r="U33" s="101">
        <f t="shared" si="0"/>
        <v>310081</v>
      </c>
      <c r="V33" s="101">
        <f>Inkomsten!M33</f>
        <v>231759000</v>
      </c>
      <c r="W33" s="101">
        <f>Inkomsten!D33</f>
        <v>162048557</v>
      </c>
      <c r="X33" s="101">
        <v>14280</v>
      </c>
      <c r="Y33" s="101">
        <v>10373</v>
      </c>
      <c r="Z33" s="101">
        <v>34</v>
      </c>
      <c r="AA33" s="101">
        <v>1706</v>
      </c>
      <c r="AB33" s="101">
        <v>1023</v>
      </c>
      <c r="AC33" s="101">
        <v>514</v>
      </c>
      <c r="AD33" s="101">
        <v>580</v>
      </c>
      <c r="AE33" s="101">
        <v>5325</v>
      </c>
      <c r="AF33" s="101">
        <v>299</v>
      </c>
      <c r="AG33" s="101">
        <f t="shared" si="1"/>
        <v>206236.557</v>
      </c>
      <c r="AH33" s="101">
        <v>69663</v>
      </c>
      <c r="AI33" s="101">
        <f t="shared" si="2"/>
        <v>2960.4891692864217</v>
      </c>
      <c r="AJ33" t="s">
        <v>439</v>
      </c>
      <c r="AN33" t="s">
        <v>191</v>
      </c>
      <c r="AO33" s="259">
        <v>2835.9360189574804</v>
      </c>
      <c r="AP33" t="s">
        <v>439</v>
      </c>
    </row>
    <row r="34" spans="2:42" x14ac:dyDescent="0.25">
      <c r="B34" t="s">
        <v>167</v>
      </c>
      <c r="C34" s="101">
        <v>136519</v>
      </c>
      <c r="D34" s="101">
        <v>1019</v>
      </c>
      <c r="E34" s="101">
        <v>1485</v>
      </c>
      <c r="F34" s="101">
        <v>6311</v>
      </c>
      <c r="G34" s="101">
        <v>37350</v>
      </c>
      <c r="H34" s="101">
        <v>14605</v>
      </c>
      <c r="I34" s="101">
        <v>3418</v>
      </c>
      <c r="J34" s="101">
        <v>3583</v>
      </c>
      <c r="K34" s="101">
        <v>1426</v>
      </c>
      <c r="L34" s="101">
        <v>2318</v>
      </c>
      <c r="M34" s="101">
        <v>5768</v>
      </c>
      <c r="N34" s="101">
        <v>18425</v>
      </c>
      <c r="O34" s="101">
        <v>12824</v>
      </c>
      <c r="P34" s="101">
        <v>17450</v>
      </c>
      <c r="Q34" s="101">
        <v>10104</v>
      </c>
      <c r="R34" s="101">
        <v>874</v>
      </c>
      <c r="S34" s="101"/>
      <c r="T34" t="s">
        <v>167</v>
      </c>
      <c r="U34" s="101">
        <f t="shared" si="0"/>
        <v>127704</v>
      </c>
      <c r="V34" s="101">
        <f>Inkomsten!M34</f>
        <v>108169000</v>
      </c>
      <c r="W34" s="101">
        <f>Inkomsten!D34</f>
        <v>88672169</v>
      </c>
      <c r="X34" s="101">
        <v>7540</v>
      </c>
      <c r="Y34" s="101">
        <v>3261</v>
      </c>
      <c r="Z34" s="101">
        <v>270</v>
      </c>
      <c r="AA34" s="101">
        <v>516</v>
      </c>
      <c r="AB34" s="101">
        <v>1518</v>
      </c>
      <c r="AC34" s="101">
        <v>105</v>
      </c>
      <c r="AD34" s="101">
        <v>368</v>
      </c>
      <c r="AE34" s="101">
        <v>11</v>
      </c>
      <c r="AF34" s="101">
        <v>37</v>
      </c>
      <c r="AG34" s="101">
        <f t="shared" si="1"/>
        <v>94581.168999999994</v>
      </c>
      <c r="AH34" s="101">
        <v>43928</v>
      </c>
      <c r="AI34" s="101">
        <f t="shared" si="2"/>
        <v>2153.0952695319615</v>
      </c>
      <c r="AJ34" t="s">
        <v>116</v>
      </c>
      <c r="AN34" t="s">
        <v>407</v>
      </c>
      <c r="AO34" s="259">
        <v>2834.725869952998</v>
      </c>
      <c r="AP34" t="s">
        <v>439</v>
      </c>
    </row>
    <row r="35" spans="2:42" x14ac:dyDescent="0.25">
      <c r="B35" t="s">
        <v>346</v>
      </c>
      <c r="C35" s="101">
        <v>90538</v>
      </c>
      <c r="D35" s="101">
        <v>7311</v>
      </c>
      <c r="E35" s="101">
        <v>451</v>
      </c>
      <c r="F35" s="101">
        <v>2921</v>
      </c>
      <c r="G35" s="101">
        <v>17826</v>
      </c>
      <c r="H35" s="101">
        <v>6700</v>
      </c>
      <c r="I35" s="101">
        <v>2589</v>
      </c>
      <c r="J35" s="101">
        <v>3064</v>
      </c>
      <c r="K35" s="101">
        <v>1275</v>
      </c>
      <c r="L35" s="101">
        <v>1903</v>
      </c>
      <c r="M35" s="101">
        <v>4644</v>
      </c>
      <c r="N35" s="101">
        <v>12868</v>
      </c>
      <c r="O35" s="101">
        <v>6973</v>
      </c>
      <c r="P35" s="101">
        <v>12777</v>
      </c>
      <c r="Q35" s="101">
        <v>8771</v>
      </c>
      <c r="R35" s="101">
        <v>1038</v>
      </c>
      <c r="S35" s="101"/>
      <c r="T35" t="s">
        <v>346</v>
      </c>
      <c r="U35" s="101">
        <f t="shared" si="0"/>
        <v>79855</v>
      </c>
      <c r="V35" s="101">
        <f>Inkomsten!M35</f>
        <v>68738000</v>
      </c>
      <c r="W35" s="101">
        <f>Inkomsten!D35</f>
        <v>55093682</v>
      </c>
      <c r="X35" s="101">
        <v>2790</v>
      </c>
      <c r="Y35" s="101">
        <v>3528</v>
      </c>
      <c r="Z35" s="101">
        <v>41</v>
      </c>
      <c r="AA35" s="101">
        <v>487</v>
      </c>
      <c r="AB35" s="101">
        <v>1711</v>
      </c>
      <c r="AC35" s="101">
        <v>199</v>
      </c>
      <c r="AD35" s="101">
        <v>142</v>
      </c>
      <c r="AE35" s="101">
        <v>0</v>
      </c>
      <c r="AF35" s="101">
        <v>225</v>
      </c>
      <c r="AG35" s="101">
        <f t="shared" si="1"/>
        <v>57087.682000000001</v>
      </c>
      <c r="AH35" s="101">
        <v>32521</v>
      </c>
      <c r="AI35" s="101">
        <f t="shared" si="2"/>
        <v>1755.4097967467176</v>
      </c>
      <c r="AJ35" t="s">
        <v>465</v>
      </c>
      <c r="AN35" t="s">
        <v>245</v>
      </c>
      <c r="AO35" s="260">
        <v>2815.2792386717788</v>
      </c>
      <c r="AP35" t="s">
        <v>439</v>
      </c>
    </row>
    <row r="36" spans="2:42" x14ac:dyDescent="0.25">
      <c r="B36" t="s">
        <v>347</v>
      </c>
      <c r="C36" s="101">
        <v>96889</v>
      </c>
      <c r="D36" s="101">
        <v>8411</v>
      </c>
      <c r="E36" s="101">
        <v>-349</v>
      </c>
      <c r="F36" s="101">
        <v>3334</v>
      </c>
      <c r="G36" s="101">
        <v>24799</v>
      </c>
      <c r="H36" s="101">
        <v>7878</v>
      </c>
      <c r="I36" s="101">
        <v>2141</v>
      </c>
      <c r="J36" s="101">
        <v>1943</v>
      </c>
      <c r="K36" s="101">
        <v>1368</v>
      </c>
      <c r="L36" s="101">
        <v>1737</v>
      </c>
      <c r="M36" s="101">
        <v>5235</v>
      </c>
      <c r="N36" s="101">
        <v>11368</v>
      </c>
      <c r="O36" s="101">
        <v>7709</v>
      </c>
      <c r="P36" s="101">
        <v>11760</v>
      </c>
      <c r="Q36" s="101">
        <v>8643</v>
      </c>
      <c r="R36" s="101">
        <v>1399</v>
      </c>
      <c r="S36" s="101"/>
      <c r="T36" t="s">
        <v>347</v>
      </c>
      <c r="U36" s="101">
        <f t="shared" si="0"/>
        <v>85493</v>
      </c>
      <c r="V36" s="101">
        <f>Inkomsten!M36</f>
        <v>66708000</v>
      </c>
      <c r="W36" s="101">
        <f>Inkomsten!D36</f>
        <v>54882641</v>
      </c>
      <c r="X36" s="101">
        <v>2817</v>
      </c>
      <c r="Y36" s="101">
        <v>5068</v>
      </c>
      <c r="Z36" s="101">
        <v>4</v>
      </c>
      <c r="AA36" s="101">
        <v>591</v>
      </c>
      <c r="AB36" s="101">
        <v>1453</v>
      </c>
      <c r="AC36" s="101">
        <v>662</v>
      </c>
      <c r="AD36" s="101">
        <v>113</v>
      </c>
      <c r="AE36" s="101">
        <v>0</v>
      </c>
      <c r="AF36" s="101">
        <v>107</v>
      </c>
      <c r="AG36" s="101">
        <f t="shared" si="1"/>
        <v>62852.641000000003</v>
      </c>
      <c r="AH36" s="101">
        <v>31220</v>
      </c>
      <c r="AI36" s="101">
        <f t="shared" si="2"/>
        <v>2013.2172005124919</v>
      </c>
      <c r="AJ36" t="s">
        <v>465</v>
      </c>
      <c r="AN36" t="s">
        <v>324</v>
      </c>
      <c r="AO36" s="259">
        <v>2798.608114149079</v>
      </c>
      <c r="AP36" t="s">
        <v>439</v>
      </c>
    </row>
    <row r="37" spans="2:42" x14ac:dyDescent="0.25">
      <c r="B37" t="s">
        <v>168</v>
      </c>
      <c r="C37" s="101">
        <v>83187</v>
      </c>
      <c r="D37" s="101">
        <v>3320</v>
      </c>
      <c r="E37" s="101">
        <v>1580</v>
      </c>
      <c r="F37" s="101">
        <v>2546</v>
      </c>
      <c r="G37" s="101">
        <v>17155</v>
      </c>
      <c r="H37" s="101">
        <v>9180</v>
      </c>
      <c r="I37" s="101">
        <v>1859</v>
      </c>
      <c r="J37" s="101">
        <v>2630</v>
      </c>
      <c r="K37" s="101">
        <v>355</v>
      </c>
      <c r="L37" s="101">
        <v>1309</v>
      </c>
      <c r="M37" s="101">
        <v>4472</v>
      </c>
      <c r="N37" s="101">
        <v>11958</v>
      </c>
      <c r="O37" s="101">
        <v>7128</v>
      </c>
      <c r="P37" s="101">
        <v>11614</v>
      </c>
      <c r="Q37" s="101">
        <v>6220</v>
      </c>
      <c r="R37" s="101">
        <v>1938</v>
      </c>
      <c r="S37" s="101"/>
      <c r="T37" t="s">
        <v>168</v>
      </c>
      <c r="U37" s="101">
        <f t="shared" si="0"/>
        <v>75741</v>
      </c>
      <c r="V37" s="101">
        <f>Inkomsten!M37</f>
        <v>60008000</v>
      </c>
      <c r="W37" s="101">
        <f>Inkomsten!D37</f>
        <v>46407984</v>
      </c>
      <c r="X37" s="101">
        <v>2792</v>
      </c>
      <c r="Y37" s="101">
        <v>2161</v>
      </c>
      <c r="Z37" s="101">
        <v>53</v>
      </c>
      <c r="AA37" s="101">
        <v>460</v>
      </c>
      <c r="AB37" s="101">
        <v>807</v>
      </c>
      <c r="AC37" s="101">
        <v>45</v>
      </c>
      <c r="AD37" s="101">
        <v>271</v>
      </c>
      <c r="AE37" s="101">
        <v>0</v>
      </c>
      <c r="AF37" s="101">
        <v>485</v>
      </c>
      <c r="AG37" s="101">
        <f t="shared" si="1"/>
        <v>55066.983999999997</v>
      </c>
      <c r="AH37" s="101">
        <v>26723</v>
      </c>
      <c r="AI37" s="101">
        <f t="shared" si="2"/>
        <v>2060.658758372937</v>
      </c>
      <c r="AJ37" t="s">
        <v>465</v>
      </c>
      <c r="AN37" t="s">
        <v>162</v>
      </c>
      <c r="AO37" s="259">
        <v>2787.5806019553811</v>
      </c>
      <c r="AP37" t="s">
        <v>439</v>
      </c>
    </row>
    <row r="38" spans="2:42" x14ac:dyDescent="0.25">
      <c r="B38" t="s">
        <v>241</v>
      </c>
      <c r="C38" s="101">
        <v>147568</v>
      </c>
      <c r="D38" s="101">
        <v>3553</v>
      </c>
      <c r="E38" s="101">
        <v>3302</v>
      </c>
      <c r="F38" s="101">
        <v>4504</v>
      </c>
      <c r="G38" s="101">
        <v>30720</v>
      </c>
      <c r="H38" s="101">
        <v>8310</v>
      </c>
      <c r="I38" s="101">
        <v>4503</v>
      </c>
      <c r="J38" s="101">
        <v>6345</v>
      </c>
      <c r="K38" s="101">
        <v>1558</v>
      </c>
      <c r="L38" s="101">
        <v>3939</v>
      </c>
      <c r="M38" s="101">
        <v>7833</v>
      </c>
      <c r="N38" s="101">
        <v>26411</v>
      </c>
      <c r="O38" s="101">
        <v>12776</v>
      </c>
      <c r="P38" s="101">
        <v>18552</v>
      </c>
      <c r="Q38" s="101">
        <v>13620</v>
      </c>
      <c r="R38" s="101">
        <v>2108</v>
      </c>
      <c r="S38" s="101"/>
      <c r="T38" t="s">
        <v>241</v>
      </c>
      <c r="U38" s="101">
        <f t="shared" si="0"/>
        <v>136209</v>
      </c>
      <c r="V38" s="101">
        <f>Inkomsten!M38</f>
        <v>121028000</v>
      </c>
      <c r="W38" s="101">
        <f>Inkomsten!D38</f>
        <v>93650658</v>
      </c>
      <c r="X38" s="101">
        <v>4262</v>
      </c>
      <c r="Y38" s="101">
        <v>6235</v>
      </c>
      <c r="Z38" s="101">
        <v>584</v>
      </c>
      <c r="AA38" s="101">
        <v>815</v>
      </c>
      <c r="AB38" s="101">
        <v>766</v>
      </c>
      <c r="AC38" s="101">
        <v>659</v>
      </c>
      <c r="AD38" s="101">
        <v>168</v>
      </c>
      <c r="AE38" s="101">
        <v>1458</v>
      </c>
      <c r="AF38" s="101">
        <v>304</v>
      </c>
      <c r="AG38" s="101">
        <f t="shared" si="1"/>
        <v>93580.657999999996</v>
      </c>
      <c r="AH38" s="101">
        <v>42893</v>
      </c>
      <c r="AI38" s="101">
        <f t="shared" si="2"/>
        <v>2181.7233114960482</v>
      </c>
      <c r="AJ38" t="s">
        <v>116</v>
      </c>
      <c r="AN38" t="s">
        <v>181</v>
      </c>
      <c r="AO38" s="259">
        <v>2779.8903880550847</v>
      </c>
      <c r="AP38" t="s">
        <v>439</v>
      </c>
    </row>
    <row r="39" spans="2:42" x14ac:dyDescent="0.25">
      <c r="B39" t="s">
        <v>348</v>
      </c>
      <c r="C39" s="101">
        <v>62009</v>
      </c>
      <c r="D39" s="101">
        <v>2191</v>
      </c>
      <c r="E39" s="101">
        <v>1574</v>
      </c>
      <c r="F39" s="101">
        <v>3626</v>
      </c>
      <c r="G39" s="101">
        <v>9937</v>
      </c>
      <c r="H39" s="101">
        <v>3937</v>
      </c>
      <c r="I39" s="101">
        <v>1673</v>
      </c>
      <c r="J39" s="101">
        <v>2344</v>
      </c>
      <c r="K39" s="101">
        <v>713</v>
      </c>
      <c r="L39" s="101">
        <v>1852</v>
      </c>
      <c r="M39" s="101">
        <v>4629</v>
      </c>
      <c r="N39" s="101">
        <v>11072</v>
      </c>
      <c r="O39" s="101">
        <v>2667</v>
      </c>
      <c r="P39" s="101">
        <v>10023</v>
      </c>
      <c r="Q39" s="101">
        <v>5196</v>
      </c>
      <c r="R39" s="101">
        <v>855</v>
      </c>
      <c r="S39" s="101"/>
      <c r="T39" t="s">
        <v>348</v>
      </c>
      <c r="U39" s="101">
        <f t="shared" si="0"/>
        <v>54618</v>
      </c>
      <c r="V39" s="101">
        <f>Inkomsten!M39</f>
        <v>49521000</v>
      </c>
      <c r="W39" s="101">
        <f>Inkomsten!D39</f>
        <v>37944240</v>
      </c>
      <c r="X39" s="101">
        <v>2129</v>
      </c>
      <c r="Y39" s="101">
        <v>1412</v>
      </c>
      <c r="Z39" s="101">
        <v>0</v>
      </c>
      <c r="AA39" s="101">
        <v>278</v>
      </c>
      <c r="AB39" s="101">
        <v>572</v>
      </c>
      <c r="AC39" s="101">
        <v>91</v>
      </c>
      <c r="AD39" s="101">
        <v>1419</v>
      </c>
      <c r="AE39" s="101">
        <v>4</v>
      </c>
      <c r="AF39" s="101">
        <v>112</v>
      </c>
      <c r="AG39" s="101">
        <f t="shared" si="1"/>
        <v>37024.239999999998</v>
      </c>
      <c r="AH39" s="101">
        <v>20980</v>
      </c>
      <c r="AI39" s="101">
        <f t="shared" si="2"/>
        <v>1764.7397521449</v>
      </c>
      <c r="AJ39" t="s">
        <v>465</v>
      </c>
      <c r="AN39" t="s">
        <v>352</v>
      </c>
      <c r="AO39" s="259">
        <v>2773.7068855627249</v>
      </c>
      <c r="AP39" t="s">
        <v>439</v>
      </c>
    </row>
    <row r="40" spans="2:42" x14ac:dyDescent="0.25">
      <c r="B40" t="s">
        <v>242</v>
      </c>
      <c r="C40" s="101">
        <v>40414</v>
      </c>
      <c r="D40" s="101">
        <v>0</v>
      </c>
      <c r="E40" s="101">
        <v>0</v>
      </c>
      <c r="F40" s="101">
        <v>1105</v>
      </c>
      <c r="G40" s="101">
        <v>1042</v>
      </c>
      <c r="H40" s="101">
        <v>7323</v>
      </c>
      <c r="I40" s="101">
        <v>1619</v>
      </c>
      <c r="J40" s="101">
        <v>4091</v>
      </c>
      <c r="K40" s="101">
        <v>101</v>
      </c>
      <c r="L40" s="101">
        <v>1089</v>
      </c>
      <c r="M40" s="101">
        <v>2259</v>
      </c>
      <c r="N40" s="101">
        <v>3202</v>
      </c>
      <c r="O40" s="101">
        <v>2557</v>
      </c>
      <c r="P40" s="101">
        <v>11442</v>
      </c>
      <c r="Q40" s="101">
        <v>3618</v>
      </c>
      <c r="R40" s="101">
        <v>966</v>
      </c>
      <c r="S40" s="101"/>
      <c r="T40" t="s">
        <v>242</v>
      </c>
      <c r="U40" s="101">
        <f t="shared" si="0"/>
        <v>39309</v>
      </c>
      <c r="V40" s="101">
        <f>Inkomsten!M40</f>
        <v>31651000</v>
      </c>
      <c r="W40" s="101">
        <f>Inkomsten!D40</f>
        <v>19458143</v>
      </c>
      <c r="X40" s="101">
        <v>1348</v>
      </c>
      <c r="Y40" s="101">
        <v>1773</v>
      </c>
      <c r="Z40" s="101">
        <v>156</v>
      </c>
      <c r="AA40" s="101">
        <v>158</v>
      </c>
      <c r="AB40" s="101">
        <v>737</v>
      </c>
      <c r="AC40" s="101">
        <v>56</v>
      </c>
      <c r="AD40" s="101">
        <v>37</v>
      </c>
      <c r="AE40" s="101">
        <v>0</v>
      </c>
      <c r="AF40" s="101">
        <v>103</v>
      </c>
      <c r="AG40" s="101">
        <f t="shared" si="1"/>
        <v>22748.143</v>
      </c>
      <c r="AH40" s="101">
        <v>12725</v>
      </c>
      <c r="AI40" s="101">
        <f t="shared" si="2"/>
        <v>1787.6733202357564</v>
      </c>
      <c r="AJ40" t="s">
        <v>465</v>
      </c>
      <c r="AN40" t="s">
        <v>301</v>
      </c>
      <c r="AO40" s="259">
        <v>2773.0374178080974</v>
      </c>
      <c r="AP40" t="s">
        <v>439</v>
      </c>
    </row>
    <row r="41" spans="2:42" x14ac:dyDescent="0.25">
      <c r="B41" t="s">
        <v>243</v>
      </c>
      <c r="C41" s="101">
        <v>70804</v>
      </c>
      <c r="D41" s="101">
        <v>0</v>
      </c>
      <c r="E41" s="101">
        <v>552</v>
      </c>
      <c r="F41" s="101">
        <v>2408</v>
      </c>
      <c r="G41" s="101">
        <v>20124</v>
      </c>
      <c r="H41" s="101">
        <v>8567</v>
      </c>
      <c r="I41" s="101">
        <v>2453</v>
      </c>
      <c r="J41" s="101">
        <v>3683</v>
      </c>
      <c r="K41" s="101">
        <v>189</v>
      </c>
      <c r="L41" s="101">
        <v>1688</v>
      </c>
      <c r="M41" s="101">
        <v>3840</v>
      </c>
      <c r="N41" s="101">
        <v>7190</v>
      </c>
      <c r="O41" s="101">
        <v>3971</v>
      </c>
      <c r="P41" s="101">
        <v>8276</v>
      </c>
      <c r="Q41" s="101">
        <v>6478</v>
      </c>
      <c r="R41" s="101">
        <v>1395</v>
      </c>
      <c r="S41" s="101"/>
      <c r="T41" t="s">
        <v>243</v>
      </c>
      <c r="U41" s="101">
        <f t="shared" si="0"/>
        <v>67844</v>
      </c>
      <c r="V41" s="101">
        <f>Inkomsten!M41</f>
        <v>39006000</v>
      </c>
      <c r="W41" s="101">
        <f>Inkomsten!D41</f>
        <v>32182317</v>
      </c>
      <c r="X41" s="101">
        <v>3446</v>
      </c>
      <c r="Y41" s="101">
        <v>3993</v>
      </c>
      <c r="Z41" s="101">
        <v>328</v>
      </c>
      <c r="AA41" s="101">
        <v>490</v>
      </c>
      <c r="AB41" s="101">
        <v>715</v>
      </c>
      <c r="AC41" s="101">
        <v>64</v>
      </c>
      <c r="AD41" s="101">
        <v>2125</v>
      </c>
      <c r="AE41" s="101">
        <v>2958</v>
      </c>
      <c r="AF41" s="101">
        <v>360</v>
      </c>
      <c r="AG41" s="101">
        <f t="shared" si="1"/>
        <v>46541.316999999995</v>
      </c>
      <c r="AH41" s="101">
        <v>23782</v>
      </c>
      <c r="AI41" s="101">
        <f t="shared" si="2"/>
        <v>1956.9976032293328</v>
      </c>
      <c r="AJ41" t="s">
        <v>465</v>
      </c>
      <c r="AN41" t="s">
        <v>411</v>
      </c>
      <c r="AO41" s="259">
        <v>2757.6436535723556</v>
      </c>
      <c r="AP41" t="s">
        <v>439</v>
      </c>
    </row>
    <row r="42" spans="2:42" x14ac:dyDescent="0.25">
      <c r="B42" t="s">
        <v>285</v>
      </c>
      <c r="C42" s="101">
        <v>103840</v>
      </c>
      <c r="D42" s="101">
        <v>3970</v>
      </c>
      <c r="E42" s="101">
        <v>2850</v>
      </c>
      <c r="F42" s="101">
        <v>7240</v>
      </c>
      <c r="G42" s="101">
        <v>19044</v>
      </c>
      <c r="H42" s="101">
        <v>7831</v>
      </c>
      <c r="I42" s="101">
        <v>3264</v>
      </c>
      <c r="J42" s="101">
        <v>5497</v>
      </c>
      <c r="K42" s="101">
        <v>1164</v>
      </c>
      <c r="L42" s="101">
        <v>2516</v>
      </c>
      <c r="M42" s="101">
        <v>5724</v>
      </c>
      <c r="N42" s="101">
        <v>11505</v>
      </c>
      <c r="O42" s="101">
        <v>8916</v>
      </c>
      <c r="P42" s="101">
        <v>11184</v>
      </c>
      <c r="Q42" s="101">
        <v>11046</v>
      </c>
      <c r="R42" s="101">
        <v>2665</v>
      </c>
      <c r="S42" s="101"/>
      <c r="T42" t="s">
        <v>285</v>
      </c>
      <c r="U42" s="101">
        <f t="shared" si="0"/>
        <v>89780</v>
      </c>
      <c r="V42" s="101">
        <f>Inkomsten!M42</f>
        <v>82185000</v>
      </c>
      <c r="W42" s="101">
        <f>Inkomsten!D42</f>
        <v>62070697</v>
      </c>
      <c r="X42" s="101">
        <v>5486</v>
      </c>
      <c r="Y42" s="101">
        <v>5463</v>
      </c>
      <c r="Z42" s="101">
        <v>510</v>
      </c>
      <c r="AA42" s="101">
        <v>689</v>
      </c>
      <c r="AB42" s="101">
        <v>2153</v>
      </c>
      <c r="AC42" s="101">
        <v>159</v>
      </c>
      <c r="AD42" s="101">
        <v>932</v>
      </c>
      <c r="AE42" s="101">
        <v>12</v>
      </c>
      <c r="AF42" s="101">
        <v>137</v>
      </c>
      <c r="AG42" s="101">
        <f t="shared" si="1"/>
        <v>54124.697</v>
      </c>
      <c r="AH42" s="101">
        <v>36563</v>
      </c>
      <c r="AI42" s="101">
        <f t="shared" si="2"/>
        <v>1480.3133495610316</v>
      </c>
      <c r="AJ42" t="s">
        <v>465</v>
      </c>
      <c r="AN42" t="s">
        <v>359</v>
      </c>
      <c r="AO42" s="259">
        <v>2743.0865610092428</v>
      </c>
      <c r="AP42" t="s">
        <v>439</v>
      </c>
    </row>
    <row r="43" spans="2:42" x14ac:dyDescent="0.25">
      <c r="B43" t="s">
        <v>349</v>
      </c>
      <c r="C43" s="101">
        <v>53367</v>
      </c>
      <c r="D43" s="101">
        <v>17641</v>
      </c>
      <c r="E43" s="101">
        <v>685</v>
      </c>
      <c r="F43" s="101">
        <v>1179</v>
      </c>
      <c r="G43" s="101">
        <v>6557</v>
      </c>
      <c r="H43" s="101">
        <v>3963</v>
      </c>
      <c r="I43" s="101">
        <v>916</v>
      </c>
      <c r="J43" s="101">
        <v>746</v>
      </c>
      <c r="K43" s="101">
        <v>5587</v>
      </c>
      <c r="L43" s="101">
        <v>631</v>
      </c>
      <c r="M43" s="101">
        <v>1500</v>
      </c>
      <c r="N43" s="101">
        <v>3856</v>
      </c>
      <c r="O43" s="101">
        <v>1932</v>
      </c>
      <c r="P43" s="101">
        <v>3986</v>
      </c>
      <c r="Q43" s="101">
        <v>4010</v>
      </c>
      <c r="R43" s="101">
        <v>361</v>
      </c>
      <c r="S43" s="101"/>
      <c r="T43" t="s">
        <v>349</v>
      </c>
      <c r="U43" s="101">
        <f t="shared" si="0"/>
        <v>33862</v>
      </c>
      <c r="V43" s="101">
        <f>Inkomsten!M43</f>
        <v>23425000</v>
      </c>
      <c r="W43" s="101">
        <f>Inkomsten!D43</f>
        <v>19581624</v>
      </c>
      <c r="X43" s="101">
        <v>1277</v>
      </c>
      <c r="Y43" s="101">
        <v>1541</v>
      </c>
      <c r="Z43" s="101">
        <v>90</v>
      </c>
      <c r="AA43" s="101">
        <v>196</v>
      </c>
      <c r="AB43" s="101">
        <v>315</v>
      </c>
      <c r="AC43" s="101">
        <v>93</v>
      </c>
      <c r="AD43" s="101">
        <v>40</v>
      </c>
      <c r="AE43" s="101">
        <v>0</v>
      </c>
      <c r="AF43" s="101">
        <v>4</v>
      </c>
      <c r="AG43" s="101">
        <f t="shared" si="1"/>
        <v>26462.624</v>
      </c>
      <c r="AH43" s="101">
        <v>11302</v>
      </c>
      <c r="AI43" s="101">
        <f t="shared" si="2"/>
        <v>2341.4107237657054</v>
      </c>
      <c r="AJ43" t="s">
        <v>465</v>
      </c>
      <c r="AN43" t="s">
        <v>400</v>
      </c>
      <c r="AO43" s="259">
        <v>2731.3513747762759</v>
      </c>
      <c r="AP43" t="s">
        <v>439</v>
      </c>
    </row>
    <row r="44" spans="2:42" x14ac:dyDescent="0.25">
      <c r="B44" t="s">
        <v>106</v>
      </c>
      <c r="C44" s="101">
        <v>87208</v>
      </c>
      <c r="D44" s="101">
        <v>66</v>
      </c>
      <c r="E44" s="101">
        <v>927</v>
      </c>
      <c r="F44" s="101">
        <v>5309</v>
      </c>
      <c r="G44" s="101">
        <v>19879</v>
      </c>
      <c r="H44" s="101">
        <v>8191</v>
      </c>
      <c r="I44" s="101">
        <v>1896</v>
      </c>
      <c r="J44" s="101">
        <v>1231</v>
      </c>
      <c r="K44" s="101">
        <v>604</v>
      </c>
      <c r="L44" s="101">
        <v>2312</v>
      </c>
      <c r="M44" s="101">
        <v>5167</v>
      </c>
      <c r="N44" s="101">
        <v>16935</v>
      </c>
      <c r="O44" s="101">
        <v>6372</v>
      </c>
      <c r="P44" s="101">
        <v>12593</v>
      </c>
      <c r="Q44" s="101">
        <v>5357</v>
      </c>
      <c r="R44" s="101">
        <v>629</v>
      </c>
      <c r="S44" s="101"/>
      <c r="T44" t="s">
        <v>106</v>
      </c>
      <c r="U44" s="101">
        <f t="shared" si="0"/>
        <v>80906</v>
      </c>
      <c r="V44" s="101">
        <f>Inkomsten!M44</f>
        <v>70742000</v>
      </c>
      <c r="W44" s="101">
        <f>Inkomsten!D44</f>
        <v>56478017</v>
      </c>
      <c r="X44" s="101">
        <v>3186</v>
      </c>
      <c r="Y44" s="101">
        <v>2606</v>
      </c>
      <c r="Z44" s="101">
        <v>178</v>
      </c>
      <c r="AA44" s="101">
        <v>439</v>
      </c>
      <c r="AB44" s="101">
        <v>438</v>
      </c>
      <c r="AC44" s="101">
        <v>29</v>
      </c>
      <c r="AD44" s="101">
        <v>1848</v>
      </c>
      <c r="AE44" s="101">
        <v>0</v>
      </c>
      <c r="AF44" s="101">
        <v>68</v>
      </c>
      <c r="AG44" s="101">
        <f t="shared" si="1"/>
        <v>57850.016999999993</v>
      </c>
      <c r="AH44" s="101">
        <v>26014</v>
      </c>
      <c r="AI44" s="101">
        <f t="shared" si="2"/>
        <v>2223.8032213423539</v>
      </c>
      <c r="AJ44" t="s">
        <v>116</v>
      </c>
      <c r="AN44" t="s">
        <v>211</v>
      </c>
      <c r="AO44" s="259">
        <v>2730.4830335760312</v>
      </c>
      <c r="AP44" t="s">
        <v>439</v>
      </c>
    </row>
    <row r="45" spans="2:42" x14ac:dyDescent="0.25">
      <c r="B45" t="s">
        <v>140</v>
      </c>
      <c r="C45" s="101">
        <v>76672</v>
      </c>
      <c r="D45" s="101">
        <v>1278</v>
      </c>
      <c r="E45" s="101">
        <v>1234</v>
      </c>
      <c r="F45" s="101">
        <v>5092</v>
      </c>
      <c r="G45" s="101">
        <v>14022</v>
      </c>
      <c r="H45" s="101">
        <v>11104</v>
      </c>
      <c r="I45" s="101">
        <v>1630</v>
      </c>
      <c r="J45" s="101">
        <v>1784</v>
      </c>
      <c r="K45" s="101">
        <v>647</v>
      </c>
      <c r="L45" s="101">
        <v>1574</v>
      </c>
      <c r="M45" s="101">
        <v>5462</v>
      </c>
      <c r="N45" s="101">
        <v>10839</v>
      </c>
      <c r="O45" s="101">
        <v>7008</v>
      </c>
      <c r="P45" s="101">
        <v>8868</v>
      </c>
      <c r="Q45" s="101">
        <v>5933</v>
      </c>
      <c r="R45" s="101">
        <v>326</v>
      </c>
      <c r="S45" s="101"/>
      <c r="T45" t="s">
        <v>140</v>
      </c>
      <c r="U45" s="101">
        <f t="shared" si="0"/>
        <v>69068</v>
      </c>
      <c r="V45" s="101">
        <f>Inkomsten!M45</f>
        <v>54954000</v>
      </c>
      <c r="W45" s="101">
        <f>Inkomsten!D45</f>
        <v>45099124</v>
      </c>
      <c r="X45" s="101">
        <v>1981</v>
      </c>
      <c r="Y45" s="101">
        <v>2313</v>
      </c>
      <c r="Z45" s="101">
        <v>127</v>
      </c>
      <c r="AA45" s="101">
        <v>359</v>
      </c>
      <c r="AB45" s="101">
        <v>453</v>
      </c>
      <c r="AC45" s="101">
        <v>134</v>
      </c>
      <c r="AD45" s="101">
        <v>0</v>
      </c>
      <c r="AE45" s="101">
        <v>10</v>
      </c>
      <c r="AF45" s="101">
        <v>10</v>
      </c>
      <c r="AG45" s="101">
        <f t="shared" si="1"/>
        <v>53826.124000000003</v>
      </c>
      <c r="AH45" s="101">
        <v>24632</v>
      </c>
      <c r="AI45" s="101">
        <f t="shared" si="2"/>
        <v>2185.2112698928222</v>
      </c>
      <c r="AJ45" t="s">
        <v>116</v>
      </c>
      <c r="AN45" t="s">
        <v>109</v>
      </c>
      <c r="AO45" s="259">
        <v>2720.2492478425252</v>
      </c>
      <c r="AP45" t="s">
        <v>439</v>
      </c>
    </row>
    <row r="46" spans="2:42" x14ac:dyDescent="0.25">
      <c r="B46" t="s">
        <v>328</v>
      </c>
      <c r="C46" s="101">
        <v>68473</v>
      </c>
      <c r="D46" s="101">
        <v>1971</v>
      </c>
      <c r="E46" s="101">
        <v>544</v>
      </c>
      <c r="F46" s="101">
        <v>2448</v>
      </c>
      <c r="G46" s="101">
        <v>15024</v>
      </c>
      <c r="H46" s="101">
        <v>8801</v>
      </c>
      <c r="I46" s="101">
        <v>2165</v>
      </c>
      <c r="J46" s="101">
        <v>2774</v>
      </c>
      <c r="K46" s="101">
        <v>442</v>
      </c>
      <c r="L46" s="101">
        <v>2052</v>
      </c>
      <c r="M46" s="101">
        <v>2513</v>
      </c>
      <c r="N46" s="101">
        <v>6817</v>
      </c>
      <c r="O46" s="101">
        <v>6639</v>
      </c>
      <c r="P46" s="101">
        <v>10880</v>
      </c>
      <c r="Q46" s="101">
        <v>5371</v>
      </c>
      <c r="R46" s="101">
        <v>281</v>
      </c>
      <c r="S46" s="101"/>
      <c r="T46" t="s">
        <v>328</v>
      </c>
      <c r="U46" s="101">
        <f t="shared" si="0"/>
        <v>63510</v>
      </c>
      <c r="V46" s="101">
        <f>Inkomsten!M46</f>
        <v>53069000</v>
      </c>
      <c r="W46" s="101">
        <f>Inkomsten!D46</f>
        <v>44924694</v>
      </c>
      <c r="X46" s="101">
        <v>1950</v>
      </c>
      <c r="Y46" s="101">
        <v>3435</v>
      </c>
      <c r="Z46" s="101">
        <v>325</v>
      </c>
      <c r="AA46" s="101">
        <v>288</v>
      </c>
      <c r="AB46" s="101">
        <v>515</v>
      </c>
      <c r="AC46" s="101">
        <v>20</v>
      </c>
      <c r="AD46" s="101">
        <v>0</v>
      </c>
      <c r="AE46" s="101">
        <v>0</v>
      </c>
      <c r="AF46" s="101">
        <v>195</v>
      </c>
      <c r="AG46" s="101">
        <f t="shared" si="1"/>
        <v>48637.694000000003</v>
      </c>
      <c r="AH46" s="101">
        <v>23116</v>
      </c>
      <c r="AI46" s="101">
        <f t="shared" si="2"/>
        <v>2104.0705139297456</v>
      </c>
      <c r="AJ46" t="s">
        <v>465</v>
      </c>
      <c r="AN46" t="s">
        <v>383</v>
      </c>
      <c r="AO46" s="259">
        <v>2716.3063683411956</v>
      </c>
      <c r="AP46" t="s">
        <v>439</v>
      </c>
    </row>
    <row r="47" spans="2:42" x14ac:dyDescent="0.25">
      <c r="B47" t="s">
        <v>351</v>
      </c>
      <c r="C47" s="101">
        <v>113100</v>
      </c>
      <c r="D47" s="101">
        <v>1606</v>
      </c>
      <c r="E47" s="101">
        <v>712</v>
      </c>
      <c r="F47" s="101">
        <v>7987</v>
      </c>
      <c r="G47" s="101">
        <v>1502</v>
      </c>
      <c r="H47" s="101">
        <v>10583</v>
      </c>
      <c r="I47" s="101">
        <v>3598</v>
      </c>
      <c r="J47" s="101">
        <v>7215</v>
      </c>
      <c r="K47" s="101">
        <v>4226</v>
      </c>
      <c r="L47" s="101">
        <v>3765</v>
      </c>
      <c r="M47" s="101">
        <v>7419</v>
      </c>
      <c r="N47" s="101">
        <v>22990</v>
      </c>
      <c r="O47" s="101">
        <v>9695</v>
      </c>
      <c r="P47" s="101">
        <v>16184</v>
      </c>
      <c r="Q47" s="101">
        <v>11789</v>
      </c>
      <c r="R47" s="101">
        <v>3829</v>
      </c>
      <c r="S47" s="101"/>
      <c r="T47" t="s">
        <v>351</v>
      </c>
      <c r="U47" s="101">
        <f t="shared" si="0"/>
        <v>102795</v>
      </c>
      <c r="V47" s="101">
        <f>Inkomsten!M47</f>
        <v>86867000</v>
      </c>
      <c r="W47" s="101">
        <f>Inkomsten!D47</f>
        <v>66978956</v>
      </c>
      <c r="X47" s="101">
        <v>3523</v>
      </c>
      <c r="Y47" s="101">
        <v>4167</v>
      </c>
      <c r="Z47" s="101">
        <v>199</v>
      </c>
      <c r="AA47" s="101">
        <v>446</v>
      </c>
      <c r="AB47" s="101">
        <v>1059</v>
      </c>
      <c r="AC47" s="101">
        <v>157</v>
      </c>
      <c r="AD47" s="101">
        <v>30</v>
      </c>
      <c r="AE47" s="101">
        <v>186</v>
      </c>
      <c r="AF47" s="101">
        <v>41</v>
      </c>
      <c r="AG47" s="101">
        <f t="shared" si="1"/>
        <v>73098.956000000006</v>
      </c>
      <c r="AH47" s="101">
        <v>33934</v>
      </c>
      <c r="AI47" s="101">
        <f t="shared" si="2"/>
        <v>2154.1508811221784</v>
      </c>
      <c r="AJ47" t="s">
        <v>116</v>
      </c>
      <c r="AN47" t="s">
        <v>173</v>
      </c>
      <c r="AO47" s="260">
        <v>2705.957212669513</v>
      </c>
      <c r="AP47" t="s">
        <v>439</v>
      </c>
    </row>
    <row r="48" spans="2:42" x14ac:dyDescent="0.25">
      <c r="B48" t="s">
        <v>352</v>
      </c>
      <c r="C48" s="101">
        <v>853051</v>
      </c>
      <c r="D48" s="101">
        <v>20378</v>
      </c>
      <c r="E48" s="101">
        <v>9253</v>
      </c>
      <c r="F48" s="101">
        <v>29387</v>
      </c>
      <c r="G48" s="101">
        <v>197141</v>
      </c>
      <c r="H48" s="101">
        <v>52284</v>
      </c>
      <c r="I48" s="101">
        <v>18311</v>
      </c>
      <c r="J48" s="101">
        <v>25709</v>
      </c>
      <c r="K48" s="101">
        <v>21741</v>
      </c>
      <c r="L48" s="101">
        <v>37776</v>
      </c>
      <c r="M48" s="101">
        <v>52016</v>
      </c>
      <c r="N48" s="101">
        <v>95193</v>
      </c>
      <c r="O48" s="101">
        <v>94258</v>
      </c>
      <c r="P48" s="101">
        <v>145188</v>
      </c>
      <c r="Q48" s="101">
        <v>38273</v>
      </c>
      <c r="R48" s="101">
        <v>21233</v>
      </c>
      <c r="S48" s="101"/>
      <c r="T48" t="s">
        <v>352</v>
      </c>
      <c r="U48" s="101">
        <f t="shared" si="0"/>
        <v>794033</v>
      </c>
      <c r="V48" s="101">
        <f>Inkomsten!M48</f>
        <v>610340000</v>
      </c>
      <c r="W48" s="101">
        <f>Inkomsten!D48</f>
        <v>405542655</v>
      </c>
      <c r="X48" s="101">
        <v>18189</v>
      </c>
      <c r="Y48" s="101">
        <v>28443</v>
      </c>
      <c r="Z48" s="101">
        <v>0</v>
      </c>
      <c r="AA48" s="101">
        <v>5521</v>
      </c>
      <c r="AB48" s="101">
        <v>6398</v>
      </c>
      <c r="AC48" s="101">
        <v>1355</v>
      </c>
      <c r="AD48" s="101">
        <v>1425</v>
      </c>
      <c r="AE48" s="101">
        <v>19176</v>
      </c>
      <c r="AF48" s="101">
        <v>1388</v>
      </c>
      <c r="AG48" s="101">
        <f t="shared" si="1"/>
        <v>507340.65500000003</v>
      </c>
      <c r="AH48" s="101">
        <v>188217</v>
      </c>
      <c r="AI48" s="101">
        <f t="shared" si="2"/>
        <v>2695.5091994878253</v>
      </c>
      <c r="AJ48" t="s">
        <v>439</v>
      </c>
      <c r="AN48" t="s">
        <v>427</v>
      </c>
      <c r="AO48" s="259">
        <v>2705.7232889851343</v>
      </c>
      <c r="AP48" t="s">
        <v>439</v>
      </c>
    </row>
    <row r="49" spans="2:42" x14ac:dyDescent="0.25">
      <c r="B49" t="s">
        <v>169</v>
      </c>
      <c r="C49" s="101">
        <v>99841</v>
      </c>
      <c r="D49" s="101">
        <v>766</v>
      </c>
      <c r="E49" s="101">
        <v>548</v>
      </c>
      <c r="F49" s="101">
        <v>2920</v>
      </c>
      <c r="G49" s="101">
        <v>26264</v>
      </c>
      <c r="H49" s="101">
        <v>8379</v>
      </c>
      <c r="I49" s="101">
        <v>3077</v>
      </c>
      <c r="J49" s="101">
        <v>5019</v>
      </c>
      <c r="K49" s="101">
        <v>2140</v>
      </c>
      <c r="L49" s="101">
        <v>1871</v>
      </c>
      <c r="M49" s="101">
        <v>6078</v>
      </c>
      <c r="N49" s="101">
        <v>9772</v>
      </c>
      <c r="O49" s="101">
        <v>8061</v>
      </c>
      <c r="P49" s="101">
        <v>13470</v>
      </c>
      <c r="Q49" s="101">
        <v>9861</v>
      </c>
      <c r="R49" s="101">
        <v>2283</v>
      </c>
      <c r="S49" s="101"/>
      <c r="T49" t="s">
        <v>169</v>
      </c>
      <c r="U49" s="101">
        <f t="shared" si="0"/>
        <v>95607</v>
      </c>
      <c r="V49" s="101">
        <f>Inkomsten!M49</f>
        <v>80824000</v>
      </c>
      <c r="W49" s="101">
        <f>Inkomsten!D49</f>
        <v>67764251</v>
      </c>
      <c r="X49" s="101">
        <v>4876</v>
      </c>
      <c r="Y49" s="101">
        <v>3980</v>
      </c>
      <c r="Z49" s="101">
        <v>139</v>
      </c>
      <c r="AA49" s="101">
        <v>355</v>
      </c>
      <c r="AB49" s="101">
        <v>1379</v>
      </c>
      <c r="AC49" s="101">
        <v>17</v>
      </c>
      <c r="AD49" s="101">
        <v>340</v>
      </c>
      <c r="AE49" s="101">
        <v>0</v>
      </c>
      <c r="AF49" s="101">
        <v>28</v>
      </c>
      <c r="AG49" s="101">
        <f t="shared" si="1"/>
        <v>71433.251000000004</v>
      </c>
      <c r="AH49" s="101">
        <v>36118</v>
      </c>
      <c r="AI49" s="101">
        <f t="shared" si="2"/>
        <v>1977.7742676781661</v>
      </c>
      <c r="AJ49" t="s">
        <v>465</v>
      </c>
      <c r="AN49" t="s">
        <v>725</v>
      </c>
      <c r="AO49" s="259">
        <v>2701.6822316984371</v>
      </c>
      <c r="AP49" t="s">
        <v>439</v>
      </c>
    </row>
    <row r="50" spans="2:42" x14ac:dyDescent="0.25">
      <c r="B50" t="s">
        <v>170</v>
      </c>
      <c r="C50" s="101">
        <v>64634</v>
      </c>
      <c r="D50" s="101">
        <v>141</v>
      </c>
      <c r="E50" s="101">
        <v>639</v>
      </c>
      <c r="F50" s="101">
        <v>2751</v>
      </c>
      <c r="G50" s="101">
        <v>19373</v>
      </c>
      <c r="H50" s="101">
        <v>4775</v>
      </c>
      <c r="I50" s="101">
        <v>1454</v>
      </c>
      <c r="J50" s="101">
        <v>1912</v>
      </c>
      <c r="K50" s="101">
        <v>402</v>
      </c>
      <c r="L50" s="101">
        <v>1410</v>
      </c>
      <c r="M50" s="101">
        <v>3934</v>
      </c>
      <c r="N50" s="101">
        <v>6857</v>
      </c>
      <c r="O50" s="101">
        <v>5232</v>
      </c>
      <c r="P50" s="101">
        <v>9476</v>
      </c>
      <c r="Q50" s="101">
        <v>5591</v>
      </c>
      <c r="R50" s="101">
        <v>893</v>
      </c>
      <c r="S50" s="101"/>
      <c r="T50" t="s">
        <v>170</v>
      </c>
      <c r="U50" s="101">
        <f t="shared" si="0"/>
        <v>61103</v>
      </c>
      <c r="V50" s="101">
        <f>Inkomsten!M50</f>
        <v>49753000</v>
      </c>
      <c r="W50" s="101">
        <f>Inkomsten!D50</f>
        <v>40624968</v>
      </c>
      <c r="X50" s="101">
        <v>3487</v>
      </c>
      <c r="Y50" s="101">
        <v>1786</v>
      </c>
      <c r="Z50" s="101">
        <v>119</v>
      </c>
      <c r="AA50" s="101">
        <v>345</v>
      </c>
      <c r="AB50" s="101">
        <v>521</v>
      </c>
      <c r="AC50" s="101">
        <v>111</v>
      </c>
      <c r="AD50" s="101">
        <v>1294</v>
      </c>
      <c r="AE50" s="101">
        <v>0</v>
      </c>
      <c r="AF50" s="101">
        <v>11</v>
      </c>
      <c r="AG50" s="101">
        <f t="shared" si="1"/>
        <v>44300.968000000001</v>
      </c>
      <c r="AH50" s="101">
        <v>21282</v>
      </c>
      <c r="AI50" s="101">
        <f t="shared" si="2"/>
        <v>2081.6167653416032</v>
      </c>
      <c r="AJ50" t="s">
        <v>116</v>
      </c>
      <c r="AN50" t="s">
        <v>202</v>
      </c>
      <c r="AO50" s="259">
        <v>2701.5844163185725</v>
      </c>
      <c r="AP50" t="s">
        <v>439</v>
      </c>
    </row>
    <row r="51" spans="2:42" x14ac:dyDescent="0.25">
      <c r="B51" t="s">
        <v>400</v>
      </c>
      <c r="C51" s="101">
        <v>119877</v>
      </c>
      <c r="D51" s="101">
        <v>8464</v>
      </c>
      <c r="E51" s="101">
        <v>453</v>
      </c>
      <c r="F51" s="101">
        <v>3394</v>
      </c>
      <c r="G51" s="101">
        <v>23638</v>
      </c>
      <c r="H51" s="101">
        <v>6996</v>
      </c>
      <c r="I51" s="101">
        <v>2523</v>
      </c>
      <c r="J51" s="101">
        <v>2649</v>
      </c>
      <c r="K51" s="101">
        <v>658</v>
      </c>
      <c r="L51" s="101">
        <v>3588</v>
      </c>
      <c r="M51" s="101">
        <v>4438</v>
      </c>
      <c r="N51" s="101">
        <v>29758</v>
      </c>
      <c r="O51" s="101">
        <v>12090</v>
      </c>
      <c r="P51" s="101">
        <v>13355</v>
      </c>
      <c r="Q51" s="101">
        <v>7234</v>
      </c>
      <c r="R51" s="101">
        <v>988</v>
      </c>
      <c r="S51" s="101"/>
      <c r="T51" t="s">
        <v>400</v>
      </c>
      <c r="U51" s="101">
        <f t="shared" si="0"/>
        <v>107566</v>
      </c>
      <c r="V51" s="101">
        <f>Inkomsten!M51</f>
        <v>96034000</v>
      </c>
      <c r="W51" s="101">
        <f>Inkomsten!D51</f>
        <v>70761667</v>
      </c>
      <c r="X51" s="101">
        <v>4169</v>
      </c>
      <c r="Y51" s="101">
        <v>4499</v>
      </c>
      <c r="Z51" s="101">
        <v>60</v>
      </c>
      <c r="AA51" s="101">
        <v>540</v>
      </c>
      <c r="AB51" s="101">
        <v>409</v>
      </c>
      <c r="AC51" s="101">
        <v>90</v>
      </c>
      <c r="AD51" s="101">
        <v>172</v>
      </c>
      <c r="AE51" s="101">
        <v>0</v>
      </c>
      <c r="AF51" s="101">
        <v>22</v>
      </c>
      <c r="AG51" s="101">
        <f t="shared" si="1"/>
        <v>72332.667000000001</v>
      </c>
      <c r="AH51" s="101">
        <v>27773</v>
      </c>
      <c r="AI51" s="101">
        <f t="shared" si="2"/>
        <v>2604.4239729233427</v>
      </c>
      <c r="AJ51" t="s">
        <v>439</v>
      </c>
      <c r="AN51" t="s">
        <v>164</v>
      </c>
      <c r="AO51" s="259">
        <v>2698.1952262373843</v>
      </c>
      <c r="AP51" t="s">
        <v>439</v>
      </c>
    </row>
    <row r="52" spans="2:42" x14ac:dyDescent="0.25">
      <c r="B52" t="s">
        <v>214</v>
      </c>
      <c r="C52" s="101">
        <v>41964</v>
      </c>
      <c r="D52" s="101">
        <v>0</v>
      </c>
      <c r="E52" s="101">
        <v>478</v>
      </c>
      <c r="F52" s="101">
        <v>1890</v>
      </c>
      <c r="G52" s="101">
        <v>11826</v>
      </c>
      <c r="H52" s="101">
        <v>4103</v>
      </c>
      <c r="I52" s="101">
        <v>1384</v>
      </c>
      <c r="J52" s="101">
        <v>2119</v>
      </c>
      <c r="K52" s="101">
        <v>199</v>
      </c>
      <c r="L52" s="101">
        <v>933</v>
      </c>
      <c r="M52" s="101">
        <v>2788</v>
      </c>
      <c r="N52" s="101">
        <v>4035</v>
      </c>
      <c r="O52" s="101">
        <v>3062</v>
      </c>
      <c r="P52" s="101">
        <v>4328</v>
      </c>
      <c r="Q52" s="101">
        <v>4585</v>
      </c>
      <c r="R52" s="101">
        <v>363</v>
      </c>
      <c r="S52" s="101"/>
      <c r="T52" t="s">
        <v>214</v>
      </c>
      <c r="U52" s="101">
        <f t="shared" si="0"/>
        <v>39596</v>
      </c>
      <c r="V52" s="101">
        <f>Inkomsten!M52</f>
        <v>28503000</v>
      </c>
      <c r="W52" s="101">
        <f>Inkomsten!D52</f>
        <v>23838627</v>
      </c>
      <c r="X52" s="101">
        <v>1923</v>
      </c>
      <c r="Y52" s="101">
        <v>2198</v>
      </c>
      <c r="Z52" s="101">
        <v>0</v>
      </c>
      <c r="AA52" s="101">
        <v>292</v>
      </c>
      <c r="AB52" s="101">
        <v>338</v>
      </c>
      <c r="AC52" s="101">
        <v>126</v>
      </c>
      <c r="AD52" s="101">
        <v>271</v>
      </c>
      <c r="AE52" s="101">
        <v>6</v>
      </c>
      <c r="AF52" s="101">
        <v>5</v>
      </c>
      <c r="AG52" s="101">
        <f t="shared" si="1"/>
        <v>29772.627</v>
      </c>
      <c r="AH52" s="101">
        <v>16116</v>
      </c>
      <c r="AI52" s="101">
        <f t="shared" si="2"/>
        <v>1847.3955696202531</v>
      </c>
      <c r="AJ52" s="140" t="s">
        <v>465</v>
      </c>
      <c r="AN52" t="s">
        <v>174</v>
      </c>
      <c r="AO52" s="259">
        <v>2696.3248782779947</v>
      </c>
      <c r="AP52" t="s">
        <v>439</v>
      </c>
    </row>
    <row r="53" spans="2:42" x14ac:dyDescent="0.25">
      <c r="B53" t="s">
        <v>215</v>
      </c>
      <c r="C53" s="101">
        <v>67414</v>
      </c>
      <c r="D53" s="101">
        <v>2956</v>
      </c>
      <c r="E53" s="101">
        <v>634</v>
      </c>
      <c r="F53" s="101">
        <v>2375</v>
      </c>
      <c r="G53" s="101">
        <v>11318</v>
      </c>
      <c r="H53" s="101">
        <v>3132</v>
      </c>
      <c r="I53" s="101">
        <v>1563</v>
      </c>
      <c r="J53" s="101">
        <v>2462</v>
      </c>
      <c r="K53" s="101">
        <v>8860</v>
      </c>
      <c r="L53" s="101">
        <v>2177</v>
      </c>
      <c r="M53" s="101">
        <v>4725</v>
      </c>
      <c r="N53" s="101">
        <v>5988</v>
      </c>
      <c r="O53" s="101">
        <v>7824</v>
      </c>
      <c r="P53" s="101">
        <v>6985</v>
      </c>
      <c r="Q53" s="101">
        <v>6550</v>
      </c>
      <c r="R53" s="101">
        <v>190</v>
      </c>
      <c r="S53" s="101"/>
      <c r="T53" t="s">
        <v>215</v>
      </c>
      <c r="U53" s="101">
        <f t="shared" si="0"/>
        <v>61449</v>
      </c>
      <c r="V53" s="101">
        <f>Inkomsten!M53</f>
        <v>43079000</v>
      </c>
      <c r="W53" s="101">
        <f>Inkomsten!D53</f>
        <v>36761302</v>
      </c>
      <c r="X53" s="101">
        <v>1888</v>
      </c>
      <c r="Y53" s="101">
        <v>2705</v>
      </c>
      <c r="Z53" s="101">
        <v>445</v>
      </c>
      <c r="AA53" s="101">
        <v>292</v>
      </c>
      <c r="AB53" s="101">
        <v>616</v>
      </c>
      <c r="AC53" s="101">
        <v>310</v>
      </c>
      <c r="AD53" s="101">
        <v>0</v>
      </c>
      <c r="AE53" s="101">
        <v>65</v>
      </c>
      <c r="AF53" s="101">
        <v>111</v>
      </c>
      <c r="AG53" s="101">
        <f t="shared" si="1"/>
        <v>48699.302000000003</v>
      </c>
      <c r="AH53" s="101">
        <v>22620</v>
      </c>
      <c r="AI53" s="101">
        <f t="shared" si="2"/>
        <v>2152.9311229000882</v>
      </c>
      <c r="AJ53" t="s">
        <v>465</v>
      </c>
      <c r="AN53" t="s">
        <v>291</v>
      </c>
      <c r="AO53" s="259">
        <v>2694.0570315179943</v>
      </c>
      <c r="AP53" t="s">
        <v>439</v>
      </c>
    </row>
    <row r="54" spans="2:42" x14ac:dyDescent="0.25">
      <c r="B54" t="s">
        <v>171</v>
      </c>
      <c r="C54" s="101">
        <v>77957</v>
      </c>
      <c r="D54" s="101">
        <v>44</v>
      </c>
      <c r="E54" s="101">
        <v>18</v>
      </c>
      <c r="F54" s="101">
        <v>1898</v>
      </c>
      <c r="G54" s="101">
        <v>17498</v>
      </c>
      <c r="H54" s="101">
        <v>9321</v>
      </c>
      <c r="I54" s="101">
        <v>2802</v>
      </c>
      <c r="J54" s="101">
        <v>4612</v>
      </c>
      <c r="K54" s="101">
        <v>1001</v>
      </c>
      <c r="L54" s="101">
        <v>2497</v>
      </c>
      <c r="M54" s="101">
        <v>3317</v>
      </c>
      <c r="N54" s="101">
        <v>6360</v>
      </c>
      <c r="O54" s="101">
        <v>7756</v>
      </c>
      <c r="P54" s="101">
        <v>9042</v>
      </c>
      <c r="Q54" s="101">
        <v>8095</v>
      </c>
      <c r="R54" s="101">
        <v>3865</v>
      </c>
      <c r="S54" s="101"/>
      <c r="T54" t="s">
        <v>171</v>
      </c>
      <c r="U54" s="101">
        <f t="shared" si="0"/>
        <v>75997</v>
      </c>
      <c r="V54" s="101">
        <f>Inkomsten!M54</f>
        <v>61207000</v>
      </c>
      <c r="W54" s="101">
        <f>Inkomsten!D54</f>
        <v>47786614</v>
      </c>
      <c r="X54" s="101">
        <v>3079</v>
      </c>
      <c r="Y54" s="101">
        <v>0</v>
      </c>
      <c r="Z54" s="101">
        <v>156</v>
      </c>
      <c r="AA54" s="101">
        <v>474</v>
      </c>
      <c r="AB54" s="101">
        <v>1823</v>
      </c>
      <c r="AC54" s="101">
        <v>342</v>
      </c>
      <c r="AD54" s="101">
        <v>385</v>
      </c>
      <c r="AE54" s="101">
        <v>1</v>
      </c>
      <c r="AF54" s="101">
        <v>134</v>
      </c>
      <c r="AG54" s="101">
        <f t="shared" si="1"/>
        <v>56182.614000000001</v>
      </c>
      <c r="AH54" s="101">
        <v>27777</v>
      </c>
      <c r="AI54" s="101">
        <f t="shared" si="2"/>
        <v>2022.6307376606544</v>
      </c>
      <c r="AJ54" t="s">
        <v>465</v>
      </c>
      <c r="AN54" t="s">
        <v>417</v>
      </c>
      <c r="AO54" s="259">
        <v>2668.0375827614362</v>
      </c>
      <c r="AP54" t="s">
        <v>439</v>
      </c>
    </row>
    <row r="55" spans="2:42" x14ac:dyDescent="0.25">
      <c r="B55" t="s">
        <v>287</v>
      </c>
      <c r="C55" s="101">
        <v>247842</v>
      </c>
      <c r="D55" s="101">
        <v>8535</v>
      </c>
      <c r="E55" s="101">
        <v>2308</v>
      </c>
      <c r="F55" s="101">
        <v>11098</v>
      </c>
      <c r="G55" s="101">
        <v>43996</v>
      </c>
      <c r="H55" s="101">
        <v>13396</v>
      </c>
      <c r="I55" s="101">
        <v>6873</v>
      </c>
      <c r="J55" s="101">
        <v>5819</v>
      </c>
      <c r="K55" s="101">
        <v>1160</v>
      </c>
      <c r="L55" s="101">
        <v>6265</v>
      </c>
      <c r="M55" s="101">
        <v>17842</v>
      </c>
      <c r="N55" s="101">
        <v>52080</v>
      </c>
      <c r="O55" s="101">
        <v>24273</v>
      </c>
      <c r="P55" s="101">
        <v>34573</v>
      </c>
      <c r="Q55" s="101">
        <v>16387</v>
      </c>
      <c r="R55" s="101">
        <v>3702</v>
      </c>
      <c r="S55" s="101"/>
      <c r="T55" t="s">
        <v>287</v>
      </c>
      <c r="U55" s="101">
        <f t="shared" si="0"/>
        <v>225901</v>
      </c>
      <c r="V55" s="101">
        <f>Inkomsten!M55</f>
        <v>218495000</v>
      </c>
      <c r="W55" s="101">
        <f>Inkomsten!D55</f>
        <v>159518997</v>
      </c>
      <c r="X55" s="101">
        <v>4148</v>
      </c>
      <c r="Y55" s="101">
        <v>8121</v>
      </c>
      <c r="Z55" s="101">
        <v>0</v>
      </c>
      <c r="AA55" s="101">
        <v>1539</v>
      </c>
      <c r="AB55" s="101">
        <v>717</v>
      </c>
      <c r="AC55" s="101">
        <v>1811</v>
      </c>
      <c r="AD55" s="101">
        <v>77</v>
      </c>
      <c r="AE55" s="101">
        <v>0</v>
      </c>
      <c r="AF55" s="101">
        <v>95</v>
      </c>
      <c r="AG55" s="101">
        <f t="shared" si="1"/>
        <v>150416.997</v>
      </c>
      <c r="AH55" s="101">
        <v>67948</v>
      </c>
      <c r="AI55" s="101">
        <f t="shared" si="2"/>
        <v>2213.7074969094015</v>
      </c>
      <c r="AJ55" t="s">
        <v>116</v>
      </c>
      <c r="AN55" t="s">
        <v>212</v>
      </c>
      <c r="AO55" s="259">
        <v>2658.8737804409816</v>
      </c>
      <c r="AP55" t="s">
        <v>439</v>
      </c>
    </row>
    <row r="56" spans="2:42" x14ac:dyDescent="0.25">
      <c r="B56" t="s">
        <v>244</v>
      </c>
      <c r="C56" s="101">
        <v>88505</v>
      </c>
      <c r="D56" s="101">
        <v>570</v>
      </c>
      <c r="E56" s="101">
        <v>1643</v>
      </c>
      <c r="F56" s="101">
        <v>3359</v>
      </c>
      <c r="G56" s="101">
        <v>1701</v>
      </c>
      <c r="H56" s="101">
        <v>17130</v>
      </c>
      <c r="I56" s="101">
        <v>3789</v>
      </c>
      <c r="J56" s="101">
        <v>5397</v>
      </c>
      <c r="K56" s="101">
        <v>734</v>
      </c>
      <c r="L56" s="101">
        <v>1994</v>
      </c>
      <c r="M56" s="101">
        <v>8256</v>
      </c>
      <c r="N56" s="101">
        <v>10022</v>
      </c>
      <c r="O56" s="101">
        <v>7164</v>
      </c>
      <c r="P56" s="101">
        <v>13721</v>
      </c>
      <c r="Q56" s="101">
        <v>9648</v>
      </c>
      <c r="R56" s="101">
        <v>3442</v>
      </c>
      <c r="S56" s="101"/>
      <c r="T56" t="s">
        <v>244</v>
      </c>
      <c r="U56" s="101">
        <f t="shared" si="0"/>
        <v>82933</v>
      </c>
      <c r="V56" s="101">
        <f>Inkomsten!M56</f>
        <v>66322000</v>
      </c>
      <c r="W56" s="101">
        <f>Inkomsten!D56</f>
        <v>57423331</v>
      </c>
      <c r="X56" s="101">
        <v>3822</v>
      </c>
      <c r="Y56" s="101">
        <v>4530</v>
      </c>
      <c r="Z56" s="101">
        <v>250</v>
      </c>
      <c r="AA56" s="101">
        <v>754</v>
      </c>
      <c r="AB56" s="101">
        <v>1280</v>
      </c>
      <c r="AC56" s="101">
        <v>100</v>
      </c>
      <c r="AD56" s="101">
        <v>1507</v>
      </c>
      <c r="AE56" s="101">
        <v>0</v>
      </c>
      <c r="AF56" s="101">
        <v>57</v>
      </c>
      <c r="AG56" s="101">
        <f t="shared" si="1"/>
        <v>61734.331000000006</v>
      </c>
      <c r="AH56" s="101">
        <v>36369</v>
      </c>
      <c r="AI56" s="101">
        <f t="shared" si="2"/>
        <v>1697.4437295498915</v>
      </c>
      <c r="AJ56" t="s">
        <v>465</v>
      </c>
      <c r="AN56" t="s">
        <v>237</v>
      </c>
      <c r="AO56" s="260">
        <v>2645.1133913336016</v>
      </c>
      <c r="AP56" t="s">
        <v>439</v>
      </c>
    </row>
    <row r="57" spans="2:42" x14ac:dyDescent="0.25">
      <c r="B57" t="s">
        <v>107</v>
      </c>
      <c r="C57" s="101">
        <v>124009</v>
      </c>
      <c r="D57" s="101">
        <v>4193</v>
      </c>
      <c r="E57" s="101">
        <v>1688</v>
      </c>
      <c r="F57" s="101">
        <v>8109</v>
      </c>
      <c r="G57" s="101">
        <v>24247</v>
      </c>
      <c r="H57" s="101">
        <v>10438</v>
      </c>
      <c r="I57" s="101">
        <v>2984</v>
      </c>
      <c r="J57" s="101">
        <v>4847</v>
      </c>
      <c r="K57" s="101">
        <v>3122</v>
      </c>
      <c r="L57" s="101">
        <v>2389</v>
      </c>
      <c r="M57" s="101">
        <v>4124</v>
      </c>
      <c r="N57" s="101">
        <v>21709</v>
      </c>
      <c r="O57" s="101">
        <v>9526</v>
      </c>
      <c r="P57" s="101">
        <v>15150</v>
      </c>
      <c r="Q57" s="101">
        <v>9189</v>
      </c>
      <c r="R57" s="101">
        <v>4676</v>
      </c>
      <c r="S57" s="101"/>
      <c r="T57" t="s">
        <v>107</v>
      </c>
      <c r="U57" s="101">
        <f t="shared" si="0"/>
        <v>110019</v>
      </c>
      <c r="V57" s="101">
        <f>Inkomsten!M57</f>
        <v>98959000</v>
      </c>
      <c r="W57" s="101">
        <f>Inkomsten!D57</f>
        <v>80618283</v>
      </c>
      <c r="X57" s="101">
        <v>3779</v>
      </c>
      <c r="Y57" s="101">
        <v>4720</v>
      </c>
      <c r="Z57" s="101">
        <v>470</v>
      </c>
      <c r="AA57" s="101">
        <v>544</v>
      </c>
      <c r="AB57" s="101">
        <v>1148</v>
      </c>
      <c r="AC57" s="101">
        <v>74</v>
      </c>
      <c r="AD57" s="101">
        <v>1890</v>
      </c>
      <c r="AE57" s="101">
        <v>0</v>
      </c>
      <c r="AF57" s="101">
        <v>220</v>
      </c>
      <c r="AG57" s="101">
        <f t="shared" si="1"/>
        <v>78833.282999999996</v>
      </c>
      <c r="AH57" s="101">
        <v>35723</v>
      </c>
      <c r="AI57" s="101">
        <f t="shared" si="2"/>
        <v>2206.7934663941996</v>
      </c>
      <c r="AJ57" t="s">
        <v>116</v>
      </c>
      <c r="AN57" t="s">
        <v>292</v>
      </c>
      <c r="AO57" s="259">
        <v>2636.6779309730518</v>
      </c>
      <c r="AP57" t="s">
        <v>439</v>
      </c>
    </row>
    <row r="58" spans="2:42" x14ac:dyDescent="0.25">
      <c r="B58" t="s">
        <v>353</v>
      </c>
      <c r="C58" s="101">
        <v>65367</v>
      </c>
      <c r="D58" s="101">
        <v>2560</v>
      </c>
      <c r="E58" s="101">
        <v>764</v>
      </c>
      <c r="F58" s="101">
        <v>2734</v>
      </c>
      <c r="G58" s="101">
        <v>11881</v>
      </c>
      <c r="H58" s="101">
        <v>8979</v>
      </c>
      <c r="I58" s="101">
        <v>1589</v>
      </c>
      <c r="J58" s="101">
        <v>2323</v>
      </c>
      <c r="K58" s="101">
        <v>3142</v>
      </c>
      <c r="L58" s="101">
        <v>1283</v>
      </c>
      <c r="M58" s="101">
        <v>3777</v>
      </c>
      <c r="N58" s="101">
        <v>9028</v>
      </c>
      <c r="O58" s="101">
        <v>4690</v>
      </c>
      <c r="P58" s="101">
        <v>7807</v>
      </c>
      <c r="Q58" s="101">
        <v>4245</v>
      </c>
      <c r="R58" s="101">
        <v>1053</v>
      </c>
      <c r="S58" s="101"/>
      <c r="T58" t="s">
        <v>353</v>
      </c>
      <c r="U58" s="101">
        <f t="shared" si="0"/>
        <v>59309</v>
      </c>
      <c r="V58" s="101">
        <f>Inkomsten!M58</f>
        <v>51120000</v>
      </c>
      <c r="W58" s="101">
        <f>Inkomsten!D58</f>
        <v>41042894</v>
      </c>
      <c r="X58" s="101">
        <v>2350</v>
      </c>
      <c r="Y58" s="101">
        <v>2195</v>
      </c>
      <c r="Z58" s="101">
        <v>55</v>
      </c>
      <c r="AA58" s="101">
        <v>407</v>
      </c>
      <c r="AB58" s="101">
        <v>514</v>
      </c>
      <c r="AC58" s="101">
        <v>72</v>
      </c>
      <c r="AD58" s="101">
        <v>247</v>
      </c>
      <c r="AE58" s="101">
        <v>0</v>
      </c>
      <c r="AF58" s="101">
        <v>207</v>
      </c>
      <c r="AG58" s="101">
        <f t="shared" si="1"/>
        <v>43184.894</v>
      </c>
      <c r="AH58" s="101">
        <v>20866</v>
      </c>
      <c r="AI58" s="101">
        <f t="shared" si="2"/>
        <v>2069.6297325793157</v>
      </c>
      <c r="AJ58" t="s">
        <v>465</v>
      </c>
      <c r="AN58" t="s">
        <v>108</v>
      </c>
      <c r="AO58" s="259">
        <v>2620.0806070428616</v>
      </c>
      <c r="AP58" t="s">
        <v>439</v>
      </c>
    </row>
    <row r="59" spans="2:42" x14ac:dyDescent="0.25">
      <c r="B59" t="s">
        <v>172</v>
      </c>
      <c r="C59" s="101">
        <v>97314</v>
      </c>
      <c r="D59" s="101">
        <v>3185</v>
      </c>
      <c r="E59" s="101">
        <v>1675</v>
      </c>
      <c r="F59" s="101">
        <v>4153</v>
      </c>
      <c r="G59" s="101">
        <v>15940</v>
      </c>
      <c r="H59" s="101">
        <v>10527</v>
      </c>
      <c r="I59" s="101">
        <v>2977</v>
      </c>
      <c r="J59" s="101">
        <v>2571</v>
      </c>
      <c r="K59" s="101">
        <v>2448</v>
      </c>
      <c r="L59" s="101">
        <v>2966</v>
      </c>
      <c r="M59" s="101">
        <v>5687</v>
      </c>
      <c r="N59" s="101">
        <v>17029</v>
      </c>
      <c r="O59" s="101">
        <v>7370</v>
      </c>
      <c r="P59" s="101">
        <v>12043</v>
      </c>
      <c r="Q59" s="101">
        <v>7072</v>
      </c>
      <c r="R59" s="101">
        <v>1855</v>
      </c>
      <c r="S59" s="101"/>
      <c r="T59" t="s">
        <v>172</v>
      </c>
      <c r="U59" s="101">
        <f t="shared" si="0"/>
        <v>88301</v>
      </c>
      <c r="V59" s="101">
        <f>Inkomsten!M59</f>
        <v>79540000</v>
      </c>
      <c r="W59" s="101">
        <f>Inkomsten!D59</f>
        <v>61427199</v>
      </c>
      <c r="X59" s="101">
        <v>3787</v>
      </c>
      <c r="Y59" s="101">
        <v>0</v>
      </c>
      <c r="Z59" s="101">
        <v>0</v>
      </c>
      <c r="AA59" s="101">
        <v>283</v>
      </c>
      <c r="AB59" s="101">
        <v>700</v>
      </c>
      <c r="AC59" s="101">
        <v>122</v>
      </c>
      <c r="AD59" s="101">
        <v>21</v>
      </c>
      <c r="AE59" s="101">
        <v>556</v>
      </c>
      <c r="AF59" s="101">
        <v>67</v>
      </c>
      <c r="AG59" s="101">
        <f t="shared" si="1"/>
        <v>64652.198999999993</v>
      </c>
      <c r="AH59" s="101">
        <v>29931</v>
      </c>
      <c r="AI59" s="101">
        <f t="shared" si="2"/>
        <v>2160.0413952089802</v>
      </c>
      <c r="AJ59" t="s">
        <v>116</v>
      </c>
      <c r="AN59" t="s">
        <v>426</v>
      </c>
      <c r="AO59" s="259">
        <v>2593.2824747914738</v>
      </c>
      <c r="AP59" t="s">
        <v>439</v>
      </c>
    </row>
    <row r="60" spans="2:42" x14ac:dyDescent="0.25">
      <c r="B60" t="s">
        <v>141</v>
      </c>
      <c r="C60" s="101">
        <v>89552</v>
      </c>
      <c r="D60" s="101">
        <v>2774</v>
      </c>
      <c r="E60" s="101">
        <v>155</v>
      </c>
      <c r="F60" s="101">
        <v>2445</v>
      </c>
      <c r="G60" s="101">
        <v>25376</v>
      </c>
      <c r="H60" s="101">
        <v>9444</v>
      </c>
      <c r="I60" s="101">
        <v>2298</v>
      </c>
      <c r="J60" s="101">
        <v>1816</v>
      </c>
      <c r="K60" s="101">
        <v>1605</v>
      </c>
      <c r="L60" s="101">
        <v>1640</v>
      </c>
      <c r="M60" s="101">
        <v>4108</v>
      </c>
      <c r="N60" s="101">
        <v>5895</v>
      </c>
      <c r="O60" s="101">
        <v>8603</v>
      </c>
      <c r="P60" s="101">
        <v>15671</v>
      </c>
      <c r="Q60" s="101">
        <v>7068</v>
      </c>
      <c r="R60" s="101">
        <v>855</v>
      </c>
      <c r="S60" s="101"/>
      <c r="T60" t="s">
        <v>141</v>
      </c>
      <c r="U60" s="101">
        <f t="shared" si="0"/>
        <v>84178</v>
      </c>
      <c r="V60" s="101">
        <f>Inkomsten!M60</f>
        <v>76891000</v>
      </c>
      <c r="W60" s="101">
        <f>Inkomsten!D60</f>
        <v>53694319</v>
      </c>
      <c r="X60" s="101">
        <v>1586</v>
      </c>
      <c r="Y60" s="101">
        <v>2928</v>
      </c>
      <c r="Z60" s="101">
        <v>303</v>
      </c>
      <c r="AA60" s="101">
        <v>666</v>
      </c>
      <c r="AB60" s="101">
        <v>1773</v>
      </c>
      <c r="AC60" s="101">
        <v>142</v>
      </c>
      <c r="AD60" s="101">
        <v>203</v>
      </c>
      <c r="AE60" s="101">
        <v>0</v>
      </c>
      <c r="AF60" s="101">
        <v>85</v>
      </c>
      <c r="AG60" s="101">
        <f t="shared" si="1"/>
        <v>53295.319000000003</v>
      </c>
      <c r="AH60" s="101">
        <v>29684</v>
      </c>
      <c r="AI60" s="101">
        <f t="shared" si="2"/>
        <v>1795.4224161164263</v>
      </c>
      <c r="AJ60" t="s">
        <v>465</v>
      </c>
      <c r="AN60" t="s">
        <v>370</v>
      </c>
      <c r="AO60" s="259">
        <v>2585.991926108899</v>
      </c>
      <c r="AP60" t="s">
        <v>439</v>
      </c>
    </row>
    <row r="61" spans="2:42" x14ac:dyDescent="0.25">
      <c r="B61" t="s">
        <v>127</v>
      </c>
      <c r="C61" s="101">
        <v>66530</v>
      </c>
      <c r="D61" s="101">
        <v>203</v>
      </c>
      <c r="E61" s="101">
        <v>237</v>
      </c>
      <c r="F61" s="101">
        <v>2208</v>
      </c>
      <c r="G61" s="101">
        <v>15865</v>
      </c>
      <c r="H61" s="101">
        <v>7063</v>
      </c>
      <c r="I61" s="101">
        <v>1304</v>
      </c>
      <c r="J61" s="101">
        <v>2034</v>
      </c>
      <c r="K61" s="101">
        <v>671</v>
      </c>
      <c r="L61" s="101">
        <v>2828</v>
      </c>
      <c r="M61" s="101">
        <v>2065</v>
      </c>
      <c r="N61" s="101">
        <v>14287</v>
      </c>
      <c r="O61" s="101">
        <v>6191</v>
      </c>
      <c r="P61" s="101">
        <v>7214</v>
      </c>
      <c r="Q61" s="101">
        <v>4388</v>
      </c>
      <c r="R61" s="101">
        <v>199</v>
      </c>
      <c r="S61" s="101"/>
      <c r="T61" t="s">
        <v>127</v>
      </c>
      <c r="U61" s="101">
        <f t="shared" si="0"/>
        <v>63882</v>
      </c>
      <c r="V61" s="101">
        <f>Inkomsten!M61</f>
        <v>60245000</v>
      </c>
      <c r="W61" s="101">
        <f>Inkomsten!D61</f>
        <v>43194084</v>
      </c>
      <c r="X61" s="101">
        <v>1550</v>
      </c>
      <c r="Y61" s="101">
        <v>1977</v>
      </c>
      <c r="Z61" s="101">
        <v>0</v>
      </c>
      <c r="AA61" s="101">
        <v>288</v>
      </c>
      <c r="AB61" s="101">
        <v>257</v>
      </c>
      <c r="AC61" s="101">
        <v>34</v>
      </c>
      <c r="AD61" s="101">
        <v>47</v>
      </c>
      <c r="AE61" s="101">
        <v>2</v>
      </c>
      <c r="AF61" s="101">
        <v>66</v>
      </c>
      <c r="AG61" s="101">
        <f t="shared" si="1"/>
        <v>42610.084000000003</v>
      </c>
      <c r="AH61" s="101">
        <v>19135</v>
      </c>
      <c r="AI61" s="101">
        <f t="shared" si="2"/>
        <v>2226.8139012281158</v>
      </c>
      <c r="AJ61" t="s">
        <v>116</v>
      </c>
      <c r="AN61" t="s">
        <v>424</v>
      </c>
      <c r="AO61" s="259">
        <v>2583.0791645387549</v>
      </c>
      <c r="AP61" t="s">
        <v>439</v>
      </c>
    </row>
    <row r="62" spans="2:42" x14ac:dyDescent="0.25">
      <c r="B62" t="s">
        <v>216</v>
      </c>
      <c r="C62" s="101">
        <v>129078</v>
      </c>
      <c r="D62" s="101">
        <v>2917</v>
      </c>
      <c r="E62" s="101">
        <v>1630</v>
      </c>
      <c r="F62" s="101">
        <v>5517</v>
      </c>
      <c r="G62" s="101">
        <v>23404</v>
      </c>
      <c r="H62" s="101">
        <v>11853</v>
      </c>
      <c r="I62" s="101">
        <v>3703</v>
      </c>
      <c r="J62" s="101">
        <v>2958</v>
      </c>
      <c r="K62" s="101">
        <v>444</v>
      </c>
      <c r="L62" s="101">
        <v>3234</v>
      </c>
      <c r="M62" s="101">
        <v>8007</v>
      </c>
      <c r="N62" s="101">
        <v>18627</v>
      </c>
      <c r="O62" s="101">
        <v>14174</v>
      </c>
      <c r="P62" s="101">
        <v>20189</v>
      </c>
      <c r="Q62" s="101">
        <v>11317</v>
      </c>
      <c r="R62" s="101">
        <v>1383</v>
      </c>
      <c r="S62" s="101"/>
      <c r="T62" t="s">
        <v>216</v>
      </c>
      <c r="U62" s="101">
        <f t="shared" si="0"/>
        <v>119014</v>
      </c>
      <c r="V62" s="101">
        <f>Inkomsten!M62</f>
        <v>88000000</v>
      </c>
      <c r="W62" s="101">
        <f>Inkomsten!D62</f>
        <v>74070040.694220096</v>
      </c>
      <c r="X62" s="101">
        <v>4948</v>
      </c>
      <c r="Y62" s="101">
        <v>5731</v>
      </c>
      <c r="Z62" s="101">
        <v>532</v>
      </c>
      <c r="AA62" s="101">
        <v>847</v>
      </c>
      <c r="AB62" s="101">
        <v>1349</v>
      </c>
      <c r="AC62" s="101">
        <v>224</v>
      </c>
      <c r="AD62" s="101">
        <v>230</v>
      </c>
      <c r="AE62" s="101">
        <v>0</v>
      </c>
      <c r="AF62" s="101">
        <v>534</v>
      </c>
      <c r="AG62" s="101">
        <f t="shared" si="1"/>
        <v>90689.040694220093</v>
      </c>
      <c r="AH62" s="101">
        <v>43709</v>
      </c>
      <c r="AI62" s="101">
        <f t="shared" si="2"/>
        <v>2074.8367771905123</v>
      </c>
      <c r="AJ62" t="s">
        <v>465</v>
      </c>
      <c r="AN62" t="s">
        <v>408</v>
      </c>
      <c r="AO62" s="259">
        <v>2573.4223719949869</v>
      </c>
      <c r="AP62" t="s">
        <v>439</v>
      </c>
    </row>
    <row r="63" spans="2:42" x14ac:dyDescent="0.25">
      <c r="B63" t="s">
        <v>525</v>
      </c>
      <c r="C63" s="101">
        <v>162927</v>
      </c>
      <c r="D63" s="101">
        <v>388</v>
      </c>
      <c r="E63" s="101">
        <v>2430</v>
      </c>
      <c r="F63" s="101">
        <v>7565</v>
      </c>
      <c r="G63" s="101">
        <v>44652</v>
      </c>
      <c r="H63" s="101">
        <v>17355</v>
      </c>
      <c r="I63" s="101">
        <v>4329</v>
      </c>
      <c r="J63" s="101">
        <v>8589</v>
      </c>
      <c r="K63" s="101">
        <v>1358</v>
      </c>
      <c r="L63" s="101">
        <v>3769</v>
      </c>
      <c r="M63" s="101">
        <v>9805</v>
      </c>
      <c r="N63" s="101">
        <v>23043</v>
      </c>
      <c r="O63" s="101">
        <v>11680</v>
      </c>
      <c r="P63" s="101">
        <v>16210</v>
      </c>
      <c r="Q63" s="101">
        <v>11004</v>
      </c>
      <c r="R63" s="101">
        <v>1134</v>
      </c>
      <c r="S63" s="101"/>
      <c r="T63" t="s">
        <v>525</v>
      </c>
      <c r="U63" s="101">
        <f t="shared" si="0"/>
        <v>152544</v>
      </c>
      <c r="V63" s="101">
        <f>Inkomsten!M63</f>
        <v>127701000</v>
      </c>
      <c r="W63" s="101">
        <f>Inkomsten!D63</f>
        <v>110168404</v>
      </c>
      <c r="X63" s="101">
        <v>5248</v>
      </c>
      <c r="Y63" s="101">
        <v>6192</v>
      </c>
      <c r="Z63" s="101">
        <v>424</v>
      </c>
      <c r="AA63" s="101">
        <v>478</v>
      </c>
      <c r="AB63" s="101">
        <v>1468</v>
      </c>
      <c r="AC63" s="101">
        <v>821</v>
      </c>
      <c r="AD63" s="101">
        <v>960</v>
      </c>
      <c r="AE63" s="101">
        <v>0</v>
      </c>
      <c r="AF63" s="101">
        <v>430</v>
      </c>
      <c r="AG63" s="101">
        <f t="shared" si="1"/>
        <v>118990.40399999998</v>
      </c>
      <c r="AH63" s="101">
        <v>51928</v>
      </c>
      <c r="AI63" s="101">
        <f t="shared" si="2"/>
        <v>2291.4497766137724</v>
      </c>
      <c r="AJ63" t="s">
        <v>116</v>
      </c>
      <c r="AN63" t="s">
        <v>250</v>
      </c>
      <c r="AO63" s="259">
        <v>2536.1591160519215</v>
      </c>
      <c r="AP63" t="s">
        <v>439</v>
      </c>
    </row>
    <row r="64" spans="2:42" x14ac:dyDescent="0.25">
      <c r="B64" t="s">
        <v>217</v>
      </c>
      <c r="C64" s="101">
        <v>118903</v>
      </c>
      <c r="D64" s="101">
        <v>75</v>
      </c>
      <c r="E64" s="101">
        <v>2207</v>
      </c>
      <c r="F64" s="101">
        <v>5017</v>
      </c>
      <c r="G64" s="101">
        <v>35088</v>
      </c>
      <c r="H64" s="101">
        <v>11331</v>
      </c>
      <c r="I64" s="101">
        <v>3568</v>
      </c>
      <c r="J64" s="101">
        <v>8038</v>
      </c>
      <c r="K64" s="101">
        <v>641</v>
      </c>
      <c r="L64" s="101">
        <v>3652</v>
      </c>
      <c r="M64" s="101">
        <v>7564</v>
      </c>
      <c r="N64" s="101">
        <v>8901</v>
      </c>
      <c r="O64" s="101">
        <v>9768</v>
      </c>
      <c r="P64" s="101">
        <v>12438</v>
      </c>
      <c r="Q64" s="101">
        <v>7971</v>
      </c>
      <c r="R64" s="101">
        <v>2972</v>
      </c>
      <c r="S64" s="101"/>
      <c r="T64" t="s">
        <v>217</v>
      </c>
      <c r="U64" s="101">
        <f t="shared" si="0"/>
        <v>111604</v>
      </c>
      <c r="V64" s="101">
        <f>Inkomsten!M64</f>
        <v>96326000</v>
      </c>
      <c r="W64" s="101">
        <f>Inkomsten!D64</f>
        <v>78426925</v>
      </c>
      <c r="X64" s="101">
        <v>5314</v>
      </c>
      <c r="Y64" s="101">
        <v>6202</v>
      </c>
      <c r="Z64" s="101">
        <v>68</v>
      </c>
      <c r="AA64" s="101">
        <v>806</v>
      </c>
      <c r="AB64" s="101">
        <v>1932</v>
      </c>
      <c r="AC64" s="101">
        <v>228</v>
      </c>
      <c r="AD64" s="101">
        <v>695</v>
      </c>
      <c r="AE64" s="101">
        <v>6</v>
      </c>
      <c r="AF64" s="101">
        <v>65</v>
      </c>
      <c r="AG64" s="101">
        <f t="shared" si="1"/>
        <v>78388.925000000003</v>
      </c>
      <c r="AH64" s="101">
        <v>45812</v>
      </c>
      <c r="AI64" s="101">
        <f t="shared" si="2"/>
        <v>1711.1002575744346</v>
      </c>
      <c r="AJ64" t="s">
        <v>465</v>
      </c>
      <c r="AN64" t="s">
        <v>110</v>
      </c>
      <c r="AO64" s="259">
        <v>2535.3491693371161</v>
      </c>
      <c r="AP64" t="s">
        <v>439</v>
      </c>
    </row>
    <row r="65" spans="2:45" x14ac:dyDescent="0.25">
      <c r="B65" t="s">
        <v>115</v>
      </c>
      <c r="C65" s="101">
        <v>66728</v>
      </c>
      <c r="D65" s="101">
        <v>190</v>
      </c>
      <c r="E65" s="101">
        <v>359</v>
      </c>
      <c r="F65" s="101">
        <v>3103</v>
      </c>
      <c r="G65" s="101">
        <v>1557</v>
      </c>
      <c r="H65" s="101">
        <v>12378</v>
      </c>
      <c r="I65" s="101">
        <v>2449</v>
      </c>
      <c r="J65" s="101">
        <v>3237</v>
      </c>
      <c r="K65" s="101">
        <v>1231</v>
      </c>
      <c r="L65" s="101">
        <v>1955</v>
      </c>
      <c r="M65" s="101">
        <v>5695</v>
      </c>
      <c r="N65" s="101">
        <v>7752</v>
      </c>
      <c r="O65" s="101">
        <v>5143</v>
      </c>
      <c r="P65" s="101">
        <v>11703</v>
      </c>
      <c r="Q65" s="101">
        <v>6848</v>
      </c>
      <c r="R65" s="101">
        <v>3128</v>
      </c>
      <c r="S65" s="101"/>
      <c r="T65" t="s">
        <v>115</v>
      </c>
      <c r="U65" s="101">
        <f t="shared" si="0"/>
        <v>63076</v>
      </c>
      <c r="V65" s="101">
        <f>Inkomsten!M65</f>
        <v>54673000</v>
      </c>
      <c r="W65" s="101">
        <f>Inkomsten!D65</f>
        <v>46749917</v>
      </c>
      <c r="X65" s="101">
        <v>2712</v>
      </c>
      <c r="Y65" s="101">
        <v>2485</v>
      </c>
      <c r="Z65" s="101">
        <v>224</v>
      </c>
      <c r="AA65" s="101">
        <v>499</v>
      </c>
      <c r="AB65" s="101">
        <v>691</v>
      </c>
      <c r="AC65" s="101">
        <v>59</v>
      </c>
      <c r="AD65" s="101">
        <v>388</v>
      </c>
      <c r="AE65" s="101">
        <v>0</v>
      </c>
      <c r="AF65" s="101">
        <v>23</v>
      </c>
      <c r="AG65" s="101">
        <f t="shared" si="1"/>
        <v>48071.917000000001</v>
      </c>
      <c r="AH65" s="101">
        <v>24582</v>
      </c>
      <c r="AI65" s="101">
        <f t="shared" si="2"/>
        <v>1955.5738751932308</v>
      </c>
      <c r="AJ65" t="s">
        <v>465</v>
      </c>
      <c r="AN65" t="s">
        <v>381</v>
      </c>
      <c r="AO65" s="259">
        <v>2480.7795937661895</v>
      </c>
      <c r="AP65" t="s">
        <v>439</v>
      </c>
    </row>
    <row r="66" spans="2:45" x14ac:dyDescent="0.25">
      <c r="B66" t="s">
        <v>288</v>
      </c>
      <c r="C66" s="101">
        <v>520935</v>
      </c>
      <c r="D66" s="101">
        <v>14925</v>
      </c>
      <c r="E66" s="101">
        <v>6270</v>
      </c>
      <c r="F66" s="101">
        <v>17733</v>
      </c>
      <c r="G66" s="101">
        <v>94847</v>
      </c>
      <c r="H66" s="101">
        <v>26316</v>
      </c>
      <c r="I66" s="101">
        <v>11639</v>
      </c>
      <c r="J66" s="101">
        <v>37102</v>
      </c>
      <c r="K66" s="101">
        <v>6560</v>
      </c>
      <c r="L66" s="101">
        <v>24728</v>
      </c>
      <c r="M66" s="101">
        <v>27458</v>
      </c>
      <c r="N66" s="101">
        <v>81700</v>
      </c>
      <c r="O66" s="101">
        <v>33558</v>
      </c>
      <c r="P66" s="101">
        <v>85084</v>
      </c>
      <c r="Q66" s="101">
        <v>45037</v>
      </c>
      <c r="R66" s="101">
        <v>9467</v>
      </c>
      <c r="S66" s="101"/>
      <c r="T66" t="s">
        <v>288</v>
      </c>
      <c r="U66" s="101">
        <f t="shared" si="0"/>
        <v>482007</v>
      </c>
      <c r="V66" s="101">
        <f>Inkomsten!M66</f>
        <v>356762000</v>
      </c>
      <c r="W66" s="101">
        <f>Inkomsten!D66</f>
        <v>249140524</v>
      </c>
      <c r="X66" s="101">
        <v>14374</v>
      </c>
      <c r="Y66" s="101">
        <v>18811</v>
      </c>
      <c r="Z66" s="101">
        <v>0</v>
      </c>
      <c r="AA66" s="101">
        <v>1321</v>
      </c>
      <c r="AB66" s="101">
        <v>3949</v>
      </c>
      <c r="AC66" s="101">
        <v>264</v>
      </c>
      <c r="AD66" s="101">
        <v>1541</v>
      </c>
      <c r="AE66" s="101">
        <v>8872</v>
      </c>
      <c r="AF66" s="101">
        <v>1030</v>
      </c>
      <c r="AG66" s="101">
        <f t="shared" si="1"/>
        <v>324223.52399999998</v>
      </c>
      <c r="AH66" s="101">
        <v>109573</v>
      </c>
      <c r="AI66" s="101">
        <f t="shared" si="2"/>
        <v>2958.9727761401077</v>
      </c>
      <c r="AJ66" t="s">
        <v>116</v>
      </c>
      <c r="AN66" t="s">
        <v>279</v>
      </c>
      <c r="AO66" s="259">
        <v>2440.270422275923</v>
      </c>
      <c r="AP66" t="s">
        <v>439</v>
      </c>
    </row>
    <row r="67" spans="2:45" x14ac:dyDescent="0.25">
      <c r="B67" t="s">
        <v>245</v>
      </c>
      <c r="C67" s="101">
        <v>246497</v>
      </c>
      <c r="D67" s="101">
        <v>2785</v>
      </c>
      <c r="E67" s="101">
        <v>1258</v>
      </c>
      <c r="F67" s="101">
        <v>8546</v>
      </c>
      <c r="G67" s="101">
        <v>45599</v>
      </c>
      <c r="H67" s="101">
        <v>15102</v>
      </c>
      <c r="I67" s="101">
        <v>4998</v>
      </c>
      <c r="J67" s="101">
        <v>10480</v>
      </c>
      <c r="K67" s="101">
        <v>2742</v>
      </c>
      <c r="L67" s="101">
        <v>7782</v>
      </c>
      <c r="M67" s="101">
        <v>18844</v>
      </c>
      <c r="N67" s="101">
        <v>41226</v>
      </c>
      <c r="O67" s="101">
        <v>32085</v>
      </c>
      <c r="P67" s="101">
        <v>35794</v>
      </c>
      <c r="Q67" s="101">
        <v>16425</v>
      </c>
      <c r="R67" s="101">
        <v>3299</v>
      </c>
      <c r="S67" s="101"/>
      <c r="T67" t="s">
        <v>245</v>
      </c>
      <c r="U67" s="101">
        <f t="shared" ref="U67:U130" si="3">SUM(C67,-D67,-E67,-F67)</f>
        <v>233908</v>
      </c>
      <c r="V67" s="101">
        <f>Inkomsten!M67</f>
        <v>200777000</v>
      </c>
      <c r="W67" s="101">
        <f>Inkomsten!D67</f>
        <v>141319390</v>
      </c>
      <c r="X67" s="101">
        <v>4228</v>
      </c>
      <c r="Y67" s="101">
        <v>11828</v>
      </c>
      <c r="Z67" s="101">
        <v>268</v>
      </c>
      <c r="AA67" s="101">
        <v>930</v>
      </c>
      <c r="AB67" s="101">
        <v>1290</v>
      </c>
      <c r="AC67" s="101">
        <v>109</v>
      </c>
      <c r="AD67" s="101">
        <v>884</v>
      </c>
      <c r="AE67" s="101">
        <v>52</v>
      </c>
      <c r="AF67" s="101">
        <v>744</v>
      </c>
      <c r="AG67" s="101">
        <f t="shared" ref="AG67:AG130" si="4">SUM(U67,-V67/1000,W67/1000,-X67,-Y67,-Z67,-AA67,-AB67,-AC67,-AD67,-AE67,-AF67)</f>
        <v>154117.39000000001</v>
      </c>
      <c r="AH67" s="101">
        <v>56452</v>
      </c>
      <c r="AI67" s="101">
        <f t="shared" ref="AI67:AI130" si="5">AG67*1000/AH67</f>
        <v>2730.0607595833631</v>
      </c>
      <c r="AJ67" t="s">
        <v>439</v>
      </c>
      <c r="AN67" t="s">
        <v>149</v>
      </c>
      <c r="AO67" s="259">
        <v>2430.5662056030505</v>
      </c>
      <c r="AP67" t="s">
        <v>439</v>
      </c>
    </row>
    <row r="68" spans="2:45" x14ac:dyDescent="0.25">
      <c r="B68" t="s">
        <v>355</v>
      </c>
      <c r="C68" s="101">
        <v>112835</v>
      </c>
      <c r="D68" s="101">
        <v>9375</v>
      </c>
      <c r="E68" s="101">
        <v>1523</v>
      </c>
      <c r="F68" s="101">
        <v>4429</v>
      </c>
      <c r="G68" s="101">
        <v>23243</v>
      </c>
      <c r="H68" s="101">
        <v>7898</v>
      </c>
      <c r="I68" s="101">
        <v>2332</v>
      </c>
      <c r="J68" s="101">
        <v>3679</v>
      </c>
      <c r="K68" s="101">
        <v>4481</v>
      </c>
      <c r="L68" s="101">
        <v>3389</v>
      </c>
      <c r="M68" s="101">
        <v>5562</v>
      </c>
      <c r="N68" s="101">
        <v>16671</v>
      </c>
      <c r="O68" s="101">
        <v>6654</v>
      </c>
      <c r="P68" s="101">
        <v>14850</v>
      </c>
      <c r="Q68" s="101">
        <v>6747</v>
      </c>
      <c r="R68" s="101">
        <v>2440</v>
      </c>
      <c r="S68" s="101"/>
      <c r="T68" t="s">
        <v>355</v>
      </c>
      <c r="U68" s="101">
        <f t="shared" si="3"/>
        <v>97508</v>
      </c>
      <c r="V68" s="101">
        <f>Inkomsten!M68</f>
        <v>76819000</v>
      </c>
      <c r="W68" s="101">
        <f>Inkomsten!D68</f>
        <v>62427564</v>
      </c>
      <c r="X68" s="101">
        <v>4645</v>
      </c>
      <c r="Y68" s="101">
        <v>2756</v>
      </c>
      <c r="Z68" s="101">
        <v>42</v>
      </c>
      <c r="AA68" s="101">
        <v>609</v>
      </c>
      <c r="AB68" s="101">
        <v>1503</v>
      </c>
      <c r="AC68" s="101">
        <v>178</v>
      </c>
      <c r="AD68" s="101">
        <v>460</v>
      </c>
      <c r="AE68" s="101">
        <v>30</v>
      </c>
      <c r="AF68" s="101">
        <v>183</v>
      </c>
      <c r="AG68" s="101">
        <f t="shared" si="4"/>
        <v>72710.563999999998</v>
      </c>
      <c r="AH68" s="101">
        <v>33183</v>
      </c>
      <c r="AI68" s="101">
        <f t="shared" si="5"/>
        <v>2191.1992285206279</v>
      </c>
      <c r="AJ68" t="s">
        <v>116</v>
      </c>
      <c r="AN68" t="s">
        <v>231</v>
      </c>
      <c r="AO68" s="259">
        <v>2399.5626561238928</v>
      </c>
      <c r="AP68" t="s">
        <v>439</v>
      </c>
    </row>
    <row r="69" spans="2:45" x14ac:dyDescent="0.25">
      <c r="B69" t="s">
        <v>142</v>
      </c>
      <c r="C69" s="101">
        <v>456256</v>
      </c>
      <c r="D69" s="101">
        <v>10462</v>
      </c>
      <c r="E69" s="101">
        <v>7157</v>
      </c>
      <c r="F69" s="101">
        <v>16770</v>
      </c>
      <c r="G69" s="101">
        <v>76028</v>
      </c>
      <c r="H69" s="101">
        <v>52098</v>
      </c>
      <c r="I69" s="101">
        <v>8862</v>
      </c>
      <c r="J69" s="101">
        <v>19764</v>
      </c>
      <c r="K69" s="101">
        <v>9112</v>
      </c>
      <c r="L69" s="101">
        <v>9135</v>
      </c>
      <c r="M69" s="101">
        <v>35493</v>
      </c>
      <c r="N69" s="101">
        <v>79159</v>
      </c>
      <c r="O69" s="101">
        <v>32594</v>
      </c>
      <c r="P69" s="101">
        <v>71098</v>
      </c>
      <c r="Q69" s="101">
        <v>29489</v>
      </c>
      <c r="R69" s="101">
        <v>1705</v>
      </c>
      <c r="S69" s="101"/>
      <c r="T69" t="s">
        <v>142</v>
      </c>
      <c r="U69" s="101">
        <f t="shared" si="3"/>
        <v>421867</v>
      </c>
      <c r="V69" s="101">
        <f>Inkomsten!M69</f>
        <v>344179000</v>
      </c>
      <c r="W69" s="101">
        <f>Inkomsten!D69</f>
        <v>241657184</v>
      </c>
      <c r="X69" s="101">
        <v>9329</v>
      </c>
      <c r="Y69" s="101">
        <v>13139</v>
      </c>
      <c r="Z69" s="101">
        <v>181</v>
      </c>
      <c r="AA69" s="101">
        <v>1835</v>
      </c>
      <c r="AB69" s="101">
        <v>4952</v>
      </c>
      <c r="AC69" s="101">
        <v>883</v>
      </c>
      <c r="AD69" s="101">
        <v>444</v>
      </c>
      <c r="AE69" s="101">
        <v>5696</v>
      </c>
      <c r="AF69" s="101">
        <v>1344</v>
      </c>
      <c r="AG69" s="101">
        <f t="shared" si="4"/>
        <v>281542.18400000001</v>
      </c>
      <c r="AH69" s="101">
        <v>103402</v>
      </c>
      <c r="AI69" s="101">
        <f t="shared" si="5"/>
        <v>2722.7924411520085</v>
      </c>
      <c r="AJ69" t="s">
        <v>439</v>
      </c>
      <c r="AN69" t="s">
        <v>421</v>
      </c>
      <c r="AO69" s="259">
        <v>2382.1872004746383</v>
      </c>
      <c r="AP69" t="s">
        <v>439</v>
      </c>
    </row>
    <row r="70" spans="2:45" x14ac:dyDescent="0.25">
      <c r="B70" t="s">
        <v>246</v>
      </c>
      <c r="C70" s="101">
        <v>102739</v>
      </c>
      <c r="D70" s="101">
        <v>5032</v>
      </c>
      <c r="E70" s="101">
        <v>905</v>
      </c>
      <c r="F70" s="101">
        <v>6758</v>
      </c>
      <c r="G70" s="101">
        <v>22061</v>
      </c>
      <c r="H70" s="101">
        <v>13617</v>
      </c>
      <c r="I70" s="101">
        <v>2347</v>
      </c>
      <c r="J70" s="101">
        <v>4406</v>
      </c>
      <c r="K70" s="101">
        <v>777</v>
      </c>
      <c r="L70" s="101">
        <v>1890</v>
      </c>
      <c r="M70" s="101">
        <v>4064</v>
      </c>
      <c r="N70" s="101">
        <v>11453</v>
      </c>
      <c r="O70" s="101">
        <v>10097</v>
      </c>
      <c r="P70" s="101">
        <v>7527</v>
      </c>
      <c r="Q70" s="101">
        <v>11299</v>
      </c>
      <c r="R70" s="101">
        <v>853</v>
      </c>
      <c r="S70" s="101"/>
      <c r="T70" t="s">
        <v>246</v>
      </c>
      <c r="U70" s="101">
        <f t="shared" si="3"/>
        <v>90044</v>
      </c>
      <c r="V70" s="101">
        <f>Inkomsten!M70</f>
        <v>72758000</v>
      </c>
      <c r="W70" s="101">
        <f>Inkomsten!D70</f>
        <v>60107029</v>
      </c>
      <c r="X70" s="101">
        <v>3889</v>
      </c>
      <c r="Y70" s="101">
        <v>5608</v>
      </c>
      <c r="Z70" s="101">
        <v>2</v>
      </c>
      <c r="AA70" s="101">
        <v>571</v>
      </c>
      <c r="AB70" s="101">
        <v>982</v>
      </c>
      <c r="AC70" s="101">
        <v>90</v>
      </c>
      <c r="AD70" s="101">
        <v>805</v>
      </c>
      <c r="AE70" s="101">
        <v>1513</v>
      </c>
      <c r="AF70" s="101">
        <v>327</v>
      </c>
      <c r="AG70" s="101">
        <f t="shared" si="4"/>
        <v>63606.02900000001</v>
      </c>
      <c r="AH70" s="101">
        <v>33012</v>
      </c>
      <c r="AI70" s="101">
        <f t="shared" si="5"/>
        <v>1926.7547861383741</v>
      </c>
      <c r="AJ70" t="s">
        <v>116</v>
      </c>
      <c r="AN70" t="s">
        <v>258</v>
      </c>
      <c r="AO70" s="259">
        <v>2379.9410859778777</v>
      </c>
      <c r="AP70" t="s">
        <v>439</v>
      </c>
    </row>
    <row r="71" spans="2:45" x14ac:dyDescent="0.25">
      <c r="B71" t="s">
        <v>772</v>
      </c>
      <c r="C71" s="101">
        <v>288004</v>
      </c>
      <c r="D71" s="101">
        <v>27585</v>
      </c>
      <c r="E71" s="101">
        <v>980</v>
      </c>
      <c r="F71" s="101">
        <v>10510</v>
      </c>
      <c r="G71" s="101">
        <v>56076</v>
      </c>
      <c r="H71" s="101">
        <v>19692</v>
      </c>
      <c r="I71" s="101">
        <v>6626</v>
      </c>
      <c r="J71" s="101">
        <v>13868</v>
      </c>
      <c r="K71" s="101">
        <v>3932</v>
      </c>
      <c r="L71" s="101">
        <v>6071</v>
      </c>
      <c r="M71" s="101">
        <v>19226</v>
      </c>
      <c r="N71" s="101">
        <v>35646</v>
      </c>
      <c r="O71" s="101">
        <v>37086</v>
      </c>
      <c r="P71" s="101">
        <v>27397</v>
      </c>
      <c r="Q71" s="101">
        <v>22186</v>
      </c>
      <c r="R71" s="101">
        <v>1891</v>
      </c>
      <c r="S71" s="101"/>
      <c r="T71" t="s">
        <v>772</v>
      </c>
      <c r="U71" s="101">
        <f t="shared" si="3"/>
        <v>248929</v>
      </c>
      <c r="V71" s="101">
        <f>Inkomsten!M71</f>
        <v>207146000</v>
      </c>
      <c r="W71" s="101">
        <f>Inkomsten!D71</f>
        <v>174821544</v>
      </c>
      <c r="X71" s="101">
        <v>12836</v>
      </c>
      <c r="Y71" s="101">
        <v>10109</v>
      </c>
      <c r="Z71" s="101">
        <v>442</v>
      </c>
      <c r="AA71" s="101">
        <v>1543</v>
      </c>
      <c r="AB71" s="101">
        <v>2552</v>
      </c>
      <c r="AC71" s="101">
        <v>346</v>
      </c>
      <c r="AD71" s="101">
        <v>0</v>
      </c>
      <c r="AE71" s="101">
        <v>254</v>
      </c>
      <c r="AF71" s="101">
        <v>16</v>
      </c>
      <c r="AG71" s="101">
        <f t="shared" si="4"/>
        <v>188506.54399999999</v>
      </c>
      <c r="AH71" s="101">
        <v>90050</v>
      </c>
      <c r="AI71" s="101">
        <f t="shared" si="5"/>
        <v>2093.3541810105498</v>
      </c>
      <c r="AJ71" t="s">
        <v>116</v>
      </c>
      <c r="AN71" t="s">
        <v>177</v>
      </c>
      <c r="AO71" s="259">
        <v>2288.7053686758832</v>
      </c>
      <c r="AP71" t="s">
        <v>439</v>
      </c>
      <c r="AQ71">
        <f>_xlfn.QUARTILE.INC(AO2:AO72,3)</f>
        <v>2971.0557625905517</v>
      </c>
      <c r="AR71">
        <f>5%*AQ71</f>
        <v>148.55278812952758</v>
      </c>
      <c r="AS71">
        <f>SUM(AQ71:AR71)</f>
        <v>3119.6085507200792</v>
      </c>
    </row>
    <row r="72" spans="2:45" x14ac:dyDescent="0.25">
      <c r="B72" t="s">
        <v>143</v>
      </c>
      <c r="C72" s="101">
        <v>74244</v>
      </c>
      <c r="D72" s="101">
        <v>1702</v>
      </c>
      <c r="E72" s="101">
        <v>404</v>
      </c>
      <c r="F72" s="101">
        <v>2771</v>
      </c>
      <c r="G72" s="101">
        <v>1088</v>
      </c>
      <c r="H72" s="101">
        <v>13798</v>
      </c>
      <c r="I72" s="101">
        <v>4554</v>
      </c>
      <c r="J72" s="101">
        <v>4072</v>
      </c>
      <c r="K72" s="101">
        <v>1600</v>
      </c>
      <c r="L72" s="101">
        <v>2486</v>
      </c>
      <c r="M72" s="101">
        <v>6551</v>
      </c>
      <c r="N72" s="101">
        <v>7646</v>
      </c>
      <c r="O72" s="101">
        <v>6642</v>
      </c>
      <c r="P72" s="101">
        <v>11883</v>
      </c>
      <c r="Q72" s="101">
        <v>6107</v>
      </c>
      <c r="R72" s="101">
        <v>2943</v>
      </c>
      <c r="S72" s="101"/>
      <c r="T72" t="s">
        <v>143</v>
      </c>
      <c r="U72" s="101">
        <f t="shared" si="3"/>
        <v>69367</v>
      </c>
      <c r="V72" s="101">
        <f>Inkomsten!M72</f>
        <v>54020000</v>
      </c>
      <c r="W72" s="101">
        <f>Inkomsten!D72</f>
        <v>46646808</v>
      </c>
      <c r="X72" s="101">
        <v>3343</v>
      </c>
      <c r="Y72" s="101">
        <v>2215</v>
      </c>
      <c r="Z72" s="101">
        <v>0</v>
      </c>
      <c r="AA72" s="101">
        <v>519</v>
      </c>
      <c r="AB72" s="101">
        <v>690</v>
      </c>
      <c r="AC72" s="101">
        <v>73</v>
      </c>
      <c r="AD72" s="101">
        <v>491</v>
      </c>
      <c r="AE72" s="101">
        <v>0</v>
      </c>
      <c r="AF72" s="101">
        <v>37</v>
      </c>
      <c r="AG72" s="101">
        <f t="shared" si="4"/>
        <v>54625.807999999997</v>
      </c>
      <c r="AH72" s="101">
        <v>26741</v>
      </c>
      <c r="AI72" s="101">
        <f t="shared" si="5"/>
        <v>2042.7735686773119</v>
      </c>
      <c r="AJ72" t="s">
        <v>465</v>
      </c>
      <c r="AN72" t="s">
        <v>256</v>
      </c>
      <c r="AO72" s="259">
        <v>2195.8408350267682</v>
      </c>
      <c r="AP72" t="s">
        <v>439</v>
      </c>
      <c r="AQ72">
        <f>_xlfn.QUARTILE.INC(AO2:AO72,1)</f>
        <v>2663.4556816012091</v>
      </c>
      <c r="AR72">
        <f>5%*AQ72</f>
        <v>133.17278408006047</v>
      </c>
      <c r="AS72">
        <f>SUM(AQ72,-AR72)</f>
        <v>2530.2828975211487</v>
      </c>
    </row>
    <row r="73" spans="2:45" x14ac:dyDescent="0.25">
      <c r="B73" t="s">
        <v>173</v>
      </c>
      <c r="C73" s="101">
        <v>41382</v>
      </c>
      <c r="D73" s="101">
        <v>12</v>
      </c>
      <c r="E73" s="101">
        <v>48</v>
      </c>
      <c r="F73" s="101">
        <v>1204</v>
      </c>
      <c r="G73" s="101">
        <v>9512</v>
      </c>
      <c r="H73" s="101">
        <v>2751</v>
      </c>
      <c r="I73" s="101">
        <v>901</v>
      </c>
      <c r="J73" s="101">
        <v>1059</v>
      </c>
      <c r="K73" s="101">
        <v>667</v>
      </c>
      <c r="L73" s="101">
        <v>773</v>
      </c>
      <c r="M73" s="101">
        <v>2006</v>
      </c>
      <c r="N73" s="101">
        <v>7703</v>
      </c>
      <c r="O73" s="101">
        <v>5538</v>
      </c>
      <c r="P73" s="101">
        <v>5984</v>
      </c>
      <c r="Q73" s="101">
        <v>2859</v>
      </c>
      <c r="R73" s="101">
        <v>593</v>
      </c>
      <c r="S73" s="101"/>
      <c r="T73" t="s">
        <v>173</v>
      </c>
      <c r="U73" s="101">
        <f t="shared" si="3"/>
        <v>40118</v>
      </c>
      <c r="V73" s="101">
        <f>Inkomsten!M73</f>
        <v>36297000</v>
      </c>
      <c r="W73" s="101">
        <f>Inkomsten!D73</f>
        <v>27431906</v>
      </c>
      <c r="X73" s="101">
        <v>1315</v>
      </c>
      <c r="Y73" s="101">
        <v>1528</v>
      </c>
      <c r="Z73" s="101">
        <v>74</v>
      </c>
      <c r="AA73" s="101">
        <v>140</v>
      </c>
      <c r="AB73" s="101">
        <v>355</v>
      </c>
      <c r="AC73" s="101">
        <v>128</v>
      </c>
      <c r="AD73" s="101">
        <v>408</v>
      </c>
      <c r="AE73" s="101">
        <v>593</v>
      </c>
      <c r="AF73" s="101">
        <v>177</v>
      </c>
      <c r="AG73" s="101">
        <f t="shared" si="4"/>
        <v>26534.905999999999</v>
      </c>
      <c r="AH73" s="101">
        <v>11081</v>
      </c>
      <c r="AI73" s="101">
        <f t="shared" si="5"/>
        <v>2394.6309899828534</v>
      </c>
      <c r="AJ73" t="s">
        <v>439</v>
      </c>
      <c r="AN73" t="s">
        <v>126</v>
      </c>
      <c r="AO73" s="259">
        <v>6596.7128862567879</v>
      </c>
      <c r="AP73" t="s">
        <v>465</v>
      </c>
    </row>
    <row r="74" spans="2:45" x14ac:dyDescent="0.25">
      <c r="B74" t="s">
        <v>174</v>
      </c>
      <c r="C74" s="101">
        <v>269449</v>
      </c>
      <c r="D74" s="101">
        <v>6865</v>
      </c>
      <c r="E74" s="101">
        <v>3943</v>
      </c>
      <c r="F74" s="101">
        <v>9430</v>
      </c>
      <c r="G74" s="101">
        <v>35833</v>
      </c>
      <c r="H74" s="101">
        <v>18323</v>
      </c>
      <c r="I74" s="101">
        <v>5053</v>
      </c>
      <c r="J74" s="101">
        <v>9363</v>
      </c>
      <c r="K74" s="101">
        <v>9168</v>
      </c>
      <c r="L74" s="101">
        <v>6737</v>
      </c>
      <c r="M74" s="101">
        <v>16466</v>
      </c>
      <c r="N74" s="101">
        <v>41637</v>
      </c>
      <c r="O74" s="101">
        <v>25151</v>
      </c>
      <c r="P74" s="101">
        <v>64884</v>
      </c>
      <c r="Q74" s="101">
        <v>15687</v>
      </c>
      <c r="R74" s="101">
        <v>1261</v>
      </c>
      <c r="S74" s="101"/>
      <c r="T74" t="s">
        <v>174</v>
      </c>
      <c r="U74" s="101">
        <f t="shared" si="3"/>
        <v>249211</v>
      </c>
      <c r="V74" s="101">
        <f>Inkomsten!M74</f>
        <v>217268000</v>
      </c>
      <c r="W74" s="101">
        <f>Inkomsten!D74</f>
        <v>136550973</v>
      </c>
      <c r="X74" s="101">
        <v>6618</v>
      </c>
      <c r="Y74" s="101">
        <v>9041</v>
      </c>
      <c r="Z74" s="101">
        <v>0</v>
      </c>
      <c r="AA74" s="101">
        <v>1075</v>
      </c>
      <c r="AB74" s="101">
        <v>1849</v>
      </c>
      <c r="AC74" s="101">
        <v>299</v>
      </c>
      <c r="AD74" s="101">
        <v>92</v>
      </c>
      <c r="AE74" s="101">
        <v>3795</v>
      </c>
      <c r="AF74" s="101">
        <v>118</v>
      </c>
      <c r="AG74" s="101">
        <f t="shared" si="4"/>
        <v>145606.973</v>
      </c>
      <c r="AH74" s="101">
        <v>59613</v>
      </c>
      <c r="AI74" s="101">
        <f t="shared" si="5"/>
        <v>2442.5372485867179</v>
      </c>
      <c r="AJ74" t="s">
        <v>439</v>
      </c>
      <c r="AN74" t="s">
        <v>135</v>
      </c>
      <c r="AO74" s="259">
        <v>3443.6840086881757</v>
      </c>
      <c r="AP74" t="s">
        <v>465</v>
      </c>
    </row>
    <row r="75" spans="2:45" x14ac:dyDescent="0.25">
      <c r="B75" t="s">
        <v>356</v>
      </c>
      <c r="C75" s="101">
        <v>70339</v>
      </c>
      <c r="D75" s="101">
        <v>231</v>
      </c>
      <c r="E75" s="101">
        <v>1003</v>
      </c>
      <c r="F75" s="101">
        <v>2975</v>
      </c>
      <c r="G75" s="101">
        <v>19219</v>
      </c>
      <c r="H75" s="101">
        <v>6452</v>
      </c>
      <c r="I75" s="101">
        <v>1666</v>
      </c>
      <c r="J75" s="101">
        <v>1340</v>
      </c>
      <c r="K75" s="101">
        <v>1524</v>
      </c>
      <c r="L75" s="101">
        <v>2044</v>
      </c>
      <c r="M75" s="101">
        <v>4812</v>
      </c>
      <c r="N75" s="101">
        <v>7970</v>
      </c>
      <c r="O75" s="101">
        <v>6787</v>
      </c>
      <c r="P75" s="101">
        <v>9122</v>
      </c>
      <c r="Q75" s="101">
        <v>5004</v>
      </c>
      <c r="R75" s="101">
        <v>428</v>
      </c>
      <c r="S75" s="101"/>
      <c r="T75" t="s">
        <v>356</v>
      </c>
      <c r="U75" s="101">
        <f t="shared" si="3"/>
        <v>66130</v>
      </c>
      <c r="V75" s="101">
        <f>Inkomsten!M75</f>
        <v>58399000</v>
      </c>
      <c r="W75" s="101">
        <f>Inkomsten!D75</f>
        <v>49348592</v>
      </c>
      <c r="X75" s="101">
        <v>2097</v>
      </c>
      <c r="Y75" s="101">
        <v>3653</v>
      </c>
      <c r="Z75" s="101">
        <v>134</v>
      </c>
      <c r="AA75" s="101">
        <v>628</v>
      </c>
      <c r="AB75" s="101">
        <v>589</v>
      </c>
      <c r="AC75" s="101">
        <v>69</v>
      </c>
      <c r="AD75" s="101">
        <v>140</v>
      </c>
      <c r="AE75" s="101">
        <v>1</v>
      </c>
      <c r="AF75" s="101">
        <v>1164</v>
      </c>
      <c r="AG75" s="101">
        <f t="shared" si="4"/>
        <v>48604.591999999997</v>
      </c>
      <c r="AH75" s="101">
        <v>27096</v>
      </c>
      <c r="AI75" s="101">
        <f t="shared" si="5"/>
        <v>1793.7921464422793</v>
      </c>
      <c r="AJ75" t="s">
        <v>465</v>
      </c>
      <c r="AN75" t="s">
        <v>238</v>
      </c>
      <c r="AO75" s="259">
        <v>2792.3483554884715</v>
      </c>
      <c r="AP75" t="s">
        <v>465</v>
      </c>
    </row>
    <row r="76" spans="2:45" x14ac:dyDescent="0.25">
      <c r="B76" t="s">
        <v>289</v>
      </c>
      <c r="C76" s="101">
        <v>687717</v>
      </c>
      <c r="D76" s="101">
        <v>35149</v>
      </c>
      <c r="E76" s="101">
        <v>5295</v>
      </c>
      <c r="F76" s="101">
        <v>22934</v>
      </c>
      <c r="G76" s="101">
        <v>116222</v>
      </c>
      <c r="H76" s="101">
        <v>44885</v>
      </c>
      <c r="I76" s="101">
        <v>18418</v>
      </c>
      <c r="J76" s="101">
        <v>21425</v>
      </c>
      <c r="K76" s="101">
        <v>19598</v>
      </c>
      <c r="L76" s="101">
        <v>21700</v>
      </c>
      <c r="M76" s="101">
        <v>39745</v>
      </c>
      <c r="N76" s="101">
        <v>130085</v>
      </c>
      <c r="O76" s="101">
        <v>43714</v>
      </c>
      <c r="P76" s="101">
        <v>119737</v>
      </c>
      <c r="Q76" s="101">
        <v>38728</v>
      </c>
      <c r="R76" s="101">
        <v>12084</v>
      </c>
      <c r="S76" s="101"/>
      <c r="T76" t="s">
        <v>289</v>
      </c>
      <c r="U76" s="101">
        <f t="shared" si="3"/>
        <v>624339</v>
      </c>
      <c r="V76" s="101">
        <f>Inkomsten!M76</f>
        <v>472392000</v>
      </c>
      <c r="W76" s="101">
        <f>Inkomsten!D76</f>
        <v>300765041</v>
      </c>
      <c r="X76" s="101">
        <v>15428</v>
      </c>
      <c r="Y76" s="101">
        <v>19389</v>
      </c>
      <c r="Z76" s="101">
        <v>2219</v>
      </c>
      <c r="AA76" s="101">
        <v>2679</v>
      </c>
      <c r="AB76" s="101">
        <v>5078</v>
      </c>
      <c r="AC76" s="101">
        <v>1371</v>
      </c>
      <c r="AD76" s="101">
        <v>1330</v>
      </c>
      <c r="AE76" s="101">
        <v>10957</v>
      </c>
      <c r="AF76" s="101">
        <v>648</v>
      </c>
      <c r="AG76" s="101">
        <f t="shared" si="4"/>
        <v>393613.04100000003</v>
      </c>
      <c r="AH76" s="101">
        <v>122089</v>
      </c>
      <c r="AI76" s="101">
        <f t="shared" si="5"/>
        <v>3223.9844785361497</v>
      </c>
      <c r="AJ76" t="s">
        <v>439</v>
      </c>
      <c r="AN76" t="s">
        <v>193</v>
      </c>
      <c r="AO76" s="259">
        <v>2639.0805845365712</v>
      </c>
      <c r="AP76" t="s">
        <v>465</v>
      </c>
    </row>
    <row r="77" spans="2:45" x14ac:dyDescent="0.25">
      <c r="B77" t="s">
        <v>247</v>
      </c>
      <c r="C77" s="101">
        <v>53104</v>
      </c>
      <c r="D77" s="101">
        <v>29</v>
      </c>
      <c r="E77" s="101">
        <v>0</v>
      </c>
      <c r="F77" s="101">
        <v>1911</v>
      </c>
      <c r="G77" s="101">
        <v>2136</v>
      </c>
      <c r="H77" s="101">
        <v>9915</v>
      </c>
      <c r="I77" s="101">
        <v>2130</v>
      </c>
      <c r="J77" s="101">
        <v>3301</v>
      </c>
      <c r="K77" s="101">
        <v>722</v>
      </c>
      <c r="L77" s="101">
        <v>886</v>
      </c>
      <c r="M77" s="101">
        <v>4385</v>
      </c>
      <c r="N77" s="101">
        <v>5916</v>
      </c>
      <c r="O77" s="101">
        <v>6166</v>
      </c>
      <c r="P77" s="101">
        <v>7865</v>
      </c>
      <c r="Q77" s="101">
        <v>6034</v>
      </c>
      <c r="R77" s="101">
        <v>1708</v>
      </c>
      <c r="S77" s="101"/>
      <c r="T77" t="s">
        <v>247</v>
      </c>
      <c r="U77" s="101">
        <f t="shared" si="3"/>
        <v>51164</v>
      </c>
      <c r="V77" s="101">
        <f>Inkomsten!M77</f>
        <v>42525000</v>
      </c>
      <c r="W77" s="101">
        <f>Inkomsten!D77</f>
        <v>36959694</v>
      </c>
      <c r="X77" s="101">
        <v>1595</v>
      </c>
      <c r="Y77" s="101">
        <v>3289</v>
      </c>
      <c r="Z77" s="101">
        <v>35</v>
      </c>
      <c r="AA77" s="101">
        <v>324</v>
      </c>
      <c r="AB77" s="101">
        <v>377</v>
      </c>
      <c r="AC77" s="101">
        <v>52</v>
      </c>
      <c r="AD77" s="101">
        <v>65</v>
      </c>
      <c r="AE77" s="101">
        <v>0</v>
      </c>
      <c r="AF77" s="101">
        <v>23</v>
      </c>
      <c r="AG77" s="101">
        <f t="shared" si="4"/>
        <v>39838.694000000003</v>
      </c>
      <c r="AH77" s="101">
        <v>20498</v>
      </c>
      <c r="AI77" s="101">
        <f t="shared" si="5"/>
        <v>1943.5405405405406</v>
      </c>
      <c r="AJ77" t="s">
        <v>465</v>
      </c>
      <c r="AN77" t="s">
        <v>225</v>
      </c>
      <c r="AO77" s="259">
        <v>2621.2905056781392</v>
      </c>
      <c r="AP77" t="s">
        <v>465</v>
      </c>
    </row>
    <row r="78" spans="2:45" x14ac:dyDescent="0.25">
      <c r="B78" t="s">
        <v>357</v>
      </c>
      <c r="C78" s="101">
        <v>76910</v>
      </c>
      <c r="D78" s="101">
        <v>4513</v>
      </c>
      <c r="E78" s="101">
        <v>551</v>
      </c>
      <c r="F78" s="101">
        <v>4447</v>
      </c>
      <c r="G78" s="101">
        <v>16871</v>
      </c>
      <c r="H78" s="101">
        <v>6275</v>
      </c>
      <c r="I78" s="101">
        <v>2006</v>
      </c>
      <c r="J78" s="101">
        <v>3176</v>
      </c>
      <c r="K78" s="101">
        <v>804</v>
      </c>
      <c r="L78" s="101">
        <v>1457</v>
      </c>
      <c r="M78" s="101">
        <v>4647</v>
      </c>
      <c r="N78" s="101">
        <v>6507</v>
      </c>
      <c r="O78" s="101">
        <v>5797</v>
      </c>
      <c r="P78" s="101">
        <v>10655</v>
      </c>
      <c r="Q78" s="101">
        <v>7057</v>
      </c>
      <c r="R78" s="101">
        <v>2456</v>
      </c>
      <c r="S78" s="101"/>
      <c r="T78" t="s">
        <v>357</v>
      </c>
      <c r="U78" s="101">
        <f t="shared" si="3"/>
        <v>67399</v>
      </c>
      <c r="V78" s="101">
        <f>Inkomsten!M78</f>
        <v>56797000</v>
      </c>
      <c r="W78" s="101">
        <f>Inkomsten!D78</f>
        <v>48736519</v>
      </c>
      <c r="X78" s="101">
        <v>3357</v>
      </c>
      <c r="Y78" s="101">
        <v>3707</v>
      </c>
      <c r="Z78" s="101">
        <v>124</v>
      </c>
      <c r="AA78" s="101">
        <v>525</v>
      </c>
      <c r="AB78" s="101">
        <v>1194</v>
      </c>
      <c r="AC78" s="101">
        <v>132</v>
      </c>
      <c r="AD78" s="101">
        <v>156</v>
      </c>
      <c r="AE78" s="101">
        <v>1</v>
      </c>
      <c r="AF78" s="101">
        <v>262</v>
      </c>
      <c r="AG78" s="101">
        <f t="shared" si="4"/>
        <v>49880.519</v>
      </c>
      <c r="AH78" s="101">
        <v>28193</v>
      </c>
      <c r="AI78" s="101">
        <f t="shared" si="5"/>
        <v>1769.2519065016138</v>
      </c>
      <c r="AJ78" t="s">
        <v>465</v>
      </c>
      <c r="AN78" t="s">
        <v>307</v>
      </c>
      <c r="AO78" s="259">
        <v>2590.9361959178577</v>
      </c>
      <c r="AP78" t="s">
        <v>465</v>
      </c>
    </row>
    <row r="79" spans="2:45" x14ac:dyDescent="0.25">
      <c r="B79" t="s">
        <v>428</v>
      </c>
      <c r="C79" s="101">
        <v>141433</v>
      </c>
      <c r="D79" s="101">
        <v>1878</v>
      </c>
      <c r="E79" s="101">
        <v>411</v>
      </c>
      <c r="F79" s="101">
        <v>4871</v>
      </c>
      <c r="G79" s="101">
        <v>36433</v>
      </c>
      <c r="H79" s="101">
        <v>12065</v>
      </c>
      <c r="I79" s="101">
        <v>3272</v>
      </c>
      <c r="J79" s="101">
        <v>5472</v>
      </c>
      <c r="K79" s="101">
        <v>2253</v>
      </c>
      <c r="L79" s="101">
        <v>4817</v>
      </c>
      <c r="M79" s="101">
        <v>14673</v>
      </c>
      <c r="N79" s="101">
        <v>15862</v>
      </c>
      <c r="O79" s="101">
        <v>12822</v>
      </c>
      <c r="P79" s="101">
        <v>17347</v>
      </c>
      <c r="Q79" s="101">
        <v>8415</v>
      </c>
      <c r="R79" s="101">
        <v>1732</v>
      </c>
      <c r="S79" s="101"/>
      <c r="T79" t="s">
        <v>428</v>
      </c>
      <c r="U79" s="101">
        <f t="shared" si="3"/>
        <v>134273</v>
      </c>
      <c r="V79" s="101">
        <f>Inkomsten!M79</f>
        <v>107156000</v>
      </c>
      <c r="W79" s="101">
        <f>Inkomsten!D79</f>
        <v>86206927</v>
      </c>
      <c r="X79" s="101">
        <v>3381</v>
      </c>
      <c r="Y79" s="101">
        <v>6185</v>
      </c>
      <c r="Z79" s="101">
        <v>457</v>
      </c>
      <c r="AA79" s="101">
        <v>408</v>
      </c>
      <c r="AB79" s="101">
        <v>764</v>
      </c>
      <c r="AC79" s="101">
        <v>196</v>
      </c>
      <c r="AD79" s="101">
        <v>2120</v>
      </c>
      <c r="AE79" s="101">
        <v>18</v>
      </c>
      <c r="AF79" s="101">
        <v>802</v>
      </c>
      <c r="AG79" s="101">
        <f t="shared" si="4"/>
        <v>98992.926999999996</v>
      </c>
      <c r="AH79" s="101">
        <v>44337</v>
      </c>
      <c r="AI79" s="101">
        <f t="shared" si="5"/>
        <v>2232.738502830593</v>
      </c>
      <c r="AJ79" t="s">
        <v>465</v>
      </c>
      <c r="AN79" t="s">
        <v>266</v>
      </c>
      <c r="AO79" s="259">
        <v>2544.6060295579823</v>
      </c>
      <c r="AP79" t="s">
        <v>465</v>
      </c>
    </row>
    <row r="80" spans="2:45" x14ac:dyDescent="0.25">
      <c r="B80" t="s">
        <v>175</v>
      </c>
      <c r="C80" s="101">
        <v>60140</v>
      </c>
      <c r="D80" s="101">
        <v>79</v>
      </c>
      <c r="E80" s="101">
        <v>558</v>
      </c>
      <c r="F80" s="101">
        <v>3075</v>
      </c>
      <c r="G80" s="101">
        <v>1141</v>
      </c>
      <c r="H80" s="101">
        <v>9835</v>
      </c>
      <c r="I80" s="101">
        <v>2177</v>
      </c>
      <c r="J80" s="101">
        <v>2372</v>
      </c>
      <c r="K80" s="101">
        <v>424</v>
      </c>
      <c r="L80" s="101">
        <v>1562</v>
      </c>
      <c r="M80" s="101">
        <v>4158</v>
      </c>
      <c r="N80" s="101">
        <v>10095</v>
      </c>
      <c r="O80" s="101">
        <v>5581</v>
      </c>
      <c r="P80" s="101">
        <v>12000</v>
      </c>
      <c r="Q80" s="101">
        <v>5403</v>
      </c>
      <c r="R80" s="101">
        <v>1685</v>
      </c>
      <c r="S80" s="101"/>
      <c r="T80" t="s">
        <v>175</v>
      </c>
      <c r="U80" s="101">
        <f t="shared" si="3"/>
        <v>56428</v>
      </c>
      <c r="V80" s="101">
        <f>Inkomsten!M80</f>
        <v>50086000</v>
      </c>
      <c r="W80" s="101">
        <f>Inkomsten!D80</f>
        <v>39074401</v>
      </c>
      <c r="X80" s="101">
        <v>2200</v>
      </c>
      <c r="Y80" s="101">
        <v>1776</v>
      </c>
      <c r="Z80" s="101">
        <v>30</v>
      </c>
      <c r="AA80" s="101">
        <v>322</v>
      </c>
      <c r="AB80" s="101">
        <v>935</v>
      </c>
      <c r="AC80" s="101">
        <v>103</v>
      </c>
      <c r="AD80" s="101">
        <v>0</v>
      </c>
      <c r="AE80" s="101">
        <v>0</v>
      </c>
      <c r="AF80" s="101">
        <v>116</v>
      </c>
      <c r="AG80" s="101">
        <f t="shared" si="4"/>
        <v>39934.400999999998</v>
      </c>
      <c r="AH80" s="101">
        <v>19581</v>
      </c>
      <c r="AI80" s="101">
        <f t="shared" si="5"/>
        <v>2039.4464531944232</v>
      </c>
      <c r="AJ80" t="s">
        <v>116</v>
      </c>
      <c r="AN80" t="s">
        <v>827</v>
      </c>
      <c r="AO80" s="259">
        <v>2544.2034976012183</v>
      </c>
      <c r="AP80" t="s">
        <v>465</v>
      </c>
    </row>
    <row r="81" spans="2:42" x14ac:dyDescent="0.25">
      <c r="B81" t="s">
        <v>176</v>
      </c>
      <c r="C81" s="101">
        <v>77502</v>
      </c>
      <c r="D81" s="101">
        <v>943</v>
      </c>
      <c r="E81" s="101">
        <v>333</v>
      </c>
      <c r="F81" s="101">
        <v>3087</v>
      </c>
      <c r="G81" s="101">
        <v>1304</v>
      </c>
      <c r="H81" s="101">
        <v>14760</v>
      </c>
      <c r="I81" s="101">
        <v>1928</v>
      </c>
      <c r="J81" s="101">
        <v>4061</v>
      </c>
      <c r="K81" s="101">
        <v>3077</v>
      </c>
      <c r="L81" s="101">
        <v>1976</v>
      </c>
      <c r="M81" s="101">
        <v>4970</v>
      </c>
      <c r="N81" s="101">
        <v>12338</v>
      </c>
      <c r="O81" s="101">
        <v>7264</v>
      </c>
      <c r="P81" s="101">
        <v>11741</v>
      </c>
      <c r="Q81" s="101">
        <v>6062</v>
      </c>
      <c r="R81" s="101">
        <v>3658</v>
      </c>
      <c r="S81" s="101"/>
      <c r="T81" t="s">
        <v>176</v>
      </c>
      <c r="U81" s="101">
        <f t="shared" si="3"/>
        <v>73139</v>
      </c>
      <c r="V81" s="101">
        <f>Inkomsten!M81</f>
        <v>58098000</v>
      </c>
      <c r="W81" s="101">
        <f>Inkomsten!D81</f>
        <v>47689872</v>
      </c>
      <c r="X81" s="101">
        <v>2849</v>
      </c>
      <c r="Y81" s="101">
        <v>3385</v>
      </c>
      <c r="Z81" s="101">
        <v>60</v>
      </c>
      <c r="AA81" s="101">
        <v>360</v>
      </c>
      <c r="AB81" s="101">
        <v>803</v>
      </c>
      <c r="AC81" s="101">
        <v>87</v>
      </c>
      <c r="AD81" s="101">
        <v>169</v>
      </c>
      <c r="AE81" s="101">
        <v>1</v>
      </c>
      <c r="AF81" s="101">
        <v>40</v>
      </c>
      <c r="AG81" s="101">
        <f t="shared" si="4"/>
        <v>54976.872000000003</v>
      </c>
      <c r="AH81" s="101">
        <v>24869</v>
      </c>
      <c r="AI81" s="101">
        <f t="shared" si="5"/>
        <v>2210.6587317543931</v>
      </c>
      <c r="AJ81" t="s">
        <v>465</v>
      </c>
      <c r="AN81" t="s">
        <v>343</v>
      </c>
      <c r="AO81" s="259">
        <v>2521.8311750029379</v>
      </c>
      <c r="AP81" t="s">
        <v>465</v>
      </c>
    </row>
    <row r="82" spans="2:42" x14ac:dyDescent="0.25">
      <c r="B82" t="s">
        <v>401</v>
      </c>
      <c r="C82" s="101">
        <v>100245</v>
      </c>
      <c r="D82" s="101">
        <v>32</v>
      </c>
      <c r="E82" s="101">
        <v>789</v>
      </c>
      <c r="F82" s="101">
        <v>3919</v>
      </c>
      <c r="G82" s="101">
        <v>13824</v>
      </c>
      <c r="H82" s="101">
        <v>10220</v>
      </c>
      <c r="I82" s="101">
        <v>3025</v>
      </c>
      <c r="J82" s="101">
        <v>4066</v>
      </c>
      <c r="K82" s="101">
        <v>5449</v>
      </c>
      <c r="L82" s="101">
        <v>1918</v>
      </c>
      <c r="M82" s="101">
        <v>5772</v>
      </c>
      <c r="N82" s="101">
        <v>16750</v>
      </c>
      <c r="O82" s="101">
        <v>9704</v>
      </c>
      <c r="P82" s="101">
        <v>14346</v>
      </c>
      <c r="Q82" s="101">
        <v>6958</v>
      </c>
      <c r="R82" s="101">
        <v>4058</v>
      </c>
      <c r="S82" s="101"/>
      <c r="T82" t="s">
        <v>401</v>
      </c>
      <c r="U82" s="101">
        <f t="shared" si="3"/>
        <v>95505</v>
      </c>
      <c r="V82" s="101">
        <f>Inkomsten!M82</f>
        <v>76313000</v>
      </c>
      <c r="W82" s="101">
        <f>Inkomsten!D82</f>
        <v>62846745</v>
      </c>
      <c r="X82" s="101">
        <v>4480</v>
      </c>
      <c r="Y82" s="101">
        <v>3491</v>
      </c>
      <c r="Z82" s="101">
        <v>51</v>
      </c>
      <c r="AA82" s="101">
        <v>902</v>
      </c>
      <c r="AB82" s="101">
        <v>821</v>
      </c>
      <c r="AC82" s="101">
        <v>86</v>
      </c>
      <c r="AD82" s="101">
        <v>453</v>
      </c>
      <c r="AE82" s="101">
        <v>0</v>
      </c>
      <c r="AF82" s="101">
        <v>587</v>
      </c>
      <c r="AG82" s="101">
        <f t="shared" si="4"/>
        <v>71167.744999999995</v>
      </c>
      <c r="AH82" s="101">
        <v>32037</v>
      </c>
      <c r="AI82" s="101">
        <f t="shared" si="5"/>
        <v>2221.4235103161968</v>
      </c>
      <c r="AJ82" t="s">
        <v>116</v>
      </c>
      <c r="AN82" t="s">
        <v>432</v>
      </c>
      <c r="AO82" s="259">
        <v>2510.036753763658</v>
      </c>
      <c r="AP82" t="s">
        <v>465</v>
      </c>
    </row>
    <row r="83" spans="2:42" x14ac:dyDescent="0.25">
      <c r="B83" t="s">
        <v>248</v>
      </c>
      <c r="C83" s="101">
        <v>119133</v>
      </c>
      <c r="D83" s="101">
        <v>459</v>
      </c>
      <c r="E83" s="101">
        <v>1061</v>
      </c>
      <c r="F83" s="101">
        <v>12197</v>
      </c>
      <c r="G83" s="101">
        <v>32254</v>
      </c>
      <c r="H83" s="101">
        <v>5600</v>
      </c>
      <c r="I83" s="101">
        <v>4303</v>
      </c>
      <c r="J83" s="101">
        <v>12883</v>
      </c>
      <c r="K83" s="101">
        <v>626</v>
      </c>
      <c r="L83" s="101">
        <v>2223</v>
      </c>
      <c r="M83" s="101">
        <v>9238</v>
      </c>
      <c r="N83" s="101">
        <v>6347</v>
      </c>
      <c r="O83" s="101">
        <v>7214</v>
      </c>
      <c r="P83" s="101">
        <v>12480</v>
      </c>
      <c r="Q83" s="101">
        <v>10535</v>
      </c>
      <c r="R83" s="101">
        <v>1967</v>
      </c>
      <c r="S83" s="101"/>
      <c r="T83" t="s">
        <v>248</v>
      </c>
      <c r="U83" s="101">
        <f t="shared" si="3"/>
        <v>105416</v>
      </c>
      <c r="V83" s="101">
        <f>Inkomsten!M83</f>
        <v>80019000</v>
      </c>
      <c r="W83" s="101">
        <f>Inkomsten!D83</f>
        <v>65927998</v>
      </c>
      <c r="X83" s="101">
        <v>4044</v>
      </c>
      <c r="Y83" s="101">
        <v>5305</v>
      </c>
      <c r="Z83" s="101">
        <v>173</v>
      </c>
      <c r="AA83" s="101">
        <v>504</v>
      </c>
      <c r="AB83" s="101">
        <v>1598</v>
      </c>
      <c r="AC83" s="101">
        <v>278</v>
      </c>
      <c r="AD83" s="101">
        <v>1497</v>
      </c>
      <c r="AE83" s="101">
        <v>155</v>
      </c>
      <c r="AF83" s="101">
        <v>275</v>
      </c>
      <c r="AG83" s="101">
        <f t="shared" si="4"/>
        <v>77495.998000000007</v>
      </c>
      <c r="AH83" s="101">
        <v>36920</v>
      </c>
      <c r="AI83" s="101">
        <f t="shared" si="5"/>
        <v>2099.0248645720476</v>
      </c>
      <c r="AJ83" t="s">
        <v>465</v>
      </c>
      <c r="AN83" t="s">
        <v>260</v>
      </c>
      <c r="AO83" s="259">
        <v>2503.3798694660209</v>
      </c>
      <c r="AP83" t="s">
        <v>465</v>
      </c>
    </row>
    <row r="84" spans="2:42" x14ac:dyDescent="0.25">
      <c r="B84" t="s">
        <v>177</v>
      </c>
      <c r="C84" s="101">
        <v>435359</v>
      </c>
      <c r="D84" s="101">
        <v>22002</v>
      </c>
      <c r="E84" s="101">
        <v>6730</v>
      </c>
      <c r="F84" s="101">
        <v>15279</v>
      </c>
      <c r="G84" s="101">
        <v>77496</v>
      </c>
      <c r="H84" s="101">
        <v>30053</v>
      </c>
      <c r="I84" s="101">
        <v>11029</v>
      </c>
      <c r="J84" s="101">
        <v>15822</v>
      </c>
      <c r="K84" s="101">
        <v>16398</v>
      </c>
      <c r="L84" s="101">
        <v>10943</v>
      </c>
      <c r="M84" s="101">
        <v>29366</v>
      </c>
      <c r="N84" s="101">
        <v>48543</v>
      </c>
      <c r="O84" s="101">
        <v>33521</v>
      </c>
      <c r="P84" s="101">
        <v>72096</v>
      </c>
      <c r="Q84" s="101">
        <v>34439</v>
      </c>
      <c r="R84" s="101">
        <v>13543</v>
      </c>
      <c r="S84" s="101"/>
      <c r="T84" t="s">
        <v>177</v>
      </c>
      <c r="U84" s="101">
        <f t="shared" si="3"/>
        <v>391348</v>
      </c>
      <c r="V84" s="101">
        <f>Inkomsten!M84</f>
        <v>342559000</v>
      </c>
      <c r="W84" s="101">
        <f>Inkomsten!D84</f>
        <v>239964032</v>
      </c>
      <c r="X84" s="101">
        <v>13167</v>
      </c>
      <c r="Y84" s="101">
        <v>13834</v>
      </c>
      <c r="Z84" s="101">
        <v>1421</v>
      </c>
      <c r="AA84" s="101">
        <v>1732</v>
      </c>
      <c r="AB84" s="101">
        <v>4829</v>
      </c>
      <c r="AC84" s="101">
        <v>331</v>
      </c>
      <c r="AD84" s="101">
        <v>1330</v>
      </c>
      <c r="AE84" s="101">
        <v>1634</v>
      </c>
      <c r="AF84" s="101">
        <v>1025</v>
      </c>
      <c r="AG84" s="101">
        <f t="shared" si="4"/>
        <v>249450.03200000001</v>
      </c>
      <c r="AH84" s="101">
        <v>123489</v>
      </c>
      <c r="AI84" s="101">
        <f t="shared" si="5"/>
        <v>2020.0182364421123</v>
      </c>
      <c r="AJ84" t="s">
        <v>439</v>
      </c>
      <c r="AN84" t="s">
        <v>267</v>
      </c>
      <c r="AO84" s="259">
        <v>2404.9594430945344</v>
      </c>
      <c r="AP84" t="s">
        <v>465</v>
      </c>
    </row>
    <row r="85" spans="2:42" x14ac:dyDescent="0.25">
      <c r="B85" t="s">
        <v>218</v>
      </c>
      <c r="C85" s="101">
        <v>29745</v>
      </c>
      <c r="D85" s="101">
        <v>186</v>
      </c>
      <c r="E85" s="101">
        <v>252</v>
      </c>
      <c r="F85" s="101">
        <v>1417</v>
      </c>
      <c r="G85" s="101">
        <v>1428</v>
      </c>
      <c r="H85" s="101">
        <v>6448</v>
      </c>
      <c r="I85" s="101">
        <v>1089</v>
      </c>
      <c r="J85" s="101">
        <v>2432</v>
      </c>
      <c r="K85" s="101">
        <v>131</v>
      </c>
      <c r="L85" s="101">
        <v>792</v>
      </c>
      <c r="M85" s="101">
        <v>2535</v>
      </c>
      <c r="N85" s="101">
        <v>2478</v>
      </c>
      <c r="O85" s="101">
        <v>2273</v>
      </c>
      <c r="P85" s="101">
        <v>4481</v>
      </c>
      <c r="Q85" s="101">
        <v>2620</v>
      </c>
      <c r="R85" s="101">
        <v>1183</v>
      </c>
      <c r="S85" s="101"/>
      <c r="T85" t="s">
        <v>218</v>
      </c>
      <c r="U85" s="101">
        <f t="shared" si="3"/>
        <v>27890</v>
      </c>
      <c r="V85" s="101">
        <f>Inkomsten!M85</f>
        <v>20363000</v>
      </c>
      <c r="W85" s="101">
        <f>Inkomsten!D85</f>
        <v>15887143</v>
      </c>
      <c r="X85" s="101">
        <v>904</v>
      </c>
      <c r="Y85" s="101">
        <v>1533</v>
      </c>
      <c r="Z85" s="101">
        <v>15</v>
      </c>
      <c r="AA85" s="101">
        <v>111</v>
      </c>
      <c r="AB85" s="101">
        <v>1514</v>
      </c>
      <c r="AC85" s="101">
        <v>48</v>
      </c>
      <c r="AD85" s="101">
        <v>110</v>
      </c>
      <c r="AE85" s="101">
        <v>2</v>
      </c>
      <c r="AF85" s="101">
        <v>75</v>
      </c>
      <c r="AG85" s="101">
        <f t="shared" si="4"/>
        <v>19102.143</v>
      </c>
      <c r="AH85" s="101">
        <v>9757</v>
      </c>
      <c r="AI85" s="101">
        <f t="shared" si="5"/>
        <v>1957.7885620580096</v>
      </c>
      <c r="AJ85" t="s">
        <v>465</v>
      </c>
      <c r="AN85" t="s">
        <v>349</v>
      </c>
      <c r="AO85" s="259">
        <v>2403.2465286060769</v>
      </c>
      <c r="AP85" t="s">
        <v>465</v>
      </c>
    </row>
    <row r="86" spans="2:42" x14ac:dyDescent="0.25">
      <c r="B86" t="s">
        <v>719</v>
      </c>
      <c r="C86" s="101">
        <v>316685</v>
      </c>
      <c r="D86" s="101">
        <v>3869</v>
      </c>
      <c r="E86" s="101">
        <v>2163</v>
      </c>
      <c r="F86" s="101">
        <v>7889</v>
      </c>
      <c r="G86" s="101">
        <v>64256</v>
      </c>
      <c r="H86" s="101">
        <v>15526</v>
      </c>
      <c r="I86" s="101">
        <v>10192</v>
      </c>
      <c r="J86" s="101">
        <v>8389</v>
      </c>
      <c r="K86" s="101">
        <v>3700</v>
      </c>
      <c r="L86" s="101">
        <v>6497</v>
      </c>
      <c r="M86" s="101">
        <v>11354</v>
      </c>
      <c r="N86" s="101">
        <v>32344</v>
      </c>
      <c r="O86" s="101">
        <v>21095</v>
      </c>
      <c r="P86" s="101">
        <v>24502</v>
      </c>
      <c r="Q86" s="101">
        <v>16705</v>
      </c>
      <c r="R86" s="101">
        <v>89231</v>
      </c>
      <c r="S86" s="101"/>
      <c r="T86" t="s">
        <v>719</v>
      </c>
      <c r="U86" s="101">
        <f t="shared" si="3"/>
        <v>302764</v>
      </c>
      <c r="V86" s="101">
        <f>Inkomsten!M86</f>
        <v>178189000</v>
      </c>
      <c r="W86" s="101">
        <f>Inkomsten!D86</f>
        <v>120434136</v>
      </c>
      <c r="X86" s="101">
        <v>5669</v>
      </c>
      <c r="Y86" s="101">
        <v>6612</v>
      </c>
      <c r="Z86" s="101">
        <v>286</v>
      </c>
      <c r="AA86" s="101">
        <v>597</v>
      </c>
      <c r="AB86" s="101">
        <v>3075</v>
      </c>
      <c r="AC86" s="101">
        <v>452</v>
      </c>
      <c r="AD86" s="101">
        <v>227</v>
      </c>
      <c r="AE86" s="101">
        <v>2</v>
      </c>
      <c r="AF86" s="101">
        <v>136</v>
      </c>
      <c r="AG86" s="101">
        <f t="shared" si="4"/>
        <v>227953.136</v>
      </c>
      <c r="AH86" s="101">
        <v>45098</v>
      </c>
      <c r="AI86" s="101">
        <f t="shared" si="5"/>
        <v>5054.6174109716621</v>
      </c>
      <c r="AJ86" t="s">
        <v>439</v>
      </c>
      <c r="AN86" t="s">
        <v>200</v>
      </c>
      <c r="AO86" s="259">
        <v>2395.5379836771058</v>
      </c>
      <c r="AP86" t="s">
        <v>465</v>
      </c>
    </row>
    <row r="87" spans="2:42" x14ac:dyDescent="0.25">
      <c r="B87" t="s">
        <v>358</v>
      </c>
      <c r="C87" s="101">
        <v>54992</v>
      </c>
      <c r="D87" s="101">
        <v>1012</v>
      </c>
      <c r="E87" s="101">
        <v>244</v>
      </c>
      <c r="F87" s="101">
        <v>3340</v>
      </c>
      <c r="G87" s="101">
        <v>11259</v>
      </c>
      <c r="H87" s="101">
        <v>5293</v>
      </c>
      <c r="I87" s="101">
        <v>1930</v>
      </c>
      <c r="J87" s="101">
        <v>2513</v>
      </c>
      <c r="K87" s="101">
        <v>770</v>
      </c>
      <c r="L87" s="101">
        <v>912</v>
      </c>
      <c r="M87" s="101">
        <v>3192</v>
      </c>
      <c r="N87" s="101">
        <v>9482</v>
      </c>
      <c r="O87" s="101">
        <v>2055</v>
      </c>
      <c r="P87" s="101">
        <v>6645</v>
      </c>
      <c r="Q87" s="101">
        <v>4058</v>
      </c>
      <c r="R87" s="101">
        <v>2613</v>
      </c>
      <c r="S87" s="101"/>
      <c r="T87" t="s">
        <v>358</v>
      </c>
      <c r="U87" s="101">
        <f t="shared" si="3"/>
        <v>50396</v>
      </c>
      <c r="V87" s="101">
        <f>Inkomsten!M87</f>
        <v>42623000</v>
      </c>
      <c r="W87" s="101">
        <f>Inkomsten!D87</f>
        <v>34923983</v>
      </c>
      <c r="X87" s="101">
        <v>2384</v>
      </c>
      <c r="Y87" s="101">
        <v>1416</v>
      </c>
      <c r="Z87" s="101">
        <v>0</v>
      </c>
      <c r="AA87" s="101">
        <v>239</v>
      </c>
      <c r="AB87" s="101">
        <v>805</v>
      </c>
      <c r="AC87" s="101">
        <v>173</v>
      </c>
      <c r="AD87" s="101">
        <v>710</v>
      </c>
      <c r="AE87" s="101">
        <v>6</v>
      </c>
      <c r="AF87" s="101">
        <v>322</v>
      </c>
      <c r="AG87" s="101">
        <f t="shared" si="4"/>
        <v>36641.983</v>
      </c>
      <c r="AH87" s="101">
        <v>20188</v>
      </c>
      <c r="AI87" s="101">
        <f t="shared" si="5"/>
        <v>1815.0377947295424</v>
      </c>
      <c r="AJ87" s="140" t="s">
        <v>465</v>
      </c>
      <c r="AN87" t="s">
        <v>431</v>
      </c>
      <c r="AO87" s="259">
        <v>2393.2178633191834</v>
      </c>
      <c r="AP87" t="s">
        <v>465</v>
      </c>
    </row>
    <row r="88" spans="2:42" x14ac:dyDescent="0.25">
      <c r="B88" t="s">
        <v>402</v>
      </c>
      <c r="C88" s="101">
        <v>72148</v>
      </c>
      <c r="D88" s="101">
        <v>595</v>
      </c>
      <c r="E88" s="101">
        <v>1361</v>
      </c>
      <c r="F88" s="101">
        <v>3546</v>
      </c>
      <c r="G88" s="101">
        <v>17725</v>
      </c>
      <c r="H88" s="101">
        <v>8877</v>
      </c>
      <c r="I88" s="101">
        <v>2443</v>
      </c>
      <c r="J88" s="101">
        <v>2009</v>
      </c>
      <c r="K88" s="101">
        <v>842</v>
      </c>
      <c r="L88" s="101">
        <v>917</v>
      </c>
      <c r="M88" s="101">
        <v>3813</v>
      </c>
      <c r="N88" s="101">
        <v>7773</v>
      </c>
      <c r="O88" s="101">
        <v>6068</v>
      </c>
      <c r="P88" s="101">
        <v>8167</v>
      </c>
      <c r="Q88" s="101">
        <v>7007</v>
      </c>
      <c r="R88" s="101">
        <v>1405</v>
      </c>
      <c r="S88" s="101"/>
      <c r="T88" t="s">
        <v>402</v>
      </c>
      <c r="U88" s="101">
        <f t="shared" si="3"/>
        <v>66646</v>
      </c>
      <c r="V88" s="101">
        <f>Inkomsten!M88</f>
        <v>55084000</v>
      </c>
      <c r="W88" s="101">
        <f>Inkomsten!D88</f>
        <v>45299736</v>
      </c>
      <c r="X88" s="101">
        <v>3637</v>
      </c>
      <c r="Y88" s="101">
        <v>3669</v>
      </c>
      <c r="Z88" s="101">
        <v>134</v>
      </c>
      <c r="AA88" s="101">
        <v>276</v>
      </c>
      <c r="AB88" s="101">
        <v>463</v>
      </c>
      <c r="AC88" s="101">
        <v>35</v>
      </c>
      <c r="AD88" s="101">
        <v>879</v>
      </c>
      <c r="AE88" s="101">
        <v>0</v>
      </c>
      <c r="AF88" s="101">
        <v>42</v>
      </c>
      <c r="AG88" s="101">
        <f t="shared" si="4"/>
        <v>47726.735999999997</v>
      </c>
      <c r="AH88" s="101">
        <v>26034</v>
      </c>
      <c r="AI88" s="101">
        <f t="shared" si="5"/>
        <v>1833.2463701313666</v>
      </c>
      <c r="AJ88" t="s">
        <v>465</v>
      </c>
      <c r="AN88" t="s">
        <v>153</v>
      </c>
      <c r="AO88" s="259">
        <v>2380.7599805975447</v>
      </c>
      <c r="AP88" t="s">
        <v>465</v>
      </c>
    </row>
    <row r="89" spans="2:42" x14ac:dyDescent="0.25">
      <c r="B89" t="s">
        <v>359</v>
      </c>
      <c r="C89" s="101">
        <v>1125956</v>
      </c>
      <c r="D89" s="101">
        <v>50056</v>
      </c>
      <c r="E89" s="101">
        <v>7263</v>
      </c>
      <c r="F89" s="101">
        <v>47871</v>
      </c>
      <c r="G89" s="101">
        <v>215999</v>
      </c>
      <c r="H89" s="101">
        <v>50658</v>
      </c>
      <c r="I89" s="101">
        <v>25732</v>
      </c>
      <c r="J89" s="101">
        <v>49235</v>
      </c>
      <c r="K89" s="101">
        <v>23652</v>
      </c>
      <c r="L89" s="101">
        <v>38431</v>
      </c>
      <c r="M89" s="101">
        <v>70906</v>
      </c>
      <c r="N89" s="101">
        <v>197406</v>
      </c>
      <c r="O89" s="101">
        <v>76822</v>
      </c>
      <c r="P89" s="101">
        <v>185244</v>
      </c>
      <c r="Q89" s="101">
        <v>71957</v>
      </c>
      <c r="R89" s="101">
        <v>19040</v>
      </c>
      <c r="S89" s="101"/>
      <c r="T89" t="s">
        <v>359</v>
      </c>
      <c r="U89" s="101">
        <f t="shared" si="3"/>
        <v>1020766</v>
      </c>
      <c r="V89" s="101">
        <f>Inkomsten!M89</f>
        <v>866244000</v>
      </c>
      <c r="W89" s="101">
        <f>Inkomsten!D89</f>
        <v>591511883</v>
      </c>
      <c r="X89" s="101">
        <v>25994</v>
      </c>
      <c r="Y89" s="101">
        <v>32913</v>
      </c>
      <c r="Z89" s="101">
        <v>648</v>
      </c>
      <c r="AA89" s="101">
        <v>5235</v>
      </c>
      <c r="AB89" s="101">
        <v>7654</v>
      </c>
      <c r="AC89" s="101">
        <v>1489</v>
      </c>
      <c r="AD89" s="101">
        <v>2934</v>
      </c>
      <c r="AE89" s="101">
        <v>18949</v>
      </c>
      <c r="AF89" s="101">
        <v>1867</v>
      </c>
      <c r="AG89" s="101">
        <f t="shared" si="4"/>
        <v>648350.88300000003</v>
      </c>
      <c r="AH89" s="101">
        <v>246443</v>
      </c>
      <c r="AI89" s="101">
        <f t="shared" si="5"/>
        <v>2630.8350531360193</v>
      </c>
      <c r="AJ89" t="s">
        <v>439</v>
      </c>
      <c r="AN89" t="s">
        <v>581</v>
      </c>
      <c r="AO89" s="259">
        <v>2363.3672321909416</v>
      </c>
      <c r="AP89" t="s">
        <v>465</v>
      </c>
    </row>
    <row r="90" spans="2:42" x14ac:dyDescent="0.25">
      <c r="B90" t="s">
        <v>178</v>
      </c>
      <c r="C90" s="101">
        <v>79083</v>
      </c>
      <c r="D90" s="101">
        <v>452</v>
      </c>
      <c r="E90" s="101">
        <v>579</v>
      </c>
      <c r="F90" s="101">
        <v>3192</v>
      </c>
      <c r="G90" s="101">
        <v>18636</v>
      </c>
      <c r="H90" s="101">
        <v>5609</v>
      </c>
      <c r="I90" s="101">
        <v>1750</v>
      </c>
      <c r="J90" s="101">
        <v>2046</v>
      </c>
      <c r="K90" s="101">
        <v>1041</v>
      </c>
      <c r="L90" s="101">
        <v>1654</v>
      </c>
      <c r="M90" s="101">
        <v>3767</v>
      </c>
      <c r="N90" s="101">
        <v>9430</v>
      </c>
      <c r="O90" s="101">
        <v>6632</v>
      </c>
      <c r="P90" s="101">
        <v>17610</v>
      </c>
      <c r="Q90" s="101">
        <v>6543</v>
      </c>
      <c r="R90" s="101">
        <v>516</v>
      </c>
      <c r="S90" s="101"/>
      <c r="T90" t="s">
        <v>178</v>
      </c>
      <c r="U90" s="101">
        <f t="shared" si="3"/>
        <v>74860</v>
      </c>
      <c r="V90" s="101">
        <f>Inkomsten!M90</f>
        <v>57749000</v>
      </c>
      <c r="W90" s="101">
        <f>Inkomsten!D90</f>
        <v>45353941</v>
      </c>
      <c r="X90" s="101">
        <v>2461</v>
      </c>
      <c r="Y90" s="101">
        <v>2496</v>
      </c>
      <c r="Z90" s="101">
        <v>711</v>
      </c>
      <c r="AA90" s="101">
        <v>358</v>
      </c>
      <c r="AB90" s="101">
        <v>599</v>
      </c>
      <c r="AC90" s="101">
        <v>354</v>
      </c>
      <c r="AD90" s="101">
        <v>344</v>
      </c>
      <c r="AE90" s="101">
        <v>38</v>
      </c>
      <c r="AF90" s="101">
        <v>181</v>
      </c>
      <c r="AG90" s="101">
        <f t="shared" si="4"/>
        <v>54922.940999999999</v>
      </c>
      <c r="AH90" s="101">
        <v>23906</v>
      </c>
      <c r="AI90" s="101">
        <f t="shared" si="5"/>
        <v>2297.454237429934</v>
      </c>
      <c r="AJ90" t="s">
        <v>465</v>
      </c>
      <c r="AN90" t="s">
        <v>178</v>
      </c>
      <c r="AO90" s="260">
        <v>2362.5896980491748</v>
      </c>
      <c r="AP90" t="s">
        <v>465</v>
      </c>
    </row>
    <row r="91" spans="2:42" x14ac:dyDescent="0.25">
      <c r="B91" t="s">
        <v>108</v>
      </c>
      <c r="C91" s="101">
        <v>475122</v>
      </c>
      <c r="D91" s="101">
        <v>7548</v>
      </c>
      <c r="E91" s="101">
        <v>11784</v>
      </c>
      <c r="F91" s="101">
        <v>23306</v>
      </c>
      <c r="G91" s="101">
        <v>80527</v>
      </c>
      <c r="H91" s="101">
        <v>20941</v>
      </c>
      <c r="I91" s="101">
        <v>9091</v>
      </c>
      <c r="J91" s="101">
        <v>15207</v>
      </c>
      <c r="K91" s="101">
        <v>12599</v>
      </c>
      <c r="L91" s="101">
        <v>12304</v>
      </c>
      <c r="M91" s="101">
        <v>25152</v>
      </c>
      <c r="N91" s="101">
        <v>102247</v>
      </c>
      <c r="O91" s="101">
        <v>41056</v>
      </c>
      <c r="P91" s="101">
        <v>86316</v>
      </c>
      <c r="Q91" s="101">
        <v>28674</v>
      </c>
      <c r="R91" s="101">
        <v>4836</v>
      </c>
      <c r="S91" s="101"/>
      <c r="T91" t="s">
        <v>108</v>
      </c>
      <c r="U91" s="101">
        <f t="shared" si="3"/>
        <v>432484</v>
      </c>
      <c r="V91" s="101">
        <f>Inkomsten!M91</f>
        <v>399385000</v>
      </c>
      <c r="W91" s="101">
        <f>Inkomsten!D91</f>
        <v>277451346</v>
      </c>
      <c r="X91" s="101">
        <v>10899</v>
      </c>
      <c r="Y91" s="101">
        <v>15994</v>
      </c>
      <c r="Z91" s="101">
        <v>854</v>
      </c>
      <c r="AA91" s="101">
        <v>1717</v>
      </c>
      <c r="AB91" s="101">
        <v>3316</v>
      </c>
      <c r="AC91" s="101">
        <v>329</v>
      </c>
      <c r="AD91" s="101">
        <v>690</v>
      </c>
      <c r="AE91" s="101">
        <v>3979</v>
      </c>
      <c r="AF91" s="101">
        <v>826</v>
      </c>
      <c r="AG91" s="101">
        <f t="shared" si="4"/>
        <v>271946.34600000002</v>
      </c>
      <c r="AH91" s="101">
        <v>109361</v>
      </c>
      <c r="AI91" s="101">
        <f t="shared" si="5"/>
        <v>2486.6848876656213</v>
      </c>
      <c r="AJ91" t="s">
        <v>439</v>
      </c>
      <c r="AN91" t="s">
        <v>342</v>
      </c>
      <c r="AO91" s="259">
        <v>2362.0826090421183</v>
      </c>
      <c r="AP91" t="s">
        <v>465</v>
      </c>
    </row>
    <row r="92" spans="2:42" x14ac:dyDescent="0.25">
      <c r="B92" t="s">
        <v>249</v>
      </c>
      <c r="C92" s="101">
        <v>67313</v>
      </c>
      <c r="D92" s="101">
        <v>-2</v>
      </c>
      <c r="E92" s="101">
        <v>1179</v>
      </c>
      <c r="F92" s="101">
        <v>1820</v>
      </c>
      <c r="G92" s="101">
        <v>1447</v>
      </c>
      <c r="H92" s="101">
        <v>11126</v>
      </c>
      <c r="I92" s="101">
        <v>2328</v>
      </c>
      <c r="J92" s="101">
        <v>5019</v>
      </c>
      <c r="K92" s="101">
        <v>1413</v>
      </c>
      <c r="L92" s="101">
        <v>1179</v>
      </c>
      <c r="M92" s="101">
        <v>5888</v>
      </c>
      <c r="N92" s="101">
        <v>10406</v>
      </c>
      <c r="O92" s="101">
        <v>5301</v>
      </c>
      <c r="P92" s="101">
        <v>12160</v>
      </c>
      <c r="Q92" s="101">
        <v>6318</v>
      </c>
      <c r="R92" s="101">
        <v>1731</v>
      </c>
      <c r="S92" s="101"/>
      <c r="T92" t="s">
        <v>249</v>
      </c>
      <c r="U92" s="101">
        <f t="shared" si="3"/>
        <v>64316</v>
      </c>
      <c r="V92" s="101">
        <f>Inkomsten!M92</f>
        <v>52583000</v>
      </c>
      <c r="W92" s="101">
        <f>Inkomsten!D92</f>
        <v>44564291</v>
      </c>
      <c r="X92" s="101">
        <v>2077</v>
      </c>
      <c r="Y92" s="101">
        <v>3564</v>
      </c>
      <c r="Z92" s="101">
        <v>222</v>
      </c>
      <c r="AA92" s="101">
        <v>321</v>
      </c>
      <c r="AB92" s="101">
        <v>447</v>
      </c>
      <c r="AC92" s="101">
        <v>819</v>
      </c>
      <c r="AD92" s="101">
        <v>696</v>
      </c>
      <c r="AE92" s="101">
        <v>166</v>
      </c>
      <c r="AF92" s="101">
        <v>306</v>
      </c>
      <c r="AG92" s="101">
        <f t="shared" si="4"/>
        <v>47679.290999999997</v>
      </c>
      <c r="AH92" s="101">
        <v>18901</v>
      </c>
      <c r="AI92" s="101">
        <f t="shared" si="5"/>
        <v>2522.5803396645679</v>
      </c>
      <c r="AJ92" t="s">
        <v>116</v>
      </c>
      <c r="AN92" t="s">
        <v>283</v>
      </c>
      <c r="AO92" s="259">
        <v>2328.5383935616605</v>
      </c>
      <c r="AP92" t="s">
        <v>465</v>
      </c>
    </row>
    <row r="93" spans="2:42" x14ac:dyDescent="0.25">
      <c r="B93" t="s">
        <v>144</v>
      </c>
      <c r="C93" s="101">
        <v>851686</v>
      </c>
      <c r="D93" s="101">
        <v>15341</v>
      </c>
      <c r="E93" s="101">
        <v>9072</v>
      </c>
      <c r="F93" s="101">
        <v>24599</v>
      </c>
      <c r="G93" s="101">
        <v>160103</v>
      </c>
      <c r="H93" s="101">
        <v>51154</v>
      </c>
      <c r="I93" s="101">
        <v>20273</v>
      </c>
      <c r="J93" s="101">
        <v>25670</v>
      </c>
      <c r="K93" s="101">
        <v>9231</v>
      </c>
      <c r="L93" s="101">
        <v>23417</v>
      </c>
      <c r="M93" s="101">
        <v>48869</v>
      </c>
      <c r="N93" s="101">
        <v>137824</v>
      </c>
      <c r="O93" s="101">
        <v>83661</v>
      </c>
      <c r="P93" s="101">
        <v>167897</v>
      </c>
      <c r="Q93" s="101">
        <v>59302</v>
      </c>
      <c r="R93" s="101">
        <v>17538</v>
      </c>
      <c r="S93" s="101"/>
      <c r="T93" t="s">
        <v>144</v>
      </c>
      <c r="U93" s="101">
        <f t="shared" si="3"/>
        <v>802674</v>
      </c>
      <c r="V93" s="101">
        <f>Inkomsten!M93</f>
        <v>652116000</v>
      </c>
      <c r="W93" s="101">
        <f>Inkomsten!D93</f>
        <v>415779836</v>
      </c>
      <c r="X93" s="101">
        <v>22670</v>
      </c>
      <c r="Y93" s="101">
        <v>21544</v>
      </c>
      <c r="Z93" s="101">
        <v>595</v>
      </c>
      <c r="AA93" s="101">
        <v>3634</v>
      </c>
      <c r="AB93" s="101">
        <v>4391</v>
      </c>
      <c r="AC93" s="101">
        <v>166</v>
      </c>
      <c r="AD93" s="101">
        <v>700</v>
      </c>
      <c r="AE93" s="101">
        <v>14102</v>
      </c>
      <c r="AF93" s="101">
        <v>332</v>
      </c>
      <c r="AG93" s="101">
        <f t="shared" si="4"/>
        <v>498203.83600000001</v>
      </c>
      <c r="AH93" s="101">
        <v>161741</v>
      </c>
      <c r="AI93" s="101">
        <f t="shared" si="5"/>
        <v>3080.2569292881831</v>
      </c>
      <c r="AJ93" t="s">
        <v>439</v>
      </c>
      <c r="AN93" t="s">
        <v>156</v>
      </c>
      <c r="AO93" s="259">
        <v>2318.5581426620074</v>
      </c>
      <c r="AP93" t="s">
        <v>465</v>
      </c>
    </row>
    <row r="94" spans="2:42" x14ac:dyDescent="0.25">
      <c r="B94" t="s">
        <v>179</v>
      </c>
      <c r="C94" s="101">
        <v>101688</v>
      </c>
      <c r="D94" s="101">
        <v>947</v>
      </c>
      <c r="E94" s="101">
        <v>0</v>
      </c>
      <c r="F94" s="101">
        <v>4055</v>
      </c>
      <c r="G94" s="101">
        <v>21643</v>
      </c>
      <c r="H94" s="101">
        <v>6478</v>
      </c>
      <c r="I94" s="101">
        <v>2735</v>
      </c>
      <c r="J94" s="101">
        <v>3891</v>
      </c>
      <c r="K94" s="101">
        <v>900</v>
      </c>
      <c r="L94" s="101">
        <v>2818</v>
      </c>
      <c r="M94" s="101">
        <v>6877</v>
      </c>
      <c r="N94" s="101">
        <v>16727</v>
      </c>
      <c r="O94" s="101">
        <v>9394</v>
      </c>
      <c r="P94" s="101">
        <v>16728</v>
      </c>
      <c r="Q94" s="101">
        <v>8413</v>
      </c>
      <c r="R94" s="101">
        <v>548</v>
      </c>
      <c r="S94" s="101"/>
      <c r="T94" t="s">
        <v>179</v>
      </c>
      <c r="U94" s="101">
        <f t="shared" si="3"/>
        <v>96686</v>
      </c>
      <c r="V94" s="101">
        <f>Inkomsten!M94</f>
        <v>86921000</v>
      </c>
      <c r="W94" s="101">
        <f>Inkomsten!D94</f>
        <v>65982505</v>
      </c>
      <c r="X94" s="101">
        <v>3454</v>
      </c>
      <c r="Y94" s="101">
        <v>4698</v>
      </c>
      <c r="Z94" s="101">
        <v>1033</v>
      </c>
      <c r="AA94" s="101">
        <v>627</v>
      </c>
      <c r="AB94" s="101">
        <v>829</v>
      </c>
      <c r="AC94" s="101">
        <v>131</v>
      </c>
      <c r="AD94" s="101">
        <v>955</v>
      </c>
      <c r="AE94" s="101">
        <v>1</v>
      </c>
      <c r="AF94" s="101">
        <v>175</v>
      </c>
      <c r="AG94" s="101">
        <f t="shared" si="4"/>
        <v>63844.505000000005</v>
      </c>
      <c r="AH94" s="101">
        <v>33168</v>
      </c>
      <c r="AI94" s="101">
        <f t="shared" si="5"/>
        <v>1924.8825675349738</v>
      </c>
      <c r="AJ94" t="s">
        <v>116</v>
      </c>
      <c r="AN94" t="s">
        <v>310</v>
      </c>
      <c r="AO94" s="259">
        <v>2295.8902491059503</v>
      </c>
      <c r="AP94" t="s">
        <v>465</v>
      </c>
    </row>
    <row r="95" spans="2:42" x14ac:dyDescent="0.25">
      <c r="B95" t="s">
        <v>180</v>
      </c>
      <c r="C95" s="101">
        <v>94555</v>
      </c>
      <c r="D95" s="101">
        <v>77</v>
      </c>
      <c r="E95" s="101">
        <v>1004</v>
      </c>
      <c r="F95" s="101">
        <v>5298</v>
      </c>
      <c r="G95" s="101">
        <v>13553</v>
      </c>
      <c r="H95" s="101">
        <v>12533</v>
      </c>
      <c r="I95" s="101">
        <v>2143</v>
      </c>
      <c r="J95" s="101">
        <v>2094</v>
      </c>
      <c r="K95" s="101">
        <v>1233</v>
      </c>
      <c r="L95" s="101">
        <v>2047</v>
      </c>
      <c r="M95" s="101">
        <v>6440</v>
      </c>
      <c r="N95" s="101">
        <v>13132</v>
      </c>
      <c r="O95" s="101">
        <v>11871</v>
      </c>
      <c r="P95" s="101">
        <v>12009</v>
      </c>
      <c r="Q95" s="101">
        <v>9644</v>
      </c>
      <c r="R95" s="101">
        <v>1852</v>
      </c>
      <c r="S95" s="101"/>
      <c r="T95" t="s">
        <v>180</v>
      </c>
      <c r="U95" s="101">
        <f t="shared" si="3"/>
        <v>88176</v>
      </c>
      <c r="V95" s="101">
        <f>Inkomsten!M95</f>
        <v>69050000</v>
      </c>
      <c r="W95" s="101">
        <f>Inkomsten!D95</f>
        <v>56223732</v>
      </c>
      <c r="X95" s="101">
        <v>2925</v>
      </c>
      <c r="Y95" s="101">
        <v>2490</v>
      </c>
      <c r="Z95" s="101">
        <v>425</v>
      </c>
      <c r="AA95" s="101">
        <v>491</v>
      </c>
      <c r="AB95" s="101">
        <v>702</v>
      </c>
      <c r="AC95" s="101">
        <v>173</v>
      </c>
      <c r="AD95" s="101">
        <v>546</v>
      </c>
      <c r="AE95" s="101">
        <v>0</v>
      </c>
      <c r="AF95" s="101">
        <v>377</v>
      </c>
      <c r="AG95" s="101">
        <f t="shared" si="4"/>
        <v>67220.732000000004</v>
      </c>
      <c r="AH95" s="101">
        <v>27859</v>
      </c>
      <c r="AI95" s="101">
        <f t="shared" si="5"/>
        <v>2412.8910585448148</v>
      </c>
      <c r="AJ95" t="s">
        <v>116</v>
      </c>
      <c r="AN95" t="s">
        <v>236</v>
      </c>
      <c r="AO95" s="259">
        <v>2293.8036138688212</v>
      </c>
      <c r="AP95" t="s">
        <v>465</v>
      </c>
    </row>
    <row r="96" spans="2:42" x14ac:dyDescent="0.25">
      <c r="B96" t="s">
        <v>360</v>
      </c>
      <c r="C96" s="101">
        <v>155858</v>
      </c>
      <c r="D96" s="101">
        <v>10726</v>
      </c>
      <c r="E96" s="101">
        <v>1175</v>
      </c>
      <c r="F96" s="101">
        <v>6644</v>
      </c>
      <c r="G96" s="101">
        <v>28947</v>
      </c>
      <c r="H96" s="101">
        <v>10291</v>
      </c>
      <c r="I96" s="101">
        <v>2925</v>
      </c>
      <c r="J96" s="101">
        <v>5819</v>
      </c>
      <c r="K96" s="101">
        <v>505</v>
      </c>
      <c r="L96" s="101">
        <v>5433</v>
      </c>
      <c r="M96" s="101">
        <v>9492</v>
      </c>
      <c r="N96" s="101">
        <v>27781</v>
      </c>
      <c r="O96" s="101">
        <v>12761</v>
      </c>
      <c r="P96" s="101">
        <v>21350</v>
      </c>
      <c r="Q96" s="101">
        <v>11206</v>
      </c>
      <c r="R96" s="101">
        <v>1155</v>
      </c>
      <c r="S96" s="101"/>
      <c r="T96" t="s">
        <v>360</v>
      </c>
      <c r="U96" s="101">
        <f t="shared" si="3"/>
        <v>137313</v>
      </c>
      <c r="V96" s="101">
        <f>Inkomsten!M96</f>
        <v>117417000</v>
      </c>
      <c r="W96" s="101">
        <f>Inkomsten!D96</f>
        <v>91468957</v>
      </c>
      <c r="X96" s="101">
        <v>2854</v>
      </c>
      <c r="Y96" s="101">
        <v>5773</v>
      </c>
      <c r="Z96" s="101">
        <v>91</v>
      </c>
      <c r="AA96" s="101">
        <v>865</v>
      </c>
      <c r="AB96" s="101">
        <v>910</v>
      </c>
      <c r="AC96" s="101">
        <v>334</v>
      </c>
      <c r="AD96" s="101">
        <v>82</v>
      </c>
      <c r="AE96" s="101">
        <v>2583</v>
      </c>
      <c r="AF96" s="101">
        <v>204</v>
      </c>
      <c r="AG96" s="101">
        <f t="shared" si="4"/>
        <v>97668.956999999995</v>
      </c>
      <c r="AH96" s="101">
        <v>45232</v>
      </c>
      <c r="AI96" s="101">
        <f t="shared" si="5"/>
        <v>2159.2889326140785</v>
      </c>
      <c r="AJ96" t="s">
        <v>116</v>
      </c>
      <c r="AN96" t="s">
        <v>161</v>
      </c>
      <c r="AO96" s="259">
        <v>2282.3995542601951</v>
      </c>
      <c r="AP96" t="s">
        <v>465</v>
      </c>
    </row>
    <row r="97" spans="2:42" x14ac:dyDescent="0.25">
      <c r="B97" t="s">
        <v>361</v>
      </c>
      <c r="C97" s="101">
        <v>68316</v>
      </c>
      <c r="D97" s="101">
        <v>1480</v>
      </c>
      <c r="E97" s="101">
        <v>798</v>
      </c>
      <c r="F97" s="101">
        <v>2583</v>
      </c>
      <c r="G97" s="101">
        <v>15600</v>
      </c>
      <c r="H97" s="101">
        <v>5629</v>
      </c>
      <c r="I97" s="101">
        <v>1635</v>
      </c>
      <c r="J97" s="101">
        <v>2607</v>
      </c>
      <c r="K97" s="101">
        <v>831</v>
      </c>
      <c r="L97" s="101">
        <v>1456</v>
      </c>
      <c r="M97" s="101">
        <v>4277</v>
      </c>
      <c r="N97" s="101">
        <v>8588</v>
      </c>
      <c r="O97" s="101">
        <v>7093</v>
      </c>
      <c r="P97" s="101">
        <v>9912</v>
      </c>
      <c r="Q97" s="101">
        <v>5699</v>
      </c>
      <c r="R97" s="101">
        <v>437</v>
      </c>
      <c r="S97" s="101"/>
      <c r="T97" t="s">
        <v>361</v>
      </c>
      <c r="U97" s="101">
        <f t="shared" si="3"/>
        <v>63455</v>
      </c>
      <c r="V97" s="101">
        <f>Inkomsten!M97</f>
        <v>57500000</v>
      </c>
      <c r="W97" s="101">
        <f>Inkomsten!D97</f>
        <v>42529311</v>
      </c>
      <c r="X97" s="101">
        <v>2472</v>
      </c>
      <c r="Y97" s="101">
        <v>2733</v>
      </c>
      <c r="Z97" s="101">
        <v>50</v>
      </c>
      <c r="AA97" s="101">
        <v>351</v>
      </c>
      <c r="AB97" s="101">
        <v>876</v>
      </c>
      <c r="AC97" s="101">
        <v>82</v>
      </c>
      <c r="AD97" s="101">
        <v>30</v>
      </c>
      <c r="AE97" s="101">
        <v>5</v>
      </c>
      <c r="AF97" s="101">
        <v>147</v>
      </c>
      <c r="AG97" s="101">
        <f t="shared" si="4"/>
        <v>41738.311000000002</v>
      </c>
      <c r="AH97" s="101">
        <v>22061</v>
      </c>
      <c r="AI97" s="101">
        <f t="shared" si="5"/>
        <v>1891.9500929241649</v>
      </c>
      <c r="AJ97" t="s">
        <v>116</v>
      </c>
      <c r="AN97" t="s">
        <v>251</v>
      </c>
      <c r="AO97" s="259">
        <v>2279.3840934215127</v>
      </c>
      <c r="AP97" t="s">
        <v>465</v>
      </c>
    </row>
    <row r="98" spans="2:42" x14ac:dyDescent="0.25">
      <c r="B98" t="s">
        <v>362</v>
      </c>
      <c r="C98" s="101">
        <v>118986</v>
      </c>
      <c r="D98" s="101">
        <v>1790</v>
      </c>
      <c r="E98" s="101">
        <v>1084</v>
      </c>
      <c r="F98" s="101">
        <v>6513</v>
      </c>
      <c r="G98" s="101">
        <v>21131</v>
      </c>
      <c r="H98" s="101">
        <v>16573</v>
      </c>
      <c r="I98" s="101">
        <v>3079</v>
      </c>
      <c r="J98" s="101">
        <v>2696</v>
      </c>
      <c r="K98" s="101">
        <v>921</v>
      </c>
      <c r="L98" s="101">
        <v>2425</v>
      </c>
      <c r="M98" s="101">
        <v>7430</v>
      </c>
      <c r="N98" s="101">
        <v>20910</v>
      </c>
      <c r="O98" s="101">
        <v>13450</v>
      </c>
      <c r="P98" s="101">
        <v>11600</v>
      </c>
      <c r="Q98" s="101">
        <v>9264</v>
      </c>
      <c r="R98" s="101">
        <v>568</v>
      </c>
      <c r="S98" s="101"/>
      <c r="T98" t="s">
        <v>362</v>
      </c>
      <c r="U98" s="101">
        <f t="shared" si="3"/>
        <v>109599</v>
      </c>
      <c r="V98" s="101">
        <f>Inkomsten!M98</f>
        <v>93530000</v>
      </c>
      <c r="W98" s="101">
        <f>Inkomsten!D98</f>
        <v>76766436</v>
      </c>
      <c r="X98" s="101">
        <v>4183</v>
      </c>
      <c r="Y98" s="101">
        <v>5438</v>
      </c>
      <c r="Z98" s="101">
        <v>0</v>
      </c>
      <c r="AA98" s="101">
        <v>687</v>
      </c>
      <c r="AB98" s="101">
        <v>712</v>
      </c>
      <c r="AC98" s="101">
        <v>74</v>
      </c>
      <c r="AD98" s="101">
        <v>617</v>
      </c>
      <c r="AE98" s="101">
        <v>364</v>
      </c>
      <c r="AF98" s="101">
        <v>80</v>
      </c>
      <c r="AG98" s="101">
        <f t="shared" si="4"/>
        <v>80680.436000000002</v>
      </c>
      <c r="AH98" s="101">
        <v>40736</v>
      </c>
      <c r="AI98" s="101">
        <f t="shared" si="5"/>
        <v>1980.5684406912803</v>
      </c>
      <c r="AJ98" t="s">
        <v>116</v>
      </c>
      <c r="AN98" t="s">
        <v>190</v>
      </c>
      <c r="AO98" s="259">
        <v>2271.0172327173123</v>
      </c>
      <c r="AP98" t="s">
        <v>465</v>
      </c>
    </row>
    <row r="99" spans="2:42" x14ac:dyDescent="0.25">
      <c r="B99" t="s">
        <v>363</v>
      </c>
      <c r="C99" s="101">
        <v>95703</v>
      </c>
      <c r="D99" s="101">
        <v>4277</v>
      </c>
      <c r="E99" s="101">
        <v>2635</v>
      </c>
      <c r="F99" s="101">
        <v>3996</v>
      </c>
      <c r="G99" s="101">
        <v>19415</v>
      </c>
      <c r="H99" s="101">
        <v>7933</v>
      </c>
      <c r="I99" s="101">
        <v>2215</v>
      </c>
      <c r="J99" s="101">
        <v>3312</v>
      </c>
      <c r="K99" s="101">
        <v>2516</v>
      </c>
      <c r="L99" s="101">
        <v>2334</v>
      </c>
      <c r="M99" s="101">
        <v>6194</v>
      </c>
      <c r="N99" s="101">
        <v>12835</v>
      </c>
      <c r="O99" s="101">
        <v>5307</v>
      </c>
      <c r="P99" s="101">
        <v>13395</v>
      </c>
      <c r="Q99" s="101">
        <v>8499</v>
      </c>
      <c r="R99" s="101">
        <v>1651</v>
      </c>
      <c r="S99" s="101"/>
      <c r="T99" t="s">
        <v>363</v>
      </c>
      <c r="U99" s="101">
        <f t="shared" si="3"/>
        <v>84795</v>
      </c>
      <c r="V99" s="101">
        <f>Inkomsten!M99</f>
        <v>73876000</v>
      </c>
      <c r="W99" s="101">
        <f>Inkomsten!D99</f>
        <v>59969150</v>
      </c>
      <c r="X99" s="101">
        <v>3114</v>
      </c>
      <c r="Y99" s="101">
        <v>3445</v>
      </c>
      <c r="Z99" s="101">
        <v>20</v>
      </c>
      <c r="AA99" s="101">
        <v>607</v>
      </c>
      <c r="AB99" s="101">
        <v>1268</v>
      </c>
      <c r="AC99" s="101">
        <v>237</v>
      </c>
      <c r="AD99" s="101">
        <v>160</v>
      </c>
      <c r="AE99" s="101">
        <v>5</v>
      </c>
      <c r="AF99" s="101">
        <v>31</v>
      </c>
      <c r="AG99" s="101">
        <f t="shared" si="4"/>
        <v>62001.149999999994</v>
      </c>
      <c r="AH99" s="101">
        <v>31428</v>
      </c>
      <c r="AI99" s="101">
        <f t="shared" si="5"/>
        <v>1972.799732722413</v>
      </c>
      <c r="AJ99" t="s">
        <v>116</v>
      </c>
      <c r="AN99" t="s">
        <v>406</v>
      </c>
      <c r="AO99" s="259">
        <v>2267.9703088766137</v>
      </c>
      <c r="AP99" t="s">
        <v>465</v>
      </c>
    </row>
    <row r="100" spans="2:42" x14ac:dyDescent="0.25">
      <c r="B100" t="s">
        <v>403</v>
      </c>
      <c r="C100" s="101">
        <v>60698</v>
      </c>
      <c r="D100" s="101">
        <v>1951</v>
      </c>
      <c r="E100" s="101">
        <v>376</v>
      </c>
      <c r="F100" s="101">
        <v>2791</v>
      </c>
      <c r="G100" s="101">
        <v>13289</v>
      </c>
      <c r="H100" s="101">
        <v>4570</v>
      </c>
      <c r="I100" s="101">
        <v>2356</v>
      </c>
      <c r="J100" s="101">
        <v>1082</v>
      </c>
      <c r="K100" s="101">
        <v>1292</v>
      </c>
      <c r="L100" s="101">
        <v>768</v>
      </c>
      <c r="M100" s="101">
        <v>4414</v>
      </c>
      <c r="N100" s="101">
        <v>11254</v>
      </c>
      <c r="O100" s="101">
        <v>4690</v>
      </c>
      <c r="P100" s="101">
        <v>6812</v>
      </c>
      <c r="Q100" s="101">
        <v>3920</v>
      </c>
      <c r="R100" s="101">
        <v>1477</v>
      </c>
      <c r="S100" s="101"/>
      <c r="T100" t="s">
        <v>403</v>
      </c>
      <c r="U100" s="101">
        <f t="shared" si="3"/>
        <v>55580</v>
      </c>
      <c r="V100" s="101">
        <f>Inkomsten!M100</f>
        <v>56654000</v>
      </c>
      <c r="W100" s="101">
        <f>Inkomsten!D100</f>
        <v>35931044</v>
      </c>
      <c r="X100" s="101">
        <v>1988</v>
      </c>
      <c r="Y100" s="101">
        <v>1828</v>
      </c>
      <c r="Z100" s="101">
        <v>45</v>
      </c>
      <c r="AA100" s="101">
        <v>321</v>
      </c>
      <c r="AB100" s="101">
        <v>290</v>
      </c>
      <c r="AC100" s="101">
        <v>73</v>
      </c>
      <c r="AD100" s="101">
        <v>1746</v>
      </c>
      <c r="AE100" s="101">
        <v>5</v>
      </c>
      <c r="AF100" s="101">
        <v>32</v>
      </c>
      <c r="AG100" s="101">
        <f t="shared" si="4"/>
        <v>28529.044000000002</v>
      </c>
      <c r="AH100" s="101">
        <v>17790</v>
      </c>
      <c r="AI100" s="101">
        <f t="shared" si="5"/>
        <v>1603.6562113546936</v>
      </c>
      <c r="AJ100" t="s">
        <v>116</v>
      </c>
      <c r="AN100" t="s">
        <v>209</v>
      </c>
      <c r="AO100" s="259">
        <v>2259.6687304602751</v>
      </c>
      <c r="AP100" t="s">
        <v>465</v>
      </c>
    </row>
    <row r="101" spans="2:42" x14ac:dyDescent="0.25">
      <c r="B101" t="s">
        <v>364</v>
      </c>
      <c r="C101" s="101">
        <v>83345</v>
      </c>
      <c r="D101" s="101">
        <v>4434</v>
      </c>
      <c r="E101" s="101">
        <v>818</v>
      </c>
      <c r="F101" s="101">
        <v>3253</v>
      </c>
      <c r="G101" s="101">
        <v>1120</v>
      </c>
      <c r="H101" s="101">
        <v>14731</v>
      </c>
      <c r="I101" s="101">
        <v>3357</v>
      </c>
      <c r="J101" s="101">
        <v>2673</v>
      </c>
      <c r="K101" s="101">
        <v>767</v>
      </c>
      <c r="L101" s="101">
        <v>2090</v>
      </c>
      <c r="M101" s="101">
        <v>7357</v>
      </c>
      <c r="N101" s="101">
        <v>11873</v>
      </c>
      <c r="O101" s="101">
        <v>6773</v>
      </c>
      <c r="P101" s="101">
        <v>14965</v>
      </c>
      <c r="Q101" s="101">
        <v>6292</v>
      </c>
      <c r="R101" s="101">
        <v>2843</v>
      </c>
      <c r="S101" s="101"/>
      <c r="T101" t="s">
        <v>364</v>
      </c>
      <c r="U101" s="101">
        <f t="shared" si="3"/>
        <v>74840</v>
      </c>
      <c r="V101" s="101">
        <f>Inkomsten!M101</f>
        <v>63233000</v>
      </c>
      <c r="W101" s="101">
        <f>Inkomsten!D101</f>
        <v>49927062</v>
      </c>
      <c r="X101" s="101">
        <v>1364</v>
      </c>
      <c r="Y101" s="101">
        <v>2156</v>
      </c>
      <c r="Z101" s="101">
        <v>0</v>
      </c>
      <c r="AA101" s="101">
        <v>207</v>
      </c>
      <c r="AB101" s="101">
        <v>888</v>
      </c>
      <c r="AC101" s="101">
        <v>99</v>
      </c>
      <c r="AD101" s="101">
        <v>490</v>
      </c>
      <c r="AE101" s="101">
        <v>15</v>
      </c>
      <c r="AF101" s="101">
        <v>2</v>
      </c>
      <c r="AG101" s="101">
        <f t="shared" si="4"/>
        <v>56313.061999999998</v>
      </c>
      <c r="AH101" s="101">
        <v>27359</v>
      </c>
      <c r="AI101" s="101">
        <f t="shared" si="5"/>
        <v>2058.3011805987062</v>
      </c>
      <c r="AJ101" t="s">
        <v>116</v>
      </c>
      <c r="AN101" t="s">
        <v>428</v>
      </c>
      <c r="AO101" s="259">
        <v>2257.0959192998926</v>
      </c>
      <c r="AP101" t="s">
        <v>465</v>
      </c>
    </row>
    <row r="102" spans="2:42" x14ac:dyDescent="0.25">
      <c r="B102" t="s">
        <v>290</v>
      </c>
      <c r="C102" s="101">
        <v>161516</v>
      </c>
      <c r="D102" s="101">
        <v>366</v>
      </c>
      <c r="E102" s="101">
        <v>1376</v>
      </c>
      <c r="F102" s="101">
        <v>7983</v>
      </c>
      <c r="G102" s="101">
        <v>43756</v>
      </c>
      <c r="H102" s="101">
        <v>11691</v>
      </c>
      <c r="I102" s="101">
        <v>4063</v>
      </c>
      <c r="J102" s="101">
        <v>9937</v>
      </c>
      <c r="K102" s="101">
        <v>4100</v>
      </c>
      <c r="L102" s="101">
        <v>3594</v>
      </c>
      <c r="M102" s="101">
        <v>12122</v>
      </c>
      <c r="N102" s="101">
        <v>12685</v>
      </c>
      <c r="O102" s="101">
        <v>12012</v>
      </c>
      <c r="P102" s="101">
        <v>19677</v>
      </c>
      <c r="Q102" s="101">
        <v>17525</v>
      </c>
      <c r="R102" s="101">
        <v>1500</v>
      </c>
      <c r="S102" s="101"/>
      <c r="T102" t="s">
        <v>290</v>
      </c>
      <c r="U102" s="101">
        <f t="shared" si="3"/>
        <v>151791</v>
      </c>
      <c r="V102" s="101">
        <f>Inkomsten!M102</f>
        <v>132501000</v>
      </c>
      <c r="W102" s="101">
        <f>Inkomsten!D102</f>
        <v>99134545</v>
      </c>
      <c r="X102" s="101">
        <v>6205</v>
      </c>
      <c r="Y102" s="101">
        <v>6748</v>
      </c>
      <c r="Z102" s="101">
        <v>1047</v>
      </c>
      <c r="AA102" s="101">
        <v>1065</v>
      </c>
      <c r="AB102" s="101">
        <v>1761</v>
      </c>
      <c r="AC102" s="101">
        <v>407</v>
      </c>
      <c r="AD102" s="101">
        <v>3601</v>
      </c>
      <c r="AE102" s="101">
        <v>13</v>
      </c>
      <c r="AF102" s="101">
        <v>497</v>
      </c>
      <c r="AG102" s="101">
        <f t="shared" si="4"/>
        <v>97080.544999999998</v>
      </c>
      <c r="AH102" s="101">
        <v>51860</v>
      </c>
      <c r="AI102" s="101">
        <f t="shared" si="5"/>
        <v>1871.9734863092942</v>
      </c>
      <c r="AJ102" t="s">
        <v>465</v>
      </c>
      <c r="AN102" t="s">
        <v>377</v>
      </c>
      <c r="AO102" s="259">
        <v>2254.6203317928512</v>
      </c>
      <c r="AP102" t="s">
        <v>465</v>
      </c>
    </row>
    <row r="103" spans="2:42" x14ac:dyDescent="0.25">
      <c r="B103" t="s">
        <v>329</v>
      </c>
      <c r="C103" s="101">
        <v>183802</v>
      </c>
      <c r="D103" s="101">
        <v>3364</v>
      </c>
      <c r="E103" s="101">
        <v>3708</v>
      </c>
      <c r="F103" s="101">
        <v>7918</v>
      </c>
      <c r="G103" s="101">
        <v>32939</v>
      </c>
      <c r="H103" s="101">
        <v>11037</v>
      </c>
      <c r="I103" s="101">
        <v>3934</v>
      </c>
      <c r="J103" s="101">
        <v>7500</v>
      </c>
      <c r="K103" s="101">
        <v>10180</v>
      </c>
      <c r="L103" s="101">
        <v>5108</v>
      </c>
      <c r="M103" s="101">
        <v>8614</v>
      </c>
      <c r="N103" s="101">
        <v>29431</v>
      </c>
      <c r="O103" s="101">
        <v>16432</v>
      </c>
      <c r="P103" s="101">
        <v>31512</v>
      </c>
      <c r="Q103" s="101">
        <v>11900</v>
      </c>
      <c r="R103" s="101">
        <v>1217</v>
      </c>
      <c r="S103" s="101"/>
      <c r="T103" t="s">
        <v>329</v>
      </c>
      <c r="U103" s="101">
        <f t="shared" si="3"/>
        <v>168812</v>
      </c>
      <c r="V103" s="101">
        <f>Inkomsten!M103</f>
        <v>136808000</v>
      </c>
      <c r="W103" s="101">
        <f>Inkomsten!D103</f>
        <v>97688396</v>
      </c>
      <c r="X103" s="101">
        <v>6269</v>
      </c>
      <c r="Y103" s="101">
        <v>5003</v>
      </c>
      <c r="Z103" s="101">
        <v>504</v>
      </c>
      <c r="AA103" s="101">
        <v>834</v>
      </c>
      <c r="AB103" s="101">
        <v>1860</v>
      </c>
      <c r="AC103" s="101">
        <v>459</v>
      </c>
      <c r="AD103" s="101">
        <v>343</v>
      </c>
      <c r="AE103" s="101">
        <v>4478</v>
      </c>
      <c r="AF103" s="101">
        <v>1720</v>
      </c>
      <c r="AG103" s="101">
        <f t="shared" si="4"/>
        <v>108222.39599999999</v>
      </c>
      <c r="AH103" s="101">
        <v>39677</v>
      </c>
      <c r="AI103" s="101">
        <f t="shared" si="5"/>
        <v>2727.5851500869521</v>
      </c>
      <c r="AJ103" t="s">
        <v>439</v>
      </c>
      <c r="AN103" t="s">
        <v>281</v>
      </c>
      <c r="AO103" s="260">
        <v>2246.715458421776</v>
      </c>
      <c r="AP103" t="s">
        <v>465</v>
      </c>
    </row>
    <row r="104" spans="2:42" x14ac:dyDescent="0.25">
      <c r="B104" t="s">
        <v>365</v>
      </c>
      <c r="C104" s="101">
        <v>69695</v>
      </c>
      <c r="D104" s="101">
        <v>1511</v>
      </c>
      <c r="E104" s="101">
        <v>776</v>
      </c>
      <c r="F104" s="101">
        <v>3975</v>
      </c>
      <c r="G104" s="101">
        <v>15083</v>
      </c>
      <c r="H104" s="101">
        <v>6872</v>
      </c>
      <c r="I104" s="101">
        <v>1580</v>
      </c>
      <c r="J104" s="101">
        <v>2471</v>
      </c>
      <c r="K104" s="101">
        <v>481</v>
      </c>
      <c r="L104" s="101">
        <v>1971</v>
      </c>
      <c r="M104" s="101">
        <v>5256</v>
      </c>
      <c r="N104" s="101">
        <v>8891</v>
      </c>
      <c r="O104" s="101">
        <v>6208</v>
      </c>
      <c r="P104" s="101">
        <v>8417</v>
      </c>
      <c r="Q104" s="101">
        <v>5202</v>
      </c>
      <c r="R104" s="101">
        <v>1156</v>
      </c>
      <c r="S104" s="101"/>
      <c r="T104" t="s">
        <v>365</v>
      </c>
      <c r="U104" s="101">
        <f t="shared" si="3"/>
        <v>63433</v>
      </c>
      <c r="V104" s="101">
        <f>Inkomsten!M104</f>
        <v>53938000</v>
      </c>
      <c r="W104" s="101">
        <f>Inkomsten!D104</f>
        <v>45628373</v>
      </c>
      <c r="X104" s="101">
        <v>2513</v>
      </c>
      <c r="Y104" s="101">
        <v>2122</v>
      </c>
      <c r="Z104" s="101">
        <v>0</v>
      </c>
      <c r="AA104" s="101">
        <v>360</v>
      </c>
      <c r="AB104" s="101">
        <v>1036</v>
      </c>
      <c r="AC104" s="101">
        <v>172</v>
      </c>
      <c r="AD104" s="101">
        <v>100</v>
      </c>
      <c r="AE104" s="101">
        <v>2</v>
      </c>
      <c r="AF104" s="101">
        <v>72</v>
      </c>
      <c r="AG104" s="101">
        <f t="shared" si="4"/>
        <v>48746.373</v>
      </c>
      <c r="AH104" s="101">
        <v>24328</v>
      </c>
      <c r="AI104" s="101">
        <f t="shared" si="5"/>
        <v>2003.7147731009536</v>
      </c>
      <c r="AJ104" t="s">
        <v>465</v>
      </c>
      <c r="AN104" t="s">
        <v>176</v>
      </c>
      <c r="AO104" s="259">
        <v>2246.5604268304487</v>
      </c>
      <c r="AP104" t="s">
        <v>465</v>
      </c>
    </row>
    <row r="105" spans="2:42" x14ac:dyDescent="0.25">
      <c r="B105" t="s">
        <v>486</v>
      </c>
      <c r="C105" s="101">
        <v>173977</v>
      </c>
      <c r="D105" s="101">
        <v>2163</v>
      </c>
      <c r="E105" s="101">
        <v>3436</v>
      </c>
      <c r="F105" s="101">
        <v>11737</v>
      </c>
      <c r="G105" s="101">
        <v>41500</v>
      </c>
      <c r="H105" s="101">
        <v>13973</v>
      </c>
      <c r="I105" s="101">
        <v>5929</v>
      </c>
      <c r="J105" s="101">
        <v>8732</v>
      </c>
      <c r="K105" s="101">
        <v>1686</v>
      </c>
      <c r="L105" s="101">
        <v>4761</v>
      </c>
      <c r="M105" s="101">
        <v>12789</v>
      </c>
      <c r="N105" s="101">
        <v>16973</v>
      </c>
      <c r="O105" s="101">
        <v>14486</v>
      </c>
      <c r="P105" s="101">
        <v>20974</v>
      </c>
      <c r="Q105" s="101">
        <v>13518</v>
      </c>
      <c r="R105" s="101">
        <v>1658</v>
      </c>
      <c r="S105" s="101"/>
      <c r="T105" t="s">
        <v>486</v>
      </c>
      <c r="U105" s="101">
        <f t="shared" si="3"/>
        <v>156641</v>
      </c>
      <c r="V105" s="101">
        <f>Inkomsten!M105</f>
        <v>125908000</v>
      </c>
      <c r="W105" s="101">
        <f>Inkomsten!D105</f>
        <v>108851557</v>
      </c>
      <c r="X105" s="101">
        <v>6962</v>
      </c>
      <c r="Y105" s="101">
        <v>8840</v>
      </c>
      <c r="Z105" s="101">
        <v>758</v>
      </c>
      <c r="AA105" s="101">
        <v>1194</v>
      </c>
      <c r="AB105" s="101">
        <v>3477</v>
      </c>
      <c r="AC105" s="101">
        <v>93</v>
      </c>
      <c r="AD105" s="101">
        <v>399</v>
      </c>
      <c r="AE105" s="101">
        <v>3512</v>
      </c>
      <c r="AF105" s="101">
        <v>402</v>
      </c>
      <c r="AG105" s="101">
        <f t="shared" si="4"/>
        <v>113947.557</v>
      </c>
      <c r="AH105" s="101">
        <v>60353</v>
      </c>
      <c r="AI105" s="101">
        <f t="shared" si="5"/>
        <v>1888.0181101188011</v>
      </c>
      <c r="AJ105" t="s">
        <v>465</v>
      </c>
      <c r="AN105" t="s">
        <v>148</v>
      </c>
      <c r="AO105" s="259">
        <v>2243.2419053002577</v>
      </c>
      <c r="AP105" t="s">
        <v>465</v>
      </c>
    </row>
    <row r="106" spans="2:42" x14ac:dyDescent="0.25">
      <c r="B106" t="s">
        <v>291</v>
      </c>
      <c r="C106" s="101">
        <v>158678</v>
      </c>
      <c r="D106" s="101">
        <v>390</v>
      </c>
      <c r="E106" s="101">
        <v>2834</v>
      </c>
      <c r="F106" s="101">
        <v>6640</v>
      </c>
      <c r="G106" s="101">
        <v>31447</v>
      </c>
      <c r="H106" s="101">
        <v>5696</v>
      </c>
      <c r="I106" s="101">
        <v>4147</v>
      </c>
      <c r="J106" s="101">
        <v>5749</v>
      </c>
      <c r="K106" s="101">
        <v>9462</v>
      </c>
      <c r="L106" s="101">
        <v>7065</v>
      </c>
      <c r="M106" s="101">
        <v>8456</v>
      </c>
      <c r="N106" s="101">
        <v>30798</v>
      </c>
      <c r="O106" s="101">
        <v>11035</v>
      </c>
      <c r="P106" s="101">
        <v>23592</v>
      </c>
      <c r="Q106" s="101">
        <v>11025</v>
      </c>
      <c r="R106" s="101">
        <v>1023</v>
      </c>
      <c r="S106" s="101"/>
      <c r="T106" t="s">
        <v>291</v>
      </c>
      <c r="U106" s="101">
        <f t="shared" si="3"/>
        <v>148814</v>
      </c>
      <c r="V106" s="101">
        <f>Inkomsten!M106</f>
        <v>121807000</v>
      </c>
      <c r="W106" s="101">
        <f>Inkomsten!D106</f>
        <v>88682858</v>
      </c>
      <c r="X106" s="101">
        <v>3936</v>
      </c>
      <c r="Y106" s="101">
        <v>5934</v>
      </c>
      <c r="Z106" s="101">
        <v>344</v>
      </c>
      <c r="AA106" s="101">
        <v>691</v>
      </c>
      <c r="AB106" s="101">
        <v>1076</v>
      </c>
      <c r="AC106" s="101">
        <v>1474</v>
      </c>
      <c r="AD106" s="101">
        <v>125</v>
      </c>
      <c r="AE106" s="101">
        <v>2556</v>
      </c>
      <c r="AF106" s="101">
        <v>559</v>
      </c>
      <c r="AG106" s="101">
        <f t="shared" si="4"/>
        <v>98994.857999999993</v>
      </c>
      <c r="AH106" s="101">
        <v>38682</v>
      </c>
      <c r="AI106" s="101">
        <f t="shared" si="5"/>
        <v>2559.1969908484566</v>
      </c>
      <c r="AJ106" t="s">
        <v>439</v>
      </c>
      <c r="AN106" t="s">
        <v>154</v>
      </c>
      <c r="AO106" s="259">
        <v>2241.1921597257328</v>
      </c>
      <c r="AP106" t="s">
        <v>465</v>
      </c>
    </row>
    <row r="107" spans="2:42" x14ac:dyDescent="0.25">
      <c r="B107" t="s">
        <v>292</v>
      </c>
      <c r="C107" s="101">
        <v>355445</v>
      </c>
      <c r="D107" s="101">
        <v>14035</v>
      </c>
      <c r="E107" s="101">
        <v>7048</v>
      </c>
      <c r="F107" s="101">
        <v>18934</v>
      </c>
      <c r="G107" s="101">
        <v>63764</v>
      </c>
      <c r="H107" s="101">
        <v>22596</v>
      </c>
      <c r="I107" s="101">
        <v>8090</v>
      </c>
      <c r="J107" s="101">
        <v>13047</v>
      </c>
      <c r="K107" s="101">
        <v>4196</v>
      </c>
      <c r="L107" s="101">
        <v>12734</v>
      </c>
      <c r="M107" s="101">
        <v>25847</v>
      </c>
      <c r="N107" s="101">
        <v>50017</v>
      </c>
      <c r="O107" s="101">
        <v>25606</v>
      </c>
      <c r="P107" s="101">
        <v>57691</v>
      </c>
      <c r="Q107" s="101">
        <v>28887</v>
      </c>
      <c r="R107" s="101">
        <v>4163</v>
      </c>
      <c r="S107" s="101"/>
      <c r="T107" t="s">
        <v>292</v>
      </c>
      <c r="U107" s="101">
        <f t="shared" si="3"/>
        <v>315428</v>
      </c>
      <c r="V107" s="101">
        <f>Inkomsten!M107</f>
        <v>266202000</v>
      </c>
      <c r="W107" s="101">
        <f>Inkomsten!D107</f>
        <v>189785312</v>
      </c>
      <c r="X107" s="101">
        <v>18687</v>
      </c>
      <c r="Y107" s="101">
        <v>13177</v>
      </c>
      <c r="Z107" s="101">
        <v>0</v>
      </c>
      <c r="AA107" s="101">
        <v>1611</v>
      </c>
      <c r="AB107" s="101">
        <v>3015</v>
      </c>
      <c r="AC107" s="101">
        <v>376</v>
      </c>
      <c r="AD107" s="101">
        <v>169</v>
      </c>
      <c r="AE107" s="101">
        <v>4863</v>
      </c>
      <c r="AF107" s="101">
        <v>1251</v>
      </c>
      <c r="AG107" s="101">
        <f t="shared" si="4"/>
        <v>195862.31200000001</v>
      </c>
      <c r="AH107" s="101">
        <v>75763</v>
      </c>
      <c r="AI107" s="101">
        <f t="shared" si="5"/>
        <v>2585.1974182648523</v>
      </c>
      <c r="AJ107" t="s">
        <v>439</v>
      </c>
      <c r="AN107" t="s">
        <v>299</v>
      </c>
      <c r="AO107" s="259">
        <v>2241.1596215249069</v>
      </c>
      <c r="AP107" t="s">
        <v>465</v>
      </c>
    </row>
    <row r="108" spans="2:42" x14ac:dyDescent="0.25">
      <c r="B108" t="s">
        <v>721</v>
      </c>
      <c r="C108" s="101">
        <v>1291784</v>
      </c>
      <c r="D108" s="101">
        <v>3498</v>
      </c>
      <c r="E108" s="101">
        <v>35633</v>
      </c>
      <c r="F108" s="101">
        <v>48579</v>
      </c>
      <c r="G108" s="101">
        <v>287997</v>
      </c>
      <c r="H108" s="101">
        <v>82499</v>
      </c>
      <c r="I108" s="101">
        <v>29329</v>
      </c>
      <c r="J108" s="101">
        <v>43139</v>
      </c>
      <c r="K108" s="101">
        <v>18423</v>
      </c>
      <c r="L108" s="101">
        <v>29180</v>
      </c>
      <c r="M108" s="101">
        <v>93462</v>
      </c>
      <c r="N108" s="101">
        <v>228406</v>
      </c>
      <c r="O108" s="101">
        <v>87779</v>
      </c>
      <c r="P108" s="101">
        <v>220122</v>
      </c>
      <c r="Q108" s="101">
        <v>42312</v>
      </c>
      <c r="R108" s="101">
        <v>50356</v>
      </c>
      <c r="S108" s="101"/>
      <c r="T108" t="s">
        <v>721</v>
      </c>
      <c r="U108" s="101">
        <f t="shared" si="3"/>
        <v>1204074</v>
      </c>
      <c r="V108" s="101">
        <f>Inkomsten!M108</f>
        <v>997848000</v>
      </c>
      <c r="W108" s="101">
        <f>Inkomsten!D108</f>
        <v>645369773</v>
      </c>
      <c r="X108" s="101">
        <v>22241</v>
      </c>
      <c r="Y108" s="101">
        <v>35649</v>
      </c>
      <c r="Z108" s="101">
        <v>1805</v>
      </c>
      <c r="AA108" s="101">
        <v>4159</v>
      </c>
      <c r="AB108" s="101">
        <v>17519</v>
      </c>
      <c r="AC108" s="101">
        <v>2457</v>
      </c>
      <c r="AD108" s="101">
        <v>2477</v>
      </c>
      <c r="AE108" s="101">
        <v>28521</v>
      </c>
      <c r="AF108" s="101">
        <v>2017</v>
      </c>
      <c r="AG108" s="101">
        <f t="shared" si="4"/>
        <v>734750.77300000004</v>
      </c>
      <c r="AH108" s="101">
        <v>243833</v>
      </c>
      <c r="AI108" s="101">
        <f t="shared" si="5"/>
        <v>3013.3360660780122</v>
      </c>
      <c r="AJ108" t="s">
        <v>439</v>
      </c>
      <c r="AN108" t="s">
        <v>189</v>
      </c>
      <c r="AO108" s="259">
        <v>2235.9212999082456</v>
      </c>
      <c r="AP108" t="s">
        <v>465</v>
      </c>
    </row>
    <row r="109" spans="2:42" x14ac:dyDescent="0.25">
      <c r="B109" t="s">
        <v>404</v>
      </c>
      <c r="C109" s="101">
        <v>45589</v>
      </c>
      <c r="D109" s="101">
        <v>0</v>
      </c>
      <c r="E109" s="101">
        <v>1038</v>
      </c>
      <c r="F109" s="101">
        <v>2562</v>
      </c>
      <c r="G109" s="101">
        <v>11859</v>
      </c>
      <c r="H109" s="101">
        <v>5519</v>
      </c>
      <c r="I109" s="101">
        <v>1579</v>
      </c>
      <c r="J109" s="101">
        <v>1080</v>
      </c>
      <c r="K109" s="101">
        <v>725</v>
      </c>
      <c r="L109" s="101">
        <v>1276</v>
      </c>
      <c r="M109" s="101">
        <v>2875</v>
      </c>
      <c r="N109" s="101">
        <v>5936</v>
      </c>
      <c r="O109" s="101">
        <v>2529</v>
      </c>
      <c r="P109" s="101">
        <v>5352</v>
      </c>
      <c r="Q109" s="101">
        <v>2654</v>
      </c>
      <c r="R109" s="101">
        <v>1024</v>
      </c>
      <c r="S109" s="101"/>
      <c r="T109" t="s">
        <v>404</v>
      </c>
      <c r="U109" s="101">
        <f t="shared" si="3"/>
        <v>41989</v>
      </c>
      <c r="V109" s="101">
        <f>Inkomsten!M109</f>
        <v>34743000</v>
      </c>
      <c r="W109" s="101">
        <f>Inkomsten!D109</f>
        <v>28898520</v>
      </c>
      <c r="X109" s="101">
        <v>2326</v>
      </c>
      <c r="Y109" s="101">
        <v>2056</v>
      </c>
      <c r="Z109" s="101">
        <v>15</v>
      </c>
      <c r="AA109" s="101">
        <v>210</v>
      </c>
      <c r="AB109" s="101">
        <v>666</v>
      </c>
      <c r="AC109" s="101">
        <v>22</v>
      </c>
      <c r="AD109" s="101">
        <v>1977</v>
      </c>
      <c r="AE109" s="101">
        <v>9</v>
      </c>
      <c r="AF109" s="101">
        <v>4</v>
      </c>
      <c r="AG109" s="101">
        <f t="shared" si="4"/>
        <v>28859.520000000004</v>
      </c>
      <c r="AH109" s="101">
        <v>14056</v>
      </c>
      <c r="AI109" s="101">
        <f t="shared" si="5"/>
        <v>2053.1815594763802</v>
      </c>
      <c r="AJ109" t="s">
        <v>116</v>
      </c>
      <c r="AN109" t="s">
        <v>325</v>
      </c>
      <c r="AO109" s="259">
        <v>2233.3613509934426</v>
      </c>
      <c r="AP109" t="s">
        <v>465</v>
      </c>
    </row>
    <row r="110" spans="2:42" x14ac:dyDescent="0.25">
      <c r="B110" t="s">
        <v>145</v>
      </c>
      <c r="C110" s="101">
        <v>74223</v>
      </c>
      <c r="D110" s="101">
        <v>26</v>
      </c>
      <c r="E110" s="101">
        <v>1023</v>
      </c>
      <c r="F110" s="101">
        <v>3270</v>
      </c>
      <c r="G110" s="101">
        <v>15265</v>
      </c>
      <c r="H110" s="101">
        <v>6721</v>
      </c>
      <c r="I110" s="101">
        <v>2190</v>
      </c>
      <c r="J110" s="101">
        <v>2301</v>
      </c>
      <c r="K110" s="101">
        <v>1025</v>
      </c>
      <c r="L110" s="101">
        <v>1959</v>
      </c>
      <c r="M110" s="101">
        <v>4341</v>
      </c>
      <c r="N110" s="101">
        <v>11231</v>
      </c>
      <c r="O110" s="101">
        <v>7120</v>
      </c>
      <c r="P110" s="101">
        <v>8854</v>
      </c>
      <c r="Q110" s="101">
        <v>7250</v>
      </c>
      <c r="R110" s="101">
        <v>1839</v>
      </c>
      <c r="S110" s="101"/>
      <c r="T110" t="s">
        <v>145</v>
      </c>
      <c r="U110" s="101">
        <f t="shared" si="3"/>
        <v>69904</v>
      </c>
      <c r="V110" s="101">
        <f>Inkomsten!M110</f>
        <v>62604000</v>
      </c>
      <c r="W110" s="101">
        <f>Inkomsten!D110</f>
        <v>48344534</v>
      </c>
      <c r="X110" s="101">
        <v>4150</v>
      </c>
      <c r="Y110" s="101">
        <v>2486</v>
      </c>
      <c r="Z110" s="101">
        <v>185</v>
      </c>
      <c r="AA110" s="101">
        <v>372</v>
      </c>
      <c r="AB110" s="101">
        <v>705</v>
      </c>
      <c r="AC110" s="101">
        <v>26</v>
      </c>
      <c r="AD110" s="101">
        <v>117</v>
      </c>
      <c r="AE110" s="101">
        <v>0</v>
      </c>
      <c r="AF110" s="101">
        <v>11</v>
      </c>
      <c r="AG110" s="101">
        <f t="shared" si="4"/>
        <v>47592.534</v>
      </c>
      <c r="AH110" s="101">
        <v>24360</v>
      </c>
      <c r="AI110" s="101">
        <f t="shared" si="5"/>
        <v>1953.7165024630542</v>
      </c>
      <c r="AJ110" t="s">
        <v>116</v>
      </c>
      <c r="AN110" t="s">
        <v>233</v>
      </c>
      <c r="AO110" s="259">
        <v>2229.3976242206591</v>
      </c>
      <c r="AP110" t="s">
        <v>465</v>
      </c>
    </row>
    <row r="111" spans="2:42" x14ac:dyDescent="0.25">
      <c r="B111" t="s">
        <v>250</v>
      </c>
      <c r="C111" s="101">
        <v>718879</v>
      </c>
      <c r="D111" s="101">
        <v>7766</v>
      </c>
      <c r="E111" s="101">
        <v>8965</v>
      </c>
      <c r="F111" s="101">
        <v>33926</v>
      </c>
      <c r="G111" s="101">
        <v>139765</v>
      </c>
      <c r="H111" s="101">
        <v>33753</v>
      </c>
      <c r="I111" s="101">
        <v>20735</v>
      </c>
      <c r="J111" s="101">
        <v>39435</v>
      </c>
      <c r="K111" s="101">
        <v>4841</v>
      </c>
      <c r="L111" s="101">
        <v>21217</v>
      </c>
      <c r="M111" s="101">
        <v>68529</v>
      </c>
      <c r="N111" s="101">
        <v>95588</v>
      </c>
      <c r="O111" s="101">
        <v>46148</v>
      </c>
      <c r="P111" s="101">
        <v>125914</v>
      </c>
      <c r="Q111" s="101">
        <v>57040</v>
      </c>
      <c r="R111" s="101">
        <v>16331</v>
      </c>
      <c r="S111" s="101"/>
      <c r="T111" t="s">
        <v>250</v>
      </c>
      <c r="U111" s="101">
        <f t="shared" si="3"/>
        <v>668222</v>
      </c>
      <c r="V111" s="101">
        <f>Inkomsten!M111</f>
        <v>538528000</v>
      </c>
      <c r="W111" s="101">
        <f>Inkomsten!D111</f>
        <v>364696119</v>
      </c>
      <c r="X111" s="101">
        <v>14298</v>
      </c>
      <c r="Y111" s="101">
        <v>30092</v>
      </c>
      <c r="Z111" s="101">
        <v>1081</v>
      </c>
      <c r="AA111" s="101">
        <v>2689</v>
      </c>
      <c r="AB111" s="101">
        <v>8878</v>
      </c>
      <c r="AC111" s="101">
        <v>2438</v>
      </c>
      <c r="AD111" s="101">
        <v>2812</v>
      </c>
      <c r="AE111" s="101">
        <v>28582</v>
      </c>
      <c r="AF111" s="101">
        <v>3221</v>
      </c>
      <c r="AG111" s="101">
        <f t="shared" si="4"/>
        <v>400299.11900000001</v>
      </c>
      <c r="AH111" s="101">
        <v>167763</v>
      </c>
      <c r="AI111" s="101">
        <f t="shared" si="5"/>
        <v>2386.0989550735262</v>
      </c>
      <c r="AJ111" t="s">
        <v>439</v>
      </c>
      <c r="AN111" t="s">
        <v>321</v>
      </c>
      <c r="AO111" s="259">
        <v>2223.0300857240636</v>
      </c>
      <c r="AP111" t="s">
        <v>465</v>
      </c>
    </row>
    <row r="112" spans="2:42" x14ac:dyDescent="0.25">
      <c r="B112" t="s">
        <v>251</v>
      </c>
      <c r="C112" s="101">
        <v>527385</v>
      </c>
      <c r="D112" s="101">
        <v>-553</v>
      </c>
      <c r="E112" s="101">
        <v>10747</v>
      </c>
      <c r="F112" s="101">
        <v>26977</v>
      </c>
      <c r="G112" s="101">
        <v>116048</v>
      </c>
      <c r="H112" s="101">
        <v>11822</v>
      </c>
      <c r="I112" s="101">
        <v>21739</v>
      </c>
      <c r="J112" s="101">
        <v>27384</v>
      </c>
      <c r="K112" s="101">
        <v>5394</v>
      </c>
      <c r="L112" s="101">
        <v>15266</v>
      </c>
      <c r="M112" s="101">
        <v>59319</v>
      </c>
      <c r="N112" s="101">
        <v>55585</v>
      </c>
      <c r="O112" s="101">
        <v>51827</v>
      </c>
      <c r="P112" s="101">
        <v>60022</v>
      </c>
      <c r="Q112" s="101">
        <v>45148</v>
      </c>
      <c r="R112" s="101">
        <v>20829</v>
      </c>
      <c r="S112" s="101"/>
      <c r="T112" t="s">
        <v>251</v>
      </c>
      <c r="U112" s="101">
        <f t="shared" si="3"/>
        <v>490214</v>
      </c>
      <c r="V112" s="101">
        <f>Inkomsten!M112</f>
        <v>338077000</v>
      </c>
      <c r="W112" s="101">
        <f>Inkomsten!D112</f>
        <v>277326887</v>
      </c>
      <c r="X112" s="101">
        <v>10907</v>
      </c>
      <c r="Y112" s="101">
        <v>22467</v>
      </c>
      <c r="Z112" s="101">
        <v>887</v>
      </c>
      <c r="AA112" s="101">
        <v>4470</v>
      </c>
      <c r="AB112" s="101">
        <v>10682</v>
      </c>
      <c r="AC112" s="101">
        <v>725</v>
      </c>
      <c r="AD112" s="101">
        <v>14281</v>
      </c>
      <c r="AE112" s="101">
        <v>4990</v>
      </c>
      <c r="AF112" s="101">
        <v>1910</v>
      </c>
      <c r="AG112" s="101">
        <f t="shared" si="4"/>
        <v>358144.88699999999</v>
      </c>
      <c r="AH112" s="101">
        <v>163196</v>
      </c>
      <c r="AI112" s="101">
        <f t="shared" si="5"/>
        <v>2194.5690274271428</v>
      </c>
      <c r="AJ112" t="s">
        <v>465</v>
      </c>
      <c r="AN112" t="s">
        <v>353</v>
      </c>
      <c r="AO112" s="259">
        <v>2221.6500009036531</v>
      </c>
      <c r="AP112" t="s">
        <v>465</v>
      </c>
    </row>
    <row r="113" spans="2:42" x14ac:dyDescent="0.25">
      <c r="B113" t="s">
        <v>368</v>
      </c>
      <c r="C113" s="101">
        <v>98302</v>
      </c>
      <c r="D113" s="101">
        <v>6374</v>
      </c>
      <c r="E113" s="101">
        <v>1668</v>
      </c>
      <c r="F113" s="101">
        <v>3120</v>
      </c>
      <c r="G113" s="101">
        <v>18633</v>
      </c>
      <c r="H113" s="101">
        <v>7552</v>
      </c>
      <c r="I113" s="101">
        <v>2357</v>
      </c>
      <c r="J113" s="101">
        <v>3259</v>
      </c>
      <c r="K113" s="101">
        <v>1186</v>
      </c>
      <c r="L113" s="101">
        <v>3249</v>
      </c>
      <c r="M113" s="101">
        <v>4143</v>
      </c>
      <c r="N113" s="101">
        <v>18546</v>
      </c>
      <c r="O113" s="101">
        <v>7437</v>
      </c>
      <c r="P113" s="101">
        <v>12913</v>
      </c>
      <c r="Q113" s="101">
        <v>7841</v>
      </c>
      <c r="R113" s="101">
        <v>371</v>
      </c>
      <c r="S113" s="101"/>
      <c r="T113" t="s">
        <v>368</v>
      </c>
      <c r="U113" s="101">
        <f t="shared" si="3"/>
        <v>87140</v>
      </c>
      <c r="V113" s="101">
        <f>Inkomsten!M113</f>
        <v>78231000</v>
      </c>
      <c r="W113" s="101">
        <f>Inkomsten!D113</f>
        <v>59934224</v>
      </c>
      <c r="X113" s="101">
        <v>3336</v>
      </c>
      <c r="Y113" s="101">
        <v>4398</v>
      </c>
      <c r="Z113" s="101">
        <v>30</v>
      </c>
      <c r="AA113" s="101">
        <v>582</v>
      </c>
      <c r="AB113" s="101">
        <v>649</v>
      </c>
      <c r="AC113" s="101">
        <v>98</v>
      </c>
      <c r="AD113" s="101">
        <v>624</v>
      </c>
      <c r="AE113" s="101">
        <v>0</v>
      </c>
      <c r="AF113" s="101">
        <v>23</v>
      </c>
      <c r="AG113" s="101">
        <f t="shared" si="4"/>
        <v>59103.224000000002</v>
      </c>
      <c r="AH113" s="101">
        <v>31183</v>
      </c>
      <c r="AI113" s="101">
        <f t="shared" si="5"/>
        <v>1895.3668344931534</v>
      </c>
      <c r="AJ113" t="s">
        <v>116</v>
      </c>
      <c r="AN113" t="s">
        <v>169</v>
      </c>
      <c r="AO113" s="259">
        <v>2220.540114875409</v>
      </c>
      <c r="AP113" t="s">
        <v>465</v>
      </c>
    </row>
    <row r="114" spans="2:42" x14ac:dyDescent="0.25">
      <c r="B114" t="s">
        <v>146</v>
      </c>
      <c r="C114" s="101">
        <v>242015</v>
      </c>
      <c r="D114" s="101">
        <v>12913</v>
      </c>
      <c r="E114" s="101">
        <v>4692</v>
      </c>
      <c r="F114" s="101">
        <v>12758</v>
      </c>
      <c r="G114" s="101">
        <v>45210</v>
      </c>
      <c r="H114" s="101">
        <v>48548</v>
      </c>
      <c r="I114" s="101">
        <v>4774</v>
      </c>
      <c r="J114" s="101">
        <v>5951</v>
      </c>
      <c r="K114" s="101">
        <v>6748</v>
      </c>
      <c r="L114" s="101">
        <v>3631</v>
      </c>
      <c r="M114" s="101">
        <v>10113</v>
      </c>
      <c r="N114" s="101">
        <v>27908</v>
      </c>
      <c r="O114" s="101">
        <v>18488</v>
      </c>
      <c r="P114" s="101">
        <v>24362</v>
      </c>
      <c r="Q114" s="101">
        <v>14312</v>
      </c>
      <c r="R114" s="101">
        <v>2666</v>
      </c>
      <c r="S114" s="101"/>
      <c r="T114" t="s">
        <v>146</v>
      </c>
      <c r="U114" s="101">
        <f t="shared" si="3"/>
        <v>211652</v>
      </c>
      <c r="V114" s="101">
        <f>Inkomsten!M114</f>
        <v>157229000</v>
      </c>
      <c r="W114" s="101">
        <f>Inkomsten!D114</f>
        <v>127315183</v>
      </c>
      <c r="X114" s="101">
        <v>8227</v>
      </c>
      <c r="Y114" s="101">
        <v>5946</v>
      </c>
      <c r="Z114" s="101">
        <v>496</v>
      </c>
      <c r="AA114" s="101">
        <v>1040</v>
      </c>
      <c r="AB114" s="101">
        <v>1468</v>
      </c>
      <c r="AC114" s="101">
        <v>344</v>
      </c>
      <c r="AD114" s="101">
        <v>1387</v>
      </c>
      <c r="AE114" s="101">
        <v>1639</v>
      </c>
      <c r="AF114" s="101">
        <v>36</v>
      </c>
      <c r="AG114" s="101">
        <f t="shared" si="4"/>
        <v>161155.18300000002</v>
      </c>
      <c r="AH114" s="101">
        <v>62935</v>
      </c>
      <c r="AI114" s="101">
        <f t="shared" si="5"/>
        <v>2560.6607293239063</v>
      </c>
      <c r="AJ114" t="s">
        <v>116</v>
      </c>
      <c r="AN114" t="s">
        <v>328</v>
      </c>
      <c r="AO114" s="259">
        <v>2214.7158404417642</v>
      </c>
      <c r="AP114" t="s">
        <v>465</v>
      </c>
    </row>
    <row r="115" spans="2:42" x14ac:dyDescent="0.25">
      <c r="B115" t="s">
        <v>181</v>
      </c>
      <c r="C115" s="101">
        <v>201420</v>
      </c>
      <c r="D115" s="101">
        <v>13405</v>
      </c>
      <c r="E115" s="101">
        <v>1333</v>
      </c>
      <c r="F115" s="101">
        <v>5679</v>
      </c>
      <c r="G115" s="101">
        <v>25965</v>
      </c>
      <c r="H115" s="101">
        <v>18890</v>
      </c>
      <c r="I115" s="101">
        <v>3636</v>
      </c>
      <c r="J115" s="101">
        <v>6298</v>
      </c>
      <c r="K115" s="101">
        <v>1745</v>
      </c>
      <c r="L115" s="101">
        <v>7353</v>
      </c>
      <c r="M115" s="101">
        <v>9471</v>
      </c>
      <c r="N115" s="101">
        <v>27069</v>
      </c>
      <c r="O115" s="101">
        <v>19426</v>
      </c>
      <c r="P115" s="101">
        <v>48262</v>
      </c>
      <c r="Q115" s="101">
        <v>12314</v>
      </c>
      <c r="R115" s="101">
        <v>1157</v>
      </c>
      <c r="S115" s="101"/>
      <c r="T115" t="s">
        <v>181</v>
      </c>
      <c r="U115" s="101">
        <f t="shared" si="3"/>
        <v>181003</v>
      </c>
      <c r="V115" s="101">
        <f>Inkomsten!M115</f>
        <v>129040000</v>
      </c>
      <c r="W115" s="101">
        <f>Inkomsten!D115</f>
        <v>102063275</v>
      </c>
      <c r="X115" s="101">
        <v>3766</v>
      </c>
      <c r="Y115" s="101">
        <v>5725</v>
      </c>
      <c r="Z115" s="101">
        <v>947</v>
      </c>
      <c r="AA115" s="101">
        <v>682</v>
      </c>
      <c r="AB115" s="101">
        <v>890</v>
      </c>
      <c r="AC115" s="101">
        <v>786</v>
      </c>
      <c r="AD115" s="101">
        <v>253</v>
      </c>
      <c r="AE115" s="101">
        <v>2358</v>
      </c>
      <c r="AF115" s="101">
        <v>820</v>
      </c>
      <c r="AG115" s="101">
        <f t="shared" si="4"/>
        <v>137799.27499999999</v>
      </c>
      <c r="AH115" s="101">
        <v>49378</v>
      </c>
      <c r="AI115" s="101">
        <f t="shared" si="5"/>
        <v>2790.701830774839</v>
      </c>
      <c r="AJ115" t="s">
        <v>439</v>
      </c>
      <c r="AN115" t="s">
        <v>155</v>
      </c>
      <c r="AO115" s="259">
        <v>2207.2844434435551</v>
      </c>
      <c r="AP115" t="s">
        <v>465</v>
      </c>
    </row>
    <row r="116" spans="2:42" x14ac:dyDescent="0.25">
      <c r="B116" t="s">
        <v>293</v>
      </c>
      <c r="C116" s="101">
        <v>52518</v>
      </c>
      <c r="D116" s="101">
        <v>4573</v>
      </c>
      <c r="E116" s="101">
        <v>582</v>
      </c>
      <c r="F116" s="101">
        <v>1840</v>
      </c>
      <c r="G116" s="101">
        <v>10391</v>
      </c>
      <c r="H116" s="101">
        <v>6122</v>
      </c>
      <c r="I116" s="101">
        <v>1661</v>
      </c>
      <c r="J116" s="101">
        <v>1406</v>
      </c>
      <c r="K116" s="101">
        <v>619</v>
      </c>
      <c r="L116" s="101">
        <v>830</v>
      </c>
      <c r="M116" s="101">
        <v>1725</v>
      </c>
      <c r="N116" s="101">
        <v>4741</v>
      </c>
      <c r="O116" s="101">
        <v>5556</v>
      </c>
      <c r="P116" s="101">
        <v>8453</v>
      </c>
      <c r="Q116" s="101">
        <v>3745</v>
      </c>
      <c r="R116" s="101">
        <v>422</v>
      </c>
      <c r="S116" s="101"/>
      <c r="T116" t="s">
        <v>293</v>
      </c>
      <c r="U116" s="101">
        <f t="shared" si="3"/>
        <v>45523</v>
      </c>
      <c r="V116" s="101">
        <f>Inkomsten!M116</f>
        <v>39993000</v>
      </c>
      <c r="W116" s="101">
        <f>Inkomsten!D116</f>
        <v>35033534</v>
      </c>
      <c r="X116" s="101">
        <v>1629</v>
      </c>
      <c r="Y116" s="101">
        <v>2459</v>
      </c>
      <c r="Z116" s="101">
        <v>390</v>
      </c>
      <c r="AA116" s="101">
        <v>268</v>
      </c>
      <c r="AB116" s="101">
        <v>355</v>
      </c>
      <c r="AC116" s="101">
        <v>70</v>
      </c>
      <c r="AD116" s="101">
        <v>0</v>
      </c>
      <c r="AE116" s="101">
        <v>0</v>
      </c>
      <c r="AF116" s="101">
        <v>142</v>
      </c>
      <c r="AG116" s="101">
        <f t="shared" si="4"/>
        <v>35250.534</v>
      </c>
      <c r="AH116" s="101">
        <v>18760</v>
      </c>
      <c r="AI116" s="101">
        <f t="shared" si="5"/>
        <v>1879.0263326226013</v>
      </c>
      <c r="AJ116" t="s">
        <v>465</v>
      </c>
      <c r="AN116" t="s">
        <v>298</v>
      </c>
      <c r="AO116" s="259">
        <v>2202.045956580374</v>
      </c>
      <c r="AP116" t="s">
        <v>465</v>
      </c>
    </row>
    <row r="117" spans="2:42" x14ac:dyDescent="0.25">
      <c r="B117" t="s">
        <v>128</v>
      </c>
      <c r="C117" s="101">
        <v>73091</v>
      </c>
      <c r="D117" s="101">
        <v>0</v>
      </c>
      <c r="E117" s="101">
        <v>520</v>
      </c>
      <c r="F117" s="101">
        <v>2892</v>
      </c>
      <c r="G117" s="101">
        <v>15933</v>
      </c>
      <c r="H117" s="101">
        <v>7071</v>
      </c>
      <c r="I117" s="101">
        <v>1391</v>
      </c>
      <c r="J117" s="101">
        <v>7561</v>
      </c>
      <c r="K117" s="101">
        <v>842</v>
      </c>
      <c r="L117" s="101">
        <v>1737</v>
      </c>
      <c r="M117" s="101">
        <v>3453</v>
      </c>
      <c r="N117" s="101">
        <v>14539</v>
      </c>
      <c r="O117" s="101">
        <v>5683</v>
      </c>
      <c r="P117" s="101">
        <v>6730</v>
      </c>
      <c r="Q117" s="101">
        <v>4553</v>
      </c>
      <c r="R117" s="101">
        <v>537</v>
      </c>
      <c r="S117" s="101"/>
      <c r="T117" t="s">
        <v>128</v>
      </c>
      <c r="U117" s="101">
        <f t="shared" si="3"/>
        <v>69679</v>
      </c>
      <c r="V117" s="101">
        <f>Inkomsten!M117</f>
        <v>55237000</v>
      </c>
      <c r="W117" s="101">
        <f>Inkomsten!D117</f>
        <v>43068906</v>
      </c>
      <c r="X117" s="101">
        <v>1673</v>
      </c>
      <c r="Y117" s="101">
        <v>2153</v>
      </c>
      <c r="Z117" s="101">
        <v>31</v>
      </c>
      <c r="AA117" s="101">
        <v>182</v>
      </c>
      <c r="AB117" s="101">
        <v>372</v>
      </c>
      <c r="AC117" s="101">
        <v>359</v>
      </c>
      <c r="AD117" s="101">
        <v>247</v>
      </c>
      <c r="AE117" s="101">
        <v>6822</v>
      </c>
      <c r="AF117" s="101">
        <v>484</v>
      </c>
      <c r="AG117" s="101">
        <f t="shared" si="4"/>
        <v>45187.906000000003</v>
      </c>
      <c r="AH117" s="101">
        <v>16212</v>
      </c>
      <c r="AI117" s="101">
        <f t="shared" si="5"/>
        <v>2787.3122378485073</v>
      </c>
      <c r="AJ117" t="s">
        <v>439</v>
      </c>
      <c r="AN117" t="s">
        <v>373</v>
      </c>
      <c r="AO117" s="259">
        <v>2201.0413702646242</v>
      </c>
      <c r="AP117" t="s">
        <v>465</v>
      </c>
    </row>
    <row r="118" spans="2:42" x14ac:dyDescent="0.25">
      <c r="B118" t="s">
        <v>182</v>
      </c>
      <c r="C118" s="101">
        <v>34180</v>
      </c>
      <c r="D118" s="101">
        <v>0</v>
      </c>
      <c r="E118" s="101">
        <v>669</v>
      </c>
      <c r="F118" s="101">
        <v>1754</v>
      </c>
      <c r="G118" s="101">
        <v>11042</v>
      </c>
      <c r="H118" s="101">
        <v>3446</v>
      </c>
      <c r="I118" s="101">
        <v>809</v>
      </c>
      <c r="J118" s="101">
        <v>986</v>
      </c>
      <c r="K118" s="101">
        <v>267</v>
      </c>
      <c r="L118" s="101">
        <v>920</v>
      </c>
      <c r="M118" s="101">
        <v>2077</v>
      </c>
      <c r="N118" s="101">
        <v>3275</v>
      </c>
      <c r="O118" s="101">
        <v>1712</v>
      </c>
      <c r="P118" s="101">
        <v>3957</v>
      </c>
      <c r="Q118" s="101">
        <v>3078</v>
      </c>
      <c r="R118" s="101">
        <v>269</v>
      </c>
      <c r="S118" s="101"/>
      <c r="T118" t="s">
        <v>182</v>
      </c>
      <c r="U118" s="101">
        <f t="shared" si="3"/>
        <v>31757</v>
      </c>
      <c r="V118" s="101">
        <f>Inkomsten!M118</f>
        <v>26666000</v>
      </c>
      <c r="W118" s="101">
        <f>Inkomsten!D118</f>
        <v>22827013</v>
      </c>
      <c r="X118" s="101">
        <v>1450</v>
      </c>
      <c r="Y118" s="101">
        <v>1395</v>
      </c>
      <c r="Z118" s="101">
        <v>237</v>
      </c>
      <c r="AA118" s="101">
        <v>179</v>
      </c>
      <c r="AB118" s="101">
        <v>611</v>
      </c>
      <c r="AC118" s="101">
        <v>50</v>
      </c>
      <c r="AD118" s="101">
        <v>354</v>
      </c>
      <c r="AE118" s="101">
        <v>0</v>
      </c>
      <c r="AF118" s="101">
        <v>34</v>
      </c>
      <c r="AG118" s="101">
        <f t="shared" si="4"/>
        <v>23608.012999999999</v>
      </c>
      <c r="AH118" s="101">
        <v>12623</v>
      </c>
      <c r="AI118" s="101">
        <f t="shared" si="5"/>
        <v>1870.2378990731204</v>
      </c>
      <c r="AJ118" t="s">
        <v>465</v>
      </c>
      <c r="AN118" t="s">
        <v>224</v>
      </c>
      <c r="AO118" s="259">
        <v>2193.103974139286</v>
      </c>
      <c r="AP118" t="s">
        <v>465</v>
      </c>
    </row>
    <row r="119" spans="2:42" x14ac:dyDescent="0.25">
      <c r="B119" t="s">
        <v>252</v>
      </c>
      <c r="C119" s="101">
        <v>126410</v>
      </c>
      <c r="D119" s="101">
        <v>109</v>
      </c>
      <c r="E119" s="101">
        <v>1358</v>
      </c>
      <c r="F119" s="101">
        <v>4265</v>
      </c>
      <c r="G119" s="101">
        <v>26013</v>
      </c>
      <c r="H119" s="101">
        <v>10047</v>
      </c>
      <c r="I119" s="101">
        <v>4233</v>
      </c>
      <c r="J119" s="101">
        <v>3862</v>
      </c>
      <c r="K119" s="101">
        <v>1299</v>
      </c>
      <c r="L119" s="101">
        <v>5812</v>
      </c>
      <c r="M119" s="101">
        <v>6701</v>
      </c>
      <c r="N119" s="101">
        <v>22640</v>
      </c>
      <c r="O119" s="101">
        <v>12080</v>
      </c>
      <c r="P119" s="101">
        <v>16319</v>
      </c>
      <c r="Q119" s="101">
        <v>10565</v>
      </c>
      <c r="R119" s="101">
        <v>1326</v>
      </c>
      <c r="S119" s="101"/>
      <c r="T119" t="s">
        <v>252</v>
      </c>
      <c r="U119" s="101">
        <f t="shared" si="3"/>
        <v>120678</v>
      </c>
      <c r="V119" s="101">
        <f>Inkomsten!M119</f>
        <v>102028000</v>
      </c>
      <c r="W119" s="101">
        <f>Inkomsten!D119</f>
        <v>79365378</v>
      </c>
      <c r="X119" s="101">
        <v>3996</v>
      </c>
      <c r="Y119" s="101">
        <v>6858</v>
      </c>
      <c r="Z119" s="101">
        <v>252</v>
      </c>
      <c r="AA119" s="101">
        <v>741</v>
      </c>
      <c r="AB119" s="101">
        <v>677</v>
      </c>
      <c r="AC119" s="101">
        <v>437</v>
      </c>
      <c r="AD119" s="101">
        <v>120</v>
      </c>
      <c r="AE119" s="101">
        <v>0</v>
      </c>
      <c r="AF119" s="101">
        <v>298</v>
      </c>
      <c r="AG119" s="101">
        <f t="shared" si="4"/>
        <v>84636.377999999997</v>
      </c>
      <c r="AH119" s="101">
        <v>39435</v>
      </c>
      <c r="AI119" s="101">
        <f t="shared" si="5"/>
        <v>2146.2248763788511</v>
      </c>
      <c r="AJ119" t="s">
        <v>116</v>
      </c>
      <c r="AN119" t="s">
        <v>183</v>
      </c>
      <c r="AO119" s="259">
        <v>2186.9201265650681</v>
      </c>
      <c r="AP119" t="s">
        <v>465</v>
      </c>
    </row>
    <row r="120" spans="2:42" x14ac:dyDescent="0.25">
      <c r="B120" t="s">
        <v>253</v>
      </c>
      <c r="C120" s="101">
        <v>83575</v>
      </c>
      <c r="D120" s="101">
        <v>0</v>
      </c>
      <c r="E120" s="101">
        <v>436</v>
      </c>
      <c r="F120" s="101">
        <v>4941</v>
      </c>
      <c r="G120" s="101">
        <v>19954</v>
      </c>
      <c r="H120" s="101">
        <v>12233</v>
      </c>
      <c r="I120" s="101">
        <v>2339</v>
      </c>
      <c r="J120" s="101">
        <v>4030</v>
      </c>
      <c r="K120" s="101">
        <v>392</v>
      </c>
      <c r="L120" s="101">
        <v>2751</v>
      </c>
      <c r="M120" s="101">
        <v>4743</v>
      </c>
      <c r="N120" s="101">
        <v>7695</v>
      </c>
      <c r="O120" s="101">
        <v>5028</v>
      </c>
      <c r="P120" s="101">
        <v>10502</v>
      </c>
      <c r="Q120" s="101">
        <v>6895</v>
      </c>
      <c r="R120" s="101">
        <v>1776</v>
      </c>
      <c r="S120" s="101"/>
      <c r="T120" t="s">
        <v>253</v>
      </c>
      <c r="U120" s="101">
        <f t="shared" si="3"/>
        <v>78198</v>
      </c>
      <c r="V120" s="101">
        <f>Inkomsten!M120</f>
        <v>54324000</v>
      </c>
      <c r="W120" s="101">
        <f>Inkomsten!D120</f>
        <v>45090523</v>
      </c>
      <c r="X120" s="101">
        <v>3588</v>
      </c>
      <c r="Y120" s="101">
        <v>4466</v>
      </c>
      <c r="Z120" s="101">
        <v>507</v>
      </c>
      <c r="AA120" s="101">
        <v>601</v>
      </c>
      <c r="AB120" s="101">
        <v>403</v>
      </c>
      <c r="AC120" s="101">
        <v>84</v>
      </c>
      <c r="AD120" s="101">
        <v>0</v>
      </c>
      <c r="AE120" s="101">
        <v>804</v>
      </c>
      <c r="AF120" s="101">
        <v>197</v>
      </c>
      <c r="AG120" s="101">
        <f t="shared" si="4"/>
        <v>58314.523000000001</v>
      </c>
      <c r="AH120" s="101">
        <v>27589</v>
      </c>
      <c r="AI120" s="101">
        <f t="shared" si="5"/>
        <v>2113.6874478959007</v>
      </c>
      <c r="AJ120" t="s">
        <v>465</v>
      </c>
      <c r="AN120" t="s">
        <v>338</v>
      </c>
      <c r="AO120" s="259">
        <v>2186.1814592296332</v>
      </c>
      <c r="AP120" t="s">
        <v>465</v>
      </c>
    </row>
    <row r="121" spans="2:42" x14ac:dyDescent="0.25">
      <c r="B121" t="s">
        <v>183</v>
      </c>
      <c r="C121" s="101">
        <v>55934</v>
      </c>
      <c r="D121" s="101">
        <v>214</v>
      </c>
      <c r="E121" s="101">
        <v>577</v>
      </c>
      <c r="F121" s="101">
        <v>2071</v>
      </c>
      <c r="G121" s="101">
        <v>14525</v>
      </c>
      <c r="H121" s="101">
        <v>6544</v>
      </c>
      <c r="I121" s="101">
        <v>1338</v>
      </c>
      <c r="J121" s="101">
        <v>1718</v>
      </c>
      <c r="K121" s="101">
        <v>719</v>
      </c>
      <c r="L121" s="101">
        <v>3062</v>
      </c>
      <c r="M121" s="101">
        <v>2670</v>
      </c>
      <c r="N121" s="101">
        <v>6565</v>
      </c>
      <c r="O121" s="101">
        <v>4336</v>
      </c>
      <c r="P121" s="101">
        <v>7218</v>
      </c>
      <c r="Q121" s="101">
        <v>3975</v>
      </c>
      <c r="R121" s="101">
        <v>672</v>
      </c>
      <c r="S121" s="101"/>
      <c r="T121" t="s">
        <v>183</v>
      </c>
      <c r="U121" s="101">
        <f t="shared" si="3"/>
        <v>53072</v>
      </c>
      <c r="V121" s="101">
        <f>Inkomsten!M121</f>
        <v>44105000</v>
      </c>
      <c r="W121" s="101">
        <f>Inkomsten!D121</f>
        <v>37381678</v>
      </c>
      <c r="X121" s="101">
        <v>1565</v>
      </c>
      <c r="Y121" s="101">
        <v>2096</v>
      </c>
      <c r="Z121" s="101">
        <v>313</v>
      </c>
      <c r="AA121" s="101">
        <v>246</v>
      </c>
      <c r="AB121" s="101">
        <v>504</v>
      </c>
      <c r="AC121" s="101">
        <v>91</v>
      </c>
      <c r="AD121" s="101">
        <v>270</v>
      </c>
      <c r="AE121" s="101">
        <v>0</v>
      </c>
      <c r="AF121" s="101">
        <v>143</v>
      </c>
      <c r="AG121" s="101">
        <f t="shared" si="4"/>
        <v>41120.678</v>
      </c>
      <c r="AH121" s="101">
        <v>19227</v>
      </c>
      <c r="AI121" s="101">
        <f t="shared" si="5"/>
        <v>2138.6944401102614</v>
      </c>
      <c r="AJ121" t="s">
        <v>465</v>
      </c>
      <c r="AN121" t="s">
        <v>168</v>
      </c>
      <c r="AO121" s="259">
        <v>2182.9250159990493</v>
      </c>
      <c r="AP121" t="s">
        <v>465</v>
      </c>
    </row>
    <row r="122" spans="2:42" x14ac:dyDescent="0.25">
      <c r="B122" t="s">
        <v>129</v>
      </c>
      <c r="C122" s="101">
        <v>216819</v>
      </c>
      <c r="D122" s="101">
        <v>9399</v>
      </c>
      <c r="E122" s="101">
        <v>3004</v>
      </c>
      <c r="F122" s="101">
        <v>7456</v>
      </c>
      <c r="G122" s="101">
        <v>46961</v>
      </c>
      <c r="H122" s="101">
        <v>15854</v>
      </c>
      <c r="I122" s="101">
        <v>4074</v>
      </c>
      <c r="J122" s="101">
        <v>8440</v>
      </c>
      <c r="K122" s="101">
        <v>14275</v>
      </c>
      <c r="L122" s="101">
        <v>5333</v>
      </c>
      <c r="M122" s="101">
        <v>10700</v>
      </c>
      <c r="N122" s="101">
        <v>34991</v>
      </c>
      <c r="O122" s="101">
        <v>19055</v>
      </c>
      <c r="P122" s="101">
        <v>23016</v>
      </c>
      <c r="Q122" s="101">
        <v>13717</v>
      </c>
      <c r="R122" s="101">
        <v>1664</v>
      </c>
      <c r="S122" s="101"/>
      <c r="T122" t="s">
        <v>129</v>
      </c>
      <c r="U122" s="101">
        <f t="shared" si="3"/>
        <v>196960</v>
      </c>
      <c r="V122" s="101">
        <f>Inkomsten!M122</f>
        <v>151703000</v>
      </c>
      <c r="W122" s="101">
        <f>Inkomsten!D122</f>
        <v>119015748</v>
      </c>
      <c r="X122" s="101">
        <v>6961</v>
      </c>
      <c r="Y122" s="101">
        <v>6302</v>
      </c>
      <c r="Z122" s="101">
        <v>291</v>
      </c>
      <c r="AA122" s="101">
        <v>907</v>
      </c>
      <c r="AB122" s="101">
        <v>1801</v>
      </c>
      <c r="AC122" s="101">
        <v>230</v>
      </c>
      <c r="AD122" s="101">
        <v>263</v>
      </c>
      <c r="AE122" s="101">
        <v>3610</v>
      </c>
      <c r="AF122" s="101">
        <v>288</v>
      </c>
      <c r="AG122" s="101">
        <f t="shared" si="4"/>
        <v>143619.74800000002</v>
      </c>
      <c r="AH122" s="101">
        <v>51794</v>
      </c>
      <c r="AI122" s="101">
        <f t="shared" si="5"/>
        <v>2772.903193420088</v>
      </c>
      <c r="AJ122" t="s">
        <v>439</v>
      </c>
      <c r="AN122" t="s">
        <v>392</v>
      </c>
      <c r="AO122" s="259">
        <v>2181.9713027087146</v>
      </c>
      <c r="AP122" t="s">
        <v>465</v>
      </c>
    </row>
    <row r="123" spans="2:42" x14ac:dyDescent="0.25">
      <c r="B123" t="s">
        <v>405</v>
      </c>
      <c r="C123" s="101">
        <v>488110</v>
      </c>
      <c r="D123" s="101">
        <v>115</v>
      </c>
      <c r="E123" s="101">
        <v>8078</v>
      </c>
      <c r="F123" s="101">
        <v>19289</v>
      </c>
      <c r="G123" s="101">
        <v>87223</v>
      </c>
      <c r="H123" s="101">
        <v>32378</v>
      </c>
      <c r="I123" s="101">
        <v>9591</v>
      </c>
      <c r="J123" s="101">
        <v>9799</v>
      </c>
      <c r="K123" s="101">
        <v>7531</v>
      </c>
      <c r="L123" s="101">
        <v>11496</v>
      </c>
      <c r="M123" s="101">
        <v>33288</v>
      </c>
      <c r="N123" s="101">
        <v>116839</v>
      </c>
      <c r="O123" s="101">
        <v>50708</v>
      </c>
      <c r="P123" s="101">
        <v>82254</v>
      </c>
      <c r="Q123" s="101">
        <v>18304</v>
      </c>
      <c r="R123" s="101">
        <v>4554</v>
      </c>
      <c r="S123" s="101"/>
      <c r="T123" t="s">
        <v>405</v>
      </c>
      <c r="U123" s="101">
        <f t="shared" si="3"/>
        <v>460628</v>
      </c>
      <c r="V123" s="101">
        <f>Inkomsten!M123</f>
        <v>411520000</v>
      </c>
      <c r="W123" s="101">
        <f>Inkomsten!D123</f>
        <v>261565424</v>
      </c>
      <c r="X123" s="101">
        <v>9649</v>
      </c>
      <c r="Y123" s="101">
        <v>12920</v>
      </c>
      <c r="Z123" s="101">
        <v>477</v>
      </c>
      <c r="AA123" s="101">
        <v>1535</v>
      </c>
      <c r="AB123" s="101">
        <v>2191</v>
      </c>
      <c r="AC123" s="101">
        <v>165</v>
      </c>
      <c r="AD123" s="101">
        <v>363</v>
      </c>
      <c r="AE123" s="101">
        <v>1737</v>
      </c>
      <c r="AF123" s="101">
        <v>116</v>
      </c>
      <c r="AG123" s="101">
        <f t="shared" si="4"/>
        <v>281520.424</v>
      </c>
      <c r="AH123" s="101">
        <v>87498</v>
      </c>
      <c r="AI123" s="101">
        <f t="shared" si="5"/>
        <v>3217.4498159957943</v>
      </c>
      <c r="AJ123" t="s">
        <v>439</v>
      </c>
      <c r="AN123" t="s">
        <v>184</v>
      </c>
      <c r="AO123" s="259">
        <v>2179.5400994057759</v>
      </c>
      <c r="AP123" t="s">
        <v>465</v>
      </c>
    </row>
    <row r="124" spans="2:42" x14ac:dyDescent="0.25">
      <c r="B124" t="s">
        <v>369</v>
      </c>
      <c r="C124" s="101">
        <v>43099</v>
      </c>
      <c r="D124" s="101">
        <v>30</v>
      </c>
      <c r="E124" s="101">
        <v>542</v>
      </c>
      <c r="F124" s="101">
        <v>1613</v>
      </c>
      <c r="G124" s="101">
        <v>9391</v>
      </c>
      <c r="H124" s="101">
        <v>6948</v>
      </c>
      <c r="I124" s="101">
        <v>1262</v>
      </c>
      <c r="J124" s="101">
        <v>1712</v>
      </c>
      <c r="K124" s="101">
        <v>499</v>
      </c>
      <c r="L124" s="101">
        <v>996</v>
      </c>
      <c r="M124" s="101">
        <v>1709</v>
      </c>
      <c r="N124" s="101">
        <v>4213</v>
      </c>
      <c r="O124" s="101">
        <v>2600</v>
      </c>
      <c r="P124" s="101">
        <v>6331</v>
      </c>
      <c r="Q124" s="101">
        <v>4352</v>
      </c>
      <c r="R124" s="101">
        <v>1093</v>
      </c>
      <c r="S124" s="101"/>
      <c r="T124" t="s">
        <v>369</v>
      </c>
      <c r="U124" s="101">
        <f t="shared" si="3"/>
        <v>40914</v>
      </c>
      <c r="V124" s="101">
        <f>Inkomsten!M124</f>
        <v>37968000</v>
      </c>
      <c r="W124" s="101">
        <f>Inkomsten!D124</f>
        <v>28463841</v>
      </c>
      <c r="X124" s="101">
        <v>2697</v>
      </c>
      <c r="Y124" s="101">
        <v>1669</v>
      </c>
      <c r="Z124" s="101">
        <v>2</v>
      </c>
      <c r="AA124" s="101">
        <v>171</v>
      </c>
      <c r="AB124" s="101">
        <v>396</v>
      </c>
      <c r="AC124" s="101">
        <v>17</v>
      </c>
      <c r="AD124" s="101">
        <v>312</v>
      </c>
      <c r="AE124" s="101">
        <v>0</v>
      </c>
      <c r="AF124" s="101">
        <v>16</v>
      </c>
      <c r="AG124" s="101">
        <f t="shared" si="4"/>
        <v>26129.841</v>
      </c>
      <c r="AH124" s="101">
        <v>16800</v>
      </c>
      <c r="AI124" s="101">
        <f t="shared" si="5"/>
        <v>1555.3476785714286</v>
      </c>
      <c r="AJ124" t="s">
        <v>465</v>
      </c>
      <c r="AN124" t="s">
        <v>171</v>
      </c>
      <c r="AO124" s="260">
        <v>2178.5330925312342</v>
      </c>
      <c r="AP124" t="s">
        <v>465</v>
      </c>
    </row>
    <row r="125" spans="2:42" x14ac:dyDescent="0.25">
      <c r="B125" t="s">
        <v>255</v>
      </c>
      <c r="C125" s="101">
        <v>63147</v>
      </c>
      <c r="D125" s="101">
        <v>1742</v>
      </c>
      <c r="E125" s="101">
        <v>1717</v>
      </c>
      <c r="F125" s="101">
        <v>2838</v>
      </c>
      <c r="G125" s="101">
        <v>1309</v>
      </c>
      <c r="H125" s="101">
        <v>11132</v>
      </c>
      <c r="I125" s="101">
        <v>2264</v>
      </c>
      <c r="J125" s="101">
        <v>3043</v>
      </c>
      <c r="K125" s="101">
        <v>1199</v>
      </c>
      <c r="L125" s="101">
        <v>1818</v>
      </c>
      <c r="M125" s="101">
        <v>4563</v>
      </c>
      <c r="N125" s="101">
        <v>8135</v>
      </c>
      <c r="O125" s="101">
        <v>5264</v>
      </c>
      <c r="P125" s="101">
        <v>9395</v>
      </c>
      <c r="Q125" s="101">
        <v>6321</v>
      </c>
      <c r="R125" s="101">
        <v>2407</v>
      </c>
      <c r="S125" s="101"/>
      <c r="T125" t="s">
        <v>255</v>
      </c>
      <c r="U125" s="101">
        <f t="shared" si="3"/>
        <v>56850</v>
      </c>
      <c r="V125" s="101">
        <f>Inkomsten!M125</f>
        <v>45770000</v>
      </c>
      <c r="W125" s="101">
        <f>Inkomsten!D125</f>
        <v>39409991</v>
      </c>
      <c r="X125" s="101">
        <v>2533</v>
      </c>
      <c r="Y125" s="101">
        <v>3350</v>
      </c>
      <c r="Z125" s="101">
        <v>151</v>
      </c>
      <c r="AA125" s="101">
        <v>417</v>
      </c>
      <c r="AB125" s="101">
        <v>657</v>
      </c>
      <c r="AC125" s="101">
        <v>68</v>
      </c>
      <c r="AD125" s="101">
        <v>55</v>
      </c>
      <c r="AE125" s="101">
        <v>0</v>
      </c>
      <c r="AF125" s="101">
        <v>13</v>
      </c>
      <c r="AG125" s="101">
        <f t="shared" si="4"/>
        <v>43245.991000000002</v>
      </c>
      <c r="AH125" s="101">
        <v>24306</v>
      </c>
      <c r="AI125" s="101">
        <f t="shared" si="5"/>
        <v>1779.2310952028306</v>
      </c>
      <c r="AJ125" t="s">
        <v>465</v>
      </c>
      <c r="AN125" t="s">
        <v>152</v>
      </c>
      <c r="AO125" s="259">
        <v>2178.1748970801173</v>
      </c>
      <c r="AP125" t="s">
        <v>465</v>
      </c>
    </row>
    <row r="126" spans="2:42" x14ac:dyDescent="0.25">
      <c r="B126" t="s">
        <v>147</v>
      </c>
      <c r="C126" s="101">
        <v>124941</v>
      </c>
      <c r="D126" s="101">
        <v>2977</v>
      </c>
      <c r="E126" s="101">
        <v>2104</v>
      </c>
      <c r="F126" s="101">
        <v>6889</v>
      </c>
      <c r="G126" s="101">
        <v>32925</v>
      </c>
      <c r="H126" s="101">
        <v>8491</v>
      </c>
      <c r="I126" s="101">
        <v>2823</v>
      </c>
      <c r="J126" s="101">
        <v>4520</v>
      </c>
      <c r="K126" s="101">
        <v>1436</v>
      </c>
      <c r="L126" s="101">
        <v>6605</v>
      </c>
      <c r="M126" s="101">
        <v>7125</v>
      </c>
      <c r="N126" s="101">
        <v>10888</v>
      </c>
      <c r="O126" s="101">
        <v>8780</v>
      </c>
      <c r="P126" s="101">
        <v>22035</v>
      </c>
      <c r="Q126" s="101">
        <v>7002</v>
      </c>
      <c r="R126" s="101">
        <v>862</v>
      </c>
      <c r="S126" s="101"/>
      <c r="T126" t="s">
        <v>147</v>
      </c>
      <c r="U126" s="101">
        <f t="shared" si="3"/>
        <v>112971</v>
      </c>
      <c r="V126" s="101">
        <f>Inkomsten!M126</f>
        <v>92958000</v>
      </c>
      <c r="W126" s="101">
        <f>Inkomsten!D126</f>
        <v>72616855</v>
      </c>
      <c r="X126" s="101">
        <v>4709</v>
      </c>
      <c r="Y126" s="101">
        <v>4374</v>
      </c>
      <c r="Z126" s="101">
        <v>482</v>
      </c>
      <c r="AA126" s="101">
        <v>695</v>
      </c>
      <c r="AB126" s="101">
        <v>811</v>
      </c>
      <c r="AC126" s="101">
        <v>153</v>
      </c>
      <c r="AD126" s="101">
        <v>612</v>
      </c>
      <c r="AE126" s="101">
        <v>92</v>
      </c>
      <c r="AF126" s="101">
        <v>178</v>
      </c>
      <c r="AG126" s="101">
        <f t="shared" si="4"/>
        <v>80523.854999999996</v>
      </c>
      <c r="AH126" s="101">
        <v>36271</v>
      </c>
      <c r="AI126" s="101">
        <f t="shared" si="5"/>
        <v>2220.061619475614</v>
      </c>
      <c r="AJ126" t="s">
        <v>116</v>
      </c>
      <c r="AN126" t="s">
        <v>319</v>
      </c>
      <c r="AO126" s="259">
        <v>2166.6516583161924</v>
      </c>
      <c r="AP126" t="s">
        <v>465</v>
      </c>
    </row>
    <row r="127" spans="2:42" x14ac:dyDescent="0.25">
      <c r="B127" t="s">
        <v>370</v>
      </c>
      <c r="C127" s="101">
        <v>435157</v>
      </c>
      <c r="D127" s="101">
        <v>50793</v>
      </c>
      <c r="E127" s="101">
        <v>3834</v>
      </c>
      <c r="F127" s="101">
        <v>11267</v>
      </c>
      <c r="G127" s="101">
        <v>79694</v>
      </c>
      <c r="H127" s="101">
        <v>-13082</v>
      </c>
      <c r="I127" s="101">
        <v>11292</v>
      </c>
      <c r="J127" s="101">
        <v>17248</v>
      </c>
      <c r="K127" s="101">
        <v>17415</v>
      </c>
      <c r="L127" s="101">
        <v>6812</v>
      </c>
      <c r="M127" s="101">
        <v>26866</v>
      </c>
      <c r="N127" s="101">
        <v>90049</v>
      </c>
      <c r="O127" s="101">
        <v>26462</v>
      </c>
      <c r="P127" s="101">
        <v>80602</v>
      </c>
      <c r="Q127" s="101">
        <v>21163</v>
      </c>
      <c r="R127" s="101">
        <v>5521</v>
      </c>
      <c r="S127" s="101"/>
      <c r="T127" t="s">
        <v>370</v>
      </c>
      <c r="U127" s="101">
        <f t="shared" si="3"/>
        <v>369263</v>
      </c>
      <c r="V127" s="101">
        <f>Inkomsten!M127</f>
        <v>319090000</v>
      </c>
      <c r="W127" s="101">
        <f>Inkomsten!D127</f>
        <v>222964675</v>
      </c>
      <c r="X127" s="101">
        <v>9008</v>
      </c>
      <c r="Y127" s="101">
        <v>12543</v>
      </c>
      <c r="Z127" s="101">
        <v>0</v>
      </c>
      <c r="AA127" s="101">
        <v>2144</v>
      </c>
      <c r="AB127" s="101">
        <v>3314</v>
      </c>
      <c r="AC127" s="101">
        <v>265</v>
      </c>
      <c r="AD127" s="101">
        <v>102</v>
      </c>
      <c r="AE127" s="101">
        <v>3946</v>
      </c>
      <c r="AF127" s="101">
        <v>371</v>
      </c>
      <c r="AG127" s="101">
        <f t="shared" si="4"/>
        <v>241444.67499999999</v>
      </c>
      <c r="AH127" s="101">
        <v>95884</v>
      </c>
      <c r="AI127" s="101">
        <f t="shared" si="5"/>
        <v>2518.0913916816153</v>
      </c>
      <c r="AJ127" t="s">
        <v>439</v>
      </c>
      <c r="AN127" t="s">
        <v>290</v>
      </c>
      <c r="AO127" s="259">
        <v>2165.2137823381158</v>
      </c>
      <c r="AP127" t="s">
        <v>465</v>
      </c>
    </row>
    <row r="128" spans="2:42" x14ac:dyDescent="0.25">
      <c r="B128" t="s">
        <v>295</v>
      </c>
      <c r="C128" s="101">
        <v>102581</v>
      </c>
      <c r="D128" s="101">
        <v>14026</v>
      </c>
      <c r="E128" s="101">
        <v>2084</v>
      </c>
      <c r="F128" s="101">
        <v>2505</v>
      </c>
      <c r="G128" s="101">
        <v>11177</v>
      </c>
      <c r="H128" s="101">
        <v>9545</v>
      </c>
      <c r="I128" s="101">
        <v>2892</v>
      </c>
      <c r="J128" s="101">
        <v>3374</v>
      </c>
      <c r="K128" s="101">
        <v>7389</v>
      </c>
      <c r="L128" s="101">
        <v>3007</v>
      </c>
      <c r="M128" s="101">
        <v>6796</v>
      </c>
      <c r="N128" s="101">
        <v>10499</v>
      </c>
      <c r="O128" s="101">
        <v>9289</v>
      </c>
      <c r="P128" s="101">
        <v>10926</v>
      </c>
      <c r="Q128" s="101">
        <v>8627</v>
      </c>
      <c r="R128" s="101">
        <v>633</v>
      </c>
      <c r="S128" s="101"/>
      <c r="T128" t="s">
        <v>295</v>
      </c>
      <c r="U128" s="101">
        <f t="shared" si="3"/>
        <v>83966</v>
      </c>
      <c r="V128" s="101">
        <f>Inkomsten!M128</f>
        <v>68247000</v>
      </c>
      <c r="W128" s="101">
        <f>Inkomsten!D128</f>
        <v>54685558</v>
      </c>
      <c r="X128" s="101">
        <v>2834</v>
      </c>
      <c r="Y128" s="101">
        <v>5071</v>
      </c>
      <c r="Z128" s="101">
        <v>357</v>
      </c>
      <c r="AA128" s="101">
        <v>627</v>
      </c>
      <c r="AB128" s="101">
        <v>1056</v>
      </c>
      <c r="AC128" s="101">
        <v>160</v>
      </c>
      <c r="AD128" s="101">
        <v>0</v>
      </c>
      <c r="AE128" s="101">
        <v>0</v>
      </c>
      <c r="AF128" s="101">
        <v>0</v>
      </c>
      <c r="AG128" s="101">
        <f t="shared" si="4"/>
        <v>60299.55799999999</v>
      </c>
      <c r="AH128" s="101">
        <v>32685</v>
      </c>
      <c r="AI128" s="101">
        <f t="shared" si="5"/>
        <v>1844.869450818418</v>
      </c>
      <c r="AJ128" t="s">
        <v>465</v>
      </c>
      <c r="AN128" t="s">
        <v>382</v>
      </c>
      <c r="AO128" s="259">
        <v>2163.9467168078359</v>
      </c>
      <c r="AP128" t="s">
        <v>465</v>
      </c>
    </row>
    <row r="129" spans="2:42" x14ac:dyDescent="0.25">
      <c r="B129" t="s">
        <v>722</v>
      </c>
      <c r="C129" s="101">
        <v>368663</v>
      </c>
      <c r="D129" s="101">
        <v>15487</v>
      </c>
      <c r="E129" s="101">
        <v>12591</v>
      </c>
      <c r="F129" s="101">
        <v>13287</v>
      </c>
      <c r="G129" s="101">
        <v>65938</v>
      </c>
      <c r="H129" s="101">
        <v>25816</v>
      </c>
      <c r="I129" s="101">
        <v>8384</v>
      </c>
      <c r="J129" s="101">
        <v>9303</v>
      </c>
      <c r="K129" s="101">
        <v>3607</v>
      </c>
      <c r="L129" s="101">
        <v>8633</v>
      </c>
      <c r="M129" s="101">
        <v>24987</v>
      </c>
      <c r="N129" s="101">
        <v>66832</v>
      </c>
      <c r="O129" s="101">
        <v>35435</v>
      </c>
      <c r="P129" s="101">
        <v>50976</v>
      </c>
      <c r="Q129" s="101">
        <v>25778</v>
      </c>
      <c r="R129" s="101">
        <v>2331</v>
      </c>
      <c r="S129" s="101"/>
      <c r="T129" t="s">
        <v>722</v>
      </c>
      <c r="U129" s="101">
        <f t="shared" si="3"/>
        <v>327298</v>
      </c>
      <c r="V129" s="101">
        <f>Inkomsten!M129</f>
        <v>275012000</v>
      </c>
      <c r="W129" s="101">
        <f>Inkomsten!D129</f>
        <v>200543199</v>
      </c>
      <c r="X129" s="101">
        <v>11070</v>
      </c>
      <c r="Y129" s="101">
        <v>9218</v>
      </c>
      <c r="Z129" s="101">
        <v>618</v>
      </c>
      <c r="AA129" s="101">
        <v>2391</v>
      </c>
      <c r="AB129" s="101">
        <v>2245</v>
      </c>
      <c r="AC129" s="101">
        <v>1462</v>
      </c>
      <c r="AD129" s="101">
        <v>168</v>
      </c>
      <c r="AE129" s="101">
        <v>2120</v>
      </c>
      <c r="AF129" s="101">
        <v>380</v>
      </c>
      <c r="AG129" s="101">
        <f t="shared" si="4"/>
        <v>223157.19899999999</v>
      </c>
      <c r="AH129" s="101">
        <v>83051</v>
      </c>
      <c r="AI129" s="101">
        <f t="shared" si="5"/>
        <v>2686.9899098144515</v>
      </c>
      <c r="AJ129" t="s">
        <v>439</v>
      </c>
      <c r="AN129" t="s">
        <v>334</v>
      </c>
      <c r="AO129" s="259">
        <v>2157.0286564900298</v>
      </c>
      <c r="AP129" t="s">
        <v>465</v>
      </c>
    </row>
    <row r="130" spans="2:42" x14ac:dyDescent="0.25">
      <c r="B130" t="s">
        <v>593</v>
      </c>
      <c r="C130" s="101">
        <v>195314</v>
      </c>
      <c r="D130" s="101">
        <v>0</v>
      </c>
      <c r="E130" s="101">
        <v>1852</v>
      </c>
      <c r="F130" s="101">
        <v>10983</v>
      </c>
      <c r="G130" s="101">
        <v>57378</v>
      </c>
      <c r="H130" s="101">
        <v>21554</v>
      </c>
      <c r="I130" s="101">
        <v>5125</v>
      </c>
      <c r="J130" s="101">
        <v>6998</v>
      </c>
      <c r="K130" s="101">
        <v>1678</v>
      </c>
      <c r="L130" s="101">
        <v>4724</v>
      </c>
      <c r="M130" s="101">
        <v>7909</v>
      </c>
      <c r="N130" s="101">
        <v>23419</v>
      </c>
      <c r="O130" s="101">
        <v>18384</v>
      </c>
      <c r="P130" s="101">
        <v>23330</v>
      </c>
      <c r="Q130" s="101">
        <v>9929</v>
      </c>
      <c r="R130" s="101">
        <v>2908</v>
      </c>
      <c r="S130" s="101"/>
      <c r="T130" t="s">
        <v>593</v>
      </c>
      <c r="U130" s="101">
        <f t="shared" si="3"/>
        <v>182479</v>
      </c>
      <c r="V130" s="101">
        <f>Inkomsten!M130</f>
        <v>148007000</v>
      </c>
      <c r="W130" s="101">
        <f>Inkomsten!D130</f>
        <v>112017388</v>
      </c>
      <c r="X130" s="101">
        <v>5085</v>
      </c>
      <c r="Y130" s="101">
        <v>6508</v>
      </c>
      <c r="Z130" s="101">
        <v>693</v>
      </c>
      <c r="AA130" s="101">
        <v>893</v>
      </c>
      <c r="AB130" s="101">
        <v>1736</v>
      </c>
      <c r="AC130" s="101">
        <v>31</v>
      </c>
      <c r="AD130" s="101">
        <v>381</v>
      </c>
      <c r="AE130" s="101">
        <v>0</v>
      </c>
      <c r="AF130" s="101">
        <v>90</v>
      </c>
      <c r="AG130" s="101">
        <f t="shared" si="4"/>
        <v>131072.38800000001</v>
      </c>
      <c r="AH130" s="101">
        <v>48228</v>
      </c>
      <c r="AI130" s="101">
        <f t="shared" si="5"/>
        <v>2717.7653645185369</v>
      </c>
      <c r="AJ130" t="s">
        <v>116</v>
      </c>
      <c r="AN130" t="s">
        <v>158</v>
      </c>
      <c r="AO130" s="259">
        <v>2152.8298028849304</v>
      </c>
      <c r="AP130" t="s">
        <v>465</v>
      </c>
    </row>
    <row r="131" spans="2:42" x14ac:dyDescent="0.25">
      <c r="B131" t="s">
        <v>184</v>
      </c>
      <c r="C131" s="101">
        <v>48530</v>
      </c>
      <c r="D131" s="101">
        <v>172</v>
      </c>
      <c r="E131" s="101">
        <v>517</v>
      </c>
      <c r="F131" s="101">
        <v>1574</v>
      </c>
      <c r="G131" s="101">
        <v>11378</v>
      </c>
      <c r="H131" s="101">
        <v>5973</v>
      </c>
      <c r="I131" s="101">
        <v>1656</v>
      </c>
      <c r="J131" s="101">
        <v>1878</v>
      </c>
      <c r="K131" s="101">
        <v>461</v>
      </c>
      <c r="L131" s="101">
        <v>968</v>
      </c>
      <c r="M131" s="101">
        <v>3699</v>
      </c>
      <c r="N131" s="101">
        <v>6450</v>
      </c>
      <c r="O131" s="101">
        <v>3537</v>
      </c>
      <c r="P131" s="101">
        <v>4843</v>
      </c>
      <c r="Q131" s="101">
        <v>3901</v>
      </c>
      <c r="R131" s="101">
        <v>1701</v>
      </c>
      <c r="S131" s="101"/>
      <c r="T131" t="s">
        <v>184</v>
      </c>
      <c r="U131" s="101">
        <f t="shared" ref="U131:U194" si="6">SUM(C131,-D131,-E131,-F131)</f>
        <v>46267</v>
      </c>
      <c r="V131" s="101">
        <f>Inkomsten!M131</f>
        <v>39127000</v>
      </c>
      <c r="W131" s="101">
        <f>Inkomsten!D131</f>
        <v>29397918</v>
      </c>
      <c r="X131" s="101">
        <v>1305</v>
      </c>
      <c r="Y131" s="101">
        <v>1679</v>
      </c>
      <c r="Z131" s="101">
        <v>84</v>
      </c>
      <c r="AA131" s="101">
        <v>307</v>
      </c>
      <c r="AB131" s="101">
        <v>407</v>
      </c>
      <c r="AC131" s="101">
        <v>62</v>
      </c>
      <c r="AD131" s="101">
        <v>0</v>
      </c>
      <c r="AE131" s="101">
        <v>1</v>
      </c>
      <c r="AF131" s="101">
        <v>109</v>
      </c>
      <c r="AG131" s="101">
        <f t="shared" ref="AG131:AG194" si="7">SUM(U131,-V131/1000,W131/1000,-X131,-Y131,-Z131,-AA131,-AB131,-AC131,-AD131,-AE131,-AF131)</f>
        <v>32583.918000000005</v>
      </c>
      <c r="AH131" s="101">
        <v>16839</v>
      </c>
      <c r="AI131" s="101">
        <f t="shared" ref="AI131:AI194" si="8">AG131*1000/AH131</f>
        <v>1935.0269018350261</v>
      </c>
      <c r="AJ131" t="s">
        <v>465</v>
      </c>
      <c r="AN131" t="s">
        <v>253</v>
      </c>
      <c r="AO131" s="259">
        <v>2146.8314518592974</v>
      </c>
      <c r="AP131" t="s">
        <v>465</v>
      </c>
    </row>
    <row r="132" spans="2:42" x14ac:dyDescent="0.25">
      <c r="B132" t="s">
        <v>371</v>
      </c>
      <c r="C132" s="101">
        <v>143285</v>
      </c>
      <c r="D132" s="101">
        <v>17169</v>
      </c>
      <c r="E132" s="101">
        <v>1852</v>
      </c>
      <c r="F132" s="101">
        <v>3973</v>
      </c>
      <c r="G132" s="101">
        <v>28507</v>
      </c>
      <c r="H132" s="101">
        <v>8149</v>
      </c>
      <c r="I132" s="101">
        <v>3676</v>
      </c>
      <c r="J132" s="101">
        <v>4388</v>
      </c>
      <c r="K132" s="101">
        <v>6885</v>
      </c>
      <c r="L132" s="101">
        <v>2436</v>
      </c>
      <c r="M132" s="101">
        <v>8249</v>
      </c>
      <c r="N132" s="101">
        <v>18861</v>
      </c>
      <c r="O132" s="101">
        <v>8890</v>
      </c>
      <c r="P132" s="101">
        <v>18805</v>
      </c>
      <c r="Q132" s="101">
        <v>11547</v>
      </c>
      <c r="R132" s="101">
        <v>583</v>
      </c>
      <c r="S132" s="101"/>
      <c r="T132" t="s">
        <v>371</v>
      </c>
      <c r="U132" s="101">
        <f t="shared" si="6"/>
        <v>120291</v>
      </c>
      <c r="V132" s="101">
        <f>Inkomsten!M132</f>
        <v>101855000</v>
      </c>
      <c r="W132" s="101">
        <f>Inkomsten!D132</f>
        <v>84431775</v>
      </c>
      <c r="X132" s="101">
        <v>5291</v>
      </c>
      <c r="Y132" s="101">
        <v>4150</v>
      </c>
      <c r="Z132" s="101">
        <v>170</v>
      </c>
      <c r="AA132" s="101">
        <v>688</v>
      </c>
      <c r="AB132" s="101">
        <v>1053</v>
      </c>
      <c r="AC132" s="101">
        <v>188</v>
      </c>
      <c r="AD132" s="101">
        <v>120</v>
      </c>
      <c r="AE132" s="101">
        <v>79</v>
      </c>
      <c r="AF132" s="101">
        <v>1336</v>
      </c>
      <c r="AG132" s="101">
        <f t="shared" si="7"/>
        <v>89792.774999999994</v>
      </c>
      <c r="AH132" s="101">
        <v>46037</v>
      </c>
      <c r="AI132" s="101">
        <f t="shared" si="8"/>
        <v>1950.4480092099832</v>
      </c>
      <c r="AJ132" t="s">
        <v>465</v>
      </c>
      <c r="AN132" t="s">
        <v>218</v>
      </c>
      <c r="AO132" s="259">
        <v>2145.8161303825332</v>
      </c>
      <c r="AP132" t="s">
        <v>465</v>
      </c>
    </row>
    <row r="133" spans="2:42" x14ac:dyDescent="0.25">
      <c r="B133" t="s">
        <v>296</v>
      </c>
      <c r="C133" s="101">
        <v>62684</v>
      </c>
      <c r="D133" s="101">
        <v>18</v>
      </c>
      <c r="E133" s="101">
        <v>121</v>
      </c>
      <c r="F133" s="101">
        <v>3946</v>
      </c>
      <c r="G133" s="101">
        <v>1381</v>
      </c>
      <c r="H133" s="101">
        <v>10653</v>
      </c>
      <c r="I133" s="101">
        <v>2608</v>
      </c>
      <c r="J133" s="101">
        <v>3092</v>
      </c>
      <c r="K133" s="101">
        <v>731</v>
      </c>
      <c r="L133" s="101">
        <v>1275</v>
      </c>
      <c r="M133" s="101">
        <v>5015</v>
      </c>
      <c r="N133" s="101">
        <v>8303</v>
      </c>
      <c r="O133" s="101">
        <v>5123</v>
      </c>
      <c r="P133" s="101">
        <v>11105</v>
      </c>
      <c r="Q133" s="101">
        <v>7770</v>
      </c>
      <c r="R133" s="101">
        <v>1548</v>
      </c>
      <c r="S133" s="101"/>
      <c r="T133" t="s">
        <v>296</v>
      </c>
      <c r="U133" s="101">
        <f t="shared" si="6"/>
        <v>58599</v>
      </c>
      <c r="V133" s="101">
        <f>Inkomsten!M133</f>
        <v>52349000</v>
      </c>
      <c r="W133" s="101">
        <f>Inkomsten!D133</f>
        <v>41094560</v>
      </c>
      <c r="X133" s="101">
        <v>2527</v>
      </c>
      <c r="Y133" s="101">
        <v>4339</v>
      </c>
      <c r="Z133" s="101">
        <v>81</v>
      </c>
      <c r="AA133" s="101">
        <v>291</v>
      </c>
      <c r="AB133" s="101">
        <v>476</v>
      </c>
      <c r="AC133" s="101">
        <v>77</v>
      </c>
      <c r="AD133" s="101">
        <v>0</v>
      </c>
      <c r="AE133" s="101">
        <v>3</v>
      </c>
      <c r="AF133" s="101">
        <v>64</v>
      </c>
      <c r="AG133" s="101">
        <f t="shared" si="7"/>
        <v>39486.559999999998</v>
      </c>
      <c r="AH133" s="101">
        <v>22826</v>
      </c>
      <c r="AI133" s="101">
        <f t="shared" si="8"/>
        <v>1729.8939805484974</v>
      </c>
      <c r="AJ133" t="s">
        <v>116</v>
      </c>
      <c r="AN133" t="s">
        <v>215</v>
      </c>
      <c r="AO133" s="260">
        <v>2143.4596985838571</v>
      </c>
      <c r="AP133" t="s">
        <v>465</v>
      </c>
    </row>
    <row r="134" spans="2:42" x14ac:dyDescent="0.25">
      <c r="B134" t="s">
        <v>372</v>
      </c>
      <c r="C134" s="101">
        <v>50003</v>
      </c>
      <c r="D134" s="101">
        <v>4978</v>
      </c>
      <c r="E134" s="101">
        <v>366</v>
      </c>
      <c r="F134" s="101">
        <v>1593</v>
      </c>
      <c r="G134" s="101">
        <v>11852</v>
      </c>
      <c r="H134" s="101">
        <v>4269</v>
      </c>
      <c r="I134" s="101">
        <v>1287</v>
      </c>
      <c r="J134" s="101">
        <v>1434</v>
      </c>
      <c r="K134" s="101">
        <v>352</v>
      </c>
      <c r="L134" s="101">
        <v>1351</v>
      </c>
      <c r="M134" s="101">
        <v>3198</v>
      </c>
      <c r="N134" s="101">
        <v>3976</v>
      </c>
      <c r="O134" s="101">
        <v>2380</v>
      </c>
      <c r="P134" s="101">
        <v>8084</v>
      </c>
      <c r="Q134" s="101">
        <v>4054</v>
      </c>
      <c r="R134" s="101">
        <v>964</v>
      </c>
      <c r="S134" s="101"/>
      <c r="T134" t="s">
        <v>372</v>
      </c>
      <c r="U134" s="101">
        <f t="shared" si="6"/>
        <v>43066</v>
      </c>
      <c r="V134" s="101">
        <f>Inkomsten!M134</f>
        <v>33492000</v>
      </c>
      <c r="W134" s="101">
        <f>Inkomsten!D134</f>
        <v>26748941</v>
      </c>
      <c r="X134" s="101">
        <v>1612</v>
      </c>
      <c r="Y134" s="101">
        <v>1503</v>
      </c>
      <c r="Z134" s="101">
        <v>0</v>
      </c>
      <c r="AA134" s="101">
        <v>311</v>
      </c>
      <c r="AB134" s="101">
        <v>859</v>
      </c>
      <c r="AC134" s="101">
        <v>444</v>
      </c>
      <c r="AD134" s="101">
        <v>1379</v>
      </c>
      <c r="AE134" s="101">
        <v>6</v>
      </c>
      <c r="AF134" s="101">
        <v>98</v>
      </c>
      <c r="AG134" s="101">
        <f t="shared" si="7"/>
        <v>30110.940999999999</v>
      </c>
      <c r="AH134" s="101">
        <v>15966</v>
      </c>
      <c r="AI134" s="101">
        <f t="shared" si="8"/>
        <v>1885.9414380558687</v>
      </c>
      <c r="AJ134" t="s">
        <v>465</v>
      </c>
      <c r="AN134" t="s">
        <v>248</v>
      </c>
      <c r="AO134" s="259">
        <v>2140.443796910517</v>
      </c>
      <c r="AP134" t="s">
        <v>465</v>
      </c>
    </row>
    <row r="135" spans="2:42" x14ac:dyDescent="0.25">
      <c r="B135" t="s">
        <v>256</v>
      </c>
      <c r="C135" s="101">
        <v>356591</v>
      </c>
      <c r="D135" s="101">
        <v>3428</v>
      </c>
      <c r="E135" s="101">
        <v>4825</v>
      </c>
      <c r="F135" s="101">
        <v>10293</v>
      </c>
      <c r="G135" s="101">
        <v>71258</v>
      </c>
      <c r="H135" s="101">
        <v>19212</v>
      </c>
      <c r="I135" s="101">
        <v>11436</v>
      </c>
      <c r="J135" s="101">
        <v>15211</v>
      </c>
      <c r="K135" s="101">
        <v>4965</v>
      </c>
      <c r="L135" s="101">
        <v>13692</v>
      </c>
      <c r="M135" s="101">
        <v>17886</v>
      </c>
      <c r="N135" s="101">
        <v>52205</v>
      </c>
      <c r="O135" s="101">
        <v>25509</v>
      </c>
      <c r="P135" s="101">
        <v>83621</v>
      </c>
      <c r="Q135" s="101">
        <v>22289</v>
      </c>
      <c r="R135" s="101">
        <v>1923</v>
      </c>
      <c r="S135" s="101"/>
      <c r="T135" t="s">
        <v>256</v>
      </c>
      <c r="U135" s="101">
        <f t="shared" si="6"/>
        <v>338045</v>
      </c>
      <c r="V135" s="101">
        <f>Inkomsten!M135</f>
        <v>298791000</v>
      </c>
      <c r="W135" s="101">
        <f>Inkomsten!D135</f>
        <v>202189989</v>
      </c>
      <c r="X135" s="101">
        <v>9533</v>
      </c>
      <c r="Y135" s="101">
        <v>13448</v>
      </c>
      <c r="Z135" s="101">
        <v>0</v>
      </c>
      <c r="AA135" s="101">
        <v>2343</v>
      </c>
      <c r="AB135" s="101">
        <v>3085</v>
      </c>
      <c r="AC135" s="101">
        <v>544</v>
      </c>
      <c r="AD135" s="101">
        <v>0</v>
      </c>
      <c r="AE135" s="101">
        <v>7666</v>
      </c>
      <c r="AF135" s="101">
        <v>1130</v>
      </c>
      <c r="AG135" s="101">
        <f t="shared" si="7"/>
        <v>203694.989</v>
      </c>
      <c r="AH135" s="101">
        <v>94426</v>
      </c>
      <c r="AI135" s="101">
        <f t="shared" si="8"/>
        <v>2157.1917586258023</v>
      </c>
      <c r="AJ135" t="s">
        <v>439</v>
      </c>
      <c r="AN135" t="s">
        <v>203</v>
      </c>
      <c r="AO135" s="260">
        <v>2129.2189726632973</v>
      </c>
      <c r="AP135" t="s">
        <v>465</v>
      </c>
    </row>
    <row r="136" spans="2:42" x14ac:dyDescent="0.25">
      <c r="B136" t="s">
        <v>594</v>
      </c>
      <c r="C136" s="101">
        <v>244692</v>
      </c>
      <c r="D136" s="101">
        <v>863</v>
      </c>
      <c r="E136" s="101">
        <v>1239</v>
      </c>
      <c r="F136" s="101">
        <v>10882</v>
      </c>
      <c r="G136" s="101">
        <v>63508</v>
      </c>
      <c r="H136" s="101">
        <v>19512</v>
      </c>
      <c r="I136" s="101">
        <v>8784</v>
      </c>
      <c r="J136" s="101">
        <v>11458</v>
      </c>
      <c r="K136" s="101">
        <v>3202</v>
      </c>
      <c r="L136" s="101">
        <v>5070</v>
      </c>
      <c r="M136" s="101">
        <v>19360</v>
      </c>
      <c r="N136" s="101">
        <v>17768</v>
      </c>
      <c r="O136" s="101">
        <v>23039</v>
      </c>
      <c r="P136" s="101">
        <v>36861</v>
      </c>
      <c r="Q136" s="101">
        <v>22452</v>
      </c>
      <c r="R136" s="101">
        <v>2043</v>
      </c>
      <c r="S136" s="101"/>
      <c r="T136" t="s">
        <v>594</v>
      </c>
      <c r="U136" s="101">
        <f t="shared" si="6"/>
        <v>231708</v>
      </c>
      <c r="V136" s="101">
        <f>Inkomsten!M136</f>
        <v>185808000</v>
      </c>
      <c r="W136" s="101">
        <f>Inkomsten!D136</f>
        <v>153586893</v>
      </c>
      <c r="X136" s="101">
        <v>9762</v>
      </c>
      <c r="Y136" s="101">
        <v>10672</v>
      </c>
      <c r="Z136" s="101">
        <v>1513</v>
      </c>
      <c r="AA136" s="101">
        <v>1336</v>
      </c>
      <c r="AB136" s="101">
        <v>3727</v>
      </c>
      <c r="AC136" s="101">
        <v>497</v>
      </c>
      <c r="AD136" s="101">
        <v>188</v>
      </c>
      <c r="AE136" s="101">
        <v>26</v>
      </c>
      <c r="AF136" s="101">
        <v>48</v>
      </c>
      <c r="AG136" s="101">
        <f t="shared" si="7"/>
        <v>171717.89300000001</v>
      </c>
      <c r="AH136" s="101">
        <v>90257</v>
      </c>
      <c r="AI136" s="101">
        <f t="shared" si="8"/>
        <v>1902.5437694583245</v>
      </c>
      <c r="AJ136" t="s">
        <v>465</v>
      </c>
      <c r="AN136" t="s">
        <v>386</v>
      </c>
      <c r="AO136" s="259">
        <v>2123.1681202055065</v>
      </c>
      <c r="AP136" t="s">
        <v>465</v>
      </c>
    </row>
    <row r="137" spans="2:42" x14ac:dyDescent="0.25">
      <c r="B137" t="s">
        <v>148</v>
      </c>
      <c r="C137" s="101">
        <v>106529</v>
      </c>
      <c r="D137" s="101">
        <v>195</v>
      </c>
      <c r="E137" s="101">
        <v>955</v>
      </c>
      <c r="F137" s="101">
        <v>4785</v>
      </c>
      <c r="G137" s="101">
        <v>22319</v>
      </c>
      <c r="H137" s="101">
        <v>10138</v>
      </c>
      <c r="I137" s="101">
        <v>3273</v>
      </c>
      <c r="J137" s="101">
        <v>4395</v>
      </c>
      <c r="K137" s="101">
        <v>1598</v>
      </c>
      <c r="L137" s="101">
        <v>1902</v>
      </c>
      <c r="M137" s="101">
        <v>8200</v>
      </c>
      <c r="N137" s="101">
        <v>13740</v>
      </c>
      <c r="O137" s="101">
        <v>10125</v>
      </c>
      <c r="P137" s="101">
        <v>15419</v>
      </c>
      <c r="Q137" s="101">
        <v>8951</v>
      </c>
      <c r="R137" s="101">
        <v>1047</v>
      </c>
      <c r="S137" s="101"/>
      <c r="T137" t="s">
        <v>148</v>
      </c>
      <c r="U137" s="101">
        <f t="shared" si="6"/>
        <v>100594</v>
      </c>
      <c r="V137" s="101">
        <f>Inkomsten!M137</f>
        <v>84164000</v>
      </c>
      <c r="W137" s="101">
        <f>Inkomsten!D137</f>
        <v>66864882</v>
      </c>
      <c r="X137" s="101">
        <v>5664</v>
      </c>
      <c r="Y137" s="101">
        <v>3875</v>
      </c>
      <c r="Z137" s="101">
        <v>260</v>
      </c>
      <c r="AA137" s="101">
        <v>577</v>
      </c>
      <c r="AB137" s="101">
        <v>1158</v>
      </c>
      <c r="AC137" s="101">
        <v>273</v>
      </c>
      <c r="AD137" s="101">
        <v>437</v>
      </c>
      <c r="AE137" s="101">
        <v>17</v>
      </c>
      <c r="AF137" s="101">
        <v>45</v>
      </c>
      <c r="AG137" s="101">
        <f t="shared" si="7"/>
        <v>70988.881999999998</v>
      </c>
      <c r="AH137" s="101">
        <v>35438</v>
      </c>
      <c r="AI137" s="101">
        <f t="shared" si="8"/>
        <v>2003.185337773012</v>
      </c>
      <c r="AJ137" t="s">
        <v>465</v>
      </c>
      <c r="AN137" t="s">
        <v>302</v>
      </c>
      <c r="AO137" s="259">
        <v>2121.1225919340432</v>
      </c>
      <c r="AP137" t="s">
        <v>465</v>
      </c>
    </row>
    <row r="138" spans="2:42" x14ac:dyDescent="0.25">
      <c r="B138" t="s">
        <v>257</v>
      </c>
      <c r="C138" s="101">
        <v>140663</v>
      </c>
      <c r="D138" s="101">
        <v>123</v>
      </c>
      <c r="E138" s="101">
        <v>2120</v>
      </c>
      <c r="F138" s="101">
        <v>6969</v>
      </c>
      <c r="G138" s="101">
        <v>32159</v>
      </c>
      <c r="H138" s="101">
        <v>12129</v>
      </c>
      <c r="I138" s="101">
        <v>4779</v>
      </c>
      <c r="J138" s="101">
        <v>3388</v>
      </c>
      <c r="K138" s="101">
        <v>2119</v>
      </c>
      <c r="L138" s="101">
        <v>2806</v>
      </c>
      <c r="M138" s="101">
        <v>9033</v>
      </c>
      <c r="N138" s="101">
        <v>15330</v>
      </c>
      <c r="O138" s="101">
        <v>12242</v>
      </c>
      <c r="P138" s="101">
        <v>23112</v>
      </c>
      <c r="Q138" s="101">
        <v>13539</v>
      </c>
      <c r="R138" s="101">
        <v>834</v>
      </c>
      <c r="S138" s="101"/>
      <c r="T138" t="s">
        <v>257</v>
      </c>
      <c r="U138" s="101">
        <f t="shared" si="6"/>
        <v>131451</v>
      </c>
      <c r="V138" s="101">
        <f>Inkomsten!M138</f>
        <v>114927000</v>
      </c>
      <c r="W138" s="101">
        <f>Inkomsten!D138</f>
        <v>97027217</v>
      </c>
      <c r="X138" s="101">
        <v>3950</v>
      </c>
      <c r="Y138" s="101">
        <v>6261</v>
      </c>
      <c r="Z138" s="101">
        <v>466</v>
      </c>
      <c r="AA138" s="101">
        <v>839</v>
      </c>
      <c r="AB138" s="101">
        <v>1218</v>
      </c>
      <c r="AC138" s="101">
        <v>271</v>
      </c>
      <c r="AD138" s="101">
        <v>134</v>
      </c>
      <c r="AE138" s="101">
        <v>0</v>
      </c>
      <c r="AF138" s="101">
        <v>25</v>
      </c>
      <c r="AG138" s="101">
        <f t="shared" si="7"/>
        <v>100387.217</v>
      </c>
      <c r="AH138" s="101">
        <v>49524</v>
      </c>
      <c r="AI138" s="101">
        <f t="shared" si="8"/>
        <v>2027.0417777239318</v>
      </c>
      <c r="AJ138" t="s">
        <v>465</v>
      </c>
      <c r="AN138" t="s">
        <v>185</v>
      </c>
      <c r="AO138" s="259">
        <v>2117.0361147627609</v>
      </c>
      <c r="AP138" t="s">
        <v>465</v>
      </c>
    </row>
    <row r="139" spans="2:42" x14ac:dyDescent="0.25">
      <c r="B139" t="s">
        <v>109</v>
      </c>
      <c r="C139" s="101">
        <v>219764</v>
      </c>
      <c r="D139" s="101">
        <v>2165</v>
      </c>
      <c r="E139" s="101">
        <v>2096</v>
      </c>
      <c r="F139" s="101">
        <v>7677</v>
      </c>
      <c r="G139" s="101">
        <v>2715</v>
      </c>
      <c r="H139" s="101">
        <v>27509</v>
      </c>
      <c r="I139" s="101">
        <v>5095</v>
      </c>
      <c r="J139" s="101">
        <v>9533</v>
      </c>
      <c r="K139" s="101">
        <v>7766</v>
      </c>
      <c r="L139" s="101">
        <v>9135</v>
      </c>
      <c r="M139" s="101">
        <v>18848</v>
      </c>
      <c r="N139" s="101">
        <v>49261</v>
      </c>
      <c r="O139" s="101">
        <v>21009</v>
      </c>
      <c r="P139" s="101">
        <v>36209</v>
      </c>
      <c r="Q139" s="101">
        <v>13711</v>
      </c>
      <c r="R139" s="101">
        <v>7070</v>
      </c>
      <c r="S139" s="101"/>
      <c r="T139" t="s">
        <v>109</v>
      </c>
      <c r="U139" s="101">
        <f t="shared" si="6"/>
        <v>207826</v>
      </c>
      <c r="V139" s="101">
        <f>Inkomsten!M139</f>
        <v>183047000</v>
      </c>
      <c r="W139" s="101">
        <f>Inkomsten!D139</f>
        <v>137869789</v>
      </c>
      <c r="X139" s="101">
        <v>4918</v>
      </c>
      <c r="Y139" s="101">
        <v>5467</v>
      </c>
      <c r="Z139" s="101">
        <v>966</v>
      </c>
      <c r="AA139" s="101">
        <v>801</v>
      </c>
      <c r="AB139" s="101">
        <v>930</v>
      </c>
      <c r="AC139" s="101">
        <v>164</v>
      </c>
      <c r="AD139" s="101">
        <v>105</v>
      </c>
      <c r="AE139" s="101">
        <v>2789</v>
      </c>
      <c r="AF139" s="101">
        <v>305</v>
      </c>
      <c r="AG139" s="101">
        <f t="shared" si="7"/>
        <v>146203.78899999999</v>
      </c>
      <c r="AH139" s="101">
        <v>56581</v>
      </c>
      <c r="AI139" s="101">
        <f t="shared" si="8"/>
        <v>2583.9732242272139</v>
      </c>
      <c r="AJ139" t="s">
        <v>439</v>
      </c>
      <c r="AN139" t="s">
        <v>141</v>
      </c>
      <c r="AO139" s="259">
        <v>2112.0551819674006</v>
      </c>
      <c r="AP139" t="s">
        <v>465</v>
      </c>
    </row>
    <row r="140" spans="2:42" x14ac:dyDescent="0.25">
      <c r="B140" t="s">
        <v>258</v>
      </c>
      <c r="C140" s="101">
        <v>315620</v>
      </c>
      <c r="D140" s="101">
        <v>41486</v>
      </c>
      <c r="E140" s="101">
        <v>4203</v>
      </c>
      <c r="F140" s="101">
        <v>13100</v>
      </c>
      <c r="G140" s="101">
        <v>60862</v>
      </c>
      <c r="H140" s="101">
        <v>10398</v>
      </c>
      <c r="I140" s="101">
        <v>6697</v>
      </c>
      <c r="J140" s="101">
        <v>6304</v>
      </c>
      <c r="K140" s="101">
        <v>4344</v>
      </c>
      <c r="L140" s="101">
        <v>12545</v>
      </c>
      <c r="M140" s="101">
        <v>17009</v>
      </c>
      <c r="N140" s="101">
        <v>43014</v>
      </c>
      <c r="O140" s="101">
        <v>26463</v>
      </c>
      <c r="P140" s="101">
        <v>46414</v>
      </c>
      <c r="Q140" s="101">
        <v>20744</v>
      </c>
      <c r="R140" s="101">
        <v>3181</v>
      </c>
      <c r="S140" s="101"/>
      <c r="T140" t="s">
        <v>258</v>
      </c>
      <c r="U140" s="101">
        <f t="shared" si="6"/>
        <v>256831</v>
      </c>
      <c r="V140" s="101">
        <f>Inkomsten!M140</f>
        <v>224351000</v>
      </c>
      <c r="W140" s="101">
        <f>Inkomsten!D140</f>
        <v>171247718</v>
      </c>
      <c r="X140" s="101">
        <v>6486</v>
      </c>
      <c r="Y140" s="101">
        <v>11347</v>
      </c>
      <c r="Z140" s="101">
        <v>275</v>
      </c>
      <c r="AA140" s="101">
        <v>1515</v>
      </c>
      <c r="AB140" s="101">
        <v>1130</v>
      </c>
      <c r="AC140" s="101">
        <v>290</v>
      </c>
      <c r="AD140" s="101">
        <v>466</v>
      </c>
      <c r="AE140" s="101">
        <v>6096</v>
      </c>
      <c r="AF140" s="101">
        <v>1015</v>
      </c>
      <c r="AG140" s="101">
        <f t="shared" si="7"/>
        <v>175107.71799999999</v>
      </c>
      <c r="AH140" s="101">
        <v>75621</v>
      </c>
      <c r="AI140" s="101">
        <f t="shared" si="8"/>
        <v>2315.5964348527527</v>
      </c>
      <c r="AJ140" t="s">
        <v>439</v>
      </c>
      <c r="AN140" t="s">
        <v>265</v>
      </c>
      <c r="AO140" s="259">
        <v>2109.3231595131051</v>
      </c>
      <c r="AP140" t="s">
        <v>465</v>
      </c>
    </row>
    <row r="141" spans="2:42" x14ac:dyDescent="0.25">
      <c r="B141" t="s">
        <v>406</v>
      </c>
      <c r="C141" s="101">
        <v>144432</v>
      </c>
      <c r="D141" s="101">
        <v>4678</v>
      </c>
      <c r="E141" s="101">
        <v>1766</v>
      </c>
      <c r="F141" s="101">
        <v>6589</v>
      </c>
      <c r="G141" s="101">
        <v>34782</v>
      </c>
      <c r="H141" s="101">
        <v>10609</v>
      </c>
      <c r="I141" s="101">
        <v>7447</v>
      </c>
      <c r="J141" s="101">
        <v>4160</v>
      </c>
      <c r="K141" s="101">
        <v>3410</v>
      </c>
      <c r="L141" s="101">
        <v>2433</v>
      </c>
      <c r="M141" s="101">
        <v>7525</v>
      </c>
      <c r="N141" s="101">
        <v>15903</v>
      </c>
      <c r="O141" s="101">
        <v>9688</v>
      </c>
      <c r="P141" s="101">
        <v>18923</v>
      </c>
      <c r="Q141" s="101">
        <v>15454</v>
      </c>
      <c r="R141" s="101">
        <v>2112</v>
      </c>
      <c r="S141" s="101"/>
      <c r="T141" t="s">
        <v>406</v>
      </c>
      <c r="U141" s="101">
        <f t="shared" si="6"/>
        <v>131399</v>
      </c>
      <c r="V141" s="101">
        <f>Inkomsten!M141</f>
        <v>95862000</v>
      </c>
      <c r="W141" s="101">
        <f>Inkomsten!D141</f>
        <v>78583860</v>
      </c>
      <c r="X141" s="101">
        <v>4701</v>
      </c>
      <c r="Y141" s="101">
        <v>4239</v>
      </c>
      <c r="Z141" s="101">
        <v>15</v>
      </c>
      <c r="AA141" s="101">
        <v>724</v>
      </c>
      <c r="AB141" s="101">
        <v>1896</v>
      </c>
      <c r="AC141" s="101">
        <v>194</v>
      </c>
      <c r="AD141" s="101">
        <v>4013</v>
      </c>
      <c r="AE141" s="101">
        <v>1</v>
      </c>
      <c r="AF141" s="101">
        <v>517</v>
      </c>
      <c r="AG141" s="101">
        <f t="shared" si="7"/>
        <v>97820.86</v>
      </c>
      <c r="AH141" s="101">
        <v>43923</v>
      </c>
      <c r="AI141" s="101">
        <f t="shared" si="8"/>
        <v>2227.0987865127609</v>
      </c>
      <c r="AJ141" t="s">
        <v>465</v>
      </c>
      <c r="AN141" t="s">
        <v>222</v>
      </c>
      <c r="AO141" s="259">
        <v>2106.7390018090041</v>
      </c>
      <c r="AP141" t="s">
        <v>465</v>
      </c>
    </row>
    <row r="142" spans="2:42" x14ac:dyDescent="0.25">
      <c r="B142" t="s">
        <v>219</v>
      </c>
      <c r="C142" s="101">
        <v>151966</v>
      </c>
      <c r="D142" s="101">
        <v>15696</v>
      </c>
      <c r="E142" s="101">
        <v>1413</v>
      </c>
      <c r="F142" s="101">
        <v>7086</v>
      </c>
      <c r="G142" s="101">
        <v>32235</v>
      </c>
      <c r="H142" s="101">
        <v>10297</v>
      </c>
      <c r="I142" s="101">
        <v>3486</v>
      </c>
      <c r="J142" s="101">
        <v>6250</v>
      </c>
      <c r="K142" s="101">
        <v>2516</v>
      </c>
      <c r="L142" s="101">
        <v>2561</v>
      </c>
      <c r="M142" s="101">
        <v>8919</v>
      </c>
      <c r="N142" s="101">
        <v>15305</v>
      </c>
      <c r="O142" s="101">
        <v>14075</v>
      </c>
      <c r="P142" s="101">
        <v>19948</v>
      </c>
      <c r="Q142" s="101">
        <v>11979</v>
      </c>
      <c r="R142" s="101">
        <v>1029</v>
      </c>
      <c r="S142" s="101"/>
      <c r="T142" t="s">
        <v>219</v>
      </c>
      <c r="U142" s="101">
        <f t="shared" si="6"/>
        <v>127771</v>
      </c>
      <c r="V142" s="101">
        <f>Inkomsten!M142</f>
        <v>97456000</v>
      </c>
      <c r="W142" s="101">
        <f>Inkomsten!D142</f>
        <v>84972496</v>
      </c>
      <c r="X142" s="101">
        <v>3595</v>
      </c>
      <c r="Y142" s="101">
        <v>6246</v>
      </c>
      <c r="Z142" s="101">
        <v>188</v>
      </c>
      <c r="AA142" s="101">
        <v>1004</v>
      </c>
      <c r="AB142" s="101">
        <v>680</v>
      </c>
      <c r="AC142" s="101">
        <v>424</v>
      </c>
      <c r="AD142" s="101">
        <v>245</v>
      </c>
      <c r="AE142" s="101">
        <v>18</v>
      </c>
      <c r="AF142" s="101">
        <v>80</v>
      </c>
      <c r="AG142" s="101">
        <f t="shared" si="7"/>
        <v>102807.496</v>
      </c>
      <c r="AH142" s="101">
        <v>50855</v>
      </c>
      <c r="AI142" s="101">
        <f t="shared" si="8"/>
        <v>2021.5808868351194</v>
      </c>
      <c r="AJ142" t="s">
        <v>465</v>
      </c>
      <c r="AN142" t="s">
        <v>257</v>
      </c>
      <c r="AO142" s="259">
        <v>2101.0553536109278</v>
      </c>
      <c r="AP142" t="s">
        <v>465</v>
      </c>
    </row>
    <row r="143" spans="2:42" x14ac:dyDescent="0.25">
      <c r="B143" t="s">
        <v>259</v>
      </c>
      <c r="C143" s="101">
        <v>121173</v>
      </c>
      <c r="D143" s="101">
        <v>329</v>
      </c>
      <c r="E143" s="101">
        <v>1</v>
      </c>
      <c r="F143" s="101">
        <v>7500</v>
      </c>
      <c r="G143" s="101">
        <v>32294</v>
      </c>
      <c r="H143" s="101">
        <v>9318</v>
      </c>
      <c r="I143" s="101">
        <v>4000</v>
      </c>
      <c r="J143" s="101">
        <v>4627</v>
      </c>
      <c r="K143" s="101">
        <v>788</v>
      </c>
      <c r="L143" s="101">
        <v>3398</v>
      </c>
      <c r="M143" s="101">
        <v>7088</v>
      </c>
      <c r="N143" s="101">
        <v>17740</v>
      </c>
      <c r="O143" s="101">
        <v>13021</v>
      </c>
      <c r="P143" s="101">
        <v>13676</v>
      </c>
      <c r="Q143" s="101">
        <v>6863</v>
      </c>
      <c r="R143" s="101">
        <v>804</v>
      </c>
      <c r="S143" s="101"/>
      <c r="T143" t="s">
        <v>259</v>
      </c>
      <c r="U143" s="101">
        <f t="shared" si="6"/>
        <v>113343</v>
      </c>
      <c r="V143" s="101">
        <f>Inkomsten!M143</f>
        <v>95788000</v>
      </c>
      <c r="W143" s="101">
        <f>Inkomsten!D143</f>
        <v>80046842</v>
      </c>
      <c r="X143" s="101">
        <v>4865</v>
      </c>
      <c r="Y143" s="101">
        <v>6494</v>
      </c>
      <c r="Z143" s="101">
        <v>354</v>
      </c>
      <c r="AA143" s="101">
        <v>595</v>
      </c>
      <c r="AB143" s="101">
        <v>456</v>
      </c>
      <c r="AC143" s="101">
        <v>204</v>
      </c>
      <c r="AD143" s="101">
        <v>64</v>
      </c>
      <c r="AE143" s="101">
        <v>6</v>
      </c>
      <c r="AF143" s="101">
        <v>757</v>
      </c>
      <c r="AG143" s="101">
        <f t="shared" si="7"/>
        <v>83806.842000000004</v>
      </c>
      <c r="AH143" s="101">
        <v>41205</v>
      </c>
      <c r="AI143" s="101">
        <f t="shared" si="8"/>
        <v>2033.8998179832545</v>
      </c>
      <c r="AJ143" t="s">
        <v>116</v>
      </c>
      <c r="AN143" t="s">
        <v>474</v>
      </c>
      <c r="AO143" s="259">
        <v>2094.3392457855653</v>
      </c>
      <c r="AP143" t="s">
        <v>465</v>
      </c>
    </row>
    <row r="144" spans="2:42" x14ac:dyDescent="0.25">
      <c r="B144" t="s">
        <v>330</v>
      </c>
      <c r="C144" s="101">
        <v>92711</v>
      </c>
      <c r="D144" s="101">
        <v>1026</v>
      </c>
      <c r="E144" s="101">
        <v>984</v>
      </c>
      <c r="F144" s="101">
        <v>3221</v>
      </c>
      <c r="G144" s="101">
        <v>16668</v>
      </c>
      <c r="H144" s="101">
        <v>13961</v>
      </c>
      <c r="I144" s="101">
        <v>2530</v>
      </c>
      <c r="J144" s="101">
        <v>4822</v>
      </c>
      <c r="K144" s="101">
        <v>385</v>
      </c>
      <c r="L144" s="101">
        <v>1992</v>
      </c>
      <c r="M144" s="101">
        <v>4706</v>
      </c>
      <c r="N144" s="101">
        <v>10890</v>
      </c>
      <c r="O144" s="101">
        <v>8799</v>
      </c>
      <c r="P144" s="101">
        <v>17065</v>
      </c>
      <c r="Q144" s="101">
        <v>5236</v>
      </c>
      <c r="R144" s="101">
        <v>488</v>
      </c>
      <c r="S144" s="101"/>
      <c r="T144" t="s">
        <v>330</v>
      </c>
      <c r="U144" s="101">
        <f t="shared" si="6"/>
        <v>87480</v>
      </c>
      <c r="V144" s="101">
        <f>Inkomsten!M144</f>
        <v>78085000</v>
      </c>
      <c r="W144" s="101">
        <f>Inkomsten!D144</f>
        <v>59524282</v>
      </c>
      <c r="X144" s="101">
        <v>3650</v>
      </c>
      <c r="Y144" s="101">
        <v>3653</v>
      </c>
      <c r="Z144" s="101">
        <v>118</v>
      </c>
      <c r="AA144" s="101">
        <v>497</v>
      </c>
      <c r="AB144" s="101">
        <v>703</v>
      </c>
      <c r="AC144" s="101">
        <v>76</v>
      </c>
      <c r="AD144" s="101">
        <v>160</v>
      </c>
      <c r="AE144" s="101">
        <v>655</v>
      </c>
      <c r="AF144" s="101">
        <v>194</v>
      </c>
      <c r="AG144" s="101">
        <f t="shared" si="7"/>
        <v>59213.282000000007</v>
      </c>
      <c r="AH144" s="101">
        <v>27331</v>
      </c>
      <c r="AI144" s="101">
        <f t="shared" si="8"/>
        <v>2166.5245325820501</v>
      </c>
      <c r="AJ144" t="s">
        <v>116</v>
      </c>
      <c r="AN144" t="s">
        <v>143</v>
      </c>
      <c r="AO144" s="259">
        <v>2090.4627105050113</v>
      </c>
      <c r="AP144" t="s">
        <v>465</v>
      </c>
    </row>
    <row r="145" spans="2:42" x14ac:dyDescent="0.25">
      <c r="B145" t="s">
        <v>220</v>
      </c>
      <c r="C145" s="101">
        <v>96138</v>
      </c>
      <c r="D145" s="101">
        <v>192</v>
      </c>
      <c r="E145" s="101">
        <v>532</v>
      </c>
      <c r="F145" s="101">
        <v>3415</v>
      </c>
      <c r="G145" s="101">
        <v>20706</v>
      </c>
      <c r="H145" s="101">
        <v>9113</v>
      </c>
      <c r="I145" s="101">
        <v>2416</v>
      </c>
      <c r="J145" s="101">
        <v>3714</v>
      </c>
      <c r="K145" s="101">
        <v>578</v>
      </c>
      <c r="L145" s="101">
        <v>1931</v>
      </c>
      <c r="M145" s="101">
        <v>7107</v>
      </c>
      <c r="N145" s="101">
        <v>13403</v>
      </c>
      <c r="O145" s="101">
        <v>9452</v>
      </c>
      <c r="P145" s="101">
        <v>10532</v>
      </c>
      <c r="Q145" s="101">
        <v>10858</v>
      </c>
      <c r="R145" s="101">
        <v>2414</v>
      </c>
      <c r="S145" s="101"/>
      <c r="T145" t="s">
        <v>220</v>
      </c>
      <c r="U145" s="101">
        <f t="shared" si="6"/>
        <v>91999</v>
      </c>
      <c r="V145" s="101">
        <f>Inkomsten!M145</f>
        <v>74377000</v>
      </c>
      <c r="W145" s="101">
        <f>Inkomsten!D145</f>
        <v>61485451</v>
      </c>
      <c r="X145" s="101">
        <v>3997</v>
      </c>
      <c r="Y145" s="101">
        <v>5989</v>
      </c>
      <c r="Z145" s="101">
        <v>250</v>
      </c>
      <c r="AA145" s="101">
        <v>565</v>
      </c>
      <c r="AB145" s="101">
        <v>967</v>
      </c>
      <c r="AC145" s="217">
        <v>124</v>
      </c>
      <c r="AD145" s="101">
        <v>0</v>
      </c>
      <c r="AE145" s="101">
        <v>1110</v>
      </c>
      <c r="AF145" s="101">
        <v>61</v>
      </c>
      <c r="AG145" s="101">
        <f t="shared" si="7"/>
        <v>66044.451000000001</v>
      </c>
      <c r="AH145" s="101">
        <v>33424</v>
      </c>
      <c r="AI145" s="101">
        <f t="shared" si="8"/>
        <v>1975.9589217328864</v>
      </c>
      <c r="AJ145" t="s">
        <v>465</v>
      </c>
      <c r="AN145" t="s">
        <v>273</v>
      </c>
      <c r="AO145" s="259">
        <v>2087.3465148649238</v>
      </c>
      <c r="AP145" t="s">
        <v>465</v>
      </c>
    </row>
    <row r="146" spans="2:42" x14ac:dyDescent="0.25">
      <c r="B146" t="s">
        <v>297</v>
      </c>
      <c r="C146" s="101">
        <v>76029</v>
      </c>
      <c r="D146" s="101">
        <v>1502</v>
      </c>
      <c r="E146" s="101">
        <v>2244</v>
      </c>
      <c r="F146" s="101">
        <v>2721</v>
      </c>
      <c r="G146" s="101">
        <v>14838</v>
      </c>
      <c r="H146" s="101">
        <v>9145</v>
      </c>
      <c r="I146" s="101">
        <v>2327</v>
      </c>
      <c r="J146" s="101">
        <v>3854</v>
      </c>
      <c r="K146" s="101">
        <v>1096</v>
      </c>
      <c r="L146" s="101">
        <v>3030</v>
      </c>
      <c r="M146" s="101">
        <v>3672</v>
      </c>
      <c r="N146" s="101">
        <v>8030</v>
      </c>
      <c r="O146" s="101">
        <v>5096</v>
      </c>
      <c r="P146" s="101">
        <v>9975</v>
      </c>
      <c r="Q146" s="101">
        <v>7390</v>
      </c>
      <c r="R146" s="101">
        <v>1410</v>
      </c>
      <c r="S146" s="101"/>
      <c r="T146" t="s">
        <v>297</v>
      </c>
      <c r="U146" s="101">
        <f t="shared" si="6"/>
        <v>69562</v>
      </c>
      <c r="V146" s="101">
        <f>Inkomsten!M146</f>
        <v>56679000</v>
      </c>
      <c r="W146" s="101">
        <f>Inkomsten!D146</f>
        <v>49007869</v>
      </c>
      <c r="X146" s="101">
        <v>4188</v>
      </c>
      <c r="Y146" s="101">
        <v>4927</v>
      </c>
      <c r="Z146" s="101">
        <v>63</v>
      </c>
      <c r="AA146" s="101">
        <v>327</v>
      </c>
      <c r="AB146" s="101">
        <v>1103</v>
      </c>
      <c r="AC146" s="101">
        <v>226</v>
      </c>
      <c r="AD146" s="101">
        <v>0</v>
      </c>
      <c r="AE146" s="101">
        <v>0</v>
      </c>
      <c r="AF146" s="101">
        <v>231</v>
      </c>
      <c r="AG146" s="101">
        <f t="shared" si="7"/>
        <v>50825.868999999999</v>
      </c>
      <c r="AH146" s="101">
        <v>29167</v>
      </c>
      <c r="AI146" s="101">
        <f t="shared" si="8"/>
        <v>1742.5813076421985</v>
      </c>
      <c r="AJ146" t="s">
        <v>465</v>
      </c>
      <c r="AN146" t="s">
        <v>192</v>
      </c>
      <c r="AO146" s="259">
        <v>2086.3348755542775</v>
      </c>
      <c r="AP146" t="s">
        <v>465</v>
      </c>
    </row>
    <row r="147" spans="2:42" x14ac:dyDescent="0.25">
      <c r="B147" t="s">
        <v>149</v>
      </c>
      <c r="C147" s="101">
        <v>189031</v>
      </c>
      <c r="D147" s="101">
        <v>3909</v>
      </c>
      <c r="E147" s="101">
        <v>2918</v>
      </c>
      <c r="F147" s="101">
        <v>6935</v>
      </c>
      <c r="G147" s="101">
        <v>40262</v>
      </c>
      <c r="H147" s="101">
        <v>15889</v>
      </c>
      <c r="I147" s="101">
        <v>4067</v>
      </c>
      <c r="J147" s="101">
        <v>7022</v>
      </c>
      <c r="K147" s="101">
        <v>2431</v>
      </c>
      <c r="L147" s="101">
        <v>4713</v>
      </c>
      <c r="M147" s="101">
        <v>17946</v>
      </c>
      <c r="N147" s="101">
        <v>26882</v>
      </c>
      <c r="O147" s="101">
        <v>19885</v>
      </c>
      <c r="P147" s="101">
        <v>21763</v>
      </c>
      <c r="Q147" s="101">
        <v>11017</v>
      </c>
      <c r="R147" s="101">
        <v>3825</v>
      </c>
      <c r="S147" s="101"/>
      <c r="T147" t="s">
        <v>149</v>
      </c>
      <c r="U147" s="101">
        <f t="shared" si="6"/>
        <v>175269</v>
      </c>
      <c r="V147" s="101">
        <f>Inkomsten!M147</f>
        <v>159845000</v>
      </c>
      <c r="W147" s="101">
        <f>Inkomsten!D147</f>
        <v>123738833</v>
      </c>
      <c r="X147" s="101">
        <v>3444</v>
      </c>
      <c r="Y147" s="101">
        <v>4957</v>
      </c>
      <c r="Z147" s="101">
        <v>800</v>
      </c>
      <c r="AA147" s="101">
        <v>846</v>
      </c>
      <c r="AB147" s="101">
        <v>1279</v>
      </c>
      <c r="AC147" s="101">
        <v>636</v>
      </c>
      <c r="AD147" s="101">
        <v>87</v>
      </c>
      <c r="AE147" s="101">
        <v>1932</v>
      </c>
      <c r="AF147" s="101">
        <v>315</v>
      </c>
      <c r="AG147" s="101">
        <f t="shared" si="7"/>
        <v>124866.83299999998</v>
      </c>
      <c r="AH147" s="101">
        <v>56186</v>
      </c>
      <c r="AI147" s="101">
        <f t="shared" si="8"/>
        <v>2222.3833873206845</v>
      </c>
      <c r="AJ147" t="s">
        <v>439</v>
      </c>
      <c r="AN147" t="s">
        <v>219</v>
      </c>
      <c r="AO147" s="259">
        <v>2085.6067273669996</v>
      </c>
      <c r="AP147" t="s">
        <v>465</v>
      </c>
    </row>
    <row r="148" spans="2:42" x14ac:dyDescent="0.25">
      <c r="B148" t="s">
        <v>331</v>
      </c>
      <c r="C148" s="101">
        <v>42326</v>
      </c>
      <c r="D148" s="101">
        <v>2097</v>
      </c>
      <c r="E148" s="101">
        <v>811</v>
      </c>
      <c r="F148" s="101">
        <v>2583</v>
      </c>
      <c r="G148" s="101">
        <v>8246</v>
      </c>
      <c r="H148" s="101">
        <v>3477</v>
      </c>
      <c r="I148" s="101">
        <v>1089</v>
      </c>
      <c r="J148" s="101">
        <v>1331</v>
      </c>
      <c r="K148" s="101">
        <v>635</v>
      </c>
      <c r="L148" s="101">
        <v>1025</v>
      </c>
      <c r="M148" s="101">
        <v>2941</v>
      </c>
      <c r="N148" s="101">
        <v>2825</v>
      </c>
      <c r="O148" s="101">
        <v>4093</v>
      </c>
      <c r="P148" s="101">
        <v>6468</v>
      </c>
      <c r="Q148" s="101">
        <v>4265</v>
      </c>
      <c r="R148" s="101">
        <v>563</v>
      </c>
      <c r="S148" s="101"/>
      <c r="T148" t="s">
        <v>331</v>
      </c>
      <c r="U148" s="101">
        <f t="shared" si="6"/>
        <v>36835</v>
      </c>
      <c r="V148" s="101">
        <f>Inkomsten!M148</f>
        <v>29262000</v>
      </c>
      <c r="W148" s="101">
        <f>Inkomsten!D148</f>
        <v>24517531</v>
      </c>
      <c r="X148" s="101">
        <v>1757</v>
      </c>
      <c r="Y148" s="101">
        <v>1559</v>
      </c>
      <c r="Z148" s="101">
        <v>300</v>
      </c>
      <c r="AA148" s="101">
        <v>151</v>
      </c>
      <c r="AB148" s="101">
        <v>619</v>
      </c>
      <c r="AC148" s="101">
        <v>30</v>
      </c>
      <c r="AD148" s="101">
        <v>288</v>
      </c>
      <c r="AE148" s="101">
        <v>0</v>
      </c>
      <c r="AF148" s="101">
        <v>351</v>
      </c>
      <c r="AG148" s="101">
        <f t="shared" si="7"/>
        <v>27035.530999999999</v>
      </c>
      <c r="AH148" s="101">
        <v>13011</v>
      </c>
      <c r="AI148" s="101">
        <f t="shared" si="8"/>
        <v>2077.8980093766813</v>
      </c>
      <c r="AJ148" t="s">
        <v>465</v>
      </c>
      <c r="AN148" t="s">
        <v>284</v>
      </c>
      <c r="AO148" s="259">
        <v>2077.0253381726416</v>
      </c>
      <c r="AP148" t="s">
        <v>465</v>
      </c>
    </row>
    <row r="149" spans="2:42" x14ac:dyDescent="0.25">
      <c r="B149" t="s">
        <v>298</v>
      </c>
      <c r="C149" s="101">
        <v>227179</v>
      </c>
      <c r="D149" s="101">
        <v>17070</v>
      </c>
      <c r="E149" s="101">
        <v>4018</v>
      </c>
      <c r="F149" s="101">
        <v>11390</v>
      </c>
      <c r="G149" s="101">
        <v>52396</v>
      </c>
      <c r="H149" s="101">
        <v>16452</v>
      </c>
      <c r="I149" s="101">
        <v>5281</v>
      </c>
      <c r="J149" s="101">
        <v>10451</v>
      </c>
      <c r="K149" s="101">
        <v>5921</v>
      </c>
      <c r="L149" s="101">
        <v>4729</v>
      </c>
      <c r="M149" s="101">
        <v>11343</v>
      </c>
      <c r="N149" s="101">
        <v>25475</v>
      </c>
      <c r="O149" s="101">
        <v>20665</v>
      </c>
      <c r="P149" s="101">
        <v>26209</v>
      </c>
      <c r="Q149" s="101">
        <v>13510</v>
      </c>
      <c r="R149" s="101">
        <v>3671</v>
      </c>
      <c r="S149" s="101"/>
      <c r="T149" t="s">
        <v>298</v>
      </c>
      <c r="U149" s="101">
        <f t="shared" si="6"/>
        <v>194701</v>
      </c>
      <c r="V149" s="101">
        <f>Inkomsten!M149</f>
        <v>154251000</v>
      </c>
      <c r="W149" s="101">
        <f>Inkomsten!D149</f>
        <v>123948843</v>
      </c>
      <c r="X149" s="101">
        <v>5371</v>
      </c>
      <c r="Y149" s="101">
        <v>9288</v>
      </c>
      <c r="Z149" s="101">
        <v>381</v>
      </c>
      <c r="AA149" s="101">
        <v>1180</v>
      </c>
      <c r="AB149" s="101">
        <v>1582</v>
      </c>
      <c r="AC149" s="101">
        <v>264</v>
      </c>
      <c r="AD149" s="101">
        <v>634</v>
      </c>
      <c r="AE149" s="101">
        <v>3731</v>
      </c>
      <c r="AF149" s="101">
        <v>413</v>
      </c>
      <c r="AG149" s="101">
        <f t="shared" si="7"/>
        <v>141554.84299999999</v>
      </c>
      <c r="AH149" s="101">
        <v>66960</v>
      </c>
      <c r="AI149" s="101">
        <f t="shared" si="8"/>
        <v>2114.0209528076462</v>
      </c>
      <c r="AJ149" t="s">
        <v>465</v>
      </c>
      <c r="AN149" t="s">
        <v>331</v>
      </c>
      <c r="AO149" s="259">
        <v>2073.9226442729828</v>
      </c>
      <c r="AP149" t="s">
        <v>465</v>
      </c>
    </row>
    <row r="150" spans="2:42" x14ac:dyDescent="0.25">
      <c r="B150" t="s">
        <v>407</v>
      </c>
      <c r="C150" s="101">
        <v>201796</v>
      </c>
      <c r="D150" s="101">
        <v>981</v>
      </c>
      <c r="E150" s="101">
        <v>2696</v>
      </c>
      <c r="F150" s="101">
        <v>10013</v>
      </c>
      <c r="G150" s="101">
        <v>41003</v>
      </c>
      <c r="H150" s="101">
        <v>12695</v>
      </c>
      <c r="I150" s="101">
        <v>4709</v>
      </c>
      <c r="J150" s="101">
        <v>3622</v>
      </c>
      <c r="K150" s="101">
        <v>2869</v>
      </c>
      <c r="L150" s="101">
        <v>3348</v>
      </c>
      <c r="M150" s="101">
        <v>10823</v>
      </c>
      <c r="N150" s="101">
        <v>48410</v>
      </c>
      <c r="O150" s="101">
        <v>22865</v>
      </c>
      <c r="P150" s="101">
        <v>28250</v>
      </c>
      <c r="Q150" s="101">
        <v>10071</v>
      </c>
      <c r="R150" s="101">
        <v>624</v>
      </c>
      <c r="S150" s="101"/>
      <c r="T150" t="s">
        <v>407</v>
      </c>
      <c r="U150" s="101">
        <f t="shared" si="6"/>
        <v>188106</v>
      </c>
      <c r="V150" s="101">
        <f>Inkomsten!M150</f>
        <v>176390000</v>
      </c>
      <c r="W150" s="101">
        <f>Inkomsten!D150</f>
        <v>125543588</v>
      </c>
      <c r="X150" s="101">
        <v>5703</v>
      </c>
      <c r="Y150" s="101">
        <v>6684</v>
      </c>
      <c r="Z150" s="101">
        <v>54</v>
      </c>
      <c r="AA150" s="101">
        <v>816</v>
      </c>
      <c r="AB150" s="101">
        <v>387</v>
      </c>
      <c r="AC150" s="101">
        <v>301</v>
      </c>
      <c r="AD150" s="101">
        <v>199</v>
      </c>
      <c r="AE150" s="101">
        <v>554</v>
      </c>
      <c r="AF150" s="101">
        <v>204</v>
      </c>
      <c r="AG150" s="101">
        <f t="shared" si="7"/>
        <v>122357.58799999999</v>
      </c>
      <c r="AH150" s="101">
        <v>45302</v>
      </c>
      <c r="AI150" s="101">
        <f t="shared" si="8"/>
        <v>2700.9312613129659</v>
      </c>
      <c r="AJ150" t="s">
        <v>439</v>
      </c>
      <c r="AN150" t="s">
        <v>115</v>
      </c>
      <c r="AO150" s="259">
        <v>2067.13120681393</v>
      </c>
      <c r="AP150" t="s">
        <v>465</v>
      </c>
    </row>
    <row r="151" spans="2:42" x14ac:dyDescent="0.25">
      <c r="B151" t="s">
        <v>260</v>
      </c>
      <c r="C151" s="101">
        <v>97534</v>
      </c>
      <c r="D151" s="101">
        <v>23784</v>
      </c>
      <c r="E151" s="101">
        <v>207</v>
      </c>
      <c r="F151" s="101">
        <v>3381</v>
      </c>
      <c r="G151" s="101">
        <v>18380</v>
      </c>
      <c r="H151" s="101">
        <v>9313</v>
      </c>
      <c r="I151" s="101">
        <v>1997</v>
      </c>
      <c r="J151" s="101">
        <v>1665</v>
      </c>
      <c r="K151" s="101">
        <v>494</v>
      </c>
      <c r="L151" s="101">
        <v>1845</v>
      </c>
      <c r="M151" s="101">
        <v>3253</v>
      </c>
      <c r="N151" s="101">
        <v>10975</v>
      </c>
      <c r="O151" s="101">
        <v>7054</v>
      </c>
      <c r="P151" s="101">
        <v>2636</v>
      </c>
      <c r="Q151" s="101">
        <v>7230</v>
      </c>
      <c r="R151" s="101">
        <v>5412</v>
      </c>
      <c r="S151" s="101"/>
      <c r="T151" t="s">
        <v>260</v>
      </c>
      <c r="U151" s="101">
        <f t="shared" si="6"/>
        <v>70162</v>
      </c>
      <c r="V151" s="101">
        <f>Inkomsten!M151</f>
        <v>46100000</v>
      </c>
      <c r="W151" s="101">
        <f>Inkomsten!D151</f>
        <v>39971665</v>
      </c>
      <c r="X151" s="101">
        <v>1162</v>
      </c>
      <c r="Y151" s="101">
        <v>3678</v>
      </c>
      <c r="Z151" s="101">
        <v>35</v>
      </c>
      <c r="AA151" s="101">
        <v>287</v>
      </c>
      <c r="AB151" s="101">
        <v>451</v>
      </c>
      <c r="AC151" s="101">
        <v>24</v>
      </c>
      <c r="AD151" s="101">
        <v>125</v>
      </c>
      <c r="AE151" s="101">
        <v>0</v>
      </c>
      <c r="AF151" s="101">
        <v>14</v>
      </c>
      <c r="AG151" s="101">
        <f t="shared" si="7"/>
        <v>58257.665000000001</v>
      </c>
      <c r="AH151" s="101">
        <v>23580</v>
      </c>
      <c r="AI151" s="101">
        <f t="shared" si="8"/>
        <v>2470.6388888888887</v>
      </c>
      <c r="AJ151" t="s">
        <v>465</v>
      </c>
      <c r="AN151" t="s">
        <v>375</v>
      </c>
      <c r="AO151" s="259">
        <v>2059.8063427283964</v>
      </c>
      <c r="AP151" t="s">
        <v>465</v>
      </c>
    </row>
    <row r="152" spans="2:42" x14ac:dyDescent="0.25">
      <c r="B152" t="s">
        <v>299</v>
      </c>
      <c r="C152" s="101">
        <v>106580</v>
      </c>
      <c r="D152" s="101">
        <v>11411</v>
      </c>
      <c r="E152" s="101">
        <v>1187</v>
      </c>
      <c r="F152" s="101">
        <v>3901</v>
      </c>
      <c r="G152" s="101">
        <v>16743</v>
      </c>
      <c r="H152" s="101">
        <v>8088</v>
      </c>
      <c r="I152" s="101">
        <v>2192</v>
      </c>
      <c r="J152" s="101">
        <v>2906</v>
      </c>
      <c r="K152" s="101">
        <v>283</v>
      </c>
      <c r="L152" s="101">
        <v>2374</v>
      </c>
      <c r="M152" s="101">
        <v>8936</v>
      </c>
      <c r="N152" s="101">
        <v>14772</v>
      </c>
      <c r="O152" s="101">
        <v>11577</v>
      </c>
      <c r="P152" s="101">
        <v>11440</v>
      </c>
      <c r="Q152" s="101">
        <v>9814</v>
      </c>
      <c r="R152" s="101">
        <v>1104</v>
      </c>
      <c r="S152" s="101"/>
      <c r="T152" t="s">
        <v>299</v>
      </c>
      <c r="U152" s="101">
        <f t="shared" si="6"/>
        <v>90081</v>
      </c>
      <c r="V152" s="101">
        <f>Inkomsten!M152</f>
        <v>75067000</v>
      </c>
      <c r="W152" s="101">
        <f>Inkomsten!D152</f>
        <v>60751458</v>
      </c>
      <c r="X152" s="101">
        <v>4062</v>
      </c>
      <c r="Y152" s="101">
        <v>5226</v>
      </c>
      <c r="Z152" s="101">
        <v>654</v>
      </c>
      <c r="AA152" s="101">
        <v>416</v>
      </c>
      <c r="AB152" s="101">
        <v>666</v>
      </c>
      <c r="AC152" s="101">
        <v>154</v>
      </c>
      <c r="AD152" s="101">
        <v>0</v>
      </c>
      <c r="AE152" s="101">
        <v>15</v>
      </c>
      <c r="AF152" s="101">
        <v>54</v>
      </c>
      <c r="AG152" s="101">
        <f t="shared" si="7"/>
        <v>64518.457999999999</v>
      </c>
      <c r="AH152" s="101">
        <v>29630</v>
      </c>
      <c r="AI152" s="101">
        <f t="shared" si="8"/>
        <v>2177.4707391157613</v>
      </c>
      <c r="AJ152" t="s">
        <v>465</v>
      </c>
      <c r="AN152" t="s">
        <v>347</v>
      </c>
      <c r="AO152" s="259">
        <v>2055.0056735576718</v>
      </c>
      <c r="AP152" t="s">
        <v>465</v>
      </c>
    </row>
    <row r="153" spans="2:42" x14ac:dyDescent="0.25">
      <c r="B153" t="s">
        <v>474</v>
      </c>
      <c r="C153" s="101">
        <v>165103</v>
      </c>
      <c r="D153" s="101">
        <v>207</v>
      </c>
      <c r="E153" s="101">
        <v>1231</v>
      </c>
      <c r="F153" s="101">
        <v>6870</v>
      </c>
      <c r="G153" s="101">
        <v>41576</v>
      </c>
      <c r="H153" s="101">
        <v>10116</v>
      </c>
      <c r="I153" s="101">
        <v>4473</v>
      </c>
      <c r="J153" s="101">
        <v>9473</v>
      </c>
      <c r="K153" s="101">
        <v>1401</v>
      </c>
      <c r="L153" s="101">
        <v>5038</v>
      </c>
      <c r="M153" s="101">
        <v>8294</v>
      </c>
      <c r="N153" s="101">
        <v>18488</v>
      </c>
      <c r="O153" s="101">
        <v>20466</v>
      </c>
      <c r="P153" s="101">
        <v>20141</v>
      </c>
      <c r="Q153" s="101">
        <v>14704</v>
      </c>
      <c r="R153" s="101">
        <v>2992</v>
      </c>
      <c r="S153" s="101"/>
      <c r="T153" t="s">
        <v>474</v>
      </c>
      <c r="U153" s="101">
        <f t="shared" si="6"/>
        <v>156795</v>
      </c>
      <c r="V153" s="101">
        <f>Inkomsten!M153</f>
        <v>137994000</v>
      </c>
      <c r="W153" s="101">
        <f>Inkomsten!D153</f>
        <v>112336902</v>
      </c>
      <c r="X153" s="101">
        <v>6429</v>
      </c>
      <c r="Y153" s="101">
        <v>7602</v>
      </c>
      <c r="Z153" s="101">
        <v>1076</v>
      </c>
      <c r="AA153" s="101">
        <v>1014</v>
      </c>
      <c r="AB153" s="101">
        <v>3885</v>
      </c>
      <c r="AC153" s="101">
        <v>345</v>
      </c>
      <c r="AD153" s="101">
        <v>256</v>
      </c>
      <c r="AE153" s="101">
        <v>0</v>
      </c>
      <c r="AF153" s="101">
        <v>70</v>
      </c>
      <c r="AG153" s="101">
        <f t="shared" si="7"/>
        <v>110460.902</v>
      </c>
      <c r="AH153" s="101">
        <v>57775</v>
      </c>
      <c r="AI153" s="101">
        <f t="shared" si="8"/>
        <v>1911.9152228472524</v>
      </c>
      <c r="AJ153" t="s">
        <v>465</v>
      </c>
      <c r="AN153" t="s">
        <v>304</v>
      </c>
      <c r="AO153" s="259">
        <v>2054.7319745650238</v>
      </c>
      <c r="AP153" t="s">
        <v>465</v>
      </c>
    </row>
    <row r="154" spans="2:42" x14ac:dyDescent="0.25">
      <c r="B154" t="s">
        <v>373</v>
      </c>
      <c r="C154" s="101">
        <v>68874</v>
      </c>
      <c r="D154" s="101">
        <v>3763</v>
      </c>
      <c r="E154" s="101">
        <v>324</v>
      </c>
      <c r="F154" s="101">
        <v>2515</v>
      </c>
      <c r="G154" s="101">
        <v>13052</v>
      </c>
      <c r="H154" s="101">
        <v>6141</v>
      </c>
      <c r="I154" s="101">
        <v>1639</v>
      </c>
      <c r="J154" s="101">
        <v>2542</v>
      </c>
      <c r="K154" s="101">
        <v>5146</v>
      </c>
      <c r="L154" s="101">
        <v>963</v>
      </c>
      <c r="M154" s="101">
        <v>4468</v>
      </c>
      <c r="N154" s="101">
        <v>7683</v>
      </c>
      <c r="O154" s="101">
        <v>5003</v>
      </c>
      <c r="P154" s="101">
        <v>9318</v>
      </c>
      <c r="Q154" s="101">
        <v>5867</v>
      </c>
      <c r="R154" s="101">
        <v>683</v>
      </c>
      <c r="S154" s="101"/>
      <c r="T154" t="s">
        <v>373</v>
      </c>
      <c r="U154" s="101">
        <f t="shared" si="6"/>
        <v>62272</v>
      </c>
      <c r="V154" s="101">
        <f>Inkomsten!M154</f>
        <v>49036000</v>
      </c>
      <c r="W154" s="101">
        <f>Inkomsten!D154</f>
        <v>40405058</v>
      </c>
      <c r="X154" s="101">
        <v>2573</v>
      </c>
      <c r="Y154" s="101">
        <v>2036</v>
      </c>
      <c r="Z154" s="101">
        <v>0</v>
      </c>
      <c r="AA154" s="101">
        <v>462</v>
      </c>
      <c r="AB154" s="101">
        <v>502</v>
      </c>
      <c r="AC154" s="101">
        <v>58</v>
      </c>
      <c r="AD154" s="101">
        <v>0</v>
      </c>
      <c r="AE154" s="101">
        <v>0</v>
      </c>
      <c r="AF154" s="101">
        <v>81</v>
      </c>
      <c r="AG154" s="101">
        <f t="shared" si="7"/>
        <v>47929.057999999997</v>
      </c>
      <c r="AH154" s="101">
        <v>23233</v>
      </c>
      <c r="AI154" s="101">
        <f t="shared" si="8"/>
        <v>2062.9732707786338</v>
      </c>
      <c r="AJ154" t="s">
        <v>465</v>
      </c>
      <c r="AN154" t="s">
        <v>414</v>
      </c>
      <c r="AO154" s="259">
        <v>2051.9563715899535</v>
      </c>
      <c r="AP154" t="s">
        <v>465</v>
      </c>
    </row>
    <row r="155" spans="2:42" x14ac:dyDescent="0.25">
      <c r="B155" t="s">
        <v>975</v>
      </c>
      <c r="C155" s="101">
        <v>283085</v>
      </c>
      <c r="D155" s="101">
        <v>6452</v>
      </c>
      <c r="E155" s="101">
        <v>3433</v>
      </c>
      <c r="F155" s="101">
        <v>14531</v>
      </c>
      <c r="G155" s="101">
        <v>59827</v>
      </c>
      <c r="H155" s="101">
        <v>23810</v>
      </c>
      <c r="I155" s="101">
        <v>8248</v>
      </c>
      <c r="J155" s="101">
        <v>8384</v>
      </c>
      <c r="K155" s="101">
        <v>6827</v>
      </c>
      <c r="L155" s="101">
        <v>7387</v>
      </c>
      <c r="M155" s="101">
        <v>17382</v>
      </c>
      <c r="N155" s="101">
        <v>39260</v>
      </c>
      <c r="O155" s="101">
        <v>26305</v>
      </c>
      <c r="P155" s="101">
        <v>36217</v>
      </c>
      <c r="Q155" s="101">
        <v>24637</v>
      </c>
      <c r="R155" s="101">
        <v>2462</v>
      </c>
      <c r="S155" s="101"/>
      <c r="T155" t="s">
        <v>975</v>
      </c>
      <c r="U155" s="101">
        <f t="shared" si="6"/>
        <v>258669</v>
      </c>
      <c r="V155" s="101">
        <f>Inkomsten!M155</f>
        <v>221686000</v>
      </c>
      <c r="W155" s="101">
        <f>Inkomsten!D155</f>
        <v>175095666</v>
      </c>
      <c r="X155" s="101">
        <v>10711</v>
      </c>
      <c r="Y155" s="101">
        <v>9403</v>
      </c>
      <c r="Z155" s="101">
        <v>315</v>
      </c>
      <c r="AA155" s="101">
        <v>1207</v>
      </c>
      <c r="AB155" s="101">
        <v>2502</v>
      </c>
      <c r="AC155" s="101">
        <v>813</v>
      </c>
      <c r="AD155" s="101">
        <v>734</v>
      </c>
      <c r="AE155" s="101">
        <v>62</v>
      </c>
      <c r="AF155" s="101">
        <v>1140</v>
      </c>
      <c r="AG155" s="101">
        <f t="shared" si="7"/>
        <v>185191.666</v>
      </c>
      <c r="AH155" s="101">
        <v>91725</v>
      </c>
      <c r="AI155" s="101">
        <f t="shared" si="8"/>
        <v>2018.9879095121287</v>
      </c>
      <c r="AJ155" t="s">
        <v>116</v>
      </c>
      <c r="AN155" t="s">
        <v>160</v>
      </c>
      <c r="AO155" s="259">
        <v>2046.5313972924903</v>
      </c>
      <c r="AP155" t="s">
        <v>465</v>
      </c>
    </row>
    <row r="156" spans="2:42" x14ac:dyDescent="0.25">
      <c r="B156" t="s">
        <v>408</v>
      </c>
      <c r="C156" s="101">
        <v>140985</v>
      </c>
      <c r="D156" s="101">
        <v>366</v>
      </c>
      <c r="E156" s="101">
        <v>1768</v>
      </c>
      <c r="F156" s="101">
        <v>5544</v>
      </c>
      <c r="G156" s="101">
        <v>27027</v>
      </c>
      <c r="H156" s="101">
        <v>10895</v>
      </c>
      <c r="I156" s="101">
        <v>3387</v>
      </c>
      <c r="J156" s="101">
        <v>2398</v>
      </c>
      <c r="K156" s="101">
        <v>924</v>
      </c>
      <c r="L156" s="101">
        <v>2769</v>
      </c>
      <c r="M156" s="101">
        <v>5826</v>
      </c>
      <c r="N156" s="101">
        <v>35908</v>
      </c>
      <c r="O156" s="101">
        <v>16297</v>
      </c>
      <c r="P156" s="101">
        <v>19082</v>
      </c>
      <c r="Q156" s="101">
        <v>8822</v>
      </c>
      <c r="R156" s="101">
        <v>430</v>
      </c>
      <c r="S156" s="101"/>
      <c r="T156" t="s">
        <v>408</v>
      </c>
      <c r="U156" s="101">
        <f t="shared" si="6"/>
        <v>133307</v>
      </c>
      <c r="V156" s="101">
        <f>Inkomsten!M156</f>
        <v>119351000</v>
      </c>
      <c r="W156" s="101">
        <f>Inkomsten!D156</f>
        <v>91106974</v>
      </c>
      <c r="X156" s="101">
        <v>5055</v>
      </c>
      <c r="Y156" s="101">
        <v>5547</v>
      </c>
      <c r="Z156" s="101">
        <v>20</v>
      </c>
      <c r="AA156" s="101">
        <v>352</v>
      </c>
      <c r="AB156" s="101">
        <v>293</v>
      </c>
      <c r="AC156" s="101">
        <v>184</v>
      </c>
      <c r="AD156" s="101">
        <v>139</v>
      </c>
      <c r="AE156" s="101">
        <v>17</v>
      </c>
      <c r="AF156" s="101">
        <v>32</v>
      </c>
      <c r="AG156" s="101">
        <f t="shared" si="7"/>
        <v>93423.974000000002</v>
      </c>
      <c r="AH156" s="101">
        <v>37105</v>
      </c>
      <c r="AI156" s="101">
        <f t="shared" si="8"/>
        <v>2517.8270852984774</v>
      </c>
      <c r="AJ156" t="s">
        <v>439</v>
      </c>
      <c r="AN156" t="s">
        <v>828</v>
      </c>
      <c r="AO156" s="259">
        <v>2045.4712637557825</v>
      </c>
      <c r="AP156" t="s">
        <v>465</v>
      </c>
    </row>
    <row r="157" spans="2:42" x14ac:dyDescent="0.25">
      <c r="B157" t="s">
        <v>261</v>
      </c>
      <c r="C157" s="101">
        <v>31188</v>
      </c>
      <c r="D157" s="101">
        <v>45</v>
      </c>
      <c r="E157" s="101">
        <v>41</v>
      </c>
      <c r="F157" s="101">
        <v>1654</v>
      </c>
      <c r="G157" s="101">
        <v>8913</v>
      </c>
      <c r="H157" s="101">
        <v>3973</v>
      </c>
      <c r="I157" s="101">
        <v>1204</v>
      </c>
      <c r="J157" s="101">
        <v>1049</v>
      </c>
      <c r="K157" s="101">
        <v>128</v>
      </c>
      <c r="L157" s="101">
        <v>694</v>
      </c>
      <c r="M157" s="101">
        <v>1393</v>
      </c>
      <c r="N157" s="101">
        <v>3180</v>
      </c>
      <c r="O157" s="101">
        <v>2521</v>
      </c>
      <c r="P157" s="101">
        <v>2741</v>
      </c>
      <c r="Q157" s="101">
        <v>3130</v>
      </c>
      <c r="R157" s="101">
        <v>599</v>
      </c>
      <c r="S157" s="101"/>
      <c r="T157" t="s">
        <v>261</v>
      </c>
      <c r="U157" s="101">
        <f t="shared" si="6"/>
        <v>29448</v>
      </c>
      <c r="V157" s="101">
        <f>Inkomsten!M157</f>
        <v>23500000</v>
      </c>
      <c r="W157" s="101">
        <f>Inkomsten!D157</f>
        <v>19841439.940074667</v>
      </c>
      <c r="X157" s="101">
        <v>1366</v>
      </c>
      <c r="Y157" s="101">
        <v>2147</v>
      </c>
      <c r="Z157" s="101">
        <v>153</v>
      </c>
      <c r="AA157" s="101">
        <v>152</v>
      </c>
      <c r="AB157" s="101">
        <v>379</v>
      </c>
      <c r="AC157" s="101">
        <v>162</v>
      </c>
      <c r="AD157" s="101">
        <v>72</v>
      </c>
      <c r="AE157" s="101">
        <v>0</v>
      </c>
      <c r="AF157" s="101">
        <v>67</v>
      </c>
      <c r="AG157" s="101">
        <f t="shared" si="7"/>
        <v>21291.439940074666</v>
      </c>
      <c r="AH157" s="101">
        <v>11660</v>
      </c>
      <c r="AI157" s="101">
        <f t="shared" si="8"/>
        <v>1826.0240085827331</v>
      </c>
      <c r="AJ157" t="s">
        <v>465</v>
      </c>
      <c r="AN157" t="s">
        <v>243</v>
      </c>
      <c r="AO157" s="259">
        <v>2040.8946703643865</v>
      </c>
      <c r="AP157" t="s">
        <v>465</v>
      </c>
    </row>
    <row r="158" spans="2:42" x14ac:dyDescent="0.25">
      <c r="B158" t="s">
        <v>300</v>
      </c>
      <c r="C158" s="101">
        <v>233124</v>
      </c>
      <c r="D158" s="101">
        <v>55667</v>
      </c>
      <c r="E158" s="101">
        <v>1320</v>
      </c>
      <c r="F158" s="101">
        <v>10229</v>
      </c>
      <c r="G158" s="101">
        <v>41019</v>
      </c>
      <c r="H158" s="101">
        <v>13365</v>
      </c>
      <c r="I158" s="101">
        <v>4905</v>
      </c>
      <c r="J158" s="101">
        <v>6967</v>
      </c>
      <c r="K158" s="101">
        <v>2528</v>
      </c>
      <c r="L158" s="101">
        <v>7854</v>
      </c>
      <c r="M158" s="101">
        <v>10646</v>
      </c>
      <c r="N158" s="101">
        <v>14382</v>
      </c>
      <c r="O158" s="101">
        <v>19553</v>
      </c>
      <c r="P158" s="101">
        <v>27318</v>
      </c>
      <c r="Q158" s="101">
        <v>14056</v>
      </c>
      <c r="R158" s="101">
        <v>4081</v>
      </c>
      <c r="S158" s="101"/>
      <c r="T158" t="s">
        <v>300</v>
      </c>
      <c r="U158" s="101">
        <f t="shared" si="6"/>
        <v>165908</v>
      </c>
      <c r="V158" s="101">
        <f>Inkomsten!M158</f>
        <v>120901000</v>
      </c>
      <c r="W158" s="101">
        <f>Inkomsten!D158</f>
        <v>102371999</v>
      </c>
      <c r="X158" s="101">
        <v>7274</v>
      </c>
      <c r="Y158" s="101">
        <v>6723</v>
      </c>
      <c r="Z158" s="101">
        <v>240</v>
      </c>
      <c r="AA158" s="101">
        <v>926</v>
      </c>
      <c r="AB158" s="101">
        <v>2520</v>
      </c>
      <c r="AC158" s="101">
        <v>347</v>
      </c>
      <c r="AD158" s="101">
        <v>0</v>
      </c>
      <c r="AE158" s="101">
        <v>0</v>
      </c>
      <c r="AF158" s="101">
        <v>211</v>
      </c>
      <c r="AG158" s="101">
        <f t="shared" si="7"/>
        <v>129137.99900000001</v>
      </c>
      <c r="AH158" s="101">
        <v>65600</v>
      </c>
      <c r="AI158" s="101">
        <f t="shared" si="8"/>
        <v>1968.5670579268294</v>
      </c>
      <c r="AJ158" t="s">
        <v>465</v>
      </c>
      <c r="AN158" t="s">
        <v>186</v>
      </c>
      <c r="AO158" s="259">
        <v>2038.714807000038</v>
      </c>
      <c r="AP158" t="s">
        <v>465</v>
      </c>
    </row>
    <row r="159" spans="2:42" x14ac:dyDescent="0.25">
      <c r="B159" t="s">
        <v>724</v>
      </c>
      <c r="C159" s="101">
        <v>32482</v>
      </c>
      <c r="D159" s="101">
        <v>0</v>
      </c>
      <c r="E159" s="101">
        <v>267</v>
      </c>
      <c r="F159" s="101">
        <v>1192</v>
      </c>
      <c r="G159" s="101">
        <v>1108</v>
      </c>
      <c r="H159" s="101">
        <v>7349</v>
      </c>
      <c r="I159" s="101">
        <v>1675</v>
      </c>
      <c r="J159" s="101">
        <v>1384</v>
      </c>
      <c r="K159" s="101">
        <v>244</v>
      </c>
      <c r="L159" s="101">
        <v>1179</v>
      </c>
      <c r="M159" s="101">
        <v>2784</v>
      </c>
      <c r="N159" s="101">
        <v>3069</v>
      </c>
      <c r="O159" s="101">
        <v>1973</v>
      </c>
      <c r="P159" s="101">
        <v>5934</v>
      </c>
      <c r="Q159" s="101">
        <v>3217</v>
      </c>
      <c r="R159" s="101">
        <v>1107</v>
      </c>
      <c r="S159" s="101"/>
      <c r="T159" t="s">
        <v>724</v>
      </c>
      <c r="U159" s="101">
        <f t="shared" si="6"/>
        <v>31023</v>
      </c>
      <c r="V159" s="101">
        <f>Inkomsten!M159</f>
        <v>22766000</v>
      </c>
      <c r="W159" s="101">
        <f>Inkomsten!D159</f>
        <v>17954291</v>
      </c>
      <c r="X159" s="101">
        <v>1319</v>
      </c>
      <c r="Y159" s="101">
        <v>1821</v>
      </c>
      <c r="Z159" s="101">
        <v>78</v>
      </c>
      <c r="AA159" s="101">
        <v>144</v>
      </c>
      <c r="AB159" s="101">
        <v>706</v>
      </c>
      <c r="AC159" s="101">
        <v>117</v>
      </c>
      <c r="AD159" s="101">
        <v>0</v>
      </c>
      <c r="AE159" s="101">
        <v>8</v>
      </c>
      <c r="AF159" s="101">
        <v>60</v>
      </c>
      <c r="AG159" s="101">
        <f t="shared" si="7"/>
        <v>21958.291000000001</v>
      </c>
      <c r="AH159" s="101">
        <v>11440</v>
      </c>
      <c r="AI159" s="101">
        <f t="shared" si="8"/>
        <v>1919.4310314685315</v>
      </c>
      <c r="AJ159" t="s">
        <v>465</v>
      </c>
      <c r="AN159" t="s">
        <v>409</v>
      </c>
      <c r="AO159" s="259">
        <v>2036.6863302574761</v>
      </c>
      <c r="AP159" t="s">
        <v>465</v>
      </c>
    </row>
    <row r="160" spans="2:42" x14ac:dyDescent="0.25">
      <c r="B160" t="s">
        <v>130</v>
      </c>
      <c r="C160" s="101">
        <v>649171</v>
      </c>
      <c r="D160" s="101">
        <v>23969</v>
      </c>
      <c r="E160" s="101">
        <v>9796</v>
      </c>
      <c r="F160" s="101">
        <v>25973</v>
      </c>
      <c r="G160" s="101">
        <v>122266</v>
      </c>
      <c r="H160" s="101">
        <v>31755</v>
      </c>
      <c r="I160" s="101">
        <v>13340</v>
      </c>
      <c r="J160" s="101">
        <v>23487</v>
      </c>
      <c r="K160" s="101">
        <v>7762</v>
      </c>
      <c r="L160" s="101">
        <v>13603</v>
      </c>
      <c r="M160" s="101">
        <v>29411</v>
      </c>
      <c r="N160" s="101">
        <v>126414</v>
      </c>
      <c r="O160" s="101">
        <v>55869</v>
      </c>
      <c r="P160" s="101">
        <v>130571</v>
      </c>
      <c r="Q160" s="101">
        <v>33125</v>
      </c>
      <c r="R160" s="101">
        <v>4079</v>
      </c>
      <c r="S160" s="101"/>
      <c r="T160" t="s">
        <v>130</v>
      </c>
      <c r="U160" s="101">
        <f t="shared" si="6"/>
        <v>589433</v>
      </c>
      <c r="V160" s="101">
        <f>Inkomsten!M160</f>
        <v>551343000</v>
      </c>
      <c r="W160" s="101">
        <f>Inkomsten!D160</f>
        <v>342436650</v>
      </c>
      <c r="X160" s="101">
        <v>12138</v>
      </c>
      <c r="Y160" s="101">
        <v>18530</v>
      </c>
      <c r="Z160" s="101">
        <v>326</v>
      </c>
      <c r="AA160" s="101">
        <v>2001</v>
      </c>
      <c r="AB160" s="101">
        <v>4137</v>
      </c>
      <c r="AC160" s="101">
        <v>760</v>
      </c>
      <c r="AD160" s="101">
        <v>755</v>
      </c>
      <c r="AE160" s="101">
        <v>3840</v>
      </c>
      <c r="AF160" s="101">
        <v>1111</v>
      </c>
      <c r="AG160" s="101">
        <f t="shared" si="7"/>
        <v>336928.65</v>
      </c>
      <c r="AH160" s="101">
        <v>128857</v>
      </c>
      <c r="AI160" s="101">
        <f t="shared" si="8"/>
        <v>2614.7485196768512</v>
      </c>
      <c r="AJ160" t="s">
        <v>439</v>
      </c>
      <c r="AN160" t="s">
        <v>371</v>
      </c>
      <c r="AO160" s="259">
        <v>2033.352761454513</v>
      </c>
      <c r="AP160" t="s">
        <v>465</v>
      </c>
    </row>
    <row r="161" spans="2:42" x14ac:dyDescent="0.25">
      <c r="B161" t="s">
        <v>301</v>
      </c>
      <c r="C161" s="101">
        <v>626031</v>
      </c>
      <c r="D161" s="101">
        <v>15118</v>
      </c>
      <c r="E161" s="101">
        <v>13880</v>
      </c>
      <c r="F161" s="101">
        <v>30072</v>
      </c>
      <c r="G161" s="101">
        <v>171166</v>
      </c>
      <c r="H161" s="101">
        <v>44056</v>
      </c>
      <c r="I161" s="101">
        <v>14153</v>
      </c>
      <c r="J161" s="101">
        <v>25413</v>
      </c>
      <c r="K161" s="101">
        <v>11040</v>
      </c>
      <c r="L161" s="101">
        <v>19469</v>
      </c>
      <c r="M161" s="101">
        <v>31031</v>
      </c>
      <c r="N161" s="101">
        <v>74730</v>
      </c>
      <c r="O161" s="101">
        <v>34115</v>
      </c>
      <c r="P161" s="101">
        <v>109896</v>
      </c>
      <c r="Q161" s="101">
        <v>26094</v>
      </c>
      <c r="R161" s="101">
        <v>8311</v>
      </c>
      <c r="S161" s="101"/>
      <c r="T161" t="s">
        <v>301</v>
      </c>
      <c r="U161" s="101">
        <f t="shared" si="6"/>
        <v>566961</v>
      </c>
      <c r="V161" s="101">
        <f>Inkomsten!M161</f>
        <v>472468000</v>
      </c>
      <c r="W161" s="101">
        <f>Inkomsten!D161</f>
        <v>305542749</v>
      </c>
      <c r="X161" s="101">
        <v>13418</v>
      </c>
      <c r="Y161" s="101">
        <v>21115</v>
      </c>
      <c r="Z161" s="101">
        <v>0</v>
      </c>
      <c r="AA161" s="101">
        <v>1503</v>
      </c>
      <c r="AB161" s="101">
        <v>4048</v>
      </c>
      <c r="AC161" s="101">
        <v>1798</v>
      </c>
      <c r="AD161" s="101">
        <v>1611</v>
      </c>
      <c r="AE161" s="101">
        <v>18897</v>
      </c>
      <c r="AF161" s="101">
        <v>2651</v>
      </c>
      <c r="AG161" s="101">
        <f t="shared" si="7"/>
        <v>334994.74900000001</v>
      </c>
      <c r="AH161" s="101">
        <v>130181</v>
      </c>
      <c r="AI161" s="101">
        <f t="shared" si="8"/>
        <v>2573.2998594264909</v>
      </c>
      <c r="AJ161" t="s">
        <v>439</v>
      </c>
      <c r="AN161" t="s">
        <v>365</v>
      </c>
      <c r="AO161" s="259">
        <v>2031.0533177459711</v>
      </c>
      <c r="AP161" t="s">
        <v>465</v>
      </c>
    </row>
    <row r="162" spans="2:42" x14ac:dyDescent="0.25">
      <c r="B162" t="s">
        <v>302</v>
      </c>
      <c r="C162" s="101">
        <v>80008</v>
      </c>
      <c r="D162" s="101">
        <v>232</v>
      </c>
      <c r="E162" s="101">
        <v>631</v>
      </c>
      <c r="F162" s="101">
        <v>4352</v>
      </c>
      <c r="G162" s="101">
        <v>13660</v>
      </c>
      <c r="H162" s="101">
        <v>9864</v>
      </c>
      <c r="I162" s="101">
        <v>2380</v>
      </c>
      <c r="J162" s="101">
        <v>3185</v>
      </c>
      <c r="K162" s="101">
        <v>446</v>
      </c>
      <c r="L162" s="101">
        <v>2202</v>
      </c>
      <c r="M162" s="101">
        <v>5484</v>
      </c>
      <c r="N162" s="101">
        <v>10801</v>
      </c>
      <c r="O162" s="101">
        <v>7339</v>
      </c>
      <c r="P162" s="101">
        <v>12557</v>
      </c>
      <c r="Q162" s="101">
        <v>6647</v>
      </c>
      <c r="R162" s="101">
        <v>408</v>
      </c>
      <c r="S162" s="101"/>
      <c r="T162" t="s">
        <v>302</v>
      </c>
      <c r="U162" s="101">
        <f t="shared" si="6"/>
        <v>74793</v>
      </c>
      <c r="V162" s="101">
        <f>Inkomsten!M162</f>
        <v>59263000</v>
      </c>
      <c r="W162" s="101">
        <f>Inkomsten!D162</f>
        <v>50788273</v>
      </c>
      <c r="X162" s="101">
        <v>2141</v>
      </c>
      <c r="Y162" s="101">
        <v>5111</v>
      </c>
      <c r="Z162" s="101">
        <v>296</v>
      </c>
      <c r="AA162" s="101">
        <v>325</v>
      </c>
      <c r="AB162" s="101">
        <v>322</v>
      </c>
      <c r="AC162" s="101">
        <v>32</v>
      </c>
      <c r="AD162" s="101">
        <v>76</v>
      </c>
      <c r="AE162" s="101">
        <v>24</v>
      </c>
      <c r="AF162" s="101">
        <v>104</v>
      </c>
      <c r="AG162" s="101">
        <f t="shared" si="7"/>
        <v>57887.273000000001</v>
      </c>
      <c r="AH162" s="101">
        <v>27708</v>
      </c>
      <c r="AI162" s="101">
        <f t="shared" si="8"/>
        <v>2089.1898729608779</v>
      </c>
      <c r="AJ162" t="s">
        <v>465</v>
      </c>
      <c r="AN162" t="s">
        <v>220</v>
      </c>
      <c r="AO162" s="259">
        <v>2027.7706456907738</v>
      </c>
      <c r="AP162" t="s">
        <v>465</v>
      </c>
    </row>
    <row r="163" spans="2:42" x14ac:dyDescent="0.25">
      <c r="B163" t="s">
        <v>303</v>
      </c>
      <c r="C163" s="101">
        <v>294970</v>
      </c>
      <c r="D163" s="101">
        <v>36482</v>
      </c>
      <c r="E163" s="101">
        <v>1714</v>
      </c>
      <c r="F163" s="101">
        <v>12965</v>
      </c>
      <c r="G163" s="101">
        <v>63337</v>
      </c>
      <c r="H163" s="101">
        <v>21063</v>
      </c>
      <c r="I163" s="101">
        <v>7393</v>
      </c>
      <c r="J163" s="101">
        <v>7599</v>
      </c>
      <c r="K163" s="101">
        <v>1493</v>
      </c>
      <c r="L163" s="101">
        <v>4940</v>
      </c>
      <c r="M163" s="101">
        <v>14522</v>
      </c>
      <c r="N163" s="101">
        <v>42980</v>
      </c>
      <c r="O163" s="101">
        <v>25819</v>
      </c>
      <c r="P163" s="101">
        <v>30109</v>
      </c>
      <c r="Q163" s="101">
        <v>19962</v>
      </c>
      <c r="R163" s="101">
        <v>5296</v>
      </c>
      <c r="S163" s="101"/>
      <c r="T163" t="s">
        <v>303</v>
      </c>
      <c r="U163" s="101">
        <f t="shared" si="6"/>
        <v>243809</v>
      </c>
      <c r="V163" s="101">
        <f>Inkomsten!M163</f>
        <v>205996000</v>
      </c>
      <c r="W163" s="101">
        <f>Inkomsten!D163</f>
        <v>161528521</v>
      </c>
      <c r="X163" s="101">
        <v>8264</v>
      </c>
      <c r="Y163" s="101">
        <v>14262</v>
      </c>
      <c r="Z163" s="101">
        <v>952</v>
      </c>
      <c r="AA163" s="101">
        <v>1560</v>
      </c>
      <c r="AB163" s="101">
        <v>3324</v>
      </c>
      <c r="AC163" s="101">
        <v>134</v>
      </c>
      <c r="AD163" s="101">
        <v>561</v>
      </c>
      <c r="AE163" s="101">
        <v>353</v>
      </c>
      <c r="AF163" s="101">
        <v>167</v>
      </c>
      <c r="AG163" s="101">
        <f t="shared" si="7"/>
        <v>169764.52100000001</v>
      </c>
      <c r="AH163" s="101">
        <v>78246</v>
      </c>
      <c r="AI163" s="101">
        <f t="shared" si="8"/>
        <v>2169.6255527439102</v>
      </c>
      <c r="AJ163" t="s">
        <v>116</v>
      </c>
      <c r="AN163" t="s">
        <v>295</v>
      </c>
      <c r="AO163" s="259">
        <v>2011.789866146019</v>
      </c>
      <c r="AP163" t="s">
        <v>465</v>
      </c>
    </row>
    <row r="164" spans="2:42" x14ac:dyDescent="0.25">
      <c r="B164" t="s">
        <v>429</v>
      </c>
      <c r="C164" s="101">
        <v>387612</v>
      </c>
      <c r="D164" s="101">
        <v>30037</v>
      </c>
      <c r="E164" s="101">
        <v>1725</v>
      </c>
      <c r="F164" s="101">
        <v>10984</v>
      </c>
      <c r="G164" s="101">
        <v>63215</v>
      </c>
      <c r="H164" s="101">
        <v>27531</v>
      </c>
      <c r="I164" s="101">
        <v>7376</v>
      </c>
      <c r="J164" s="101">
        <v>20489</v>
      </c>
      <c r="K164" s="101">
        <v>36615</v>
      </c>
      <c r="L164" s="101">
        <v>12865</v>
      </c>
      <c r="M164" s="101">
        <v>20472</v>
      </c>
      <c r="N164" s="101">
        <v>54610</v>
      </c>
      <c r="O164" s="101">
        <v>33889</v>
      </c>
      <c r="P164" s="101">
        <v>41077</v>
      </c>
      <c r="Q164" s="101">
        <v>23304</v>
      </c>
      <c r="R164" s="101">
        <v>5847</v>
      </c>
      <c r="S164" s="101"/>
      <c r="T164" t="s">
        <v>429</v>
      </c>
      <c r="U164" s="101">
        <f t="shared" si="6"/>
        <v>344866</v>
      </c>
      <c r="V164" s="101">
        <f>Inkomsten!M164</f>
        <v>273382000</v>
      </c>
      <c r="W164" s="101">
        <f>Inkomsten!D164</f>
        <v>210719867</v>
      </c>
      <c r="X164" s="101">
        <v>7759</v>
      </c>
      <c r="Y164" s="101">
        <v>12903</v>
      </c>
      <c r="Z164" s="101">
        <v>349</v>
      </c>
      <c r="AA164" s="101">
        <v>963</v>
      </c>
      <c r="AB164" s="101">
        <v>1690</v>
      </c>
      <c r="AC164" s="101">
        <v>562</v>
      </c>
      <c r="AD164" s="101">
        <v>300</v>
      </c>
      <c r="AE164" s="101">
        <v>2250</v>
      </c>
      <c r="AF164" s="101">
        <v>740</v>
      </c>
      <c r="AG164" s="101">
        <f t="shared" si="7"/>
        <v>254687.86699999997</v>
      </c>
      <c r="AH164" s="101">
        <v>84091</v>
      </c>
      <c r="AI164" s="101">
        <f t="shared" si="8"/>
        <v>3028.7173062515603</v>
      </c>
      <c r="AJ164" t="s">
        <v>439</v>
      </c>
      <c r="AN164" t="s">
        <v>196</v>
      </c>
      <c r="AO164" s="259">
        <v>2005.599186055126</v>
      </c>
      <c r="AP164" t="s">
        <v>465</v>
      </c>
    </row>
    <row r="165" spans="2:42" x14ac:dyDescent="0.25">
      <c r="B165" t="s">
        <v>409</v>
      </c>
      <c r="C165" s="101">
        <v>100704</v>
      </c>
      <c r="D165" s="101">
        <v>129</v>
      </c>
      <c r="E165" s="101">
        <v>1587</v>
      </c>
      <c r="F165" s="101">
        <v>5305</v>
      </c>
      <c r="G165" s="101">
        <v>20506</v>
      </c>
      <c r="H165" s="101">
        <v>14761</v>
      </c>
      <c r="I165" s="101">
        <v>3801</v>
      </c>
      <c r="J165" s="101">
        <v>2649</v>
      </c>
      <c r="K165" s="101">
        <v>1248</v>
      </c>
      <c r="L165" s="101">
        <v>1822</v>
      </c>
      <c r="M165" s="101">
        <v>6793</v>
      </c>
      <c r="N165" s="101">
        <v>10567</v>
      </c>
      <c r="O165" s="101">
        <v>9540</v>
      </c>
      <c r="P165" s="101">
        <v>12914</v>
      </c>
      <c r="Q165" s="101">
        <v>7801</v>
      </c>
      <c r="R165" s="101">
        <v>1876</v>
      </c>
      <c r="S165" s="101"/>
      <c r="T165" t="s">
        <v>409</v>
      </c>
      <c r="U165" s="101">
        <f t="shared" si="6"/>
        <v>93683</v>
      </c>
      <c r="V165" s="101">
        <f>Inkomsten!M165</f>
        <v>80078000</v>
      </c>
      <c r="W165" s="101">
        <f>Inkomsten!D165</f>
        <v>67944989</v>
      </c>
      <c r="X165" s="101">
        <v>4798</v>
      </c>
      <c r="Y165" s="101">
        <v>4251</v>
      </c>
      <c r="Z165" s="101">
        <v>7</v>
      </c>
      <c r="AA165" s="101">
        <v>667</v>
      </c>
      <c r="AB165" s="101">
        <v>801</v>
      </c>
      <c r="AC165" s="101">
        <v>165</v>
      </c>
      <c r="AD165" s="101">
        <v>858</v>
      </c>
      <c r="AE165" s="101">
        <v>0</v>
      </c>
      <c r="AF165" s="101">
        <v>134</v>
      </c>
      <c r="AG165" s="101">
        <f t="shared" si="7"/>
        <v>69868.989000000001</v>
      </c>
      <c r="AH165" s="101">
        <v>36018</v>
      </c>
      <c r="AI165" s="101">
        <f t="shared" si="8"/>
        <v>1939.8353323338331</v>
      </c>
      <c r="AJ165" t="s">
        <v>465</v>
      </c>
      <c r="AN165" t="s">
        <v>724</v>
      </c>
      <c r="AO165" s="259">
        <v>2004.4652124338288</v>
      </c>
      <c r="AP165" t="s">
        <v>465</v>
      </c>
    </row>
    <row r="166" spans="2:42" x14ac:dyDescent="0.25">
      <c r="B166" t="s">
        <v>221</v>
      </c>
      <c r="C166" s="101">
        <v>86325</v>
      </c>
      <c r="D166" s="101">
        <v>1251</v>
      </c>
      <c r="E166" s="101">
        <v>211</v>
      </c>
      <c r="F166" s="101">
        <v>3351</v>
      </c>
      <c r="G166" s="101">
        <v>18640</v>
      </c>
      <c r="H166" s="101">
        <v>7250</v>
      </c>
      <c r="I166" s="101">
        <v>2237</v>
      </c>
      <c r="J166" s="101">
        <v>3009</v>
      </c>
      <c r="K166" s="101">
        <v>237</v>
      </c>
      <c r="L166" s="101">
        <v>1491</v>
      </c>
      <c r="M166" s="101">
        <v>5901</v>
      </c>
      <c r="N166" s="101">
        <v>9231</v>
      </c>
      <c r="O166" s="101">
        <v>9931</v>
      </c>
      <c r="P166" s="101">
        <v>15491</v>
      </c>
      <c r="Q166" s="101">
        <v>7401</v>
      </c>
      <c r="R166" s="101">
        <v>849</v>
      </c>
      <c r="S166" s="101"/>
      <c r="T166" t="s">
        <v>221</v>
      </c>
      <c r="U166" s="101">
        <f t="shared" si="6"/>
        <v>81512</v>
      </c>
      <c r="V166" s="101">
        <f>Inkomsten!M166</f>
        <v>65301000</v>
      </c>
      <c r="W166" s="101">
        <f>Inkomsten!D166</f>
        <v>50788731</v>
      </c>
      <c r="X166" s="101">
        <v>2313</v>
      </c>
      <c r="Y166" s="101">
        <v>3635</v>
      </c>
      <c r="Z166" s="101">
        <v>40</v>
      </c>
      <c r="AA166" s="101">
        <v>581</v>
      </c>
      <c r="AB166" s="101">
        <v>484</v>
      </c>
      <c r="AC166" s="101">
        <v>87</v>
      </c>
      <c r="AD166" s="101">
        <v>156</v>
      </c>
      <c r="AE166" s="101">
        <v>1</v>
      </c>
      <c r="AF166" s="101">
        <v>3</v>
      </c>
      <c r="AG166" s="101">
        <f t="shared" si="7"/>
        <v>59699.731</v>
      </c>
      <c r="AH166" s="101">
        <v>31669</v>
      </c>
      <c r="AI166" s="101">
        <f t="shared" si="8"/>
        <v>1885.1157598913765</v>
      </c>
      <c r="AJ166" t="s">
        <v>465</v>
      </c>
      <c r="AN166" t="s">
        <v>216</v>
      </c>
      <c r="AO166" s="259">
        <v>2003.2097621054181</v>
      </c>
      <c r="AP166" t="s">
        <v>465</v>
      </c>
    </row>
    <row r="167" spans="2:42" x14ac:dyDescent="0.25">
      <c r="B167" t="s">
        <v>185</v>
      </c>
      <c r="C167" s="101">
        <v>135705</v>
      </c>
      <c r="D167" s="101">
        <v>2221</v>
      </c>
      <c r="E167" s="101">
        <v>1855</v>
      </c>
      <c r="F167" s="101">
        <v>5717</v>
      </c>
      <c r="G167" s="101">
        <v>29344</v>
      </c>
      <c r="H167" s="101">
        <v>13560</v>
      </c>
      <c r="I167" s="101">
        <v>3175</v>
      </c>
      <c r="J167" s="101">
        <v>9381</v>
      </c>
      <c r="K167" s="101">
        <v>2190</v>
      </c>
      <c r="L167" s="101">
        <v>2972</v>
      </c>
      <c r="M167" s="101">
        <v>8046</v>
      </c>
      <c r="N167" s="101">
        <v>15448</v>
      </c>
      <c r="O167" s="101">
        <v>14578</v>
      </c>
      <c r="P167" s="101">
        <v>16061</v>
      </c>
      <c r="Q167" s="101">
        <v>9898</v>
      </c>
      <c r="R167" s="101">
        <v>2246</v>
      </c>
      <c r="S167" s="101"/>
      <c r="T167" t="s">
        <v>185</v>
      </c>
      <c r="U167" s="101">
        <f t="shared" si="6"/>
        <v>125912</v>
      </c>
      <c r="V167" s="101">
        <f>Inkomsten!M167</f>
        <v>104036000</v>
      </c>
      <c r="W167" s="101">
        <f>Inkomsten!D167</f>
        <v>82153479</v>
      </c>
      <c r="X167" s="101">
        <v>4646</v>
      </c>
      <c r="Y167" s="101">
        <v>5208</v>
      </c>
      <c r="Z167" s="101">
        <v>65</v>
      </c>
      <c r="AA167" s="101">
        <v>863</v>
      </c>
      <c r="AB167" s="101">
        <v>1415</v>
      </c>
      <c r="AC167" s="101">
        <v>293</v>
      </c>
      <c r="AD167" s="101">
        <v>103</v>
      </c>
      <c r="AE167" s="101">
        <v>0</v>
      </c>
      <c r="AF167" s="101">
        <v>192</v>
      </c>
      <c r="AG167" s="101">
        <f t="shared" si="7"/>
        <v>91244.479000000007</v>
      </c>
      <c r="AH167" s="101">
        <v>47342</v>
      </c>
      <c r="AI167" s="101">
        <f t="shared" si="8"/>
        <v>1927.347365975244</v>
      </c>
      <c r="AJ167" t="s">
        <v>465</v>
      </c>
      <c r="AN167" t="s">
        <v>247</v>
      </c>
      <c r="AO167" s="259">
        <v>2001.8148054614085</v>
      </c>
      <c r="AP167" t="s">
        <v>465</v>
      </c>
    </row>
    <row r="168" spans="2:42" x14ac:dyDescent="0.25">
      <c r="B168" t="s">
        <v>304</v>
      </c>
      <c r="C168" s="101">
        <v>67953</v>
      </c>
      <c r="D168" s="101">
        <v>0</v>
      </c>
      <c r="E168" s="101">
        <v>1580</v>
      </c>
      <c r="F168" s="101">
        <v>4582</v>
      </c>
      <c r="G168" s="101">
        <v>1323</v>
      </c>
      <c r="H168" s="101">
        <v>10495</v>
      </c>
      <c r="I168" s="101">
        <v>2842</v>
      </c>
      <c r="J168" s="101">
        <v>2789</v>
      </c>
      <c r="K168" s="101">
        <v>1071</v>
      </c>
      <c r="L168" s="101">
        <v>1147</v>
      </c>
      <c r="M168" s="101">
        <v>7851</v>
      </c>
      <c r="N168" s="101">
        <v>8033</v>
      </c>
      <c r="O168" s="101">
        <v>6358</v>
      </c>
      <c r="P168" s="101">
        <v>11135</v>
      </c>
      <c r="Q168" s="101">
        <v>6940</v>
      </c>
      <c r="R168" s="101">
        <v>1807</v>
      </c>
      <c r="S168" s="101"/>
      <c r="T168" t="s">
        <v>304</v>
      </c>
      <c r="U168" s="101">
        <f t="shared" si="6"/>
        <v>61791</v>
      </c>
      <c r="V168" s="101">
        <f>Inkomsten!M168</f>
        <v>51032000</v>
      </c>
      <c r="W168" s="101">
        <f>Inkomsten!D168</f>
        <v>42603451</v>
      </c>
      <c r="X168" s="101">
        <v>2010</v>
      </c>
      <c r="Y168" s="101">
        <v>4888</v>
      </c>
      <c r="Z168" s="101">
        <v>0</v>
      </c>
      <c r="AA168" s="101">
        <v>277</v>
      </c>
      <c r="AB168" s="101">
        <v>443</v>
      </c>
      <c r="AC168" s="101">
        <v>40</v>
      </c>
      <c r="AD168" s="101">
        <v>125</v>
      </c>
      <c r="AE168" s="101">
        <v>7</v>
      </c>
      <c r="AF168" s="101">
        <v>140</v>
      </c>
      <c r="AG168" s="101">
        <f t="shared" si="7"/>
        <v>45432.451000000001</v>
      </c>
      <c r="AH168" s="101">
        <v>23442</v>
      </c>
      <c r="AI168" s="101">
        <f t="shared" si="8"/>
        <v>1938.0791314734238</v>
      </c>
      <c r="AJ168" t="s">
        <v>465</v>
      </c>
      <c r="AN168" t="s">
        <v>425</v>
      </c>
      <c r="AO168" s="259">
        <v>2000.1984904764636</v>
      </c>
      <c r="AP168" t="s">
        <v>465</v>
      </c>
    </row>
    <row r="169" spans="2:42" x14ac:dyDescent="0.25">
      <c r="B169" t="s">
        <v>186</v>
      </c>
      <c r="C169" s="101">
        <v>99613</v>
      </c>
      <c r="D169" s="101">
        <v>1559</v>
      </c>
      <c r="E169" s="101">
        <v>444</v>
      </c>
      <c r="F169" s="101">
        <v>3837</v>
      </c>
      <c r="G169" s="101">
        <v>24032</v>
      </c>
      <c r="H169" s="101">
        <v>11742</v>
      </c>
      <c r="I169" s="101">
        <v>2607</v>
      </c>
      <c r="J169" s="101">
        <v>4588</v>
      </c>
      <c r="K169" s="101">
        <v>1653</v>
      </c>
      <c r="L169" s="101">
        <v>1742</v>
      </c>
      <c r="M169" s="101">
        <v>6652</v>
      </c>
      <c r="N169" s="101">
        <v>8751</v>
      </c>
      <c r="O169" s="101">
        <v>7489</v>
      </c>
      <c r="P169" s="101">
        <v>13218</v>
      </c>
      <c r="Q169" s="101">
        <v>11160</v>
      </c>
      <c r="R169" s="101">
        <v>449</v>
      </c>
      <c r="S169" s="101"/>
      <c r="T169" t="s">
        <v>186</v>
      </c>
      <c r="U169" s="101">
        <f t="shared" si="6"/>
        <v>93773</v>
      </c>
      <c r="V169" s="101">
        <f>Inkomsten!M169</f>
        <v>82238000</v>
      </c>
      <c r="W169" s="101">
        <f>Inkomsten!D169</f>
        <v>65181299</v>
      </c>
      <c r="X169" s="101">
        <v>5986</v>
      </c>
      <c r="Y169" s="101">
        <v>3752</v>
      </c>
      <c r="Z169" s="101">
        <v>386</v>
      </c>
      <c r="AA169" s="101">
        <v>553</v>
      </c>
      <c r="AB169" s="101">
        <v>783</v>
      </c>
      <c r="AC169" s="101">
        <v>286</v>
      </c>
      <c r="AD169" s="101">
        <v>760</v>
      </c>
      <c r="AE169" s="101">
        <v>17</v>
      </c>
      <c r="AF169" s="101">
        <v>150</v>
      </c>
      <c r="AG169" s="101">
        <f t="shared" si="7"/>
        <v>64043.298999999999</v>
      </c>
      <c r="AH169" s="101">
        <v>34292</v>
      </c>
      <c r="AI169" s="101">
        <f t="shared" si="8"/>
        <v>1867.5871631867492</v>
      </c>
      <c r="AJ169" t="s">
        <v>465</v>
      </c>
      <c r="AN169" t="s">
        <v>187</v>
      </c>
      <c r="AO169" s="259">
        <v>1999.752493896046</v>
      </c>
      <c r="AP169" t="s">
        <v>465</v>
      </c>
    </row>
    <row r="170" spans="2:42" x14ac:dyDescent="0.25">
      <c r="B170" t="s">
        <v>375</v>
      </c>
      <c r="C170" s="101">
        <v>70076</v>
      </c>
      <c r="D170" s="101">
        <v>628</v>
      </c>
      <c r="E170" s="101">
        <v>839</v>
      </c>
      <c r="F170" s="101">
        <v>3122</v>
      </c>
      <c r="G170" s="101">
        <v>16435</v>
      </c>
      <c r="H170" s="101">
        <v>6705</v>
      </c>
      <c r="I170" s="101">
        <v>1706</v>
      </c>
      <c r="J170" s="101">
        <v>2200</v>
      </c>
      <c r="K170" s="101">
        <v>1410</v>
      </c>
      <c r="L170" s="101">
        <v>1871</v>
      </c>
      <c r="M170" s="101">
        <v>5162</v>
      </c>
      <c r="N170" s="101">
        <v>10256</v>
      </c>
      <c r="O170" s="101">
        <v>5455</v>
      </c>
      <c r="P170" s="101">
        <v>9320</v>
      </c>
      <c r="Q170" s="101">
        <v>4987</v>
      </c>
      <c r="R170" s="101">
        <v>558</v>
      </c>
      <c r="S170" s="101"/>
      <c r="T170" t="s">
        <v>375</v>
      </c>
      <c r="U170" s="101">
        <f t="shared" si="6"/>
        <v>65487</v>
      </c>
      <c r="V170" s="101">
        <f>Inkomsten!M170</f>
        <v>53028000</v>
      </c>
      <c r="W170" s="101">
        <f>Inkomsten!D170</f>
        <v>44372603</v>
      </c>
      <c r="X170" s="101">
        <v>2272</v>
      </c>
      <c r="Y170" s="101">
        <v>3156</v>
      </c>
      <c r="Z170" s="101">
        <v>0</v>
      </c>
      <c r="AA170" s="101">
        <v>432</v>
      </c>
      <c r="AB170" s="101">
        <v>226</v>
      </c>
      <c r="AC170" s="101">
        <v>15</v>
      </c>
      <c r="AD170" s="101">
        <v>3208</v>
      </c>
      <c r="AE170" s="101">
        <v>0</v>
      </c>
      <c r="AF170" s="101">
        <v>0</v>
      </c>
      <c r="AG170" s="101">
        <f t="shared" si="7"/>
        <v>47522.603000000003</v>
      </c>
      <c r="AH170" s="101">
        <v>23854</v>
      </c>
      <c r="AI170" s="101">
        <f t="shared" si="8"/>
        <v>1992.2278443866858</v>
      </c>
      <c r="AJ170" t="s">
        <v>465</v>
      </c>
      <c r="AN170" t="s">
        <v>113</v>
      </c>
      <c r="AO170" s="259">
        <v>1997.7558957651386</v>
      </c>
      <c r="AP170" t="s">
        <v>465</v>
      </c>
    </row>
    <row r="171" spans="2:42" x14ac:dyDescent="0.25">
      <c r="B171" t="s">
        <v>222</v>
      </c>
      <c r="C171" s="101">
        <v>40586</v>
      </c>
      <c r="D171" s="101">
        <v>0</v>
      </c>
      <c r="E171" s="101">
        <v>78</v>
      </c>
      <c r="F171" s="101">
        <v>1348</v>
      </c>
      <c r="G171" s="101">
        <v>13272</v>
      </c>
      <c r="H171" s="101">
        <v>6610</v>
      </c>
      <c r="I171" s="101">
        <v>1141</v>
      </c>
      <c r="J171" s="101">
        <v>1611</v>
      </c>
      <c r="K171" s="101">
        <v>188</v>
      </c>
      <c r="L171" s="101">
        <v>946</v>
      </c>
      <c r="M171" s="101">
        <v>1359</v>
      </c>
      <c r="N171" s="101">
        <v>4397</v>
      </c>
      <c r="O171" s="101">
        <v>2700</v>
      </c>
      <c r="P171" s="101">
        <v>3240</v>
      </c>
      <c r="Q171" s="101">
        <v>3455</v>
      </c>
      <c r="R171" s="101">
        <v>317</v>
      </c>
      <c r="S171" s="101"/>
      <c r="T171" t="s">
        <v>222</v>
      </c>
      <c r="U171" s="101">
        <f t="shared" si="6"/>
        <v>39160</v>
      </c>
      <c r="V171" s="101">
        <f>Inkomsten!M171</f>
        <v>31123000</v>
      </c>
      <c r="W171" s="101">
        <f>Inkomsten!D171</f>
        <v>26572703</v>
      </c>
      <c r="X171" s="101">
        <v>1976</v>
      </c>
      <c r="Y171" s="101">
        <v>1667</v>
      </c>
      <c r="Z171" s="101">
        <v>94</v>
      </c>
      <c r="AA171" s="101">
        <v>249</v>
      </c>
      <c r="AB171" s="101">
        <v>307</v>
      </c>
      <c r="AC171" s="101">
        <v>9</v>
      </c>
      <c r="AD171" s="101">
        <v>54</v>
      </c>
      <c r="AE171" s="101">
        <v>0</v>
      </c>
      <c r="AF171" s="101">
        <v>37</v>
      </c>
      <c r="AG171" s="101">
        <f t="shared" si="7"/>
        <v>30216.703000000001</v>
      </c>
      <c r="AH171" s="101">
        <v>14723</v>
      </c>
      <c r="AI171" s="101">
        <f t="shared" si="8"/>
        <v>2052.3468722407119</v>
      </c>
      <c r="AJ171" t="s">
        <v>465</v>
      </c>
      <c r="AN171" t="s">
        <v>397</v>
      </c>
      <c r="AO171" s="259">
        <v>1995.4257246964662</v>
      </c>
      <c r="AP171" t="s">
        <v>465</v>
      </c>
    </row>
    <row r="172" spans="2:42" x14ac:dyDescent="0.25">
      <c r="B172" t="s">
        <v>150</v>
      </c>
      <c r="C172" s="101">
        <v>73558</v>
      </c>
      <c r="D172" s="101">
        <v>720</v>
      </c>
      <c r="E172" s="101">
        <v>428</v>
      </c>
      <c r="F172" s="101">
        <v>4135</v>
      </c>
      <c r="G172" s="101">
        <v>18378</v>
      </c>
      <c r="H172" s="101">
        <v>12711</v>
      </c>
      <c r="I172" s="101">
        <v>2222</v>
      </c>
      <c r="J172" s="101">
        <v>2148</v>
      </c>
      <c r="K172" s="101">
        <v>691</v>
      </c>
      <c r="L172" s="101">
        <v>1395</v>
      </c>
      <c r="M172" s="101">
        <v>2240</v>
      </c>
      <c r="N172" s="101">
        <v>7344</v>
      </c>
      <c r="O172" s="101">
        <v>7093</v>
      </c>
      <c r="P172" s="101">
        <v>8697</v>
      </c>
      <c r="Q172" s="101">
        <v>5002</v>
      </c>
      <c r="R172" s="101">
        <v>534</v>
      </c>
      <c r="S172" s="101"/>
      <c r="T172" t="s">
        <v>150</v>
      </c>
      <c r="U172" s="101">
        <f t="shared" si="6"/>
        <v>68275</v>
      </c>
      <c r="V172" s="101">
        <f>Inkomsten!M172</f>
        <v>56097000</v>
      </c>
      <c r="W172" s="101">
        <f>Inkomsten!D172</f>
        <v>46606913</v>
      </c>
      <c r="X172" s="101">
        <v>3802</v>
      </c>
      <c r="Y172" s="101">
        <v>2282</v>
      </c>
      <c r="Z172" s="101">
        <v>1</v>
      </c>
      <c r="AA172" s="101">
        <v>339</v>
      </c>
      <c r="AB172" s="101">
        <v>482</v>
      </c>
      <c r="AC172" s="101">
        <v>45</v>
      </c>
      <c r="AD172" s="101">
        <v>299</v>
      </c>
      <c r="AE172" s="101">
        <v>0</v>
      </c>
      <c r="AF172" s="101">
        <v>20</v>
      </c>
      <c r="AG172" s="101">
        <f t="shared" si="7"/>
        <v>51514.913</v>
      </c>
      <c r="AH172" s="101">
        <v>23380</v>
      </c>
      <c r="AI172" s="101">
        <f t="shared" si="8"/>
        <v>2203.3752352437982</v>
      </c>
      <c r="AJ172" t="s">
        <v>116</v>
      </c>
      <c r="AN172" t="s">
        <v>339</v>
      </c>
      <c r="AO172" s="259">
        <v>1994.447822834921</v>
      </c>
      <c r="AP172" t="s">
        <v>465</v>
      </c>
    </row>
    <row r="173" spans="2:42" x14ac:dyDescent="0.25">
      <c r="B173" t="s">
        <v>187</v>
      </c>
      <c r="C173" s="101">
        <v>69742</v>
      </c>
      <c r="D173" s="101">
        <v>-195</v>
      </c>
      <c r="E173" s="101">
        <v>1358</v>
      </c>
      <c r="F173" s="101">
        <v>3188</v>
      </c>
      <c r="G173" s="101">
        <v>13560</v>
      </c>
      <c r="H173" s="101">
        <v>9530</v>
      </c>
      <c r="I173" s="101">
        <v>2347</v>
      </c>
      <c r="J173" s="101">
        <v>2608</v>
      </c>
      <c r="K173" s="101">
        <v>297</v>
      </c>
      <c r="L173" s="101">
        <v>1150</v>
      </c>
      <c r="M173" s="101">
        <v>3626</v>
      </c>
      <c r="N173" s="101">
        <v>8929</v>
      </c>
      <c r="O173" s="101">
        <v>5297</v>
      </c>
      <c r="P173" s="101">
        <v>7287</v>
      </c>
      <c r="Q173" s="101">
        <v>8409</v>
      </c>
      <c r="R173" s="101">
        <v>2477</v>
      </c>
      <c r="S173" s="101"/>
      <c r="T173" t="s">
        <v>187</v>
      </c>
      <c r="U173" s="101">
        <f t="shared" si="6"/>
        <v>65391</v>
      </c>
      <c r="V173" s="101">
        <f>Inkomsten!M173</f>
        <v>54402000</v>
      </c>
      <c r="W173" s="101">
        <f>Inkomsten!D173</f>
        <v>46722310</v>
      </c>
      <c r="X173" s="101">
        <v>3493</v>
      </c>
      <c r="Y173" s="101">
        <v>0</v>
      </c>
      <c r="Z173" s="101">
        <v>65</v>
      </c>
      <c r="AA173" s="101">
        <v>386</v>
      </c>
      <c r="AB173" s="101">
        <v>1420</v>
      </c>
      <c r="AC173" s="101">
        <v>167</v>
      </c>
      <c r="AD173" s="101">
        <v>241</v>
      </c>
      <c r="AE173" s="101">
        <v>0</v>
      </c>
      <c r="AF173" s="101">
        <v>258</v>
      </c>
      <c r="AG173" s="101">
        <f t="shared" si="7"/>
        <v>51681.31</v>
      </c>
      <c r="AH173" s="101">
        <v>26190</v>
      </c>
      <c r="AI173" s="101">
        <f t="shared" si="8"/>
        <v>1973.3222604047346</v>
      </c>
      <c r="AJ173" t="s">
        <v>465</v>
      </c>
      <c r="AN173" t="s">
        <v>379</v>
      </c>
      <c r="AO173" s="259">
        <v>1991.4387191134308</v>
      </c>
      <c r="AP173" t="s">
        <v>465</v>
      </c>
    </row>
    <row r="174" spans="2:42" x14ac:dyDescent="0.25">
      <c r="B174" t="s">
        <v>410</v>
      </c>
      <c r="C174" s="101">
        <v>72983</v>
      </c>
      <c r="D174" s="101">
        <v>-37</v>
      </c>
      <c r="E174" s="101">
        <v>860</v>
      </c>
      <c r="F174" s="101">
        <v>4408</v>
      </c>
      <c r="G174" s="101">
        <v>12571</v>
      </c>
      <c r="H174" s="101">
        <v>10132</v>
      </c>
      <c r="I174" s="101">
        <v>2357</v>
      </c>
      <c r="J174" s="101">
        <v>2713</v>
      </c>
      <c r="K174" s="101">
        <v>1430</v>
      </c>
      <c r="L174" s="101">
        <v>1081</v>
      </c>
      <c r="M174" s="101">
        <v>4943</v>
      </c>
      <c r="N174" s="101">
        <v>10244</v>
      </c>
      <c r="O174" s="101">
        <v>4695</v>
      </c>
      <c r="P174" s="101">
        <v>9451</v>
      </c>
      <c r="Q174" s="101">
        <v>4977</v>
      </c>
      <c r="R174" s="101">
        <v>3789</v>
      </c>
      <c r="S174" s="101"/>
      <c r="T174" t="s">
        <v>410</v>
      </c>
      <c r="U174" s="101">
        <f t="shared" si="6"/>
        <v>67752</v>
      </c>
      <c r="V174" s="101">
        <f>Inkomsten!M174</f>
        <v>55173000</v>
      </c>
      <c r="W174" s="101">
        <f>Inkomsten!D174</f>
        <v>46848509</v>
      </c>
      <c r="X174" s="101">
        <v>3406</v>
      </c>
      <c r="Y174" s="101">
        <v>2998</v>
      </c>
      <c r="Z174" s="101">
        <v>86</v>
      </c>
      <c r="AA174" s="101">
        <v>340</v>
      </c>
      <c r="AB174" s="101">
        <v>315</v>
      </c>
      <c r="AC174" s="101">
        <v>72</v>
      </c>
      <c r="AD174" s="101">
        <v>1101</v>
      </c>
      <c r="AE174" s="101">
        <v>90</v>
      </c>
      <c r="AF174" s="101">
        <v>143</v>
      </c>
      <c r="AG174" s="101">
        <f t="shared" si="7"/>
        <v>50876.508999999998</v>
      </c>
      <c r="AH174" s="101">
        <v>24404</v>
      </c>
      <c r="AI174" s="101">
        <f t="shared" si="8"/>
        <v>2084.7610637600392</v>
      </c>
      <c r="AJ174" t="s">
        <v>116</v>
      </c>
      <c r="AN174" t="s">
        <v>278</v>
      </c>
      <c r="AO174" s="259">
        <v>1990.9341785571351</v>
      </c>
      <c r="AP174" t="s">
        <v>465</v>
      </c>
    </row>
    <row r="175" spans="2:42" x14ac:dyDescent="0.25">
      <c r="B175" t="s">
        <v>774</v>
      </c>
      <c r="C175" s="101">
        <v>191031</v>
      </c>
      <c r="D175" s="101">
        <v>-3692</v>
      </c>
      <c r="E175" s="101">
        <v>2673</v>
      </c>
      <c r="F175" s="101">
        <v>9391</v>
      </c>
      <c r="G175" s="101">
        <v>42407</v>
      </c>
      <c r="H175" s="101">
        <v>12274</v>
      </c>
      <c r="I175" s="101">
        <v>5227</v>
      </c>
      <c r="J175" s="101">
        <v>4977</v>
      </c>
      <c r="K175" s="101">
        <v>1835</v>
      </c>
      <c r="L175" s="101">
        <v>4100</v>
      </c>
      <c r="M175" s="101">
        <v>16197</v>
      </c>
      <c r="N175" s="101">
        <v>30968</v>
      </c>
      <c r="O175" s="101">
        <v>16833</v>
      </c>
      <c r="P175" s="101">
        <v>27629</v>
      </c>
      <c r="Q175" s="101">
        <v>19505</v>
      </c>
      <c r="R175" s="101">
        <v>1347</v>
      </c>
      <c r="S175" s="101"/>
      <c r="T175" t="s">
        <v>774</v>
      </c>
      <c r="U175" s="101">
        <f t="shared" si="6"/>
        <v>182659</v>
      </c>
      <c r="V175" s="101">
        <f>Inkomsten!M175</f>
        <v>149654000</v>
      </c>
      <c r="W175" s="101">
        <f>Inkomsten!D175</f>
        <v>119304464</v>
      </c>
      <c r="X175" s="101">
        <v>6205</v>
      </c>
      <c r="Y175" s="101">
        <v>6559</v>
      </c>
      <c r="Z175" s="101">
        <v>178</v>
      </c>
      <c r="AA175" s="101">
        <v>1045</v>
      </c>
      <c r="AB175" s="101">
        <v>2077</v>
      </c>
      <c r="AC175" s="101">
        <v>531</v>
      </c>
      <c r="AD175" s="101">
        <v>488</v>
      </c>
      <c r="AE175" s="101">
        <v>2413</v>
      </c>
      <c r="AF175" s="101">
        <v>926</v>
      </c>
      <c r="AG175" s="101">
        <f t="shared" si="7"/>
        <v>131887.46400000001</v>
      </c>
      <c r="AH175" s="101">
        <v>59209</v>
      </c>
      <c r="AI175" s="101">
        <f t="shared" si="8"/>
        <v>2227.4901450792954</v>
      </c>
      <c r="AJ175" t="s">
        <v>116</v>
      </c>
      <c r="AN175" t="s">
        <v>275</v>
      </c>
      <c r="AO175" s="259">
        <v>1988.3706082843082</v>
      </c>
      <c r="AP175" t="s">
        <v>465</v>
      </c>
    </row>
    <row r="176" spans="2:42" x14ac:dyDescent="0.25">
      <c r="B176" t="s">
        <v>305</v>
      </c>
      <c r="C176" s="101">
        <v>118446</v>
      </c>
      <c r="D176" s="101">
        <v>726</v>
      </c>
      <c r="E176" s="101">
        <v>1154</v>
      </c>
      <c r="F176" s="101">
        <v>5230</v>
      </c>
      <c r="G176" s="101">
        <v>25635</v>
      </c>
      <c r="H176" s="101">
        <v>7225</v>
      </c>
      <c r="I176" s="101">
        <v>2739</v>
      </c>
      <c r="J176" s="101">
        <v>3228</v>
      </c>
      <c r="K176" s="101">
        <v>779</v>
      </c>
      <c r="L176" s="101">
        <v>3816</v>
      </c>
      <c r="M176" s="101">
        <v>5615</v>
      </c>
      <c r="N176" s="101">
        <v>25270</v>
      </c>
      <c r="O176" s="101">
        <v>9621</v>
      </c>
      <c r="P176" s="101">
        <v>18348</v>
      </c>
      <c r="Q176" s="101">
        <v>7940</v>
      </c>
      <c r="R176" s="101">
        <v>1393</v>
      </c>
      <c r="S176" s="101"/>
      <c r="T176" t="s">
        <v>305</v>
      </c>
      <c r="U176" s="101">
        <f t="shared" si="6"/>
        <v>111336</v>
      </c>
      <c r="V176" s="101">
        <f>Inkomsten!M176</f>
        <v>97941000</v>
      </c>
      <c r="W176" s="101">
        <f>Inkomsten!D176</f>
        <v>74308749</v>
      </c>
      <c r="X176" s="101">
        <v>3255</v>
      </c>
      <c r="Y176" s="101">
        <v>6919</v>
      </c>
      <c r="Z176" s="101">
        <v>663</v>
      </c>
      <c r="AA176" s="101">
        <v>645</v>
      </c>
      <c r="AB176" s="101">
        <v>709</v>
      </c>
      <c r="AC176" s="101">
        <v>281</v>
      </c>
      <c r="AD176" s="101">
        <v>56</v>
      </c>
      <c r="AE176" s="101">
        <v>0</v>
      </c>
      <c r="AF176" s="101">
        <v>149</v>
      </c>
      <c r="AG176" s="101">
        <f t="shared" si="7"/>
        <v>75026.748999999996</v>
      </c>
      <c r="AH176" s="101">
        <v>35826</v>
      </c>
      <c r="AI176" s="101">
        <f t="shared" si="8"/>
        <v>2094.1983196561155</v>
      </c>
      <c r="AJ176" t="s">
        <v>116</v>
      </c>
      <c r="AN176" t="s">
        <v>594</v>
      </c>
      <c r="AO176" s="259">
        <v>1987.7107987250051</v>
      </c>
      <c r="AP176" t="s">
        <v>465</v>
      </c>
    </row>
    <row r="177" spans="2:42" x14ac:dyDescent="0.25">
      <c r="B177" t="s">
        <v>411</v>
      </c>
      <c r="C177" s="101">
        <v>591275</v>
      </c>
      <c r="D177" s="101">
        <v>6166</v>
      </c>
      <c r="E177" s="101">
        <v>0</v>
      </c>
      <c r="F177" s="101">
        <v>41453</v>
      </c>
      <c r="G177" s="101">
        <v>139051</v>
      </c>
      <c r="H177" s="101">
        <v>57305</v>
      </c>
      <c r="I177" s="101">
        <v>14135</v>
      </c>
      <c r="J177" s="101">
        <v>20446</v>
      </c>
      <c r="K177" s="101">
        <v>10626</v>
      </c>
      <c r="L177" s="101">
        <v>8387</v>
      </c>
      <c r="M177" s="101">
        <v>30884</v>
      </c>
      <c r="N177" s="101">
        <v>96140</v>
      </c>
      <c r="O177" s="101">
        <v>43161</v>
      </c>
      <c r="P177" s="101">
        <v>93372</v>
      </c>
      <c r="Q177" s="101">
        <v>29904</v>
      </c>
      <c r="R177" s="101">
        <v>3203</v>
      </c>
      <c r="S177" s="101"/>
      <c r="T177" t="s">
        <v>411</v>
      </c>
      <c r="U177" s="101">
        <f t="shared" si="6"/>
        <v>543656</v>
      </c>
      <c r="V177" s="101">
        <f>Inkomsten!M177</f>
        <v>447110000</v>
      </c>
      <c r="W177" s="101">
        <f>Inkomsten!D177</f>
        <v>305019373</v>
      </c>
      <c r="X177" s="101">
        <v>15854</v>
      </c>
      <c r="Y177" s="101">
        <v>19441</v>
      </c>
      <c r="Z177" s="101">
        <v>527</v>
      </c>
      <c r="AA177" s="101">
        <v>2057</v>
      </c>
      <c r="AB177" s="101">
        <v>5647</v>
      </c>
      <c r="AC177" s="101">
        <v>701</v>
      </c>
      <c r="AD177" s="101">
        <v>6600</v>
      </c>
      <c r="AE177" s="101">
        <v>13344</v>
      </c>
      <c r="AF177" s="101">
        <v>1105</v>
      </c>
      <c r="AG177" s="101">
        <f t="shared" si="7"/>
        <v>336289.37300000002</v>
      </c>
      <c r="AH177" s="101">
        <v>125203</v>
      </c>
      <c r="AI177" s="101">
        <f t="shared" si="8"/>
        <v>2685.9529963339537</v>
      </c>
      <c r="AJ177" t="s">
        <v>439</v>
      </c>
      <c r="AN177" t="s">
        <v>201</v>
      </c>
      <c r="AO177" s="259">
        <v>1985.995499313753</v>
      </c>
      <c r="AP177" t="s">
        <v>465</v>
      </c>
    </row>
    <row r="178" spans="2:42" x14ac:dyDescent="0.25">
      <c r="B178" t="s">
        <v>264</v>
      </c>
      <c r="C178" s="101">
        <v>141571</v>
      </c>
      <c r="D178" s="101">
        <v>453</v>
      </c>
      <c r="E178" s="101">
        <v>202</v>
      </c>
      <c r="F178" s="101">
        <v>7325</v>
      </c>
      <c r="G178" s="101">
        <v>35822</v>
      </c>
      <c r="H178" s="101">
        <v>10895</v>
      </c>
      <c r="I178" s="101">
        <v>3652</v>
      </c>
      <c r="J178" s="101">
        <v>7281</v>
      </c>
      <c r="K178" s="101">
        <v>938</v>
      </c>
      <c r="L178" s="101">
        <v>3348</v>
      </c>
      <c r="M178" s="101">
        <v>8138</v>
      </c>
      <c r="N178" s="101">
        <v>15434</v>
      </c>
      <c r="O178" s="101">
        <v>17565</v>
      </c>
      <c r="P178" s="101">
        <v>18094</v>
      </c>
      <c r="Q178" s="101">
        <v>11066</v>
      </c>
      <c r="R178" s="101">
        <v>1441</v>
      </c>
      <c r="S178" s="101"/>
      <c r="T178" t="s">
        <v>264</v>
      </c>
      <c r="U178" s="101">
        <f t="shared" si="6"/>
        <v>133591</v>
      </c>
      <c r="V178" s="101">
        <f>Inkomsten!M178</f>
        <v>107354000</v>
      </c>
      <c r="W178" s="101">
        <f>Inkomsten!D178</f>
        <v>89239939</v>
      </c>
      <c r="X178" s="101">
        <v>4558</v>
      </c>
      <c r="Y178" s="101">
        <v>7095</v>
      </c>
      <c r="Z178" s="101">
        <v>236</v>
      </c>
      <c r="AA178" s="101">
        <v>563</v>
      </c>
      <c r="AB178" s="101">
        <v>1466</v>
      </c>
      <c r="AC178" s="101">
        <v>365</v>
      </c>
      <c r="AD178" s="101">
        <v>1245</v>
      </c>
      <c r="AE178" s="101">
        <v>0</v>
      </c>
      <c r="AF178" s="101">
        <v>159</v>
      </c>
      <c r="AG178" s="101">
        <f t="shared" si="7"/>
        <v>99789.938999999998</v>
      </c>
      <c r="AH178" s="101">
        <v>46005</v>
      </c>
      <c r="AI178" s="101">
        <f t="shared" si="8"/>
        <v>2169.110727094881</v>
      </c>
      <c r="AJ178" t="s">
        <v>116</v>
      </c>
      <c r="AN178" t="s">
        <v>306</v>
      </c>
      <c r="AO178" s="259">
        <v>1984.256405859807</v>
      </c>
      <c r="AP178" t="s">
        <v>465</v>
      </c>
    </row>
    <row r="179" spans="2:42" x14ac:dyDescent="0.25">
      <c r="B179" t="s">
        <v>412</v>
      </c>
      <c r="C179" s="101">
        <v>56751</v>
      </c>
      <c r="D179" s="101">
        <v>0</v>
      </c>
      <c r="E179" s="101">
        <v>2407</v>
      </c>
      <c r="F179" s="101">
        <v>2780</v>
      </c>
      <c r="G179" s="101">
        <v>12560</v>
      </c>
      <c r="H179" s="101">
        <v>4551</v>
      </c>
      <c r="I179" s="101">
        <v>1916</v>
      </c>
      <c r="J179" s="101">
        <v>2985</v>
      </c>
      <c r="K179" s="101">
        <v>588</v>
      </c>
      <c r="L179" s="101">
        <v>1788</v>
      </c>
      <c r="M179" s="101">
        <v>2329</v>
      </c>
      <c r="N179" s="101">
        <v>7921</v>
      </c>
      <c r="O179" s="101">
        <v>4675</v>
      </c>
      <c r="P179" s="101">
        <v>6988</v>
      </c>
      <c r="Q179" s="101">
        <v>5411</v>
      </c>
      <c r="R179" s="101">
        <v>188</v>
      </c>
      <c r="S179" s="101"/>
      <c r="T179" t="s">
        <v>412</v>
      </c>
      <c r="U179" s="101">
        <f t="shared" si="6"/>
        <v>51564</v>
      </c>
      <c r="V179" s="101">
        <f>Inkomsten!M179</f>
        <v>42818000</v>
      </c>
      <c r="W179" s="101">
        <f>Inkomsten!D179</f>
        <v>36077652</v>
      </c>
      <c r="X179" s="101">
        <v>3288</v>
      </c>
      <c r="Y179" s="101">
        <v>2695</v>
      </c>
      <c r="Z179" s="101">
        <v>148</v>
      </c>
      <c r="AA179" s="101">
        <v>281</v>
      </c>
      <c r="AB179" s="101">
        <v>540</v>
      </c>
      <c r="AC179" s="101">
        <v>17</v>
      </c>
      <c r="AD179" s="101">
        <v>115</v>
      </c>
      <c r="AE179" s="101">
        <v>231</v>
      </c>
      <c r="AF179" s="101">
        <v>56</v>
      </c>
      <c r="AG179" s="101">
        <f t="shared" si="7"/>
        <v>37452.652000000002</v>
      </c>
      <c r="AH179" s="101">
        <v>18568</v>
      </c>
      <c r="AI179" s="101">
        <f t="shared" si="8"/>
        <v>2017.0536406721242</v>
      </c>
      <c r="AJ179" t="s">
        <v>116</v>
      </c>
      <c r="AN179" t="s">
        <v>205</v>
      </c>
      <c r="AO179" s="259">
        <v>1982.6675408290689</v>
      </c>
      <c r="AP179" t="s">
        <v>465</v>
      </c>
    </row>
    <row r="180" spans="2:42" x14ac:dyDescent="0.25">
      <c r="B180" t="s">
        <v>581</v>
      </c>
      <c r="C180" s="101">
        <v>277982</v>
      </c>
      <c r="D180" s="101">
        <v>7573</v>
      </c>
      <c r="E180" s="101">
        <v>2739</v>
      </c>
      <c r="F180" s="101">
        <v>12732</v>
      </c>
      <c r="G180" s="101">
        <v>60907</v>
      </c>
      <c r="H180" s="101">
        <v>24149</v>
      </c>
      <c r="I180" s="101">
        <v>6933</v>
      </c>
      <c r="J180" s="101">
        <v>7663</v>
      </c>
      <c r="K180" s="101">
        <v>9295</v>
      </c>
      <c r="L180" s="101">
        <v>10313</v>
      </c>
      <c r="M180" s="101">
        <v>26425</v>
      </c>
      <c r="N180" s="101">
        <v>34386</v>
      </c>
      <c r="O180" s="101">
        <v>20349</v>
      </c>
      <c r="P180" s="101">
        <v>32078</v>
      </c>
      <c r="Q180" s="101">
        <v>21323</v>
      </c>
      <c r="R180" s="101">
        <v>2907</v>
      </c>
      <c r="S180" s="101"/>
      <c r="T180" t="s">
        <v>581</v>
      </c>
      <c r="U180" s="101">
        <f t="shared" si="6"/>
        <v>254938</v>
      </c>
      <c r="V180" s="101">
        <f>Inkomsten!M180</f>
        <v>199547000</v>
      </c>
      <c r="W180" s="101">
        <f>Inkomsten!D180</f>
        <v>156105537</v>
      </c>
      <c r="X180" s="101">
        <v>7124</v>
      </c>
      <c r="Y180" s="101">
        <v>8593</v>
      </c>
      <c r="Z180" s="101">
        <v>125</v>
      </c>
      <c r="AA180" s="101">
        <v>1054</v>
      </c>
      <c r="AB180" s="101">
        <v>3051</v>
      </c>
      <c r="AC180" s="101">
        <v>458</v>
      </c>
      <c r="AD180" s="101">
        <v>287</v>
      </c>
      <c r="AE180" s="101">
        <v>47</v>
      </c>
      <c r="AF180" s="101">
        <v>149</v>
      </c>
      <c r="AG180" s="101">
        <f t="shared" si="7"/>
        <v>190608.53700000001</v>
      </c>
      <c r="AH180" s="101">
        <v>84293</v>
      </c>
      <c r="AI180" s="101">
        <f t="shared" si="8"/>
        <v>2261.2617536450239</v>
      </c>
      <c r="AJ180" t="s">
        <v>465</v>
      </c>
      <c r="AN180" t="s">
        <v>413</v>
      </c>
      <c r="AO180" s="259">
        <v>1980.5375751587828</v>
      </c>
      <c r="AP180" t="s">
        <v>465</v>
      </c>
    </row>
    <row r="181" spans="2:42" x14ac:dyDescent="0.25">
      <c r="B181" t="s">
        <v>110</v>
      </c>
      <c r="C181" s="101">
        <v>154355</v>
      </c>
      <c r="D181" s="101">
        <v>21757</v>
      </c>
      <c r="E181" s="101">
        <v>2723</v>
      </c>
      <c r="F181" s="101">
        <v>6756</v>
      </c>
      <c r="G181" s="101">
        <v>34683</v>
      </c>
      <c r="H181" s="101">
        <v>4753</v>
      </c>
      <c r="I181" s="101">
        <v>2216</v>
      </c>
      <c r="J181" s="101">
        <v>4184</v>
      </c>
      <c r="K181" s="101">
        <v>8231</v>
      </c>
      <c r="L181" s="101">
        <v>4149</v>
      </c>
      <c r="M181" s="101">
        <v>7549</v>
      </c>
      <c r="N181" s="101">
        <v>22684</v>
      </c>
      <c r="O181" s="101">
        <v>13189</v>
      </c>
      <c r="P181" s="101">
        <v>14287</v>
      </c>
      <c r="Q181" s="101">
        <v>7031</v>
      </c>
      <c r="R181" s="101">
        <v>1230</v>
      </c>
      <c r="S181" s="101"/>
      <c r="T181" t="s">
        <v>110</v>
      </c>
      <c r="U181" s="101">
        <f t="shared" si="6"/>
        <v>123119</v>
      </c>
      <c r="V181" s="101">
        <f>Inkomsten!M181</f>
        <v>105201000</v>
      </c>
      <c r="W181" s="101">
        <f>Inkomsten!D181</f>
        <v>81570061</v>
      </c>
      <c r="X181" s="101">
        <v>3125</v>
      </c>
      <c r="Y181" s="101">
        <v>3570</v>
      </c>
      <c r="Z181" s="101">
        <v>223</v>
      </c>
      <c r="AA181" s="101">
        <v>616</v>
      </c>
      <c r="AB181" s="101">
        <v>890</v>
      </c>
      <c r="AC181" s="101">
        <v>481</v>
      </c>
      <c r="AD181" s="101">
        <v>0</v>
      </c>
      <c r="AE181" s="101">
        <v>1538</v>
      </c>
      <c r="AF181" s="101">
        <v>106</v>
      </c>
      <c r="AG181" s="101">
        <f t="shared" si="7"/>
        <v>88939.061000000002</v>
      </c>
      <c r="AH181" s="101">
        <v>35814</v>
      </c>
      <c r="AI181" s="101">
        <f t="shared" si="8"/>
        <v>2483.3601664153684</v>
      </c>
      <c r="AJ181" t="s">
        <v>439</v>
      </c>
      <c r="AN181" t="s">
        <v>293</v>
      </c>
      <c r="AO181" s="259">
        <v>1975.5289003679541</v>
      </c>
      <c r="AP181" t="s">
        <v>465</v>
      </c>
    </row>
    <row r="182" spans="2:42" x14ac:dyDescent="0.25">
      <c r="B182" t="s">
        <v>725</v>
      </c>
      <c r="C182" s="101">
        <v>207997</v>
      </c>
      <c r="D182" s="101">
        <v>5430</v>
      </c>
      <c r="E182" s="101">
        <v>2452</v>
      </c>
      <c r="F182" s="101">
        <v>9106</v>
      </c>
      <c r="G182" s="101">
        <v>38840</v>
      </c>
      <c r="H182" s="101">
        <v>14475</v>
      </c>
      <c r="I182" s="101">
        <v>5183</v>
      </c>
      <c r="J182" s="101">
        <v>11111</v>
      </c>
      <c r="K182" s="101">
        <v>5038</v>
      </c>
      <c r="L182" s="101">
        <v>4947</v>
      </c>
      <c r="M182" s="101">
        <v>13580</v>
      </c>
      <c r="N182" s="101">
        <v>41664</v>
      </c>
      <c r="O182" s="101">
        <v>19805</v>
      </c>
      <c r="P182" s="101">
        <v>23604</v>
      </c>
      <c r="Q182" s="101">
        <v>12139</v>
      </c>
      <c r="R182" s="101">
        <v>1227</v>
      </c>
      <c r="S182" s="101"/>
      <c r="T182" t="s">
        <v>725</v>
      </c>
      <c r="U182" s="101">
        <f t="shared" si="6"/>
        <v>191009</v>
      </c>
      <c r="V182" s="101">
        <f>Inkomsten!M182</f>
        <v>155311000</v>
      </c>
      <c r="W182" s="101">
        <f>Inkomsten!D182</f>
        <v>121181183</v>
      </c>
      <c r="X182" s="101">
        <v>6314</v>
      </c>
      <c r="Y182" s="101">
        <v>7121</v>
      </c>
      <c r="Z182" s="101">
        <v>2268</v>
      </c>
      <c r="AA182" s="101">
        <v>492</v>
      </c>
      <c r="AB182" s="101">
        <v>1525</v>
      </c>
      <c r="AC182" s="101">
        <v>708</v>
      </c>
      <c r="AD182" s="101">
        <v>1209</v>
      </c>
      <c r="AE182" s="101">
        <v>6604</v>
      </c>
      <c r="AF182" s="101">
        <v>541</v>
      </c>
      <c r="AG182" s="101">
        <f t="shared" si="7"/>
        <v>130097.18300000002</v>
      </c>
      <c r="AH182" s="101">
        <v>50002</v>
      </c>
      <c r="AI182" s="101">
        <f t="shared" si="8"/>
        <v>2601.8395864165436</v>
      </c>
      <c r="AJ182" t="s">
        <v>439</v>
      </c>
      <c r="AN182" t="s">
        <v>396</v>
      </c>
      <c r="AO182" s="259">
        <v>1972.9712204979432</v>
      </c>
      <c r="AP182" t="s">
        <v>465</v>
      </c>
    </row>
    <row r="183" spans="2:42" x14ac:dyDescent="0.25">
      <c r="B183" t="s">
        <v>306</v>
      </c>
      <c r="C183" s="101">
        <v>57236</v>
      </c>
      <c r="D183" s="101">
        <v>1292</v>
      </c>
      <c r="E183" s="101">
        <v>1909</v>
      </c>
      <c r="F183" s="101">
        <v>3418</v>
      </c>
      <c r="G183" s="101">
        <v>15634</v>
      </c>
      <c r="H183" s="101">
        <v>5095</v>
      </c>
      <c r="I183" s="101">
        <v>1474</v>
      </c>
      <c r="J183" s="101">
        <v>2675</v>
      </c>
      <c r="K183" s="101">
        <v>2129</v>
      </c>
      <c r="L183" s="101">
        <v>1224</v>
      </c>
      <c r="M183" s="101">
        <v>3081</v>
      </c>
      <c r="N183" s="101">
        <v>3877</v>
      </c>
      <c r="O183" s="101">
        <v>4171</v>
      </c>
      <c r="P183" s="101">
        <v>5260</v>
      </c>
      <c r="Q183" s="101">
        <v>4904</v>
      </c>
      <c r="R183" s="101">
        <v>1397</v>
      </c>
      <c r="S183" s="101"/>
      <c r="T183" t="s">
        <v>306</v>
      </c>
      <c r="U183" s="101">
        <f t="shared" si="6"/>
        <v>50617</v>
      </c>
      <c r="V183" s="101">
        <f>Inkomsten!M183</f>
        <v>34935000</v>
      </c>
      <c r="W183" s="101">
        <f>Inkomsten!D183</f>
        <v>30069575</v>
      </c>
      <c r="X183" s="101">
        <v>1874</v>
      </c>
      <c r="Y183" s="101">
        <v>2767</v>
      </c>
      <c r="Z183" s="101">
        <v>66</v>
      </c>
      <c r="AA183" s="101">
        <v>373</v>
      </c>
      <c r="AB183" s="101">
        <v>1428</v>
      </c>
      <c r="AC183" s="101">
        <v>34</v>
      </c>
      <c r="AD183" s="101">
        <v>0</v>
      </c>
      <c r="AE183" s="101">
        <v>6</v>
      </c>
      <c r="AF183" s="101">
        <v>2766</v>
      </c>
      <c r="AG183" s="101">
        <f t="shared" si="7"/>
        <v>36437.574999999997</v>
      </c>
      <c r="AH183" s="101">
        <v>19382</v>
      </c>
      <c r="AI183" s="101">
        <f t="shared" si="8"/>
        <v>1879.9698173563099</v>
      </c>
      <c r="AJ183" t="s">
        <v>465</v>
      </c>
      <c r="AN183" t="s">
        <v>166</v>
      </c>
      <c r="AO183" s="259">
        <v>1969.9956622314398</v>
      </c>
      <c r="AP183" t="s">
        <v>465</v>
      </c>
    </row>
    <row r="184" spans="2:42" x14ac:dyDescent="0.25">
      <c r="B184" t="s">
        <v>111</v>
      </c>
      <c r="C184" s="101">
        <v>102364</v>
      </c>
      <c r="D184" s="101">
        <v>1025</v>
      </c>
      <c r="E184" s="101">
        <v>2144</v>
      </c>
      <c r="F184" s="101">
        <v>5447</v>
      </c>
      <c r="G184" s="101">
        <v>26394</v>
      </c>
      <c r="H184" s="101">
        <v>7618</v>
      </c>
      <c r="I184" s="101">
        <v>2436</v>
      </c>
      <c r="J184" s="101">
        <v>3192</v>
      </c>
      <c r="K184" s="101">
        <v>907</v>
      </c>
      <c r="L184" s="101">
        <v>2130</v>
      </c>
      <c r="M184" s="101">
        <v>5462</v>
      </c>
      <c r="N184" s="101">
        <v>9540</v>
      </c>
      <c r="O184" s="101">
        <v>10126</v>
      </c>
      <c r="P184" s="101">
        <v>16371</v>
      </c>
      <c r="Q184" s="101">
        <v>8275</v>
      </c>
      <c r="R184" s="101">
        <v>1754</v>
      </c>
      <c r="S184" s="101"/>
      <c r="T184" t="s">
        <v>111</v>
      </c>
      <c r="U184" s="101">
        <f t="shared" si="6"/>
        <v>93748</v>
      </c>
      <c r="V184" s="101">
        <f>Inkomsten!M184</f>
        <v>89000000</v>
      </c>
      <c r="W184" s="101">
        <f>Inkomsten!D184</f>
        <v>68057775.052366346</v>
      </c>
      <c r="X184" s="101">
        <v>4232</v>
      </c>
      <c r="Y184" s="101">
        <v>3576</v>
      </c>
      <c r="Z184" s="101">
        <v>400</v>
      </c>
      <c r="AA184" s="101">
        <v>262</v>
      </c>
      <c r="AB184" s="101">
        <v>991</v>
      </c>
      <c r="AC184" s="101">
        <v>135</v>
      </c>
      <c r="AD184" s="101">
        <v>1253</v>
      </c>
      <c r="AE184" s="101">
        <v>0</v>
      </c>
      <c r="AF184" s="101">
        <v>59</v>
      </c>
      <c r="AG184" s="101">
        <f t="shared" si="7"/>
        <v>61897.775052366342</v>
      </c>
      <c r="AH184" s="101">
        <v>34093</v>
      </c>
      <c r="AI184" s="101">
        <f t="shared" si="8"/>
        <v>1815.556714057617</v>
      </c>
      <c r="AJ184" t="s">
        <v>116</v>
      </c>
      <c r="AN184" t="s">
        <v>322</v>
      </c>
      <c r="AO184" s="259">
        <v>1965.5012640755131</v>
      </c>
      <c r="AP184" t="s">
        <v>465</v>
      </c>
    </row>
    <row r="185" spans="2:42" x14ac:dyDescent="0.25">
      <c r="B185" t="s">
        <v>595</v>
      </c>
      <c r="C185" s="101">
        <v>285619</v>
      </c>
      <c r="D185" s="101">
        <v>10054</v>
      </c>
      <c r="E185" s="101">
        <v>1821</v>
      </c>
      <c r="F185" s="101">
        <v>11966</v>
      </c>
      <c r="G185" s="101">
        <v>74808</v>
      </c>
      <c r="H185" s="101">
        <v>14767</v>
      </c>
      <c r="I185" s="101">
        <v>13428</v>
      </c>
      <c r="J185" s="101">
        <v>7399</v>
      </c>
      <c r="K185" s="101">
        <v>2626</v>
      </c>
      <c r="L185" s="101">
        <v>9146</v>
      </c>
      <c r="M185" s="101">
        <v>10842</v>
      </c>
      <c r="N185" s="101">
        <v>41477</v>
      </c>
      <c r="O185" s="101">
        <v>29682</v>
      </c>
      <c r="P185" s="101">
        <v>38514</v>
      </c>
      <c r="Q185" s="101">
        <v>14300</v>
      </c>
      <c r="R185" s="101">
        <v>5452</v>
      </c>
      <c r="S185" s="101"/>
      <c r="T185" t="s">
        <v>595</v>
      </c>
      <c r="U185" s="101">
        <f t="shared" si="6"/>
        <v>261778</v>
      </c>
      <c r="V185" s="101">
        <f>Inkomsten!M185</f>
        <v>226956000</v>
      </c>
      <c r="W185" s="101">
        <f>Inkomsten!D185</f>
        <v>149299362</v>
      </c>
      <c r="X185" s="101">
        <v>5949</v>
      </c>
      <c r="Y185" s="101">
        <v>7438</v>
      </c>
      <c r="Z185" s="101">
        <v>301</v>
      </c>
      <c r="AA185" s="101">
        <v>1071</v>
      </c>
      <c r="AB185" s="101">
        <v>2377</v>
      </c>
      <c r="AC185" s="101">
        <v>443</v>
      </c>
      <c r="AD185" s="101">
        <v>300</v>
      </c>
      <c r="AE185" s="101">
        <v>142</v>
      </c>
      <c r="AF185" s="101">
        <v>32</v>
      </c>
      <c r="AG185" s="101">
        <f t="shared" si="7"/>
        <v>166068.36199999999</v>
      </c>
      <c r="AH185" s="101">
        <v>61450</v>
      </c>
      <c r="AI185" s="101">
        <f t="shared" si="8"/>
        <v>2702.4957200976405</v>
      </c>
      <c r="AJ185" t="s">
        <v>439</v>
      </c>
      <c r="AN185" t="s">
        <v>242</v>
      </c>
      <c r="AO185" s="259">
        <v>1962.1968567964789</v>
      </c>
      <c r="AP185" t="s">
        <v>465</v>
      </c>
    </row>
    <row r="186" spans="2:42" x14ac:dyDescent="0.25">
      <c r="B186" t="s">
        <v>377</v>
      </c>
      <c r="C186" s="101">
        <v>142872</v>
      </c>
      <c r="D186" s="101">
        <v>12053</v>
      </c>
      <c r="E186" s="101">
        <v>217</v>
      </c>
      <c r="F186" s="101">
        <v>7746</v>
      </c>
      <c r="G186" s="101">
        <v>26589</v>
      </c>
      <c r="H186" s="101">
        <v>12760</v>
      </c>
      <c r="I186" s="101">
        <v>4084</v>
      </c>
      <c r="J186" s="101">
        <v>5838</v>
      </c>
      <c r="K186" s="101">
        <v>1414</v>
      </c>
      <c r="L186" s="101">
        <v>3087</v>
      </c>
      <c r="M186" s="101">
        <v>6835</v>
      </c>
      <c r="N186" s="101">
        <v>16191</v>
      </c>
      <c r="O186" s="101">
        <v>9929</v>
      </c>
      <c r="P186" s="101">
        <v>19099</v>
      </c>
      <c r="Q186" s="101">
        <v>17120</v>
      </c>
      <c r="R186" s="101">
        <v>602</v>
      </c>
      <c r="S186" s="101"/>
      <c r="T186" t="s">
        <v>377</v>
      </c>
      <c r="U186" s="101">
        <f t="shared" si="6"/>
        <v>122856</v>
      </c>
      <c r="V186" s="101">
        <f>Inkomsten!M186</f>
        <v>98623000</v>
      </c>
      <c r="W186" s="101">
        <f>Inkomsten!D186</f>
        <v>73332903</v>
      </c>
      <c r="X186" s="101">
        <v>6788</v>
      </c>
      <c r="Y186" s="101">
        <v>5435</v>
      </c>
      <c r="Z186" s="101">
        <v>138</v>
      </c>
      <c r="AA186" s="101">
        <v>774</v>
      </c>
      <c r="AB186" s="101">
        <v>1600</v>
      </c>
      <c r="AC186" s="101">
        <v>272</v>
      </c>
      <c r="AD186" s="101">
        <v>213</v>
      </c>
      <c r="AE186" s="101">
        <v>7</v>
      </c>
      <c r="AF186" s="101">
        <v>0</v>
      </c>
      <c r="AG186" s="101">
        <f t="shared" si="7"/>
        <v>82338.903000000006</v>
      </c>
      <c r="AH186" s="101">
        <v>38091</v>
      </c>
      <c r="AI186" s="101">
        <f t="shared" si="8"/>
        <v>2161.6366858312986</v>
      </c>
      <c r="AJ186" t="s">
        <v>465</v>
      </c>
      <c r="AN186" t="s">
        <v>226</v>
      </c>
      <c r="AO186" s="259">
        <v>1953.141258745185</v>
      </c>
      <c r="AP186" t="s">
        <v>465</v>
      </c>
    </row>
    <row r="187" spans="2:42" x14ac:dyDescent="0.25">
      <c r="B187" t="s">
        <v>596</v>
      </c>
      <c r="C187" s="101">
        <v>119771</v>
      </c>
      <c r="D187" s="101">
        <v>2191</v>
      </c>
      <c r="E187" s="101">
        <v>833</v>
      </c>
      <c r="F187" s="101">
        <v>7137</v>
      </c>
      <c r="G187" s="101">
        <v>27410</v>
      </c>
      <c r="H187" s="101">
        <v>9456</v>
      </c>
      <c r="I187" s="101">
        <v>4987</v>
      </c>
      <c r="J187" s="101">
        <v>5096</v>
      </c>
      <c r="K187" s="101">
        <v>1580</v>
      </c>
      <c r="L187" s="101">
        <v>3821</v>
      </c>
      <c r="M187" s="101">
        <v>6353</v>
      </c>
      <c r="N187" s="101">
        <v>12803</v>
      </c>
      <c r="O187" s="101">
        <v>10615</v>
      </c>
      <c r="P187" s="101">
        <v>14087</v>
      </c>
      <c r="Q187" s="101">
        <v>11366</v>
      </c>
      <c r="R187" s="101">
        <v>2845</v>
      </c>
      <c r="S187" s="101"/>
      <c r="T187" t="s">
        <v>596</v>
      </c>
      <c r="U187" s="101">
        <f t="shared" si="6"/>
        <v>109610</v>
      </c>
      <c r="V187" s="101">
        <f>Inkomsten!M187</f>
        <v>91535000</v>
      </c>
      <c r="W187" s="101">
        <f>Inkomsten!D187</f>
        <v>78382664</v>
      </c>
      <c r="X187" s="101">
        <v>4732</v>
      </c>
      <c r="Y187" s="101">
        <v>6559</v>
      </c>
      <c r="Z187" s="101">
        <v>390</v>
      </c>
      <c r="AA187" s="101">
        <v>852</v>
      </c>
      <c r="AB187" s="101">
        <v>1771</v>
      </c>
      <c r="AC187" s="101">
        <v>375</v>
      </c>
      <c r="AD187" s="101">
        <v>218</v>
      </c>
      <c r="AE187" s="101">
        <v>189</v>
      </c>
      <c r="AF187" s="101">
        <v>21</v>
      </c>
      <c r="AG187" s="101">
        <f t="shared" si="7"/>
        <v>81350.664000000004</v>
      </c>
      <c r="AH187" s="101">
        <v>45276</v>
      </c>
      <c r="AI187" s="101">
        <f t="shared" si="8"/>
        <v>1796.7723297111052</v>
      </c>
      <c r="AJ187" t="s">
        <v>465</v>
      </c>
      <c r="AN187" t="s">
        <v>182</v>
      </c>
      <c r="AO187" s="259">
        <v>1953.0274649667685</v>
      </c>
      <c r="AP187" t="s">
        <v>465</v>
      </c>
    </row>
    <row r="188" spans="2:42" x14ac:dyDescent="0.25">
      <c r="B188" t="s">
        <v>188</v>
      </c>
      <c r="C188" s="101">
        <v>108996</v>
      </c>
      <c r="D188" s="101">
        <v>252</v>
      </c>
      <c r="E188" s="101">
        <v>1377</v>
      </c>
      <c r="F188" s="101">
        <v>5401</v>
      </c>
      <c r="G188" s="101">
        <v>29134</v>
      </c>
      <c r="H188" s="101">
        <v>8104</v>
      </c>
      <c r="I188" s="101">
        <v>2581</v>
      </c>
      <c r="J188" s="101">
        <v>3035</v>
      </c>
      <c r="K188" s="101">
        <v>863</v>
      </c>
      <c r="L188" s="101">
        <v>2409</v>
      </c>
      <c r="M188" s="101">
        <v>6355</v>
      </c>
      <c r="N188" s="101">
        <v>13681</v>
      </c>
      <c r="O188" s="101">
        <v>11064</v>
      </c>
      <c r="P188" s="101">
        <v>16034</v>
      </c>
      <c r="Q188" s="101">
        <v>8611</v>
      </c>
      <c r="R188" s="101">
        <v>257</v>
      </c>
      <c r="S188" s="101"/>
      <c r="T188" t="s">
        <v>188</v>
      </c>
      <c r="U188" s="101">
        <f t="shared" si="6"/>
        <v>101966</v>
      </c>
      <c r="V188" s="101">
        <f>Inkomsten!M188</f>
        <v>92672000</v>
      </c>
      <c r="W188" s="101">
        <f>Inkomsten!D188</f>
        <v>76422652</v>
      </c>
      <c r="X188" s="101">
        <v>4840</v>
      </c>
      <c r="Y188" s="101">
        <v>4292</v>
      </c>
      <c r="Z188" s="101">
        <v>121</v>
      </c>
      <c r="AA188" s="101">
        <v>851</v>
      </c>
      <c r="AB188" s="101">
        <v>695</v>
      </c>
      <c r="AC188" s="101">
        <v>74</v>
      </c>
      <c r="AD188" s="101">
        <v>375</v>
      </c>
      <c r="AE188" s="101">
        <v>0</v>
      </c>
      <c r="AF188" s="101">
        <v>58</v>
      </c>
      <c r="AG188" s="101">
        <f t="shared" si="7"/>
        <v>74410.652000000002</v>
      </c>
      <c r="AH188" s="101">
        <v>36879</v>
      </c>
      <c r="AI188" s="101">
        <f t="shared" si="8"/>
        <v>2017.6971176008026</v>
      </c>
      <c r="AJ188" t="s">
        <v>116</v>
      </c>
      <c r="AN188" t="s">
        <v>300</v>
      </c>
      <c r="AO188" s="259">
        <v>1941.5556419401023</v>
      </c>
      <c r="AP188" t="s">
        <v>465</v>
      </c>
    </row>
    <row r="189" spans="2:42" x14ac:dyDescent="0.25">
      <c r="B189" t="s">
        <v>436</v>
      </c>
      <c r="C189" s="101">
        <v>34781</v>
      </c>
      <c r="D189" s="101">
        <v>0</v>
      </c>
      <c r="E189" s="101">
        <v>571</v>
      </c>
      <c r="F189" s="101">
        <v>1510</v>
      </c>
      <c r="G189" s="101">
        <v>8288</v>
      </c>
      <c r="H189" s="101">
        <v>3665</v>
      </c>
      <c r="I189" s="101">
        <v>1078</v>
      </c>
      <c r="J189" s="101">
        <v>1408</v>
      </c>
      <c r="K189" s="101">
        <v>413</v>
      </c>
      <c r="L189" s="101">
        <v>814</v>
      </c>
      <c r="M189" s="101">
        <v>1512</v>
      </c>
      <c r="N189" s="101">
        <v>3927</v>
      </c>
      <c r="O189" s="101">
        <v>2760</v>
      </c>
      <c r="P189" s="101">
        <v>4694</v>
      </c>
      <c r="Q189" s="101">
        <v>2965</v>
      </c>
      <c r="R189" s="101">
        <v>1304</v>
      </c>
      <c r="S189" s="101"/>
      <c r="T189" t="s">
        <v>436</v>
      </c>
      <c r="U189" s="101">
        <f t="shared" si="6"/>
        <v>32700</v>
      </c>
      <c r="V189" s="101">
        <f>Inkomsten!M189</f>
        <v>25904000</v>
      </c>
      <c r="W189" s="101">
        <f>Inkomsten!D189</f>
        <v>22797083</v>
      </c>
      <c r="X189" s="101">
        <v>1810</v>
      </c>
      <c r="Y189" s="101">
        <v>2125</v>
      </c>
      <c r="Z189" s="101">
        <v>78</v>
      </c>
      <c r="AA189" s="101">
        <v>285</v>
      </c>
      <c r="AB189" s="101">
        <v>358</v>
      </c>
      <c r="AC189" s="101">
        <v>69</v>
      </c>
      <c r="AD189" s="101">
        <v>0</v>
      </c>
      <c r="AE189" s="101">
        <v>0</v>
      </c>
      <c r="AF189" s="101">
        <v>9</v>
      </c>
      <c r="AG189" s="101">
        <f t="shared" si="7"/>
        <v>24859.082999999999</v>
      </c>
      <c r="AH189" s="101">
        <v>13860</v>
      </c>
      <c r="AI189" s="101">
        <f t="shared" si="8"/>
        <v>1793.584632034632</v>
      </c>
      <c r="AJ189" t="s">
        <v>465</v>
      </c>
      <c r="AN189" t="s">
        <v>221</v>
      </c>
      <c r="AO189" s="259">
        <v>1939.8299206638667</v>
      </c>
      <c r="AP189" t="s">
        <v>465</v>
      </c>
    </row>
    <row r="190" spans="2:42" x14ac:dyDescent="0.25">
      <c r="B190" t="s">
        <v>413</v>
      </c>
      <c r="C190" s="101">
        <v>25932</v>
      </c>
      <c r="D190" s="101">
        <v>0</v>
      </c>
      <c r="E190" s="101">
        <v>40</v>
      </c>
      <c r="F190" s="101">
        <v>579</v>
      </c>
      <c r="G190" s="101">
        <v>7008</v>
      </c>
      <c r="H190" s="101">
        <v>2635</v>
      </c>
      <c r="I190" s="101">
        <v>708</v>
      </c>
      <c r="J190" s="101">
        <v>478</v>
      </c>
      <c r="K190" s="101">
        <v>231</v>
      </c>
      <c r="L190" s="101">
        <v>312</v>
      </c>
      <c r="M190" s="101">
        <v>793</v>
      </c>
      <c r="N190" s="101">
        <v>2670</v>
      </c>
      <c r="O190" s="101">
        <v>1779</v>
      </c>
      <c r="P190" s="101">
        <v>7329</v>
      </c>
      <c r="Q190" s="101">
        <v>1288</v>
      </c>
      <c r="R190" s="101">
        <v>201</v>
      </c>
      <c r="S190" s="101"/>
      <c r="T190" t="s">
        <v>413</v>
      </c>
      <c r="U190" s="101">
        <f t="shared" si="6"/>
        <v>25313</v>
      </c>
      <c r="V190" s="101">
        <f>Inkomsten!M190</f>
        <v>19714000</v>
      </c>
      <c r="W190" s="101">
        <f>Inkomsten!D190</f>
        <v>13993374</v>
      </c>
      <c r="X190" s="101">
        <v>574</v>
      </c>
      <c r="Y190" s="101">
        <v>929</v>
      </c>
      <c r="Z190" s="101">
        <v>0</v>
      </c>
      <c r="AA190" s="101">
        <v>142</v>
      </c>
      <c r="AB190" s="101">
        <v>103</v>
      </c>
      <c r="AC190" s="101">
        <v>30</v>
      </c>
      <c r="AD190" s="101">
        <v>103</v>
      </c>
      <c r="AE190" s="101">
        <v>0</v>
      </c>
      <c r="AF190" s="101">
        <v>25</v>
      </c>
      <c r="AG190" s="101">
        <f t="shared" si="7"/>
        <v>17686.374</v>
      </c>
      <c r="AH190" s="101">
        <v>8153</v>
      </c>
      <c r="AI190" s="101">
        <f t="shared" si="8"/>
        <v>2169.3087207163007</v>
      </c>
      <c r="AJ190" t="s">
        <v>465</v>
      </c>
      <c r="AN190" t="s">
        <v>230</v>
      </c>
      <c r="AO190" s="259">
        <v>1939.6494405928352</v>
      </c>
      <c r="AP190" t="s">
        <v>465</v>
      </c>
    </row>
    <row r="191" spans="2:42" x14ac:dyDescent="0.25">
      <c r="B191" t="s">
        <v>189</v>
      </c>
      <c r="C191" s="101">
        <v>74119</v>
      </c>
      <c r="D191" s="101">
        <v>2462</v>
      </c>
      <c r="E191" s="101">
        <v>1219</v>
      </c>
      <c r="F191" s="101">
        <v>2009</v>
      </c>
      <c r="G191" s="101">
        <v>17280</v>
      </c>
      <c r="H191" s="101">
        <v>-3324</v>
      </c>
      <c r="I191" s="101">
        <v>2946</v>
      </c>
      <c r="J191" s="101">
        <v>4058</v>
      </c>
      <c r="K191" s="101">
        <v>2471</v>
      </c>
      <c r="L191" s="101">
        <v>3079</v>
      </c>
      <c r="M191" s="101">
        <v>4265</v>
      </c>
      <c r="N191" s="101">
        <v>7599</v>
      </c>
      <c r="O191" s="101">
        <v>8578</v>
      </c>
      <c r="P191" s="101">
        <v>8575</v>
      </c>
      <c r="Q191" s="101">
        <v>9346</v>
      </c>
      <c r="R191" s="101">
        <v>3556</v>
      </c>
      <c r="S191" s="101"/>
      <c r="T191" t="s">
        <v>189</v>
      </c>
      <c r="U191" s="101">
        <f t="shared" si="6"/>
        <v>68429</v>
      </c>
      <c r="V191" s="101">
        <f>Inkomsten!M191</f>
        <v>54479000</v>
      </c>
      <c r="W191" s="101">
        <f>Inkomsten!D191</f>
        <v>46773459</v>
      </c>
      <c r="X191" s="101">
        <v>2436</v>
      </c>
      <c r="Y191" s="101">
        <v>0</v>
      </c>
      <c r="Z191" s="101">
        <v>274</v>
      </c>
      <c r="AA191" s="101">
        <v>561</v>
      </c>
      <c r="AB191" s="101">
        <v>1640</v>
      </c>
      <c r="AC191" s="101">
        <v>519</v>
      </c>
      <c r="AD191" s="101">
        <v>63</v>
      </c>
      <c r="AE191" s="101">
        <v>0</v>
      </c>
      <c r="AF191" s="101">
        <v>107</v>
      </c>
      <c r="AG191" s="101">
        <f t="shared" si="7"/>
        <v>55123.459000000003</v>
      </c>
      <c r="AH191" s="101">
        <v>25701</v>
      </c>
      <c r="AI191" s="101">
        <f t="shared" si="8"/>
        <v>2144.7982179681726</v>
      </c>
      <c r="AJ191" t="s">
        <v>465</v>
      </c>
      <c r="AN191" t="s">
        <v>341</v>
      </c>
      <c r="AO191" s="259">
        <v>1937.152073638609</v>
      </c>
      <c r="AP191" t="s">
        <v>465</v>
      </c>
    </row>
    <row r="192" spans="2:42" x14ac:dyDescent="0.25">
      <c r="B192" t="s">
        <v>414</v>
      </c>
      <c r="C192" s="101">
        <v>55299</v>
      </c>
      <c r="D192" s="101">
        <v>5788</v>
      </c>
      <c r="E192" s="101">
        <v>0</v>
      </c>
      <c r="F192" s="101">
        <v>1200</v>
      </c>
      <c r="G192" s="101">
        <v>11427</v>
      </c>
      <c r="H192" s="101">
        <v>3778</v>
      </c>
      <c r="I192" s="101">
        <v>1581</v>
      </c>
      <c r="J192" s="101">
        <v>2398</v>
      </c>
      <c r="K192" s="101">
        <v>737</v>
      </c>
      <c r="L192" s="101">
        <v>848</v>
      </c>
      <c r="M192" s="101">
        <v>3041</v>
      </c>
      <c r="N192" s="101">
        <v>5651</v>
      </c>
      <c r="O192" s="101">
        <v>4697</v>
      </c>
      <c r="P192" s="101">
        <v>8121</v>
      </c>
      <c r="Q192" s="101">
        <v>5536</v>
      </c>
      <c r="R192" s="101">
        <v>1061</v>
      </c>
      <c r="S192" s="101"/>
      <c r="T192" t="s">
        <v>414</v>
      </c>
      <c r="U192" s="101">
        <f t="shared" si="6"/>
        <v>48311</v>
      </c>
      <c r="V192" s="101">
        <f>Inkomsten!M192</f>
        <v>42895000</v>
      </c>
      <c r="W192" s="101">
        <f>Inkomsten!D192</f>
        <v>34756831</v>
      </c>
      <c r="X192" s="101">
        <v>2508</v>
      </c>
      <c r="Y192" s="101">
        <v>1977</v>
      </c>
      <c r="Z192" s="101">
        <v>20</v>
      </c>
      <c r="AA192" s="101">
        <v>187</v>
      </c>
      <c r="AB192" s="101">
        <v>519</v>
      </c>
      <c r="AC192" s="101">
        <v>22</v>
      </c>
      <c r="AD192" s="101">
        <v>55</v>
      </c>
      <c r="AE192" s="101">
        <v>0</v>
      </c>
      <c r="AF192" s="101">
        <v>7</v>
      </c>
      <c r="AG192" s="101">
        <f t="shared" si="7"/>
        <v>34877.830999999998</v>
      </c>
      <c r="AH192" s="101">
        <v>17492</v>
      </c>
      <c r="AI192" s="101">
        <f t="shared" si="8"/>
        <v>1993.930425337297</v>
      </c>
      <c r="AJ192" t="s">
        <v>465</v>
      </c>
      <c r="AN192" t="s">
        <v>311</v>
      </c>
      <c r="AO192" s="259">
        <v>1931.712190000369</v>
      </c>
      <c r="AP192" t="s">
        <v>465</v>
      </c>
    </row>
    <row r="193" spans="2:42" x14ac:dyDescent="0.25">
      <c r="B193" t="s">
        <v>223</v>
      </c>
      <c r="C193" s="101">
        <v>264827</v>
      </c>
      <c r="D193" s="101">
        <v>29182</v>
      </c>
      <c r="E193" s="101">
        <v>2038</v>
      </c>
      <c r="F193" s="101">
        <v>10933</v>
      </c>
      <c r="G193" s="101">
        <v>53729</v>
      </c>
      <c r="H193" s="101">
        <v>13925</v>
      </c>
      <c r="I193" s="101">
        <v>7177</v>
      </c>
      <c r="J193" s="101">
        <v>8968</v>
      </c>
      <c r="K193" s="101">
        <v>7383</v>
      </c>
      <c r="L193" s="101">
        <v>7846</v>
      </c>
      <c r="M193" s="101">
        <v>16529</v>
      </c>
      <c r="N193" s="101">
        <v>36377</v>
      </c>
      <c r="O193" s="101">
        <v>20722</v>
      </c>
      <c r="P193" s="101">
        <v>28514</v>
      </c>
      <c r="Q193" s="101">
        <v>17617</v>
      </c>
      <c r="R193" s="101">
        <v>4609</v>
      </c>
      <c r="S193" s="101"/>
      <c r="T193" t="s">
        <v>223</v>
      </c>
      <c r="U193" s="101">
        <f t="shared" si="6"/>
        <v>222674</v>
      </c>
      <c r="V193" s="101">
        <f>Inkomsten!M193</f>
        <v>175674000</v>
      </c>
      <c r="W193" s="101">
        <f>Inkomsten!D193</f>
        <v>137310122</v>
      </c>
      <c r="X193" s="101">
        <v>5766</v>
      </c>
      <c r="Y193" s="101">
        <v>9775</v>
      </c>
      <c r="Z193" s="101">
        <v>474</v>
      </c>
      <c r="AA193" s="101">
        <v>1422</v>
      </c>
      <c r="AB193" s="101">
        <v>2317</v>
      </c>
      <c r="AC193" s="101">
        <v>326</v>
      </c>
      <c r="AD193" s="101">
        <v>62</v>
      </c>
      <c r="AE193" s="101">
        <v>5368</v>
      </c>
      <c r="AF193" s="101">
        <v>618</v>
      </c>
      <c r="AG193" s="101">
        <f t="shared" si="7"/>
        <v>158182.122</v>
      </c>
      <c r="AH193" s="101">
        <v>65974</v>
      </c>
      <c r="AI193" s="101">
        <f t="shared" si="8"/>
        <v>2397.6433443477736</v>
      </c>
      <c r="AJ193" t="s">
        <v>116</v>
      </c>
      <c r="AN193" t="s">
        <v>232</v>
      </c>
      <c r="AO193" s="259">
        <v>1923.9080351377668</v>
      </c>
      <c r="AP193" t="s">
        <v>465</v>
      </c>
    </row>
    <row r="194" spans="2:42" x14ac:dyDescent="0.25">
      <c r="B194" t="s">
        <v>307</v>
      </c>
      <c r="C194" s="101">
        <v>140033</v>
      </c>
      <c r="D194" s="101">
        <v>19802</v>
      </c>
      <c r="E194" s="101">
        <v>2754</v>
      </c>
      <c r="F194" s="101">
        <v>5681</v>
      </c>
      <c r="G194" s="101">
        <v>32890</v>
      </c>
      <c r="H194" s="101">
        <v>14450</v>
      </c>
      <c r="I194" s="101">
        <v>1704</v>
      </c>
      <c r="J194" s="101">
        <v>5484</v>
      </c>
      <c r="K194" s="101">
        <v>3851</v>
      </c>
      <c r="L194" s="101">
        <v>2601</v>
      </c>
      <c r="M194" s="101">
        <v>7008</v>
      </c>
      <c r="N194" s="101">
        <v>7241</v>
      </c>
      <c r="O194" s="101">
        <v>-41368</v>
      </c>
      <c r="P194" s="101">
        <v>67614</v>
      </c>
      <c r="Q194" s="101">
        <v>6964</v>
      </c>
      <c r="R194" s="101">
        <v>4374</v>
      </c>
      <c r="S194" s="101"/>
      <c r="T194" t="s">
        <v>307</v>
      </c>
      <c r="U194" s="101">
        <f t="shared" si="6"/>
        <v>111796</v>
      </c>
      <c r="V194" s="101">
        <f>Inkomsten!M194</f>
        <v>60970000</v>
      </c>
      <c r="W194" s="101">
        <f>Inkomsten!D194</f>
        <v>50607524</v>
      </c>
      <c r="X194" s="101">
        <v>2800</v>
      </c>
      <c r="Y194" s="101">
        <v>3906</v>
      </c>
      <c r="Z194" s="101">
        <v>166</v>
      </c>
      <c r="AA194" s="101">
        <v>630</v>
      </c>
      <c r="AB194" s="101">
        <v>959</v>
      </c>
      <c r="AC194" s="101">
        <v>1244</v>
      </c>
      <c r="AD194" s="101">
        <v>0</v>
      </c>
      <c r="AE194" s="101">
        <v>0</v>
      </c>
      <c r="AF194" s="101">
        <v>106</v>
      </c>
      <c r="AG194" s="101">
        <f t="shared" si="7"/>
        <v>91622.524000000005</v>
      </c>
      <c r="AH194" s="101">
        <v>29499</v>
      </c>
      <c r="AI194" s="101">
        <f t="shared" si="8"/>
        <v>3105.9535577477204</v>
      </c>
      <c r="AJ194" t="s">
        <v>465</v>
      </c>
      <c r="AN194" t="s">
        <v>277</v>
      </c>
      <c r="AO194" s="259">
        <v>1919.2260468108673</v>
      </c>
      <c r="AP194" t="s">
        <v>465</v>
      </c>
    </row>
    <row r="195" spans="2:42" x14ac:dyDescent="0.25">
      <c r="B195" t="s">
        <v>190</v>
      </c>
      <c r="C195" s="101">
        <v>165895</v>
      </c>
      <c r="D195" s="101">
        <v>28978</v>
      </c>
      <c r="E195" s="101">
        <v>1211</v>
      </c>
      <c r="F195" s="101">
        <v>8027</v>
      </c>
      <c r="G195" s="101">
        <v>29217</v>
      </c>
      <c r="H195" s="101">
        <v>16723</v>
      </c>
      <c r="I195" s="101">
        <v>3141</v>
      </c>
      <c r="J195" s="101">
        <v>4727</v>
      </c>
      <c r="K195" s="101">
        <v>6477</v>
      </c>
      <c r="L195" s="101">
        <v>2607</v>
      </c>
      <c r="M195" s="101">
        <v>9072</v>
      </c>
      <c r="N195" s="101">
        <v>11095</v>
      </c>
      <c r="O195" s="101">
        <v>13379</v>
      </c>
      <c r="P195" s="101">
        <v>19347</v>
      </c>
      <c r="Q195" s="101">
        <v>8328</v>
      </c>
      <c r="R195" s="101">
        <v>4021</v>
      </c>
      <c r="S195" s="101"/>
      <c r="T195" t="s">
        <v>190</v>
      </c>
      <c r="U195" s="101">
        <f t="shared" ref="U195:U258" si="9">SUM(C195,-D195,-E195,-F195)</f>
        <v>127679</v>
      </c>
      <c r="V195" s="101">
        <f>Inkomsten!M195</f>
        <v>99247000</v>
      </c>
      <c r="W195" s="101">
        <f>Inkomsten!D195</f>
        <v>78993836</v>
      </c>
      <c r="X195" s="101">
        <v>2564</v>
      </c>
      <c r="Y195" s="101">
        <v>3685</v>
      </c>
      <c r="Z195" s="101">
        <v>658</v>
      </c>
      <c r="AA195" s="101">
        <v>934</v>
      </c>
      <c r="AB195" s="101">
        <v>1475</v>
      </c>
      <c r="AC195" s="101">
        <v>359</v>
      </c>
      <c r="AD195" s="101">
        <v>322</v>
      </c>
      <c r="AE195" s="101">
        <v>292</v>
      </c>
      <c r="AF195" s="101">
        <v>14</v>
      </c>
      <c r="AG195" s="101">
        <f t="shared" ref="AG195:AG258" si="10">SUM(U195,-V195/1000,W195/1000,-X195,-Y195,-Z195,-AA195,-AB195,-AC195,-AD195,-AE195,-AF195)</f>
        <v>97122.835999999996</v>
      </c>
      <c r="AH195" s="101">
        <v>45358</v>
      </c>
      <c r="AI195" s="101">
        <f t="shared" ref="AI195:AI258" si="11">AG195*1000/AH195</f>
        <v>2141.2504078663083</v>
      </c>
      <c r="AJ195" t="s">
        <v>465</v>
      </c>
      <c r="AN195" t="s">
        <v>214</v>
      </c>
      <c r="AO195" s="259">
        <v>1919.1221301003179</v>
      </c>
      <c r="AP195" t="s">
        <v>465</v>
      </c>
    </row>
    <row r="196" spans="2:42" x14ac:dyDescent="0.25">
      <c r="B196" t="s">
        <v>191</v>
      </c>
      <c r="C196" s="101">
        <v>940839</v>
      </c>
      <c r="D196" s="101">
        <v>91788</v>
      </c>
      <c r="E196" s="101">
        <v>9194</v>
      </c>
      <c r="F196" s="101">
        <v>31401</v>
      </c>
      <c r="G196" s="101">
        <v>140163</v>
      </c>
      <c r="H196" s="101">
        <v>23950</v>
      </c>
      <c r="I196" s="101">
        <v>19003</v>
      </c>
      <c r="J196" s="101">
        <v>41450</v>
      </c>
      <c r="K196" s="101">
        <v>7636</v>
      </c>
      <c r="L196" s="101">
        <v>34180</v>
      </c>
      <c r="M196" s="101">
        <v>56716</v>
      </c>
      <c r="N196" s="101">
        <v>184395</v>
      </c>
      <c r="O196" s="101">
        <v>68199</v>
      </c>
      <c r="P196" s="101">
        <v>178708</v>
      </c>
      <c r="Q196" s="101">
        <v>42469</v>
      </c>
      <c r="R196" s="101">
        <v>13913</v>
      </c>
      <c r="S196" s="101"/>
      <c r="T196" t="s">
        <v>191</v>
      </c>
      <c r="U196" s="101">
        <f t="shared" si="9"/>
        <v>808456</v>
      </c>
      <c r="V196" s="101">
        <f>Inkomsten!M196</f>
        <v>705990000</v>
      </c>
      <c r="W196" s="101">
        <f>Inkomsten!D196</f>
        <v>454189480</v>
      </c>
      <c r="X196" s="101">
        <v>16861</v>
      </c>
      <c r="Y196" s="101">
        <v>4219</v>
      </c>
      <c r="Z196" s="101">
        <v>0</v>
      </c>
      <c r="AA196" s="101">
        <v>2423</v>
      </c>
      <c r="AB196" s="101">
        <v>6930</v>
      </c>
      <c r="AC196" s="101">
        <v>2025</v>
      </c>
      <c r="AD196" s="101">
        <v>868</v>
      </c>
      <c r="AE196" s="101">
        <v>21671</v>
      </c>
      <c r="AF196" s="101">
        <v>910</v>
      </c>
      <c r="AG196" s="101">
        <f t="shared" si="10"/>
        <v>500748.48</v>
      </c>
      <c r="AH196" s="101">
        <v>187011</v>
      </c>
      <c r="AI196" s="101">
        <f t="shared" si="11"/>
        <v>2677.6418499446559</v>
      </c>
      <c r="AJ196" t="s">
        <v>439</v>
      </c>
      <c r="AN196" t="s">
        <v>372</v>
      </c>
      <c r="AO196" s="259">
        <v>1917.4544884456129</v>
      </c>
      <c r="AP196" t="s">
        <v>465</v>
      </c>
    </row>
    <row r="197" spans="2:42" x14ac:dyDescent="0.25">
      <c r="B197" t="s">
        <v>475</v>
      </c>
      <c r="C197" s="101">
        <v>371247</v>
      </c>
      <c r="D197" s="101">
        <v>36260</v>
      </c>
      <c r="E197" s="101">
        <v>3334</v>
      </c>
      <c r="F197" s="101">
        <v>13127</v>
      </c>
      <c r="G197" s="101">
        <v>72354</v>
      </c>
      <c r="H197" s="101">
        <v>24633</v>
      </c>
      <c r="I197" s="101">
        <v>7971</v>
      </c>
      <c r="J197" s="101">
        <v>15127</v>
      </c>
      <c r="K197" s="101">
        <v>2286</v>
      </c>
      <c r="L197" s="101">
        <v>11243</v>
      </c>
      <c r="M197" s="101">
        <v>18479</v>
      </c>
      <c r="N197" s="101">
        <v>53142</v>
      </c>
      <c r="O197" s="101">
        <v>36567</v>
      </c>
      <c r="P197" s="101">
        <v>55147</v>
      </c>
      <c r="Q197" s="101">
        <v>21235</v>
      </c>
      <c r="R197" s="101">
        <v>805</v>
      </c>
      <c r="S197" s="101"/>
      <c r="T197" t="s">
        <v>475</v>
      </c>
      <c r="U197" s="101">
        <f t="shared" si="9"/>
        <v>318526</v>
      </c>
      <c r="V197" s="101">
        <f>Inkomsten!M197</f>
        <v>286080000</v>
      </c>
      <c r="W197" s="101">
        <f>Inkomsten!D197</f>
        <v>201951785</v>
      </c>
      <c r="X197" s="101">
        <v>7730</v>
      </c>
      <c r="Y197" s="101">
        <v>14156</v>
      </c>
      <c r="Z197" s="101">
        <v>521</v>
      </c>
      <c r="AA197" s="101">
        <v>1791</v>
      </c>
      <c r="AB197" s="101">
        <v>711</v>
      </c>
      <c r="AC197" s="101">
        <v>115</v>
      </c>
      <c r="AD197" s="101">
        <v>293</v>
      </c>
      <c r="AE197" s="101">
        <v>3118</v>
      </c>
      <c r="AF197" s="101">
        <v>45</v>
      </c>
      <c r="AG197" s="101">
        <f t="shared" si="10"/>
        <v>205917.785</v>
      </c>
      <c r="AH197" s="101">
        <v>87626</v>
      </c>
      <c r="AI197" s="101">
        <f t="shared" si="11"/>
        <v>2349.9621687626959</v>
      </c>
      <c r="AJ197" t="s">
        <v>116</v>
      </c>
      <c r="AN197" t="s">
        <v>356</v>
      </c>
      <c r="AO197" s="259">
        <v>1916.9162671965601</v>
      </c>
      <c r="AP197" t="s">
        <v>465</v>
      </c>
    </row>
    <row r="198" spans="2:42" x14ac:dyDescent="0.25">
      <c r="B198" t="s">
        <v>597</v>
      </c>
      <c r="C198" s="101">
        <v>170612</v>
      </c>
      <c r="D198" s="101">
        <v>605</v>
      </c>
      <c r="E198" s="101">
        <v>1658</v>
      </c>
      <c r="F198" s="101">
        <v>8294</v>
      </c>
      <c r="G198" s="101">
        <v>42133</v>
      </c>
      <c r="H198" s="101">
        <v>12567</v>
      </c>
      <c r="I198" s="101">
        <v>3990</v>
      </c>
      <c r="J198" s="101">
        <v>7781</v>
      </c>
      <c r="K198" s="101">
        <v>4135</v>
      </c>
      <c r="L198" s="101">
        <v>3945</v>
      </c>
      <c r="M198" s="101">
        <v>8716</v>
      </c>
      <c r="N198" s="101">
        <v>31283</v>
      </c>
      <c r="O198" s="101">
        <v>15366</v>
      </c>
      <c r="P198" s="101">
        <v>18220</v>
      </c>
      <c r="Q198" s="101">
        <v>11661</v>
      </c>
      <c r="R198" s="101">
        <v>864</v>
      </c>
      <c r="S198" s="101"/>
      <c r="T198" t="s">
        <v>597</v>
      </c>
      <c r="U198" s="101">
        <f t="shared" si="9"/>
        <v>160055</v>
      </c>
      <c r="V198" s="101">
        <f>Inkomsten!M198</f>
        <v>139465000</v>
      </c>
      <c r="W198" s="101">
        <f>Inkomsten!D198</f>
        <v>108078986</v>
      </c>
      <c r="X198" s="101">
        <v>5143</v>
      </c>
      <c r="Y198" s="101">
        <v>4685</v>
      </c>
      <c r="Z198" s="101">
        <v>482</v>
      </c>
      <c r="AA198" s="101">
        <v>853</v>
      </c>
      <c r="AB198" s="101">
        <v>840</v>
      </c>
      <c r="AC198" s="101">
        <v>212</v>
      </c>
      <c r="AD198" s="101">
        <v>583</v>
      </c>
      <c r="AE198" s="101">
        <v>341</v>
      </c>
      <c r="AF198" s="101">
        <v>109</v>
      </c>
      <c r="AG198" s="101">
        <f t="shared" si="10"/>
        <v>115420.986</v>
      </c>
      <c r="AH198" s="101">
        <v>45870</v>
      </c>
      <c r="AI198" s="101">
        <f t="shared" si="11"/>
        <v>2516.2630477436232</v>
      </c>
      <c r="AJ198" t="s">
        <v>116</v>
      </c>
      <c r="AN198" t="s">
        <v>348</v>
      </c>
      <c r="AO198" s="259">
        <v>1910.577379910955</v>
      </c>
      <c r="AP198" t="s">
        <v>465</v>
      </c>
    </row>
    <row r="199" spans="2:42" x14ac:dyDescent="0.25">
      <c r="B199" t="s">
        <v>333</v>
      </c>
      <c r="C199" s="101">
        <v>32291</v>
      </c>
      <c r="D199" s="101">
        <v>758</v>
      </c>
      <c r="E199" s="101">
        <v>115</v>
      </c>
      <c r="F199" s="101">
        <v>1882</v>
      </c>
      <c r="G199" s="101">
        <v>6947</v>
      </c>
      <c r="H199" s="101">
        <v>4734</v>
      </c>
      <c r="I199" s="101">
        <v>1116</v>
      </c>
      <c r="J199" s="101">
        <v>2277</v>
      </c>
      <c r="K199" s="101">
        <v>1217</v>
      </c>
      <c r="L199" s="101">
        <v>271</v>
      </c>
      <c r="M199" s="101">
        <v>1593</v>
      </c>
      <c r="N199" s="101">
        <v>3152</v>
      </c>
      <c r="O199" s="101">
        <v>1862</v>
      </c>
      <c r="P199" s="101">
        <v>3999</v>
      </c>
      <c r="Q199" s="101">
        <v>2440</v>
      </c>
      <c r="R199" s="101">
        <v>412</v>
      </c>
      <c r="S199" s="101"/>
      <c r="T199" t="s">
        <v>333</v>
      </c>
      <c r="U199" s="101">
        <f t="shared" si="9"/>
        <v>29536</v>
      </c>
      <c r="V199" s="101">
        <f>Inkomsten!M199</f>
        <v>23194000</v>
      </c>
      <c r="W199" s="101">
        <f>Inkomsten!D199</f>
        <v>17683532</v>
      </c>
      <c r="X199" s="101">
        <v>1131</v>
      </c>
      <c r="Y199" s="101">
        <v>1317</v>
      </c>
      <c r="Z199" s="101">
        <v>68</v>
      </c>
      <c r="AA199" s="101">
        <v>120</v>
      </c>
      <c r="AB199" s="101">
        <v>200</v>
      </c>
      <c r="AC199" s="101">
        <v>253</v>
      </c>
      <c r="AD199" s="101">
        <v>2490</v>
      </c>
      <c r="AE199" s="101">
        <v>500</v>
      </c>
      <c r="AF199" s="101">
        <v>52</v>
      </c>
      <c r="AG199" s="101">
        <f t="shared" si="10"/>
        <v>17894.531999999999</v>
      </c>
      <c r="AH199" s="101">
        <v>7943</v>
      </c>
      <c r="AI199" s="101">
        <f t="shared" si="11"/>
        <v>2252.8681858239961</v>
      </c>
      <c r="AJ199" t="s">
        <v>116</v>
      </c>
      <c r="AN199" t="s">
        <v>369</v>
      </c>
      <c r="AO199" s="259">
        <v>1904.7774468778459</v>
      </c>
      <c r="AP199" t="s">
        <v>465</v>
      </c>
    </row>
    <row r="200" spans="2:42" x14ac:dyDescent="0.25">
      <c r="B200" t="s">
        <v>112</v>
      </c>
      <c r="C200" s="101">
        <v>101303</v>
      </c>
      <c r="D200" s="101">
        <v>5583</v>
      </c>
      <c r="E200" s="101">
        <v>2247</v>
      </c>
      <c r="F200" s="101">
        <v>7500</v>
      </c>
      <c r="G200" s="101">
        <v>26708</v>
      </c>
      <c r="H200" s="101">
        <v>6084</v>
      </c>
      <c r="I200" s="101">
        <v>1982</v>
      </c>
      <c r="J200" s="101">
        <v>2526</v>
      </c>
      <c r="K200" s="101">
        <v>1482</v>
      </c>
      <c r="L200" s="101">
        <v>1398</v>
      </c>
      <c r="M200" s="101">
        <v>5536</v>
      </c>
      <c r="N200" s="101">
        <v>13920</v>
      </c>
      <c r="O200" s="101">
        <v>7755</v>
      </c>
      <c r="P200" s="101">
        <v>11018</v>
      </c>
      <c r="Q200" s="101">
        <v>7056</v>
      </c>
      <c r="R200" s="101">
        <v>927</v>
      </c>
      <c r="S200" s="101"/>
      <c r="T200" t="s">
        <v>112</v>
      </c>
      <c r="U200" s="101">
        <f t="shared" si="9"/>
        <v>85973</v>
      </c>
      <c r="V200" s="101">
        <f>Inkomsten!M200</f>
        <v>77330000</v>
      </c>
      <c r="W200" s="101">
        <f>Inkomsten!D200</f>
        <v>64527991</v>
      </c>
      <c r="X200" s="101">
        <v>4660</v>
      </c>
      <c r="Y200" s="101">
        <v>3950</v>
      </c>
      <c r="Z200" s="101">
        <v>150</v>
      </c>
      <c r="AA200" s="101">
        <v>524</v>
      </c>
      <c r="AB200" s="101">
        <v>565</v>
      </c>
      <c r="AC200" s="101">
        <v>52</v>
      </c>
      <c r="AD200" s="101">
        <v>289</v>
      </c>
      <c r="AE200" s="101">
        <v>0</v>
      </c>
      <c r="AF200" s="101">
        <v>233</v>
      </c>
      <c r="AG200" s="101">
        <f t="shared" si="10"/>
        <v>62747.991000000009</v>
      </c>
      <c r="AH200" s="101">
        <v>31674</v>
      </c>
      <c r="AI200" s="101">
        <f t="shared" si="11"/>
        <v>1981.056734229968</v>
      </c>
      <c r="AJ200" t="s">
        <v>116</v>
      </c>
      <c r="AN200" t="s">
        <v>344</v>
      </c>
      <c r="AO200" s="259">
        <v>1899.7583051601343</v>
      </c>
      <c r="AP200" t="s">
        <v>465</v>
      </c>
    </row>
    <row r="201" spans="2:42" x14ac:dyDescent="0.25">
      <c r="B201" t="s">
        <v>430</v>
      </c>
      <c r="C201" s="101">
        <v>166975</v>
      </c>
      <c r="D201" s="101">
        <v>6213</v>
      </c>
      <c r="E201" s="101">
        <v>157</v>
      </c>
      <c r="F201" s="101">
        <v>4621</v>
      </c>
      <c r="G201" s="101">
        <v>37279</v>
      </c>
      <c r="H201" s="101">
        <v>9680</v>
      </c>
      <c r="I201" s="101">
        <v>4222</v>
      </c>
      <c r="J201" s="101">
        <v>7643</v>
      </c>
      <c r="K201" s="101">
        <v>5613</v>
      </c>
      <c r="L201" s="101">
        <v>5035</v>
      </c>
      <c r="M201" s="101">
        <v>12039</v>
      </c>
      <c r="N201" s="101">
        <v>23990</v>
      </c>
      <c r="O201" s="101">
        <v>15687</v>
      </c>
      <c r="P201" s="101">
        <v>20478</v>
      </c>
      <c r="Q201" s="101">
        <v>13275</v>
      </c>
      <c r="R201" s="101">
        <v>1747</v>
      </c>
      <c r="S201" s="101"/>
      <c r="T201" t="s">
        <v>430</v>
      </c>
      <c r="U201" s="101">
        <f t="shared" si="9"/>
        <v>155984</v>
      </c>
      <c r="V201" s="101">
        <f>Inkomsten!M201</f>
        <v>138889000</v>
      </c>
      <c r="W201" s="101">
        <f>Inkomsten!D201</f>
        <v>104245323</v>
      </c>
      <c r="X201" s="101">
        <v>3473</v>
      </c>
      <c r="Y201" s="101">
        <v>7481</v>
      </c>
      <c r="Z201" s="101">
        <v>552</v>
      </c>
      <c r="AA201" s="101">
        <v>706</v>
      </c>
      <c r="AB201" s="101">
        <v>1480</v>
      </c>
      <c r="AC201" s="101">
        <v>374</v>
      </c>
      <c r="AD201" s="101">
        <v>500</v>
      </c>
      <c r="AE201" s="101">
        <v>0</v>
      </c>
      <c r="AF201" s="101">
        <v>226</v>
      </c>
      <c r="AG201" s="101">
        <f t="shared" si="10"/>
        <v>106548.323</v>
      </c>
      <c r="AH201" s="101">
        <v>50050</v>
      </c>
      <c r="AI201" s="101">
        <f t="shared" si="11"/>
        <v>2128.8376223776222</v>
      </c>
      <c r="AJ201" t="s">
        <v>116</v>
      </c>
      <c r="AN201" t="s">
        <v>320</v>
      </c>
      <c r="AO201" s="259">
        <v>1882.3507036690905</v>
      </c>
      <c r="AP201" t="s">
        <v>465</v>
      </c>
    </row>
    <row r="202" spans="2:42" x14ac:dyDescent="0.25">
      <c r="B202" t="s">
        <v>308</v>
      </c>
      <c r="C202" s="101">
        <v>158389</v>
      </c>
      <c r="D202" s="101">
        <v>8255</v>
      </c>
      <c r="E202" s="101">
        <v>3255</v>
      </c>
      <c r="F202" s="101">
        <v>9969</v>
      </c>
      <c r="G202" s="101">
        <v>26852</v>
      </c>
      <c r="H202" s="101">
        <v>14320</v>
      </c>
      <c r="I202" s="101">
        <v>5287</v>
      </c>
      <c r="J202" s="101">
        <v>5860</v>
      </c>
      <c r="K202" s="101">
        <v>2235</v>
      </c>
      <c r="L202" s="101">
        <v>2902</v>
      </c>
      <c r="M202" s="101">
        <v>12546</v>
      </c>
      <c r="N202" s="101">
        <v>15959</v>
      </c>
      <c r="O202" s="101">
        <v>8692</v>
      </c>
      <c r="P202" s="101">
        <v>22641</v>
      </c>
      <c r="Q202" s="101">
        <v>13667</v>
      </c>
      <c r="R202" s="101">
        <v>6557</v>
      </c>
      <c r="S202" s="101"/>
      <c r="T202" t="s">
        <v>308</v>
      </c>
      <c r="U202" s="101">
        <f t="shared" si="9"/>
        <v>136910</v>
      </c>
      <c r="V202" s="101">
        <f>Inkomsten!M202</f>
        <v>93794000</v>
      </c>
      <c r="W202" s="101">
        <f>Inkomsten!D202</f>
        <v>76627954</v>
      </c>
      <c r="X202" s="101">
        <v>5136</v>
      </c>
      <c r="Y202" s="101">
        <v>8023</v>
      </c>
      <c r="Z202" s="101">
        <v>185</v>
      </c>
      <c r="AA202" s="101">
        <v>643</v>
      </c>
      <c r="AB202" s="101">
        <v>2849</v>
      </c>
      <c r="AC202" s="101">
        <v>428</v>
      </c>
      <c r="AD202" s="101">
        <v>3668</v>
      </c>
      <c r="AE202" s="101">
        <v>5882</v>
      </c>
      <c r="AF202" s="101">
        <v>290</v>
      </c>
      <c r="AG202" s="101">
        <f t="shared" si="10"/>
        <v>92639.953999999998</v>
      </c>
      <c r="AH202" s="101">
        <v>45732</v>
      </c>
      <c r="AI202" s="101">
        <f t="shared" si="11"/>
        <v>2025.714029563544</v>
      </c>
      <c r="AJ202" t="s">
        <v>116</v>
      </c>
      <c r="AN202" t="s">
        <v>261</v>
      </c>
      <c r="AO202" s="259">
        <v>1878.3475635110235</v>
      </c>
      <c r="AP202" t="s">
        <v>465</v>
      </c>
    </row>
    <row r="203" spans="2:42" x14ac:dyDescent="0.25">
      <c r="B203" t="s">
        <v>433</v>
      </c>
      <c r="C203" s="101">
        <v>68070</v>
      </c>
      <c r="D203" s="101">
        <v>6596</v>
      </c>
      <c r="E203" s="101">
        <v>807</v>
      </c>
      <c r="F203" s="101">
        <v>2151</v>
      </c>
      <c r="G203" s="101">
        <v>10542</v>
      </c>
      <c r="H203" s="101">
        <v>10506</v>
      </c>
      <c r="I203" s="101">
        <v>2553</v>
      </c>
      <c r="J203" s="101">
        <v>2669</v>
      </c>
      <c r="K203" s="101">
        <v>408</v>
      </c>
      <c r="L203" s="101">
        <v>1643</v>
      </c>
      <c r="M203" s="101">
        <v>4088</v>
      </c>
      <c r="N203" s="101">
        <v>7682</v>
      </c>
      <c r="O203" s="101">
        <v>4498</v>
      </c>
      <c r="P203" s="101">
        <v>8027</v>
      </c>
      <c r="Q203" s="101">
        <v>4945</v>
      </c>
      <c r="R203" s="101">
        <v>1082</v>
      </c>
      <c r="S203" s="101"/>
      <c r="T203" t="s">
        <v>433</v>
      </c>
      <c r="U203" s="101">
        <f t="shared" si="9"/>
        <v>58516</v>
      </c>
      <c r="V203" s="101">
        <f>Inkomsten!M203</f>
        <v>47379000</v>
      </c>
      <c r="W203" s="101">
        <f>Inkomsten!D203</f>
        <v>39595915</v>
      </c>
      <c r="X203" s="101">
        <v>2121</v>
      </c>
      <c r="Y203" s="101">
        <v>3026</v>
      </c>
      <c r="Z203" s="101">
        <v>280</v>
      </c>
      <c r="AA203" s="101">
        <v>346</v>
      </c>
      <c r="AB203" s="101">
        <v>658</v>
      </c>
      <c r="AC203" s="101">
        <v>68</v>
      </c>
      <c r="AD203" s="101">
        <v>25</v>
      </c>
      <c r="AE203" s="101">
        <v>0</v>
      </c>
      <c r="AF203" s="101">
        <v>101</v>
      </c>
      <c r="AG203" s="101">
        <f t="shared" si="10"/>
        <v>44107.915000000001</v>
      </c>
      <c r="AH203" s="101">
        <v>24231</v>
      </c>
      <c r="AI203" s="101">
        <f t="shared" si="11"/>
        <v>1820.3093145144649</v>
      </c>
      <c r="AJ203" t="s">
        <v>465</v>
      </c>
      <c r="AN203" t="s">
        <v>402</v>
      </c>
      <c r="AO203" s="259">
        <v>1871.2116870243885</v>
      </c>
      <c r="AP203" t="s">
        <v>465</v>
      </c>
    </row>
    <row r="204" spans="2:42" x14ac:dyDescent="0.25">
      <c r="B204" t="s">
        <v>192</v>
      </c>
      <c r="C204" s="101">
        <v>80760</v>
      </c>
      <c r="D204" s="101">
        <v>225</v>
      </c>
      <c r="E204" s="101">
        <v>360</v>
      </c>
      <c r="F204" s="101">
        <v>4311</v>
      </c>
      <c r="G204" s="101">
        <v>20741</v>
      </c>
      <c r="H204" s="101">
        <v>10650</v>
      </c>
      <c r="I204" s="101">
        <v>1874</v>
      </c>
      <c r="J204" s="101">
        <v>2502</v>
      </c>
      <c r="K204" s="101">
        <v>937</v>
      </c>
      <c r="L204" s="101">
        <v>2134</v>
      </c>
      <c r="M204" s="101">
        <v>3472</v>
      </c>
      <c r="N204" s="101">
        <v>9879</v>
      </c>
      <c r="O204" s="101">
        <v>7175</v>
      </c>
      <c r="P204" s="101">
        <v>10795</v>
      </c>
      <c r="Q204" s="101">
        <v>5837</v>
      </c>
      <c r="R204" s="101">
        <v>363</v>
      </c>
      <c r="S204" s="101"/>
      <c r="T204" t="s">
        <v>192</v>
      </c>
      <c r="U204" s="101">
        <f t="shared" si="9"/>
        <v>75864</v>
      </c>
      <c r="V204" s="101">
        <f>Inkomsten!M204</f>
        <v>66377000</v>
      </c>
      <c r="W204" s="101">
        <f>Inkomsten!D204</f>
        <v>54782154</v>
      </c>
      <c r="X204" s="101">
        <v>2067</v>
      </c>
      <c r="Y204" s="101">
        <v>2364</v>
      </c>
      <c r="Z204" s="101">
        <v>327</v>
      </c>
      <c r="AA204" s="101">
        <v>549</v>
      </c>
      <c r="AB204" s="101">
        <v>1062</v>
      </c>
      <c r="AC204" s="101">
        <v>80</v>
      </c>
      <c r="AD204" s="101">
        <v>975</v>
      </c>
      <c r="AE204" s="101">
        <v>0</v>
      </c>
      <c r="AF204" s="101">
        <v>166</v>
      </c>
      <c r="AG204" s="101">
        <f t="shared" si="10"/>
        <v>56679.154000000002</v>
      </c>
      <c r="AH204" s="101">
        <v>29074</v>
      </c>
      <c r="AI204" s="101">
        <f t="shared" si="11"/>
        <v>1949.4790534498177</v>
      </c>
      <c r="AJ204" t="s">
        <v>465</v>
      </c>
      <c r="AN204" t="s">
        <v>346</v>
      </c>
      <c r="AO204" s="259">
        <v>1870.0279583704857</v>
      </c>
      <c r="AP204" t="s">
        <v>465</v>
      </c>
    </row>
    <row r="205" spans="2:42" x14ac:dyDescent="0.25">
      <c r="B205" t="s">
        <v>309</v>
      </c>
      <c r="C205" s="101">
        <v>67948</v>
      </c>
      <c r="D205" s="101">
        <v>69</v>
      </c>
      <c r="E205" s="101">
        <v>1524</v>
      </c>
      <c r="F205" s="101">
        <v>3818</v>
      </c>
      <c r="G205" s="101">
        <v>14500</v>
      </c>
      <c r="H205" s="101">
        <v>8553</v>
      </c>
      <c r="I205" s="101">
        <v>1873</v>
      </c>
      <c r="J205" s="101">
        <v>2748</v>
      </c>
      <c r="K205" s="101">
        <v>442</v>
      </c>
      <c r="L205" s="101">
        <v>2067</v>
      </c>
      <c r="M205" s="101">
        <v>3340</v>
      </c>
      <c r="N205" s="101">
        <v>8675</v>
      </c>
      <c r="O205" s="101">
        <v>6259</v>
      </c>
      <c r="P205" s="101">
        <v>7726</v>
      </c>
      <c r="Q205" s="101">
        <v>6053</v>
      </c>
      <c r="R205" s="101">
        <v>427</v>
      </c>
      <c r="S205" s="101"/>
      <c r="T205" t="s">
        <v>309</v>
      </c>
      <c r="U205" s="101">
        <f t="shared" si="9"/>
        <v>62537</v>
      </c>
      <c r="V205" s="101">
        <f>Inkomsten!M205</f>
        <v>51227000</v>
      </c>
      <c r="W205" s="101">
        <f>Inkomsten!D205</f>
        <v>40822816</v>
      </c>
      <c r="X205" s="101">
        <v>2731</v>
      </c>
      <c r="Y205" s="101">
        <v>4154</v>
      </c>
      <c r="Z205" s="101">
        <v>0</v>
      </c>
      <c r="AA205" s="101">
        <v>489</v>
      </c>
      <c r="AB205" s="101">
        <v>1405</v>
      </c>
      <c r="AC205" s="101">
        <v>28</v>
      </c>
      <c r="AD205" s="101">
        <v>460</v>
      </c>
      <c r="AE205" s="101">
        <v>0</v>
      </c>
      <c r="AF205" s="101">
        <v>59</v>
      </c>
      <c r="AG205" s="101">
        <f t="shared" si="10"/>
        <v>42806.815999999999</v>
      </c>
      <c r="AH205" s="101">
        <v>25939</v>
      </c>
      <c r="AI205" s="101">
        <f t="shared" si="11"/>
        <v>1650.2878291375921</v>
      </c>
      <c r="AJ205" t="s">
        <v>465</v>
      </c>
      <c r="AN205" t="s">
        <v>358</v>
      </c>
      <c r="AO205" s="259">
        <v>1862.7192535824274</v>
      </c>
      <c r="AP205" t="s">
        <v>465</v>
      </c>
    </row>
    <row r="206" spans="2:42" x14ac:dyDescent="0.25">
      <c r="B206" t="s">
        <v>378</v>
      </c>
      <c r="C206" s="101">
        <v>51855</v>
      </c>
      <c r="D206" s="101">
        <v>3520</v>
      </c>
      <c r="E206" s="101">
        <v>711</v>
      </c>
      <c r="F206" s="101">
        <v>2664</v>
      </c>
      <c r="G206" s="101">
        <v>10040</v>
      </c>
      <c r="H206" s="101">
        <v>6588</v>
      </c>
      <c r="I206" s="101">
        <v>1260</v>
      </c>
      <c r="J206" s="101">
        <v>1740</v>
      </c>
      <c r="K206" s="101">
        <v>793</v>
      </c>
      <c r="L206" s="101">
        <v>616</v>
      </c>
      <c r="M206" s="101">
        <v>3546</v>
      </c>
      <c r="N206" s="101">
        <v>5717</v>
      </c>
      <c r="O206" s="101">
        <v>2759</v>
      </c>
      <c r="P206" s="101">
        <v>6633</v>
      </c>
      <c r="Q206" s="101">
        <v>3791</v>
      </c>
      <c r="R206" s="101">
        <v>1799</v>
      </c>
      <c r="S206" s="101"/>
      <c r="T206" t="s">
        <v>378</v>
      </c>
      <c r="U206" s="101">
        <f t="shared" si="9"/>
        <v>44960</v>
      </c>
      <c r="V206" s="101">
        <f>Inkomsten!M206</f>
        <v>39103000</v>
      </c>
      <c r="W206" s="101">
        <f>Inkomsten!D206</f>
        <v>32416937</v>
      </c>
      <c r="X206" s="101">
        <v>1880</v>
      </c>
      <c r="Y206" s="101">
        <v>1610</v>
      </c>
      <c r="Z206" s="101">
        <v>0</v>
      </c>
      <c r="AA206" s="101">
        <v>334</v>
      </c>
      <c r="AB206" s="101">
        <v>480</v>
      </c>
      <c r="AC206" s="101">
        <v>82</v>
      </c>
      <c r="AD206" s="101">
        <v>350</v>
      </c>
      <c r="AE206" s="101">
        <v>4</v>
      </c>
      <c r="AF206" s="101">
        <v>177</v>
      </c>
      <c r="AG206" s="101">
        <f t="shared" si="10"/>
        <v>33356.937000000005</v>
      </c>
      <c r="AH206" s="101">
        <v>19267</v>
      </c>
      <c r="AI206" s="101">
        <f t="shared" si="11"/>
        <v>1731.298956765454</v>
      </c>
      <c r="AJ206" t="s">
        <v>465</v>
      </c>
      <c r="AN206" t="s">
        <v>282</v>
      </c>
      <c r="AO206" s="259">
        <v>1859.7574515107581</v>
      </c>
      <c r="AP206" t="s">
        <v>465</v>
      </c>
    </row>
    <row r="207" spans="2:42" x14ac:dyDescent="0.25">
      <c r="B207" t="s">
        <v>379</v>
      </c>
      <c r="C207" s="101">
        <v>102393</v>
      </c>
      <c r="D207" s="101">
        <v>3417</v>
      </c>
      <c r="E207" s="101">
        <v>580</v>
      </c>
      <c r="F207" s="101">
        <v>3715</v>
      </c>
      <c r="G207" s="101">
        <v>23517</v>
      </c>
      <c r="H207" s="101">
        <v>9586</v>
      </c>
      <c r="I207" s="101">
        <v>2393</v>
      </c>
      <c r="J207" s="101">
        <v>3476</v>
      </c>
      <c r="K207" s="101">
        <v>1266</v>
      </c>
      <c r="L207" s="101">
        <v>2230</v>
      </c>
      <c r="M207" s="101">
        <v>6562</v>
      </c>
      <c r="N207" s="101">
        <v>11528</v>
      </c>
      <c r="O207" s="101">
        <v>7339</v>
      </c>
      <c r="P207" s="101">
        <v>17969</v>
      </c>
      <c r="Q207" s="101">
        <v>8430</v>
      </c>
      <c r="R207" s="101">
        <v>536</v>
      </c>
      <c r="S207" s="101"/>
      <c r="T207" t="s">
        <v>379</v>
      </c>
      <c r="U207" s="101">
        <f t="shared" si="9"/>
        <v>94681</v>
      </c>
      <c r="V207" s="101">
        <f>Inkomsten!M207</f>
        <v>71205000</v>
      </c>
      <c r="W207" s="101">
        <f>Inkomsten!D207</f>
        <v>56222506</v>
      </c>
      <c r="X207" s="101">
        <v>3649</v>
      </c>
      <c r="Y207" s="101">
        <v>3504</v>
      </c>
      <c r="Z207" s="101">
        <v>0</v>
      </c>
      <c r="AA207" s="101">
        <v>493</v>
      </c>
      <c r="AB207" s="101">
        <v>736</v>
      </c>
      <c r="AC207" s="101">
        <v>350</v>
      </c>
      <c r="AD207" s="101">
        <v>876</v>
      </c>
      <c r="AE207" s="101">
        <v>1283</v>
      </c>
      <c r="AF207" s="101">
        <v>241</v>
      </c>
      <c r="AG207" s="101">
        <f t="shared" si="10"/>
        <v>68566.505999999994</v>
      </c>
      <c r="AH207" s="101">
        <v>32964</v>
      </c>
      <c r="AI207" s="101">
        <f t="shared" si="11"/>
        <v>2080.0420458682197</v>
      </c>
      <c r="AJ207" t="s">
        <v>465</v>
      </c>
      <c r="AN207" t="s">
        <v>228</v>
      </c>
      <c r="AO207" s="259">
        <v>1857.4634405590714</v>
      </c>
      <c r="AP207" t="s">
        <v>465</v>
      </c>
    </row>
    <row r="208" spans="2:42" x14ac:dyDescent="0.25">
      <c r="B208" t="s">
        <v>121</v>
      </c>
      <c r="C208" s="101">
        <v>172266</v>
      </c>
      <c r="D208" s="101">
        <v>358</v>
      </c>
      <c r="E208" s="101">
        <v>1871</v>
      </c>
      <c r="F208" s="101">
        <v>8040</v>
      </c>
      <c r="G208" s="101">
        <v>33859</v>
      </c>
      <c r="H208" s="101">
        <v>12347</v>
      </c>
      <c r="I208" s="101">
        <v>3295</v>
      </c>
      <c r="J208" s="101">
        <v>4007</v>
      </c>
      <c r="K208" s="101">
        <v>1398</v>
      </c>
      <c r="L208" s="101">
        <v>4069</v>
      </c>
      <c r="M208" s="101">
        <v>7608</v>
      </c>
      <c r="N208" s="101">
        <v>46188</v>
      </c>
      <c r="O208" s="101">
        <v>17585</v>
      </c>
      <c r="P208" s="101">
        <v>24777</v>
      </c>
      <c r="Q208" s="101">
        <v>6947</v>
      </c>
      <c r="R208" s="101">
        <v>598</v>
      </c>
      <c r="S208" s="101"/>
      <c r="T208" t="s">
        <v>121</v>
      </c>
      <c r="U208" s="101">
        <f t="shared" si="9"/>
        <v>161997</v>
      </c>
      <c r="V208" s="101">
        <f>Inkomsten!M208</f>
        <v>144833000</v>
      </c>
      <c r="W208" s="101">
        <f>Inkomsten!D208</f>
        <v>105025828</v>
      </c>
      <c r="X208" s="101">
        <v>4789</v>
      </c>
      <c r="Y208" s="101">
        <v>4659</v>
      </c>
      <c r="Z208" s="101">
        <v>155</v>
      </c>
      <c r="AA208" s="101">
        <v>993</v>
      </c>
      <c r="AB208" s="101">
        <v>365</v>
      </c>
      <c r="AC208" s="101">
        <v>53</v>
      </c>
      <c r="AD208" s="101">
        <v>170</v>
      </c>
      <c r="AE208" s="101">
        <v>3</v>
      </c>
      <c r="AF208" s="101">
        <v>37</v>
      </c>
      <c r="AG208" s="101">
        <f t="shared" si="10"/>
        <v>110965.82799999999</v>
      </c>
      <c r="AH208" s="101">
        <v>39421</v>
      </c>
      <c r="AI208" s="101">
        <f t="shared" si="11"/>
        <v>2814.8912508561425</v>
      </c>
      <c r="AJ208" t="s">
        <v>439</v>
      </c>
      <c r="AN208" t="s">
        <v>433</v>
      </c>
      <c r="AO208" s="259">
        <v>1857.3406368345875</v>
      </c>
      <c r="AP208" t="s">
        <v>465</v>
      </c>
    </row>
    <row r="209" spans="2:42" x14ac:dyDescent="0.25">
      <c r="B209" t="s">
        <v>193</v>
      </c>
      <c r="C209" s="101">
        <v>89097</v>
      </c>
      <c r="D209" s="101">
        <v>3941</v>
      </c>
      <c r="E209" s="101">
        <v>383</v>
      </c>
      <c r="F209" s="101">
        <v>6710</v>
      </c>
      <c r="G209" s="101">
        <v>18259</v>
      </c>
      <c r="H209" s="101">
        <v>7805</v>
      </c>
      <c r="I209" s="101">
        <v>1752</v>
      </c>
      <c r="J209" s="101">
        <v>1658</v>
      </c>
      <c r="K209" s="101">
        <v>626</v>
      </c>
      <c r="L209" s="101">
        <v>1701</v>
      </c>
      <c r="M209" s="101">
        <v>2991</v>
      </c>
      <c r="N209" s="101">
        <v>7920</v>
      </c>
      <c r="O209" s="101">
        <v>7246</v>
      </c>
      <c r="P209" s="101">
        <v>9550</v>
      </c>
      <c r="Q209" s="101">
        <v>18281</v>
      </c>
      <c r="R209" s="101">
        <v>612</v>
      </c>
      <c r="S209" s="101"/>
      <c r="T209" t="s">
        <v>193</v>
      </c>
      <c r="U209" s="101">
        <f t="shared" si="9"/>
        <v>78063</v>
      </c>
      <c r="V209" s="101">
        <f>Inkomsten!M209</f>
        <v>54006000</v>
      </c>
      <c r="W209" s="101">
        <f>Inkomsten!D209</f>
        <v>44456099</v>
      </c>
      <c r="X209" s="101">
        <v>1694</v>
      </c>
      <c r="Y209" s="101">
        <v>3208</v>
      </c>
      <c r="Z209" s="101">
        <v>591</v>
      </c>
      <c r="AA209" s="101">
        <v>343</v>
      </c>
      <c r="AB209" s="101">
        <v>949</v>
      </c>
      <c r="AC209" s="101">
        <v>139</v>
      </c>
      <c r="AD209" s="101">
        <v>784</v>
      </c>
      <c r="AE209" s="101">
        <v>0</v>
      </c>
      <c r="AF209" s="101">
        <v>189</v>
      </c>
      <c r="AG209" s="101">
        <f t="shared" si="10"/>
        <v>60616.099000000002</v>
      </c>
      <c r="AH209" s="101">
        <v>24276</v>
      </c>
      <c r="AI209" s="101">
        <f t="shared" si="11"/>
        <v>2496.9557999670456</v>
      </c>
      <c r="AJ209" t="s">
        <v>465</v>
      </c>
      <c r="AN209" t="s">
        <v>486</v>
      </c>
      <c r="AO209" s="259">
        <v>1855.6472542175704</v>
      </c>
      <c r="AP209" t="s">
        <v>465</v>
      </c>
    </row>
    <row r="210" spans="2:42" x14ac:dyDescent="0.25">
      <c r="B210" t="s">
        <v>151</v>
      </c>
      <c r="C210" s="101">
        <v>113918</v>
      </c>
      <c r="D210" s="101">
        <v>1598</v>
      </c>
      <c r="E210" s="101">
        <v>1314</v>
      </c>
      <c r="F210" s="101">
        <v>4593</v>
      </c>
      <c r="G210" s="101">
        <v>23207</v>
      </c>
      <c r="H210" s="101">
        <v>7636</v>
      </c>
      <c r="I210" s="101">
        <v>2760</v>
      </c>
      <c r="J210" s="101">
        <v>3130</v>
      </c>
      <c r="K210" s="101">
        <v>775</v>
      </c>
      <c r="L210" s="101">
        <v>2725</v>
      </c>
      <c r="M210" s="101">
        <v>7461</v>
      </c>
      <c r="N210" s="101">
        <v>20800</v>
      </c>
      <c r="O210" s="101">
        <v>11889</v>
      </c>
      <c r="P210" s="101">
        <v>17644</v>
      </c>
      <c r="Q210" s="101">
        <v>6281</v>
      </c>
      <c r="R210" s="101">
        <v>2401</v>
      </c>
      <c r="S210" s="101"/>
      <c r="T210" t="s">
        <v>151</v>
      </c>
      <c r="U210" s="101">
        <f t="shared" si="9"/>
        <v>106413</v>
      </c>
      <c r="V210" s="101">
        <f>Inkomsten!M210</f>
        <v>92700000</v>
      </c>
      <c r="W210" s="101">
        <f>Inkomsten!D210</f>
        <v>70502941</v>
      </c>
      <c r="X210" s="101">
        <v>3545</v>
      </c>
      <c r="Y210" s="101">
        <v>4160</v>
      </c>
      <c r="Z210" s="101">
        <v>220</v>
      </c>
      <c r="AA210" s="101">
        <v>449</v>
      </c>
      <c r="AB210" s="101">
        <v>719</v>
      </c>
      <c r="AC210" s="101">
        <v>108</v>
      </c>
      <c r="AD210" s="101">
        <v>96</v>
      </c>
      <c r="AE210" s="101">
        <v>783</v>
      </c>
      <c r="AF210" s="101">
        <v>5</v>
      </c>
      <c r="AG210" s="101">
        <f t="shared" si="10"/>
        <v>74130.941000000006</v>
      </c>
      <c r="AH210" s="101">
        <v>31794</v>
      </c>
      <c r="AI210" s="101">
        <f t="shared" si="11"/>
        <v>2331.6015914952509</v>
      </c>
      <c r="AJ210" t="s">
        <v>116</v>
      </c>
      <c r="AN210" t="s">
        <v>378</v>
      </c>
      <c r="AO210" s="259">
        <v>1854.1033510066429</v>
      </c>
      <c r="AP210" t="s">
        <v>465</v>
      </c>
    </row>
    <row r="211" spans="2:42" x14ac:dyDescent="0.25">
      <c r="B211" t="s">
        <v>152</v>
      </c>
      <c r="C211" s="101">
        <v>59441</v>
      </c>
      <c r="D211" s="101">
        <v>4671</v>
      </c>
      <c r="E211" s="101">
        <v>904</v>
      </c>
      <c r="F211" s="101">
        <v>1752</v>
      </c>
      <c r="G211" s="101">
        <v>12998</v>
      </c>
      <c r="H211" s="101">
        <v>5936</v>
      </c>
      <c r="I211" s="101">
        <v>1765</v>
      </c>
      <c r="J211" s="101">
        <v>1090</v>
      </c>
      <c r="K211" s="101">
        <v>1277</v>
      </c>
      <c r="L211" s="101">
        <v>1888</v>
      </c>
      <c r="M211" s="101">
        <v>3129</v>
      </c>
      <c r="N211" s="101">
        <v>6644</v>
      </c>
      <c r="O211" s="101">
        <v>5076</v>
      </c>
      <c r="P211" s="101">
        <v>7230</v>
      </c>
      <c r="Q211" s="101">
        <v>4611</v>
      </c>
      <c r="R211" s="101">
        <v>593</v>
      </c>
      <c r="S211" s="101"/>
      <c r="T211" t="s">
        <v>152</v>
      </c>
      <c r="U211" s="101">
        <f t="shared" si="9"/>
        <v>52114</v>
      </c>
      <c r="V211" s="101">
        <f>Inkomsten!M211</f>
        <v>47767000</v>
      </c>
      <c r="W211" s="101">
        <f>Inkomsten!D211</f>
        <v>35888534</v>
      </c>
      <c r="X211" s="101">
        <v>1940</v>
      </c>
      <c r="Y211" s="101">
        <v>1984</v>
      </c>
      <c r="Z211" s="101">
        <v>58</v>
      </c>
      <c r="AA211" s="101">
        <v>174</v>
      </c>
      <c r="AB211" s="101">
        <v>285</v>
      </c>
      <c r="AC211" s="101">
        <v>53</v>
      </c>
      <c r="AD211" s="101">
        <v>201</v>
      </c>
      <c r="AE211" s="101">
        <v>0</v>
      </c>
      <c r="AF211" s="101">
        <v>48</v>
      </c>
      <c r="AG211" s="101">
        <f t="shared" si="10"/>
        <v>35492.534</v>
      </c>
      <c r="AH211" s="101">
        <v>18843</v>
      </c>
      <c r="AI211" s="101">
        <f t="shared" si="11"/>
        <v>1883.5925277291301</v>
      </c>
      <c r="AJ211" t="s">
        <v>465</v>
      </c>
      <c r="AN211" t="s">
        <v>435</v>
      </c>
      <c r="AO211" s="259">
        <v>1851.4973529249844</v>
      </c>
      <c r="AP211" t="s">
        <v>465</v>
      </c>
    </row>
    <row r="212" spans="2:42" x14ac:dyDescent="0.25">
      <c r="B212" t="s">
        <v>153</v>
      </c>
      <c r="C212" s="101">
        <v>62708</v>
      </c>
      <c r="D212" s="101">
        <v>1541</v>
      </c>
      <c r="E212" s="101">
        <v>101</v>
      </c>
      <c r="F212" s="101">
        <v>2628</v>
      </c>
      <c r="G212" s="101">
        <v>11983</v>
      </c>
      <c r="H212" s="101">
        <v>9599</v>
      </c>
      <c r="I212" s="101">
        <v>1780</v>
      </c>
      <c r="J212" s="101">
        <v>2960</v>
      </c>
      <c r="K212" s="101">
        <v>1347</v>
      </c>
      <c r="L212" s="101">
        <v>1663</v>
      </c>
      <c r="M212" s="101">
        <v>4377</v>
      </c>
      <c r="N212" s="101">
        <v>6373</v>
      </c>
      <c r="O212" s="101">
        <v>5659</v>
      </c>
      <c r="P212" s="101">
        <v>5519</v>
      </c>
      <c r="Q212" s="101">
        <v>5967</v>
      </c>
      <c r="R212" s="101">
        <v>1212</v>
      </c>
      <c r="S212" s="101"/>
      <c r="T212" t="s">
        <v>153</v>
      </c>
      <c r="U212" s="101">
        <f t="shared" si="9"/>
        <v>58438</v>
      </c>
      <c r="V212" s="101">
        <f>Inkomsten!M212</f>
        <v>48449000</v>
      </c>
      <c r="W212" s="101">
        <f>Inkomsten!D212</f>
        <v>40381927</v>
      </c>
      <c r="X212" s="101">
        <v>2045</v>
      </c>
      <c r="Y212" s="101">
        <v>1640</v>
      </c>
      <c r="Z212" s="101">
        <v>227</v>
      </c>
      <c r="AA212" s="101">
        <v>373</v>
      </c>
      <c r="AB212" s="101">
        <v>590</v>
      </c>
      <c r="AC212" s="101">
        <v>54</v>
      </c>
      <c r="AD212" s="101">
        <v>1023</v>
      </c>
      <c r="AE212" s="101">
        <v>0</v>
      </c>
      <c r="AF212" s="101">
        <v>39</v>
      </c>
      <c r="AG212" s="101">
        <f t="shared" si="10"/>
        <v>44379.927000000003</v>
      </c>
      <c r="AH212" s="101">
        <v>19035</v>
      </c>
      <c r="AI212" s="101">
        <f t="shared" si="11"/>
        <v>2331.490780141844</v>
      </c>
      <c r="AJ212" t="s">
        <v>465</v>
      </c>
      <c r="AN212" t="s">
        <v>326</v>
      </c>
      <c r="AO212" s="259">
        <v>1851.3137514079572</v>
      </c>
      <c r="AP212" t="s">
        <v>465</v>
      </c>
    </row>
    <row r="213" spans="2:42" x14ac:dyDescent="0.25">
      <c r="B213" t="s">
        <v>194</v>
      </c>
      <c r="C213" s="101">
        <v>91450</v>
      </c>
      <c r="D213" s="101">
        <v>892</v>
      </c>
      <c r="E213" s="101">
        <v>394</v>
      </c>
      <c r="F213" s="101">
        <v>5803</v>
      </c>
      <c r="G213" s="101">
        <v>25040</v>
      </c>
      <c r="H213" s="101">
        <v>-1767</v>
      </c>
      <c r="I213" s="101">
        <v>3046</v>
      </c>
      <c r="J213" s="101">
        <v>3118</v>
      </c>
      <c r="K213" s="101">
        <v>1794</v>
      </c>
      <c r="L213" s="101">
        <v>2037</v>
      </c>
      <c r="M213" s="101">
        <v>6209</v>
      </c>
      <c r="N213" s="101">
        <v>10900</v>
      </c>
      <c r="O213" s="101">
        <v>9862</v>
      </c>
      <c r="P213" s="101">
        <v>14885</v>
      </c>
      <c r="Q213" s="101">
        <v>7396</v>
      </c>
      <c r="R213" s="101">
        <v>2099</v>
      </c>
      <c r="S213" s="101"/>
      <c r="T213" t="s">
        <v>194</v>
      </c>
      <c r="U213" s="101">
        <f t="shared" si="9"/>
        <v>84361</v>
      </c>
      <c r="V213" s="101">
        <f>Inkomsten!M213</f>
        <v>76020000</v>
      </c>
      <c r="W213" s="101">
        <f>Inkomsten!D213</f>
        <v>59524786</v>
      </c>
      <c r="X213" s="101">
        <v>3410</v>
      </c>
      <c r="Y213" s="101">
        <v>2946</v>
      </c>
      <c r="Z213" s="101">
        <v>0</v>
      </c>
      <c r="AA213" s="101">
        <v>356</v>
      </c>
      <c r="AB213" s="101">
        <v>651</v>
      </c>
      <c r="AC213" s="101">
        <v>123</v>
      </c>
      <c r="AD213" s="101">
        <v>900</v>
      </c>
      <c r="AE213" s="101">
        <v>0</v>
      </c>
      <c r="AF213" s="101">
        <v>523</v>
      </c>
      <c r="AG213" s="101">
        <f t="shared" si="10"/>
        <v>58956.785999999993</v>
      </c>
      <c r="AH213" s="101">
        <v>29971</v>
      </c>
      <c r="AI213" s="101">
        <f t="shared" si="11"/>
        <v>1967.1277568316036</v>
      </c>
      <c r="AJ213" t="s">
        <v>116</v>
      </c>
      <c r="AN213" t="s">
        <v>385</v>
      </c>
      <c r="AO213" s="259">
        <v>1847.4946026489279</v>
      </c>
      <c r="AP213" t="s">
        <v>465</v>
      </c>
    </row>
    <row r="214" spans="2:42" x14ac:dyDescent="0.25">
      <c r="B214" t="s">
        <v>380</v>
      </c>
      <c r="C214" s="101">
        <v>192797</v>
      </c>
      <c r="D214" s="101">
        <v>4699</v>
      </c>
      <c r="E214" s="101">
        <v>2362</v>
      </c>
      <c r="F214" s="101">
        <v>16970</v>
      </c>
      <c r="G214" s="101">
        <v>43011</v>
      </c>
      <c r="H214" s="101">
        <v>12121</v>
      </c>
      <c r="I214" s="101">
        <v>4280</v>
      </c>
      <c r="J214" s="101">
        <v>4413</v>
      </c>
      <c r="K214" s="101">
        <v>1643</v>
      </c>
      <c r="L214" s="101">
        <v>3870</v>
      </c>
      <c r="M214" s="101">
        <v>12575</v>
      </c>
      <c r="N214" s="101">
        <v>29932</v>
      </c>
      <c r="O214" s="101">
        <v>15806</v>
      </c>
      <c r="P214" s="101">
        <v>30611</v>
      </c>
      <c r="Q214" s="101">
        <v>9749</v>
      </c>
      <c r="R214" s="101">
        <v>1372</v>
      </c>
      <c r="S214" s="101"/>
      <c r="T214" t="s">
        <v>380</v>
      </c>
      <c r="U214" s="101">
        <f t="shared" si="9"/>
        <v>168766</v>
      </c>
      <c r="V214" s="101">
        <f>Inkomsten!M214</f>
        <v>155640000</v>
      </c>
      <c r="W214" s="101">
        <f>Inkomsten!D214</f>
        <v>120319255</v>
      </c>
      <c r="X214" s="101">
        <v>7328</v>
      </c>
      <c r="Y214" s="101">
        <v>7894</v>
      </c>
      <c r="Z214" s="101">
        <v>0</v>
      </c>
      <c r="AA214" s="101">
        <v>703</v>
      </c>
      <c r="AB214" s="101">
        <v>1366</v>
      </c>
      <c r="AC214" s="101">
        <v>175</v>
      </c>
      <c r="AD214" s="101">
        <v>400</v>
      </c>
      <c r="AE214" s="101">
        <v>2073</v>
      </c>
      <c r="AF214" s="101">
        <v>321</v>
      </c>
      <c r="AG214" s="101">
        <f t="shared" si="10"/>
        <v>113185.255</v>
      </c>
      <c r="AH214" s="101">
        <v>57925</v>
      </c>
      <c r="AI214" s="101">
        <f t="shared" si="11"/>
        <v>1953.9966335779025</v>
      </c>
      <c r="AJ214" t="s">
        <v>116</v>
      </c>
      <c r="AN214" t="s">
        <v>596</v>
      </c>
      <c r="AO214" s="259">
        <v>1846.5587560593635</v>
      </c>
      <c r="AP214" t="s">
        <v>465</v>
      </c>
    </row>
    <row r="215" spans="2:42" x14ac:dyDescent="0.25">
      <c r="B215" t="s">
        <v>131</v>
      </c>
      <c r="C215" s="101">
        <v>86849</v>
      </c>
      <c r="D215" s="101">
        <v>-25</v>
      </c>
      <c r="E215" s="101">
        <v>604</v>
      </c>
      <c r="F215" s="101">
        <v>2266</v>
      </c>
      <c r="G215" s="101">
        <v>22883</v>
      </c>
      <c r="H215" s="101">
        <v>8665</v>
      </c>
      <c r="I215" s="101">
        <v>2431</v>
      </c>
      <c r="J215" s="101">
        <v>1923</v>
      </c>
      <c r="K215" s="101">
        <v>791</v>
      </c>
      <c r="L215" s="101">
        <v>2421</v>
      </c>
      <c r="M215" s="101">
        <v>4543</v>
      </c>
      <c r="N215" s="101">
        <v>13477</v>
      </c>
      <c r="O215" s="101">
        <v>9556</v>
      </c>
      <c r="P215" s="101">
        <v>9265</v>
      </c>
      <c r="Q215" s="101">
        <v>6881</v>
      </c>
      <c r="R215" s="101">
        <v>1572</v>
      </c>
      <c r="S215" s="101"/>
      <c r="T215" t="s">
        <v>131</v>
      </c>
      <c r="U215" s="101">
        <f t="shared" si="9"/>
        <v>84004</v>
      </c>
      <c r="V215" s="101">
        <f>Inkomsten!M215</f>
        <v>88588000</v>
      </c>
      <c r="W215" s="101">
        <f>Inkomsten!D215</f>
        <v>59886774</v>
      </c>
      <c r="X215" s="101">
        <v>2983</v>
      </c>
      <c r="Y215" s="101">
        <v>2935</v>
      </c>
      <c r="Z215" s="101">
        <v>0</v>
      </c>
      <c r="AA215" s="101">
        <v>423</v>
      </c>
      <c r="AB215" s="101">
        <v>430</v>
      </c>
      <c r="AC215" s="101">
        <v>27</v>
      </c>
      <c r="AD215" s="101">
        <v>309</v>
      </c>
      <c r="AE215" s="101">
        <v>0</v>
      </c>
      <c r="AF215" s="101">
        <v>1</v>
      </c>
      <c r="AG215" s="101">
        <f t="shared" si="10"/>
        <v>48194.773999999998</v>
      </c>
      <c r="AH215" s="101">
        <v>25825</v>
      </c>
      <c r="AI215" s="101">
        <f t="shared" si="11"/>
        <v>1866.2061568247823</v>
      </c>
      <c r="AJ215" t="s">
        <v>116</v>
      </c>
      <c r="AN215" t="s">
        <v>591</v>
      </c>
      <c r="AO215" s="259">
        <v>1835.1264207612332</v>
      </c>
      <c r="AP215" t="s">
        <v>465</v>
      </c>
    </row>
    <row r="216" spans="2:42" x14ac:dyDescent="0.25">
      <c r="B216" t="s">
        <v>265</v>
      </c>
      <c r="C216" s="101">
        <v>29557</v>
      </c>
      <c r="D216" s="101">
        <v>85</v>
      </c>
      <c r="E216" s="101">
        <v>618</v>
      </c>
      <c r="F216" s="101">
        <v>2711</v>
      </c>
      <c r="G216" s="101">
        <v>1037</v>
      </c>
      <c r="H216" s="101">
        <v>5643</v>
      </c>
      <c r="I216" s="101">
        <v>1508</v>
      </c>
      <c r="J216" s="101">
        <v>1273</v>
      </c>
      <c r="K216" s="101">
        <v>55</v>
      </c>
      <c r="L216" s="101">
        <v>569</v>
      </c>
      <c r="M216" s="101">
        <v>1664</v>
      </c>
      <c r="N216" s="101">
        <v>2367</v>
      </c>
      <c r="O216" s="101">
        <v>1773</v>
      </c>
      <c r="P216" s="101">
        <v>5455</v>
      </c>
      <c r="Q216" s="101">
        <v>3930</v>
      </c>
      <c r="R216" s="101">
        <v>869</v>
      </c>
      <c r="S216" s="101"/>
      <c r="T216" t="s">
        <v>265</v>
      </c>
      <c r="U216" s="101">
        <f t="shared" si="9"/>
        <v>26143</v>
      </c>
      <c r="V216" s="101">
        <f>Inkomsten!M216</f>
        <v>19237000</v>
      </c>
      <c r="W216" s="101">
        <f>Inkomsten!D216</f>
        <v>17092458</v>
      </c>
      <c r="X216" s="101">
        <v>1549</v>
      </c>
      <c r="Y216" s="101">
        <v>1540</v>
      </c>
      <c r="Z216" s="101">
        <v>114</v>
      </c>
      <c r="AA216" s="101">
        <v>143</v>
      </c>
      <c r="AB216" s="101">
        <v>220</v>
      </c>
      <c r="AC216" s="101">
        <v>53</v>
      </c>
      <c r="AD216" s="101">
        <v>308</v>
      </c>
      <c r="AE216" s="101">
        <v>0</v>
      </c>
      <c r="AF216" s="101">
        <v>101</v>
      </c>
      <c r="AG216" s="101">
        <f t="shared" si="10"/>
        <v>19970.457999999999</v>
      </c>
      <c r="AH216" s="101">
        <v>9699</v>
      </c>
      <c r="AI216" s="101">
        <f t="shared" si="11"/>
        <v>2059.0223734405608</v>
      </c>
      <c r="AJ216" t="s">
        <v>465</v>
      </c>
      <c r="AN216" t="s">
        <v>309</v>
      </c>
      <c r="AO216" s="259">
        <v>1834.7135913577424</v>
      </c>
      <c r="AP216" t="s">
        <v>465</v>
      </c>
    </row>
    <row r="217" spans="2:42" x14ac:dyDescent="0.25">
      <c r="B217" t="s">
        <v>266</v>
      </c>
      <c r="C217" s="101">
        <v>40486</v>
      </c>
      <c r="D217" s="101">
        <v>512</v>
      </c>
      <c r="E217" s="101">
        <v>175</v>
      </c>
      <c r="F217" s="101">
        <v>2051</v>
      </c>
      <c r="G217" s="101">
        <v>11583</v>
      </c>
      <c r="H217" s="101">
        <v>3880</v>
      </c>
      <c r="I217" s="101">
        <v>976</v>
      </c>
      <c r="J217" s="101">
        <v>1410</v>
      </c>
      <c r="K217" s="101">
        <v>212</v>
      </c>
      <c r="L217" s="101">
        <v>718</v>
      </c>
      <c r="M217" s="101">
        <v>2025</v>
      </c>
      <c r="N217" s="101">
        <v>2630</v>
      </c>
      <c r="O217" s="101">
        <v>2170</v>
      </c>
      <c r="P217" s="101">
        <v>3035</v>
      </c>
      <c r="Q217" s="101">
        <v>3780</v>
      </c>
      <c r="R217" s="101">
        <v>5460</v>
      </c>
      <c r="S217" s="101"/>
      <c r="T217" t="s">
        <v>266</v>
      </c>
      <c r="U217" s="101">
        <f t="shared" si="9"/>
        <v>37748</v>
      </c>
      <c r="V217" s="101">
        <f>Inkomsten!M217</f>
        <v>26066000</v>
      </c>
      <c r="W217" s="101">
        <f>Inkomsten!D217</f>
        <v>22901517</v>
      </c>
      <c r="X217" s="101">
        <v>1288</v>
      </c>
      <c r="Y217" s="101">
        <v>2299</v>
      </c>
      <c r="Z217" s="101">
        <v>29</v>
      </c>
      <c r="AA217" s="101">
        <v>214</v>
      </c>
      <c r="AB217" s="101">
        <v>262</v>
      </c>
      <c r="AC217" s="101">
        <v>40</v>
      </c>
      <c r="AD217" s="101">
        <v>26</v>
      </c>
      <c r="AE217" s="101">
        <v>0</v>
      </c>
      <c r="AF217" s="101">
        <v>8</v>
      </c>
      <c r="AG217" s="101">
        <f t="shared" si="10"/>
        <v>30417.517</v>
      </c>
      <c r="AH217" s="101">
        <v>12222</v>
      </c>
      <c r="AI217" s="101">
        <f t="shared" si="11"/>
        <v>2488.7511863852069</v>
      </c>
      <c r="AJ217" t="s">
        <v>465</v>
      </c>
      <c r="AN217" t="s">
        <v>357</v>
      </c>
      <c r="AO217" s="259">
        <v>1834.3521738556906</v>
      </c>
      <c r="AP217" t="s">
        <v>465</v>
      </c>
    </row>
    <row r="218" spans="2:42" x14ac:dyDescent="0.25">
      <c r="B218" t="s">
        <v>132</v>
      </c>
      <c r="C218" s="101">
        <v>94875</v>
      </c>
      <c r="D218" s="101">
        <v>660</v>
      </c>
      <c r="E218" s="101">
        <v>189</v>
      </c>
      <c r="F218" s="101">
        <v>3395</v>
      </c>
      <c r="G218" s="101">
        <v>19014</v>
      </c>
      <c r="H218" s="101">
        <v>16706</v>
      </c>
      <c r="I218" s="101">
        <v>6292</v>
      </c>
      <c r="J218" s="101">
        <v>2501</v>
      </c>
      <c r="K218" s="101">
        <v>827</v>
      </c>
      <c r="L218" s="101">
        <v>1754</v>
      </c>
      <c r="M218" s="101">
        <v>4526</v>
      </c>
      <c r="N218" s="101">
        <v>14317</v>
      </c>
      <c r="O218" s="101">
        <v>8449</v>
      </c>
      <c r="P218" s="101">
        <v>9399</v>
      </c>
      <c r="Q218" s="101">
        <v>6731</v>
      </c>
      <c r="R218" s="101">
        <v>546</v>
      </c>
      <c r="S218" s="101"/>
      <c r="T218" t="s">
        <v>132</v>
      </c>
      <c r="U218" s="101">
        <f t="shared" si="9"/>
        <v>90631</v>
      </c>
      <c r="V218" s="101">
        <f>Inkomsten!M218</f>
        <v>80760000</v>
      </c>
      <c r="W218" s="101">
        <f>Inkomsten!D218</f>
        <v>63487852</v>
      </c>
      <c r="X218" s="101">
        <v>3539</v>
      </c>
      <c r="Y218" s="101">
        <v>3095</v>
      </c>
      <c r="Z218" s="101">
        <v>150</v>
      </c>
      <c r="AA218" s="101">
        <v>313</v>
      </c>
      <c r="AB218" s="101">
        <v>432</v>
      </c>
      <c r="AC218" s="101">
        <v>21</v>
      </c>
      <c r="AD218" s="101">
        <v>220</v>
      </c>
      <c r="AE218" s="101">
        <v>0</v>
      </c>
      <c r="AF218" s="101">
        <v>84</v>
      </c>
      <c r="AG218" s="101">
        <f t="shared" si="10"/>
        <v>65504.851999999999</v>
      </c>
      <c r="AH218" s="101">
        <v>30056</v>
      </c>
      <c r="AI218" s="101">
        <f t="shared" si="11"/>
        <v>2179.4268033005055</v>
      </c>
      <c r="AJ218" t="s">
        <v>116</v>
      </c>
      <c r="AN218" t="s">
        <v>317</v>
      </c>
      <c r="AO218" s="259">
        <v>1831.5096159666946</v>
      </c>
      <c r="AP218" t="s">
        <v>465</v>
      </c>
    </row>
    <row r="219" spans="2:42" x14ac:dyDescent="0.25">
      <c r="B219" t="s">
        <v>381</v>
      </c>
      <c r="C219" s="101">
        <v>376967</v>
      </c>
      <c r="D219" s="101">
        <v>9167</v>
      </c>
      <c r="E219" s="101">
        <v>1648</v>
      </c>
      <c r="F219" s="101">
        <v>10617</v>
      </c>
      <c r="G219" s="101">
        <v>79747</v>
      </c>
      <c r="H219" s="101">
        <v>-26736</v>
      </c>
      <c r="I219" s="101">
        <v>11136</v>
      </c>
      <c r="J219" s="101">
        <v>16365</v>
      </c>
      <c r="K219" s="101">
        <v>8373</v>
      </c>
      <c r="L219" s="101">
        <v>8904</v>
      </c>
      <c r="M219" s="101">
        <v>29649</v>
      </c>
      <c r="N219" s="101">
        <v>66103</v>
      </c>
      <c r="O219" s="101">
        <v>31242</v>
      </c>
      <c r="P219" s="101">
        <v>80791</v>
      </c>
      <c r="Q219" s="101">
        <v>40142</v>
      </c>
      <c r="R219" s="101">
        <v>9819</v>
      </c>
      <c r="S219" s="101"/>
      <c r="T219" t="s">
        <v>381</v>
      </c>
      <c r="U219" s="101">
        <f t="shared" si="9"/>
        <v>355535</v>
      </c>
      <c r="V219" s="101">
        <f>Inkomsten!M219</f>
        <v>308131000</v>
      </c>
      <c r="W219" s="101">
        <f>Inkomsten!D219</f>
        <v>212069536</v>
      </c>
      <c r="X219" s="101">
        <v>8765</v>
      </c>
      <c r="Y219" s="101">
        <v>13725</v>
      </c>
      <c r="Z219" s="101">
        <v>183</v>
      </c>
      <c r="AA219" s="101">
        <v>1520</v>
      </c>
      <c r="AB219" s="101">
        <v>2863</v>
      </c>
      <c r="AC219" s="101">
        <v>590</v>
      </c>
      <c r="AD219" s="101">
        <v>233</v>
      </c>
      <c r="AE219" s="101">
        <v>2431</v>
      </c>
      <c r="AF219" s="101">
        <v>83</v>
      </c>
      <c r="AG219" s="101">
        <f t="shared" si="10"/>
        <v>229080.53599999999</v>
      </c>
      <c r="AH219" s="101">
        <v>94643</v>
      </c>
      <c r="AI219" s="101">
        <f t="shared" si="11"/>
        <v>2420.4699343850048</v>
      </c>
      <c r="AJ219" t="s">
        <v>439</v>
      </c>
      <c r="AN219" t="s">
        <v>297</v>
      </c>
      <c r="AO219" s="259">
        <v>1830.5929915696775</v>
      </c>
      <c r="AP219" t="s">
        <v>465</v>
      </c>
    </row>
    <row r="220" spans="2:42" x14ac:dyDescent="0.25">
      <c r="B220" t="s">
        <v>195</v>
      </c>
      <c r="C220" s="101">
        <v>131461</v>
      </c>
      <c r="D220" s="101">
        <v>499</v>
      </c>
      <c r="E220" s="101">
        <v>0</v>
      </c>
      <c r="F220" s="101">
        <v>7174</v>
      </c>
      <c r="G220" s="101">
        <v>33713</v>
      </c>
      <c r="H220" s="101">
        <v>7529</v>
      </c>
      <c r="I220" s="101">
        <v>2832</v>
      </c>
      <c r="J220" s="101">
        <v>3441</v>
      </c>
      <c r="K220" s="101">
        <v>5729</v>
      </c>
      <c r="L220" s="101">
        <v>3144</v>
      </c>
      <c r="M220" s="101">
        <v>9863</v>
      </c>
      <c r="N220" s="101">
        <v>14935</v>
      </c>
      <c r="O220" s="101">
        <v>11715</v>
      </c>
      <c r="P220" s="101">
        <v>17059</v>
      </c>
      <c r="Q220" s="101">
        <v>12396</v>
      </c>
      <c r="R220" s="101">
        <v>2382</v>
      </c>
      <c r="S220" s="101"/>
      <c r="T220" t="s">
        <v>195</v>
      </c>
      <c r="U220" s="101">
        <f t="shared" si="9"/>
        <v>123788</v>
      </c>
      <c r="V220" s="101">
        <f>Inkomsten!M220</f>
        <v>102243000</v>
      </c>
      <c r="W220" s="101">
        <f>Inkomsten!D220</f>
        <v>83807771</v>
      </c>
      <c r="X220" s="101">
        <v>5254</v>
      </c>
      <c r="Y220" s="101">
        <v>4330</v>
      </c>
      <c r="Z220" s="101">
        <v>126</v>
      </c>
      <c r="AA220" s="101">
        <v>800</v>
      </c>
      <c r="AB220" s="101">
        <v>430</v>
      </c>
      <c r="AC220" s="101">
        <v>108</v>
      </c>
      <c r="AD220" s="101">
        <v>160</v>
      </c>
      <c r="AE220" s="101">
        <v>0</v>
      </c>
      <c r="AF220" s="101">
        <v>337</v>
      </c>
      <c r="AG220" s="101">
        <f t="shared" si="10"/>
        <v>93807.770999999993</v>
      </c>
      <c r="AH220" s="101">
        <v>39396</v>
      </c>
      <c r="AI220" s="101">
        <f t="shared" si="11"/>
        <v>2381.1496344806578</v>
      </c>
      <c r="AJ220" t="s">
        <v>116</v>
      </c>
      <c r="AN220" t="s">
        <v>387</v>
      </c>
      <c r="AO220" s="259">
        <v>1830.0918077739773</v>
      </c>
      <c r="AP220" t="s">
        <v>465</v>
      </c>
    </row>
    <row r="221" spans="2:42" x14ac:dyDescent="0.25">
      <c r="B221" t="s">
        <v>267</v>
      </c>
      <c r="C221" s="101">
        <v>49056</v>
      </c>
      <c r="D221" s="101">
        <v>0</v>
      </c>
      <c r="E221" s="101">
        <v>783</v>
      </c>
      <c r="F221" s="101">
        <v>1691</v>
      </c>
      <c r="G221" s="101">
        <v>6265</v>
      </c>
      <c r="H221" s="101">
        <v>10240</v>
      </c>
      <c r="I221" s="101">
        <v>1126</v>
      </c>
      <c r="J221" s="101">
        <v>2674</v>
      </c>
      <c r="K221" s="101">
        <v>327</v>
      </c>
      <c r="L221" s="101">
        <v>902</v>
      </c>
      <c r="M221" s="101">
        <v>3034</v>
      </c>
      <c r="N221" s="101">
        <v>5153</v>
      </c>
      <c r="O221" s="101">
        <v>3564</v>
      </c>
      <c r="P221" s="101">
        <v>4665</v>
      </c>
      <c r="Q221" s="101">
        <v>3598</v>
      </c>
      <c r="R221" s="101">
        <v>5157</v>
      </c>
      <c r="S221" s="101"/>
      <c r="T221" t="s">
        <v>267</v>
      </c>
      <c r="U221" s="101">
        <f t="shared" si="9"/>
        <v>46582</v>
      </c>
      <c r="V221" s="101">
        <f>Inkomsten!M221</f>
        <v>36205000</v>
      </c>
      <c r="W221" s="101">
        <f>Inkomsten!D221</f>
        <v>24575625</v>
      </c>
      <c r="X221" s="101">
        <v>1004</v>
      </c>
      <c r="Y221" s="101">
        <v>2057</v>
      </c>
      <c r="Z221" s="101">
        <v>204</v>
      </c>
      <c r="AA221" s="101">
        <v>330</v>
      </c>
      <c r="AB221" s="101">
        <v>1233</v>
      </c>
      <c r="AC221" s="101">
        <v>16</v>
      </c>
      <c r="AD221" s="101">
        <v>889</v>
      </c>
      <c r="AE221" s="101">
        <v>1851</v>
      </c>
      <c r="AF221" s="101">
        <v>52</v>
      </c>
      <c r="AG221" s="101">
        <f t="shared" si="10"/>
        <v>27316.625</v>
      </c>
      <c r="AH221" s="101">
        <v>14450</v>
      </c>
      <c r="AI221" s="101">
        <f t="shared" si="11"/>
        <v>1890.4238754325258</v>
      </c>
      <c r="AJ221" t="s">
        <v>465</v>
      </c>
      <c r="AN221" t="s">
        <v>197</v>
      </c>
      <c r="AO221" s="259">
        <v>1825.9702872727644</v>
      </c>
      <c r="AP221" t="s">
        <v>465</v>
      </c>
    </row>
    <row r="222" spans="2:42" x14ac:dyDescent="0.25">
      <c r="B222" t="s">
        <v>224</v>
      </c>
      <c r="C222" s="101">
        <v>30579</v>
      </c>
      <c r="D222" s="101">
        <v>253</v>
      </c>
      <c r="E222" s="101">
        <v>293</v>
      </c>
      <c r="F222" s="101">
        <v>1252</v>
      </c>
      <c r="G222" s="101">
        <v>963</v>
      </c>
      <c r="H222" s="101">
        <v>6629</v>
      </c>
      <c r="I222" s="101">
        <v>899</v>
      </c>
      <c r="J222" s="101">
        <v>2728</v>
      </c>
      <c r="K222" s="101">
        <v>1036</v>
      </c>
      <c r="L222" s="101">
        <v>767</v>
      </c>
      <c r="M222" s="101">
        <v>1656</v>
      </c>
      <c r="N222" s="101">
        <v>3419</v>
      </c>
      <c r="O222" s="101">
        <v>2061</v>
      </c>
      <c r="P222" s="101">
        <v>3604</v>
      </c>
      <c r="Q222" s="101">
        <v>3971</v>
      </c>
      <c r="R222" s="101">
        <v>1052</v>
      </c>
      <c r="S222" s="101"/>
      <c r="T222" t="s">
        <v>224</v>
      </c>
      <c r="U222" s="101">
        <f t="shared" si="9"/>
        <v>28781</v>
      </c>
      <c r="V222" s="101">
        <f>Inkomsten!M222</f>
        <v>22645000</v>
      </c>
      <c r="W222" s="101">
        <f>Inkomsten!D222</f>
        <v>19637316</v>
      </c>
      <c r="X222" s="101">
        <v>1919</v>
      </c>
      <c r="Y222" s="101">
        <v>1338</v>
      </c>
      <c r="Z222" s="101">
        <v>4</v>
      </c>
      <c r="AA222" s="101">
        <v>193</v>
      </c>
      <c r="AB222" s="101">
        <v>391</v>
      </c>
      <c r="AC222" s="101">
        <v>83</v>
      </c>
      <c r="AD222" s="101">
        <v>28</v>
      </c>
      <c r="AE222" s="101">
        <v>0</v>
      </c>
      <c r="AF222" s="101">
        <v>22</v>
      </c>
      <c r="AG222" s="101">
        <f t="shared" si="10"/>
        <v>21795.315999999999</v>
      </c>
      <c r="AH222" s="101">
        <v>10220</v>
      </c>
      <c r="AI222" s="101">
        <f t="shared" si="11"/>
        <v>2132.6140900195696</v>
      </c>
      <c r="AJ222" t="s">
        <v>465</v>
      </c>
      <c r="AN222" t="s">
        <v>217</v>
      </c>
      <c r="AO222" s="259">
        <v>1825.1980295874976</v>
      </c>
      <c r="AP222" t="s">
        <v>465</v>
      </c>
    </row>
    <row r="223" spans="2:42" x14ac:dyDescent="0.25">
      <c r="B223" t="s">
        <v>196</v>
      </c>
      <c r="C223" s="101">
        <v>130680</v>
      </c>
      <c r="D223" s="101">
        <v>397</v>
      </c>
      <c r="E223" s="101">
        <v>1</v>
      </c>
      <c r="F223" s="101">
        <v>4768</v>
      </c>
      <c r="G223" s="101">
        <v>30333</v>
      </c>
      <c r="H223" s="101">
        <v>15425</v>
      </c>
      <c r="I223" s="101">
        <v>3616</v>
      </c>
      <c r="J223" s="101">
        <v>4335</v>
      </c>
      <c r="K223" s="101">
        <v>689</v>
      </c>
      <c r="L223" s="101">
        <v>4261</v>
      </c>
      <c r="M223" s="101">
        <v>6218</v>
      </c>
      <c r="N223" s="101">
        <v>17253</v>
      </c>
      <c r="O223" s="101">
        <v>14690</v>
      </c>
      <c r="P223" s="101">
        <v>19077</v>
      </c>
      <c r="Q223" s="101">
        <v>9605</v>
      </c>
      <c r="R223" s="101">
        <v>376</v>
      </c>
      <c r="S223" s="101"/>
      <c r="T223" t="s">
        <v>196</v>
      </c>
      <c r="U223" s="101">
        <f t="shared" si="9"/>
        <v>125514</v>
      </c>
      <c r="V223" s="101">
        <f>Inkomsten!M223</f>
        <v>110814000</v>
      </c>
      <c r="W223" s="101">
        <f>Inkomsten!D223</f>
        <v>87673583</v>
      </c>
      <c r="X223" s="101">
        <v>2323</v>
      </c>
      <c r="Y223" s="101">
        <v>6544</v>
      </c>
      <c r="Z223" s="101">
        <v>85</v>
      </c>
      <c r="AA223" s="101">
        <v>983</v>
      </c>
      <c r="AB223" s="101">
        <v>1308</v>
      </c>
      <c r="AC223" s="101">
        <v>743</v>
      </c>
      <c r="AD223" s="101">
        <v>0</v>
      </c>
      <c r="AE223" s="101">
        <v>0</v>
      </c>
      <c r="AF223" s="101">
        <v>64</v>
      </c>
      <c r="AG223" s="101">
        <f t="shared" si="10"/>
        <v>90323.582999999999</v>
      </c>
      <c r="AH223" s="101">
        <v>48909</v>
      </c>
      <c r="AI223" s="101">
        <f t="shared" si="11"/>
        <v>1846.7681408329756</v>
      </c>
      <c r="AJ223" t="s">
        <v>465</v>
      </c>
      <c r="AN223" t="s">
        <v>285</v>
      </c>
      <c r="AO223" s="259">
        <v>1822.4593010230199</v>
      </c>
      <c r="AP223" t="s">
        <v>465</v>
      </c>
    </row>
    <row r="224" spans="2:42" x14ac:dyDescent="0.25">
      <c r="B224" t="s">
        <v>310</v>
      </c>
      <c r="C224" s="101">
        <v>104779</v>
      </c>
      <c r="D224" s="101">
        <v>3162</v>
      </c>
      <c r="E224" s="101">
        <v>957</v>
      </c>
      <c r="F224" s="101">
        <v>3543</v>
      </c>
      <c r="G224" s="101">
        <v>17888</v>
      </c>
      <c r="H224" s="101">
        <v>12725</v>
      </c>
      <c r="I224" s="101">
        <v>3671</v>
      </c>
      <c r="J224" s="101">
        <v>4090</v>
      </c>
      <c r="K224" s="101">
        <v>1072</v>
      </c>
      <c r="L224" s="101">
        <v>2326</v>
      </c>
      <c r="M224" s="101">
        <v>6497</v>
      </c>
      <c r="N224" s="101">
        <v>16408</v>
      </c>
      <c r="O224" s="101">
        <v>8633</v>
      </c>
      <c r="P224" s="101">
        <v>14966</v>
      </c>
      <c r="Q224" s="101">
        <v>8033</v>
      </c>
      <c r="R224" s="101">
        <v>1166</v>
      </c>
      <c r="S224" s="101"/>
      <c r="T224" t="s">
        <v>310</v>
      </c>
      <c r="U224" s="101">
        <f t="shared" si="9"/>
        <v>97117</v>
      </c>
      <c r="V224" s="101">
        <f>Inkomsten!M224</f>
        <v>79468000</v>
      </c>
      <c r="W224" s="101">
        <f>Inkomsten!D224</f>
        <v>65446640</v>
      </c>
      <c r="X224" s="101">
        <v>2573</v>
      </c>
      <c r="Y224" s="101">
        <v>5664</v>
      </c>
      <c r="Z224" s="101">
        <v>408</v>
      </c>
      <c r="AA224" s="101">
        <v>379</v>
      </c>
      <c r="AB224" s="101">
        <v>164</v>
      </c>
      <c r="AC224" s="101">
        <v>30</v>
      </c>
      <c r="AD224" s="101">
        <v>56</v>
      </c>
      <c r="AE224" s="101">
        <v>632</v>
      </c>
      <c r="AF224" s="101">
        <v>1340</v>
      </c>
      <c r="AG224" s="101">
        <f t="shared" si="10"/>
        <v>71849.64</v>
      </c>
      <c r="AH224" s="101">
        <v>32174</v>
      </c>
      <c r="AI224" s="101">
        <f t="shared" si="11"/>
        <v>2233.1584509231056</v>
      </c>
      <c r="AJ224" t="s">
        <v>465</v>
      </c>
      <c r="AN224" t="s">
        <v>415</v>
      </c>
      <c r="AO224" s="259">
        <v>1811.0986511237434</v>
      </c>
      <c r="AP224" t="s">
        <v>465</v>
      </c>
    </row>
    <row r="225" spans="2:45" x14ac:dyDescent="0.25">
      <c r="B225" t="s">
        <v>415</v>
      </c>
      <c r="C225" s="101">
        <v>121587</v>
      </c>
      <c r="D225" s="101">
        <v>1398</v>
      </c>
      <c r="E225" s="101">
        <v>1029</v>
      </c>
      <c r="F225" s="101">
        <v>8391</v>
      </c>
      <c r="G225" s="101">
        <v>31029</v>
      </c>
      <c r="H225" s="101">
        <v>7353</v>
      </c>
      <c r="I225" s="101">
        <v>3888</v>
      </c>
      <c r="J225" s="101">
        <v>3740</v>
      </c>
      <c r="K225" s="101">
        <v>1813</v>
      </c>
      <c r="L225" s="101">
        <v>3036</v>
      </c>
      <c r="M225" s="101">
        <v>7065</v>
      </c>
      <c r="N225" s="101">
        <v>22097</v>
      </c>
      <c r="O225" s="101">
        <v>11200</v>
      </c>
      <c r="P225" s="101">
        <v>10514</v>
      </c>
      <c r="Q225" s="101">
        <v>7023</v>
      </c>
      <c r="R225" s="101">
        <v>2605</v>
      </c>
      <c r="S225" s="101"/>
      <c r="T225" t="s">
        <v>415</v>
      </c>
      <c r="U225" s="101">
        <f t="shared" si="9"/>
        <v>110769</v>
      </c>
      <c r="V225" s="101">
        <f>Inkomsten!M225</f>
        <v>101768000</v>
      </c>
      <c r="W225" s="101">
        <f>Inkomsten!D225</f>
        <v>83566397</v>
      </c>
      <c r="X225" s="101">
        <v>5811</v>
      </c>
      <c r="Y225" s="101">
        <v>4191</v>
      </c>
      <c r="Z225" s="101">
        <v>45</v>
      </c>
      <c r="AA225" s="101">
        <v>920</v>
      </c>
      <c r="AB225" s="101">
        <v>841</v>
      </c>
      <c r="AC225" s="101">
        <v>27</v>
      </c>
      <c r="AD225" s="101">
        <v>1107</v>
      </c>
      <c r="AE225" s="101">
        <v>0</v>
      </c>
      <c r="AF225" s="101">
        <v>111</v>
      </c>
      <c r="AG225" s="101">
        <f t="shared" si="10"/>
        <v>79514.396999999997</v>
      </c>
      <c r="AH225" s="101">
        <v>45551</v>
      </c>
      <c r="AI225" s="101">
        <f t="shared" si="11"/>
        <v>1745.6125441812474</v>
      </c>
      <c r="AJ225" t="s">
        <v>465</v>
      </c>
      <c r="AN225" t="s">
        <v>272</v>
      </c>
      <c r="AO225" s="259">
        <v>1777.9627377431964</v>
      </c>
      <c r="AP225" t="s">
        <v>465</v>
      </c>
    </row>
    <row r="226" spans="2:45" x14ac:dyDescent="0.25">
      <c r="B226" t="s">
        <v>122</v>
      </c>
      <c r="C226" s="101">
        <v>54861</v>
      </c>
      <c r="D226" s="101">
        <v>0</v>
      </c>
      <c r="E226" s="101">
        <v>231</v>
      </c>
      <c r="F226" s="101">
        <v>1262</v>
      </c>
      <c r="G226" s="101">
        <v>7618</v>
      </c>
      <c r="H226" s="101">
        <v>6535</v>
      </c>
      <c r="I226" s="101">
        <v>988</v>
      </c>
      <c r="J226" s="101">
        <v>1970</v>
      </c>
      <c r="K226" s="101">
        <v>175</v>
      </c>
      <c r="L226" s="101">
        <v>1102</v>
      </c>
      <c r="M226" s="101">
        <v>1940</v>
      </c>
      <c r="N226" s="101">
        <v>13999</v>
      </c>
      <c r="O226" s="101">
        <v>8099</v>
      </c>
      <c r="P226" s="101">
        <v>6341</v>
      </c>
      <c r="Q226" s="101">
        <v>4095</v>
      </c>
      <c r="R226" s="101">
        <v>601</v>
      </c>
      <c r="S226" s="101"/>
      <c r="T226" t="s">
        <v>122</v>
      </c>
      <c r="U226" s="101">
        <f t="shared" si="9"/>
        <v>53368</v>
      </c>
      <c r="V226" s="101">
        <f>Inkomsten!M226</f>
        <v>47208000</v>
      </c>
      <c r="W226" s="101">
        <f>Inkomsten!D226</f>
        <v>33779717</v>
      </c>
      <c r="X226" s="101">
        <v>1096</v>
      </c>
      <c r="Y226" s="101">
        <v>1815</v>
      </c>
      <c r="Z226" s="101">
        <v>64</v>
      </c>
      <c r="AA226" s="101">
        <v>142</v>
      </c>
      <c r="AB226" s="101">
        <v>140</v>
      </c>
      <c r="AC226" s="101">
        <v>58</v>
      </c>
      <c r="AD226" s="101">
        <v>0</v>
      </c>
      <c r="AE226" s="101">
        <v>0</v>
      </c>
      <c r="AF226" s="101">
        <v>4</v>
      </c>
      <c r="AG226" s="101">
        <f t="shared" si="10"/>
        <v>36620.716999999997</v>
      </c>
      <c r="AH226" s="101">
        <v>12519</v>
      </c>
      <c r="AI226" s="101">
        <f t="shared" si="11"/>
        <v>2925.2110392203849</v>
      </c>
      <c r="AJ226" t="s">
        <v>439</v>
      </c>
      <c r="AN226" t="s">
        <v>436</v>
      </c>
      <c r="AO226" s="259">
        <v>1772.4911605444988</v>
      </c>
      <c r="AP226" t="s">
        <v>465</v>
      </c>
    </row>
    <row r="227" spans="2:45" x14ac:dyDescent="0.25">
      <c r="B227" t="s">
        <v>311</v>
      </c>
      <c r="C227" s="101">
        <v>168807</v>
      </c>
      <c r="D227" s="101">
        <v>18288</v>
      </c>
      <c r="E227" s="101">
        <v>1874</v>
      </c>
      <c r="F227" s="101">
        <v>10699</v>
      </c>
      <c r="G227" s="101">
        <v>40888</v>
      </c>
      <c r="H227" s="101">
        <v>14473</v>
      </c>
      <c r="I227" s="101">
        <v>4465</v>
      </c>
      <c r="J227" s="101">
        <v>4884</v>
      </c>
      <c r="K227" s="101">
        <v>7608</v>
      </c>
      <c r="L227" s="101">
        <v>3605</v>
      </c>
      <c r="M227" s="101">
        <v>8618</v>
      </c>
      <c r="N227" s="101">
        <v>10294</v>
      </c>
      <c r="O227" s="101">
        <v>12928</v>
      </c>
      <c r="P227" s="101">
        <v>13214</v>
      </c>
      <c r="Q227" s="101">
        <v>16658</v>
      </c>
      <c r="R227" s="101">
        <v>1129</v>
      </c>
      <c r="S227" s="101"/>
      <c r="T227" t="s">
        <v>311</v>
      </c>
      <c r="U227" s="101">
        <f t="shared" si="9"/>
        <v>137946</v>
      </c>
      <c r="V227" s="101">
        <f>Inkomsten!M227</f>
        <v>104255000</v>
      </c>
      <c r="W227" s="101">
        <f>Inkomsten!D227</f>
        <v>92916932</v>
      </c>
      <c r="X227" s="101">
        <v>4696</v>
      </c>
      <c r="Y227" s="101">
        <v>8475</v>
      </c>
      <c r="Z227" s="101">
        <v>0</v>
      </c>
      <c r="AA227" s="101">
        <v>754</v>
      </c>
      <c r="AB227" s="101">
        <v>2030</v>
      </c>
      <c r="AC227" s="101">
        <v>129</v>
      </c>
      <c r="AD227" s="101">
        <v>213</v>
      </c>
      <c r="AE227" s="101">
        <v>10</v>
      </c>
      <c r="AF227" s="101">
        <v>59</v>
      </c>
      <c r="AG227" s="101">
        <f t="shared" si="10"/>
        <v>110241.932</v>
      </c>
      <c r="AH227" s="101">
        <v>57948</v>
      </c>
      <c r="AI227" s="101">
        <f t="shared" si="11"/>
        <v>1902.4285911506868</v>
      </c>
      <c r="AJ227" t="s">
        <v>465</v>
      </c>
      <c r="AN227" t="s">
        <v>394</v>
      </c>
      <c r="AO227" s="259">
        <v>1770.6293765683042</v>
      </c>
      <c r="AP227" t="s">
        <v>465</v>
      </c>
    </row>
    <row r="228" spans="2:45" x14ac:dyDescent="0.25">
      <c r="B228" t="s">
        <v>268</v>
      </c>
      <c r="C228" s="101">
        <v>321929</v>
      </c>
      <c r="D228" s="101">
        <v>15644</v>
      </c>
      <c r="E228" s="101">
        <v>7122</v>
      </c>
      <c r="F228" s="101">
        <v>17921</v>
      </c>
      <c r="G228" s="101">
        <v>73652</v>
      </c>
      <c r="H228" s="101">
        <v>15386</v>
      </c>
      <c r="I228" s="101">
        <v>9701</v>
      </c>
      <c r="J228" s="101">
        <v>10512</v>
      </c>
      <c r="K228" s="101">
        <v>5952</v>
      </c>
      <c r="L228" s="101">
        <v>7209</v>
      </c>
      <c r="M228" s="101">
        <v>21753</v>
      </c>
      <c r="N228" s="101">
        <v>39678</v>
      </c>
      <c r="O228" s="101">
        <v>27831</v>
      </c>
      <c r="P228" s="101">
        <v>51602</v>
      </c>
      <c r="Q228" s="101">
        <v>16557</v>
      </c>
      <c r="R228" s="101">
        <v>2259</v>
      </c>
      <c r="S228" s="101"/>
      <c r="T228" t="s">
        <v>268</v>
      </c>
      <c r="U228" s="101">
        <f t="shared" si="9"/>
        <v>281242</v>
      </c>
      <c r="V228" s="101">
        <f>Inkomsten!M228</f>
        <v>255541000</v>
      </c>
      <c r="W228" s="101">
        <f>Inkomsten!D228</f>
        <v>201896642</v>
      </c>
      <c r="X228" s="101">
        <v>9828</v>
      </c>
      <c r="Y228" s="101">
        <v>16182</v>
      </c>
      <c r="Z228" s="101">
        <v>801</v>
      </c>
      <c r="AA228" s="101">
        <v>1560</v>
      </c>
      <c r="AB228" s="101">
        <v>3584</v>
      </c>
      <c r="AC228" s="101">
        <v>431</v>
      </c>
      <c r="AD228" s="101">
        <v>71</v>
      </c>
      <c r="AE228" s="101">
        <v>3960</v>
      </c>
      <c r="AF228" s="101">
        <v>1459</v>
      </c>
      <c r="AG228" s="101">
        <f t="shared" si="10"/>
        <v>189721.64199999999</v>
      </c>
      <c r="AH228" s="101">
        <v>95177</v>
      </c>
      <c r="AI228" s="101">
        <f t="shared" si="11"/>
        <v>1993.3559788604389</v>
      </c>
      <c r="AJ228" t="s">
        <v>116</v>
      </c>
      <c r="AN228" t="s">
        <v>244</v>
      </c>
      <c r="AO228" s="259">
        <v>1751.9389190263075</v>
      </c>
      <c r="AP228" t="s">
        <v>465</v>
      </c>
    </row>
    <row r="229" spans="2:45" x14ac:dyDescent="0.25">
      <c r="B229" t="s">
        <v>197</v>
      </c>
      <c r="C229" s="101">
        <v>65980</v>
      </c>
      <c r="D229" s="101">
        <v>3006</v>
      </c>
      <c r="E229" s="101">
        <v>-11</v>
      </c>
      <c r="F229" s="101">
        <v>4917</v>
      </c>
      <c r="G229" s="101">
        <v>17686</v>
      </c>
      <c r="H229" s="101">
        <v>4259</v>
      </c>
      <c r="I229" s="101">
        <v>1762</v>
      </c>
      <c r="J229" s="101">
        <v>2144</v>
      </c>
      <c r="K229" s="101">
        <v>928</v>
      </c>
      <c r="L229" s="101">
        <v>1942</v>
      </c>
      <c r="M229" s="101">
        <v>3416</v>
      </c>
      <c r="N229" s="101">
        <v>6366</v>
      </c>
      <c r="O229" s="101">
        <v>7295</v>
      </c>
      <c r="P229" s="101">
        <v>5949</v>
      </c>
      <c r="Q229" s="101">
        <v>6145</v>
      </c>
      <c r="R229" s="101">
        <v>570</v>
      </c>
      <c r="S229" s="101"/>
      <c r="T229" t="s">
        <v>197</v>
      </c>
      <c r="U229" s="101">
        <f t="shared" si="9"/>
        <v>58068</v>
      </c>
      <c r="V229" s="101">
        <f>Inkomsten!M229</f>
        <v>53388000</v>
      </c>
      <c r="W229" s="101">
        <f>Inkomsten!D229</f>
        <v>45665326</v>
      </c>
      <c r="X229" s="101">
        <v>2473</v>
      </c>
      <c r="Y229" s="101">
        <v>1870</v>
      </c>
      <c r="Z229" s="101">
        <v>442</v>
      </c>
      <c r="AA229" s="101">
        <v>441</v>
      </c>
      <c r="AB229" s="101">
        <v>738</v>
      </c>
      <c r="AC229" s="101">
        <v>127</v>
      </c>
      <c r="AD229" s="101">
        <v>827</v>
      </c>
      <c r="AE229" s="101">
        <v>0</v>
      </c>
      <c r="AF229" s="101">
        <v>53</v>
      </c>
      <c r="AG229" s="101">
        <f t="shared" si="10"/>
        <v>43374.326000000001</v>
      </c>
      <c r="AH229" s="101">
        <v>24975</v>
      </c>
      <c r="AI229" s="101">
        <f t="shared" si="11"/>
        <v>1736.7097497497498</v>
      </c>
      <c r="AJ229" t="s">
        <v>465</v>
      </c>
      <c r="AN229" t="s">
        <v>255</v>
      </c>
      <c r="AO229" s="259">
        <v>1749.501986470133</v>
      </c>
      <c r="AP229" t="s">
        <v>465</v>
      </c>
      <c r="AQ229">
        <f>_xlfn.QUARTILE.INC(AO73:AO230,3)</f>
        <v>2221.3725293965922</v>
      </c>
      <c r="AR229">
        <f>5%*AQ229</f>
        <v>111.06862646982961</v>
      </c>
      <c r="AS229">
        <f>SUM(AQ229:AR229)</f>
        <v>2332.4411558664219</v>
      </c>
    </row>
    <row r="230" spans="2:45" x14ac:dyDescent="0.25">
      <c r="B230" t="s">
        <v>154</v>
      </c>
      <c r="C230" s="101">
        <v>123540</v>
      </c>
      <c r="D230" s="101">
        <v>9089</v>
      </c>
      <c r="E230" s="101">
        <v>1885</v>
      </c>
      <c r="F230" s="101">
        <v>4575</v>
      </c>
      <c r="G230" s="101">
        <v>24002</v>
      </c>
      <c r="H230" s="101">
        <v>10759</v>
      </c>
      <c r="I230" s="101">
        <v>3157</v>
      </c>
      <c r="J230" s="101">
        <v>5269</v>
      </c>
      <c r="K230" s="101">
        <v>1862</v>
      </c>
      <c r="L230" s="101">
        <v>2535</v>
      </c>
      <c r="M230" s="101">
        <v>6609</v>
      </c>
      <c r="N230" s="101">
        <v>13700</v>
      </c>
      <c r="O230" s="101">
        <v>12044</v>
      </c>
      <c r="P230" s="101">
        <v>15741</v>
      </c>
      <c r="Q230" s="101">
        <v>10347</v>
      </c>
      <c r="R230" s="101">
        <v>2327</v>
      </c>
      <c r="S230" s="101"/>
      <c r="T230" t="s">
        <v>154</v>
      </c>
      <c r="U230" s="101">
        <f t="shared" si="9"/>
        <v>107991</v>
      </c>
      <c r="V230" s="101">
        <f>Inkomsten!M230</f>
        <v>88964000</v>
      </c>
      <c r="W230" s="101">
        <f>Inkomsten!D230</f>
        <v>73666792</v>
      </c>
      <c r="X230" s="101">
        <v>4106</v>
      </c>
      <c r="Y230" s="101">
        <v>3272</v>
      </c>
      <c r="Z230" s="101">
        <v>205</v>
      </c>
      <c r="AA230" s="101">
        <v>696</v>
      </c>
      <c r="AB230" s="101">
        <v>928</v>
      </c>
      <c r="AC230" s="101">
        <v>236</v>
      </c>
      <c r="AD230" s="101">
        <v>427</v>
      </c>
      <c r="AE230" s="101">
        <v>4</v>
      </c>
      <c r="AF230" s="101">
        <v>61</v>
      </c>
      <c r="AG230" s="101">
        <f t="shared" si="10"/>
        <v>82758.792000000001</v>
      </c>
      <c r="AH230" s="101">
        <v>38364</v>
      </c>
      <c r="AI230" s="101">
        <f t="shared" si="11"/>
        <v>2157.1992492962154</v>
      </c>
      <c r="AJ230" t="s">
        <v>465</v>
      </c>
      <c r="AN230" t="s">
        <v>234</v>
      </c>
      <c r="AO230" s="259">
        <v>1694.5683099856772</v>
      </c>
      <c r="AP230" t="s">
        <v>465</v>
      </c>
      <c r="AQ230">
        <f>_xlfn.QUARTILE.INC(AO73:AO230,1)</f>
        <v>1937.7764153771654</v>
      </c>
      <c r="AR230">
        <f>5%*AQ230</f>
        <v>96.888820768858281</v>
      </c>
      <c r="AS230">
        <f>SUM(AQ230,-AR230)</f>
        <v>1840.8875946083072</v>
      </c>
    </row>
    <row r="231" spans="2:45" x14ac:dyDescent="0.25">
      <c r="B231" t="s">
        <v>334</v>
      </c>
      <c r="C231" s="101">
        <v>70762</v>
      </c>
      <c r="D231" s="101">
        <v>2426</v>
      </c>
      <c r="E231" s="101">
        <v>719</v>
      </c>
      <c r="F231" s="101">
        <v>2501</v>
      </c>
      <c r="G231" s="101">
        <v>13151</v>
      </c>
      <c r="H231" s="101">
        <v>5934</v>
      </c>
      <c r="I231" s="101">
        <v>2934</v>
      </c>
      <c r="J231" s="101">
        <v>3350</v>
      </c>
      <c r="K231" s="101">
        <v>2088</v>
      </c>
      <c r="L231" s="101">
        <v>1805</v>
      </c>
      <c r="M231" s="101">
        <v>3602</v>
      </c>
      <c r="N231" s="101">
        <v>7516</v>
      </c>
      <c r="O231" s="101">
        <v>7516</v>
      </c>
      <c r="P231" s="101">
        <v>8500</v>
      </c>
      <c r="Q231" s="101">
        <v>7990</v>
      </c>
      <c r="R231" s="101">
        <v>1038</v>
      </c>
      <c r="S231" s="101"/>
      <c r="T231" t="s">
        <v>334</v>
      </c>
      <c r="U231" s="101">
        <f t="shared" si="9"/>
        <v>65116</v>
      </c>
      <c r="V231" s="101">
        <f>Inkomsten!M231</f>
        <v>54383000</v>
      </c>
      <c r="W231" s="101">
        <f>Inkomsten!D231</f>
        <v>46892624</v>
      </c>
      <c r="X231" s="101">
        <v>2693</v>
      </c>
      <c r="Y231" s="101">
        <v>3162</v>
      </c>
      <c r="Z231" s="101">
        <v>313</v>
      </c>
      <c r="AA231" s="101">
        <v>310</v>
      </c>
      <c r="AB231" s="101">
        <v>805</v>
      </c>
      <c r="AC231" s="101">
        <v>1111</v>
      </c>
      <c r="AD231" s="101">
        <v>46</v>
      </c>
      <c r="AE231" s="101">
        <v>0</v>
      </c>
      <c r="AF231" s="101">
        <v>518</v>
      </c>
      <c r="AG231" s="101">
        <f t="shared" si="10"/>
        <v>48667.624000000003</v>
      </c>
      <c r="AH231" s="101">
        <v>23325</v>
      </c>
      <c r="AI231" s="101">
        <f t="shared" si="11"/>
        <v>2086.5004930332261</v>
      </c>
      <c r="AJ231" t="s">
        <v>465</v>
      </c>
      <c r="AN231" t="s">
        <v>133</v>
      </c>
      <c r="AO231" s="259">
        <v>5558.3953832421303</v>
      </c>
      <c r="AP231" t="s">
        <v>116</v>
      </c>
    </row>
    <row r="232" spans="2:45" x14ac:dyDescent="0.25">
      <c r="B232" t="s">
        <v>198</v>
      </c>
      <c r="C232" s="101">
        <v>107488</v>
      </c>
      <c r="D232" s="101">
        <v>3749</v>
      </c>
      <c r="E232" s="101">
        <v>661</v>
      </c>
      <c r="F232" s="101">
        <v>5368</v>
      </c>
      <c r="G232" s="101">
        <v>21499</v>
      </c>
      <c r="H232" s="101">
        <v>14132</v>
      </c>
      <c r="I232" s="101">
        <v>2673</v>
      </c>
      <c r="J232" s="101">
        <v>3846</v>
      </c>
      <c r="K232" s="101">
        <v>666</v>
      </c>
      <c r="L232" s="101">
        <v>2040</v>
      </c>
      <c r="M232" s="101">
        <v>4159</v>
      </c>
      <c r="N232" s="101">
        <v>12196</v>
      </c>
      <c r="O232" s="101">
        <v>11006</v>
      </c>
      <c r="P232" s="101">
        <v>14873</v>
      </c>
      <c r="Q232" s="101">
        <v>9009</v>
      </c>
      <c r="R232" s="101">
        <v>1892</v>
      </c>
      <c r="S232" s="101"/>
      <c r="T232" t="s">
        <v>198</v>
      </c>
      <c r="U232" s="101">
        <f t="shared" si="9"/>
        <v>97710</v>
      </c>
      <c r="V232" s="101">
        <f>Inkomsten!M232</f>
        <v>80745000</v>
      </c>
      <c r="W232" s="101">
        <f>Inkomsten!D232</f>
        <v>60503026</v>
      </c>
      <c r="X232" s="101">
        <v>5374</v>
      </c>
      <c r="Y232" s="101">
        <v>4162</v>
      </c>
      <c r="Z232" s="101">
        <v>321</v>
      </c>
      <c r="AA232" s="101">
        <v>541</v>
      </c>
      <c r="AB232" s="101">
        <v>581</v>
      </c>
      <c r="AC232" s="101">
        <v>26</v>
      </c>
      <c r="AD232" s="101">
        <v>583</v>
      </c>
      <c r="AE232" s="101">
        <v>27</v>
      </c>
      <c r="AF232" s="101">
        <v>1</v>
      </c>
      <c r="AG232" s="101">
        <f t="shared" si="10"/>
        <v>65852.025999999998</v>
      </c>
      <c r="AH232" s="101">
        <v>31419</v>
      </c>
      <c r="AI232" s="101">
        <f t="shared" si="11"/>
        <v>2095.9300423310738</v>
      </c>
      <c r="AJ232" t="s">
        <v>116</v>
      </c>
      <c r="AN232" t="s">
        <v>137</v>
      </c>
      <c r="AO232" s="259">
        <v>4915.2612513710956</v>
      </c>
      <c r="AP232" t="s">
        <v>116</v>
      </c>
    </row>
    <row r="233" spans="2:45" x14ac:dyDescent="0.25">
      <c r="B233" t="s">
        <v>225</v>
      </c>
      <c r="C233" s="101">
        <v>19005</v>
      </c>
      <c r="D233" s="101">
        <v>0</v>
      </c>
      <c r="E233" s="101">
        <v>203</v>
      </c>
      <c r="F233" s="101">
        <v>750</v>
      </c>
      <c r="G233" s="101">
        <v>3878</v>
      </c>
      <c r="H233" s="101">
        <v>922</v>
      </c>
      <c r="I233" s="101">
        <v>993</v>
      </c>
      <c r="J233" s="101">
        <v>258</v>
      </c>
      <c r="K233" s="101">
        <v>0</v>
      </c>
      <c r="L233" s="101">
        <v>348</v>
      </c>
      <c r="M233" s="101">
        <v>272</v>
      </c>
      <c r="N233" s="101">
        <v>1012</v>
      </c>
      <c r="O233" s="101">
        <v>1879</v>
      </c>
      <c r="P233" s="101">
        <v>1236</v>
      </c>
      <c r="Q233" s="101">
        <v>1800</v>
      </c>
      <c r="R233" s="101">
        <v>5454</v>
      </c>
      <c r="S233" s="101"/>
      <c r="T233" t="s">
        <v>225</v>
      </c>
      <c r="U233" s="101">
        <f t="shared" si="9"/>
        <v>18052</v>
      </c>
      <c r="V233" s="101">
        <f>Inkomsten!M233</f>
        <v>11397000</v>
      </c>
      <c r="W233" s="101">
        <f>Inkomsten!D233</f>
        <v>9572258</v>
      </c>
      <c r="X233" s="101">
        <v>720</v>
      </c>
      <c r="Y233" s="101">
        <v>639</v>
      </c>
      <c r="Z233" s="101">
        <v>70</v>
      </c>
      <c r="AA233" s="101">
        <v>80</v>
      </c>
      <c r="AB233" s="101">
        <v>145</v>
      </c>
      <c r="AC233" s="101">
        <v>2</v>
      </c>
      <c r="AD233" s="101">
        <v>52</v>
      </c>
      <c r="AE233" s="101">
        <v>0</v>
      </c>
      <c r="AF233" s="101">
        <v>0</v>
      </c>
      <c r="AG233" s="101">
        <f t="shared" si="10"/>
        <v>14519.258</v>
      </c>
      <c r="AH233" s="101">
        <v>5755</v>
      </c>
      <c r="AI233" s="101">
        <f t="shared" si="11"/>
        <v>2522.8945264986969</v>
      </c>
      <c r="AJ233" t="s">
        <v>465</v>
      </c>
      <c r="AN233" t="s">
        <v>318</v>
      </c>
      <c r="AO233" s="259">
        <v>3212.1037589686734</v>
      </c>
      <c r="AP233" t="s">
        <v>116</v>
      </c>
    </row>
    <row r="234" spans="2:45" x14ac:dyDescent="0.25">
      <c r="B234" t="s">
        <v>382</v>
      </c>
      <c r="C234" s="101">
        <v>41876</v>
      </c>
      <c r="D234" s="101">
        <v>2007</v>
      </c>
      <c r="E234" s="101">
        <v>207</v>
      </c>
      <c r="F234" s="101">
        <v>1860</v>
      </c>
      <c r="G234" s="101">
        <v>7797</v>
      </c>
      <c r="H234" s="101">
        <v>4206</v>
      </c>
      <c r="I234" s="101">
        <v>1239</v>
      </c>
      <c r="J234" s="101">
        <v>1317</v>
      </c>
      <c r="K234" s="101">
        <v>2994</v>
      </c>
      <c r="L234" s="101">
        <v>636</v>
      </c>
      <c r="M234" s="101">
        <v>1974</v>
      </c>
      <c r="N234" s="101">
        <v>6332</v>
      </c>
      <c r="O234" s="101">
        <v>2230</v>
      </c>
      <c r="P234" s="101">
        <v>5613</v>
      </c>
      <c r="Q234" s="101">
        <v>2865</v>
      </c>
      <c r="R234" s="101">
        <v>816</v>
      </c>
      <c r="S234" s="101"/>
      <c r="T234" t="s">
        <v>382</v>
      </c>
      <c r="U234" s="101">
        <f t="shared" si="9"/>
        <v>37802</v>
      </c>
      <c r="V234" s="101">
        <f>Inkomsten!M234</f>
        <v>29103000</v>
      </c>
      <c r="W234" s="101">
        <f>Inkomsten!D234</f>
        <v>24117763</v>
      </c>
      <c r="X234" s="101">
        <v>1467</v>
      </c>
      <c r="Y234" s="101">
        <v>919</v>
      </c>
      <c r="Z234" s="101">
        <v>0</v>
      </c>
      <c r="AA234" s="101">
        <v>130</v>
      </c>
      <c r="AB234" s="101">
        <v>689</v>
      </c>
      <c r="AC234" s="101">
        <v>164</v>
      </c>
      <c r="AD234" s="101">
        <v>145</v>
      </c>
      <c r="AE234" s="101">
        <v>0</v>
      </c>
      <c r="AF234" s="101">
        <v>155</v>
      </c>
      <c r="AG234" s="101">
        <f t="shared" si="10"/>
        <v>29147.762999999999</v>
      </c>
      <c r="AH234" s="101">
        <v>13577</v>
      </c>
      <c r="AI234" s="101">
        <f t="shared" si="11"/>
        <v>2146.8485674302128</v>
      </c>
      <c r="AJ234" t="s">
        <v>465</v>
      </c>
      <c r="AN234" t="s">
        <v>288</v>
      </c>
      <c r="AO234" s="259">
        <v>3119.7937141344337</v>
      </c>
      <c r="AP234" t="s">
        <v>116</v>
      </c>
    </row>
    <row r="235" spans="2:45" x14ac:dyDescent="0.25">
      <c r="B235" t="s">
        <v>199</v>
      </c>
      <c r="C235" s="101">
        <v>149765</v>
      </c>
      <c r="D235" s="101">
        <v>33</v>
      </c>
      <c r="E235" s="101">
        <v>1775</v>
      </c>
      <c r="F235" s="101">
        <v>4523</v>
      </c>
      <c r="G235" s="101">
        <v>35792</v>
      </c>
      <c r="H235" s="101">
        <v>14504</v>
      </c>
      <c r="I235" s="101">
        <v>3517</v>
      </c>
      <c r="J235" s="101">
        <v>3249</v>
      </c>
      <c r="K235" s="101">
        <v>858</v>
      </c>
      <c r="L235" s="101">
        <v>3646</v>
      </c>
      <c r="M235" s="101">
        <v>5111</v>
      </c>
      <c r="N235" s="101">
        <v>26912</v>
      </c>
      <c r="O235" s="101">
        <v>17595</v>
      </c>
      <c r="P235" s="101">
        <v>19768</v>
      </c>
      <c r="Q235" s="101">
        <v>10820</v>
      </c>
      <c r="R235" s="101">
        <v>1946</v>
      </c>
      <c r="S235" s="101"/>
      <c r="T235" t="s">
        <v>199</v>
      </c>
      <c r="U235" s="101">
        <f t="shared" si="9"/>
        <v>143434</v>
      </c>
      <c r="V235" s="101">
        <f>Inkomsten!M235</f>
        <v>138337000</v>
      </c>
      <c r="W235" s="101">
        <f>Inkomsten!D235</f>
        <v>96998131</v>
      </c>
      <c r="X235" s="101">
        <v>4809</v>
      </c>
      <c r="Y235" s="101">
        <v>5006</v>
      </c>
      <c r="Z235" s="101">
        <v>504</v>
      </c>
      <c r="AA235" s="101">
        <v>825</v>
      </c>
      <c r="AB235" s="101">
        <v>500</v>
      </c>
      <c r="AC235" s="101">
        <v>157</v>
      </c>
      <c r="AD235" s="101">
        <v>291</v>
      </c>
      <c r="AE235" s="101">
        <v>29</v>
      </c>
      <c r="AF235" s="101">
        <v>8</v>
      </c>
      <c r="AG235" s="101">
        <f t="shared" si="10"/>
        <v>89966.130999999994</v>
      </c>
      <c r="AH235" s="101">
        <v>43656</v>
      </c>
      <c r="AI235" s="101">
        <f t="shared" si="11"/>
        <v>2060.7964770020158</v>
      </c>
      <c r="AJ235" t="s">
        <v>116</v>
      </c>
      <c r="AN235" t="s">
        <v>523</v>
      </c>
      <c r="AO235" s="259">
        <v>3111.7330149445493</v>
      </c>
      <c r="AP235" t="s">
        <v>116</v>
      </c>
    </row>
    <row r="236" spans="2:45" x14ac:dyDescent="0.25">
      <c r="B236" t="s">
        <v>226</v>
      </c>
      <c r="C236" s="101">
        <v>57204</v>
      </c>
      <c r="D236" s="101">
        <v>1083</v>
      </c>
      <c r="E236" s="101">
        <v>1399</v>
      </c>
      <c r="F236" s="101">
        <v>2240</v>
      </c>
      <c r="G236" s="101">
        <v>15820</v>
      </c>
      <c r="H236" s="101">
        <v>5348</v>
      </c>
      <c r="I236" s="101">
        <v>1653</v>
      </c>
      <c r="J236" s="101">
        <v>1143</v>
      </c>
      <c r="K236" s="101">
        <v>473</v>
      </c>
      <c r="L236" s="101">
        <v>1884</v>
      </c>
      <c r="M236" s="101">
        <v>2617</v>
      </c>
      <c r="N236" s="101">
        <v>8232</v>
      </c>
      <c r="O236" s="101">
        <v>4712</v>
      </c>
      <c r="P236" s="101">
        <v>6544</v>
      </c>
      <c r="Q236" s="101">
        <v>3081</v>
      </c>
      <c r="R236" s="101">
        <v>1265</v>
      </c>
      <c r="S236" s="101"/>
      <c r="T236" t="s">
        <v>226</v>
      </c>
      <c r="U236" s="101">
        <f t="shared" si="9"/>
        <v>52482</v>
      </c>
      <c r="V236" s="101">
        <f>Inkomsten!M236</f>
        <v>48613000</v>
      </c>
      <c r="W236" s="101">
        <f>Inkomsten!D236</f>
        <v>38124983</v>
      </c>
      <c r="X236" s="101">
        <v>2101</v>
      </c>
      <c r="Y236" s="101">
        <v>2595</v>
      </c>
      <c r="Z236" s="101">
        <v>557</v>
      </c>
      <c r="AA236" s="101">
        <v>245</v>
      </c>
      <c r="AB236" s="101">
        <v>547</v>
      </c>
      <c r="AC236" s="101">
        <v>52</v>
      </c>
      <c r="AD236" s="101">
        <v>172</v>
      </c>
      <c r="AE236" s="101">
        <v>21</v>
      </c>
      <c r="AF236" s="101">
        <v>240</v>
      </c>
      <c r="AG236" s="101">
        <f t="shared" si="10"/>
        <v>35463.983</v>
      </c>
      <c r="AH236" s="101">
        <v>20238</v>
      </c>
      <c r="AI236" s="101">
        <f t="shared" si="11"/>
        <v>1752.3462298646111</v>
      </c>
      <c r="AJ236" t="s">
        <v>465</v>
      </c>
      <c r="AN236" t="s">
        <v>315</v>
      </c>
      <c r="AO236" s="259">
        <v>2822.6058138844323</v>
      </c>
      <c r="AP236" t="s">
        <v>116</v>
      </c>
    </row>
    <row r="237" spans="2:45" x14ac:dyDescent="0.25">
      <c r="B237" t="s">
        <v>312</v>
      </c>
      <c r="C237" s="101">
        <v>157816</v>
      </c>
      <c r="D237" s="101">
        <v>1449</v>
      </c>
      <c r="E237" s="101">
        <v>2114</v>
      </c>
      <c r="F237" s="101">
        <v>6816</v>
      </c>
      <c r="G237" s="101">
        <v>32035</v>
      </c>
      <c r="H237" s="101">
        <v>18484</v>
      </c>
      <c r="I237" s="101">
        <v>3708</v>
      </c>
      <c r="J237" s="101">
        <v>7970</v>
      </c>
      <c r="K237" s="101">
        <v>910</v>
      </c>
      <c r="L237" s="101">
        <v>3198</v>
      </c>
      <c r="M237" s="101">
        <v>11716</v>
      </c>
      <c r="N237" s="101">
        <v>18180</v>
      </c>
      <c r="O237" s="101">
        <v>14006</v>
      </c>
      <c r="P237" s="101">
        <v>21112</v>
      </c>
      <c r="Q237" s="101">
        <v>15467</v>
      </c>
      <c r="R237" s="101">
        <v>827</v>
      </c>
      <c r="S237" s="101"/>
      <c r="T237" t="s">
        <v>312</v>
      </c>
      <c r="U237" s="101">
        <f t="shared" si="9"/>
        <v>147437</v>
      </c>
      <c r="V237" s="101">
        <f>Inkomsten!M237</f>
        <v>119814000</v>
      </c>
      <c r="W237" s="101">
        <f>Inkomsten!D237</f>
        <v>102023455</v>
      </c>
      <c r="X237" s="101">
        <v>5203</v>
      </c>
      <c r="Y237" s="101">
        <v>7322</v>
      </c>
      <c r="Z237" s="101">
        <v>239</v>
      </c>
      <c r="AA237" s="101">
        <v>941</v>
      </c>
      <c r="AB237" s="101">
        <v>1247</v>
      </c>
      <c r="AC237" s="101">
        <v>196</v>
      </c>
      <c r="AD237" s="101">
        <v>0</v>
      </c>
      <c r="AE237" s="101">
        <v>357</v>
      </c>
      <c r="AF237" s="101">
        <v>914</v>
      </c>
      <c r="AG237" s="101">
        <f t="shared" si="10"/>
        <v>113227.455</v>
      </c>
      <c r="AH237" s="101">
        <v>47713</v>
      </c>
      <c r="AI237" s="101">
        <f t="shared" si="11"/>
        <v>2373.0944396705299</v>
      </c>
      <c r="AJ237" t="s">
        <v>116</v>
      </c>
      <c r="AN237" t="s">
        <v>593</v>
      </c>
      <c r="AO237" s="259">
        <v>2812.0651207801388</v>
      </c>
      <c r="AP237" t="s">
        <v>116</v>
      </c>
    </row>
    <row r="238" spans="2:45" x14ac:dyDescent="0.25">
      <c r="B238" t="s">
        <v>155</v>
      </c>
      <c r="C238" s="101">
        <v>111938</v>
      </c>
      <c r="D238" s="101">
        <v>404</v>
      </c>
      <c r="E238" s="101">
        <v>1263</v>
      </c>
      <c r="F238" s="101">
        <v>5274</v>
      </c>
      <c r="G238" s="101">
        <v>26683</v>
      </c>
      <c r="H238" s="101">
        <v>4680</v>
      </c>
      <c r="I238" s="101">
        <v>3876</v>
      </c>
      <c r="J238" s="101">
        <v>4316</v>
      </c>
      <c r="K238" s="101">
        <v>1012</v>
      </c>
      <c r="L238" s="101">
        <v>3198</v>
      </c>
      <c r="M238" s="101">
        <v>8555</v>
      </c>
      <c r="N238" s="101">
        <v>11861</v>
      </c>
      <c r="O238" s="101">
        <v>11647</v>
      </c>
      <c r="P238" s="101">
        <v>17228</v>
      </c>
      <c r="Q238" s="101">
        <v>9668</v>
      </c>
      <c r="R238" s="101">
        <v>2445</v>
      </c>
      <c r="S238" s="101"/>
      <c r="T238" t="s">
        <v>155</v>
      </c>
      <c r="U238" s="101">
        <f t="shared" si="9"/>
        <v>104997</v>
      </c>
      <c r="V238" s="101">
        <f>Inkomsten!M238</f>
        <v>93238000</v>
      </c>
      <c r="W238" s="101">
        <f>Inkomsten!D238</f>
        <v>75772568</v>
      </c>
      <c r="X238" s="101">
        <v>3085</v>
      </c>
      <c r="Y238" s="101">
        <v>3119</v>
      </c>
      <c r="Z238" s="101">
        <v>652</v>
      </c>
      <c r="AA238" s="101">
        <v>517</v>
      </c>
      <c r="AB238" s="101">
        <v>772</v>
      </c>
      <c r="AC238" s="101">
        <v>95</v>
      </c>
      <c r="AD238" s="101">
        <v>465</v>
      </c>
      <c r="AE238" s="101">
        <v>1</v>
      </c>
      <c r="AF238" s="101">
        <v>115</v>
      </c>
      <c r="AG238" s="101">
        <f t="shared" si="10"/>
        <v>78710.567999999999</v>
      </c>
      <c r="AH238" s="101">
        <v>38676</v>
      </c>
      <c r="AI238" s="101">
        <f t="shared" si="11"/>
        <v>2035.1269004033509</v>
      </c>
      <c r="AJ238" t="s">
        <v>465</v>
      </c>
      <c r="AN238" t="s">
        <v>138</v>
      </c>
      <c r="AO238" s="259">
        <v>2770.5470700473279</v>
      </c>
      <c r="AP238" t="s">
        <v>116</v>
      </c>
    </row>
    <row r="239" spans="2:45" x14ac:dyDescent="0.25">
      <c r="B239" t="s">
        <v>726</v>
      </c>
      <c r="C239" s="101">
        <v>232783</v>
      </c>
      <c r="D239" s="101">
        <v>17710</v>
      </c>
      <c r="E239" s="101">
        <v>3691</v>
      </c>
      <c r="F239" s="101">
        <v>13026</v>
      </c>
      <c r="G239" s="101">
        <v>51690</v>
      </c>
      <c r="H239" s="101">
        <v>16137</v>
      </c>
      <c r="I239" s="101">
        <v>6448</v>
      </c>
      <c r="J239" s="101">
        <v>4944</v>
      </c>
      <c r="K239" s="101">
        <v>1169</v>
      </c>
      <c r="L239" s="101">
        <v>3419</v>
      </c>
      <c r="M239" s="101">
        <v>12309</v>
      </c>
      <c r="N239" s="101">
        <v>32513</v>
      </c>
      <c r="O239" s="101">
        <v>14910</v>
      </c>
      <c r="P239" s="101">
        <v>25552</v>
      </c>
      <c r="Q239" s="101">
        <v>18565</v>
      </c>
      <c r="R239" s="101">
        <v>11276</v>
      </c>
      <c r="S239" s="101"/>
      <c r="T239" t="s">
        <v>726</v>
      </c>
      <c r="U239" s="101">
        <f t="shared" si="9"/>
        <v>198356</v>
      </c>
      <c r="V239" s="101">
        <f>Inkomsten!M239</f>
        <v>176428000</v>
      </c>
      <c r="W239" s="101">
        <f>Inkomsten!D239</f>
        <v>130906363</v>
      </c>
      <c r="X239" s="101">
        <v>5886</v>
      </c>
      <c r="Y239" s="101">
        <v>12693</v>
      </c>
      <c r="Z239" s="101">
        <v>0</v>
      </c>
      <c r="AA239" s="101">
        <v>1290</v>
      </c>
      <c r="AB239" s="101">
        <v>2564</v>
      </c>
      <c r="AC239" s="101">
        <v>291</v>
      </c>
      <c r="AD239" s="101">
        <v>310</v>
      </c>
      <c r="AE239" s="101">
        <v>4838</v>
      </c>
      <c r="AF239" s="101">
        <v>801</v>
      </c>
      <c r="AG239" s="101">
        <f t="shared" si="10"/>
        <v>124161.36300000001</v>
      </c>
      <c r="AH239" s="101">
        <v>59640</v>
      </c>
      <c r="AI239" s="101">
        <f t="shared" si="11"/>
        <v>2081.8471327967809</v>
      </c>
      <c r="AJ239" t="s">
        <v>116</v>
      </c>
      <c r="AN239" t="s">
        <v>395</v>
      </c>
      <c r="AO239" s="259">
        <v>2724.4133747670799</v>
      </c>
      <c r="AP239" t="s">
        <v>116</v>
      </c>
    </row>
    <row r="240" spans="2:45" x14ac:dyDescent="0.25">
      <c r="B240" t="s">
        <v>416</v>
      </c>
      <c r="C240" s="101">
        <v>69245</v>
      </c>
      <c r="D240" s="101">
        <v>207</v>
      </c>
      <c r="E240" s="101">
        <v>209</v>
      </c>
      <c r="F240" s="101">
        <v>7471</v>
      </c>
      <c r="G240" s="101">
        <v>9972</v>
      </c>
      <c r="H240" s="101">
        <v>7555</v>
      </c>
      <c r="I240" s="101">
        <v>2262</v>
      </c>
      <c r="J240" s="101">
        <v>2616</v>
      </c>
      <c r="K240" s="101">
        <v>738</v>
      </c>
      <c r="L240" s="101">
        <v>1160</v>
      </c>
      <c r="M240" s="101">
        <v>4803</v>
      </c>
      <c r="N240" s="101">
        <v>11500</v>
      </c>
      <c r="O240" s="101">
        <v>5836</v>
      </c>
      <c r="P240" s="101">
        <v>8494</v>
      </c>
      <c r="Q240" s="101">
        <v>4447</v>
      </c>
      <c r="R240" s="101">
        <v>2109</v>
      </c>
      <c r="S240" s="101"/>
      <c r="T240" t="s">
        <v>416</v>
      </c>
      <c r="U240" s="101">
        <f t="shared" si="9"/>
        <v>61358</v>
      </c>
      <c r="V240" s="101">
        <f>Inkomsten!M240</f>
        <v>51025000</v>
      </c>
      <c r="W240" s="101">
        <f>Inkomsten!D240</f>
        <v>42016235</v>
      </c>
      <c r="X240" s="101">
        <v>2347</v>
      </c>
      <c r="Y240" s="101">
        <v>3063</v>
      </c>
      <c r="Z240" s="101">
        <v>40</v>
      </c>
      <c r="AA240" s="101">
        <v>345</v>
      </c>
      <c r="AB240" s="101">
        <v>632</v>
      </c>
      <c r="AC240" s="101">
        <v>3</v>
      </c>
      <c r="AD240" s="101">
        <v>536</v>
      </c>
      <c r="AE240" s="101">
        <v>0</v>
      </c>
      <c r="AF240" s="101">
        <v>372</v>
      </c>
      <c r="AG240" s="101">
        <f t="shared" si="10"/>
        <v>45011.235000000001</v>
      </c>
      <c r="AH240" s="101">
        <v>20806</v>
      </c>
      <c r="AI240" s="101">
        <f t="shared" si="11"/>
        <v>2163.3776314524657</v>
      </c>
      <c r="AJ240" t="s">
        <v>116</v>
      </c>
      <c r="AN240" t="s">
        <v>602</v>
      </c>
      <c r="AO240" s="259">
        <v>2722.8665391028699</v>
      </c>
      <c r="AP240" t="s">
        <v>116</v>
      </c>
    </row>
    <row r="241" spans="2:42" x14ac:dyDescent="0.25">
      <c r="B241" t="s">
        <v>417</v>
      </c>
      <c r="C241" s="101">
        <v>240024</v>
      </c>
      <c r="D241" s="101">
        <v>325</v>
      </c>
      <c r="E241" s="101">
        <v>1937</v>
      </c>
      <c r="F241" s="101">
        <v>8465</v>
      </c>
      <c r="G241" s="101">
        <v>54591</v>
      </c>
      <c r="H241" s="101">
        <v>19171</v>
      </c>
      <c r="I241" s="101">
        <v>7053</v>
      </c>
      <c r="J241" s="101">
        <v>8699</v>
      </c>
      <c r="K241" s="101">
        <v>4887</v>
      </c>
      <c r="L241" s="101">
        <v>7285</v>
      </c>
      <c r="M241" s="101">
        <v>14919</v>
      </c>
      <c r="N241" s="101">
        <v>43979</v>
      </c>
      <c r="O241" s="101">
        <v>22158</v>
      </c>
      <c r="P241" s="101">
        <v>30784</v>
      </c>
      <c r="Q241" s="101">
        <v>14882</v>
      </c>
      <c r="R241" s="101">
        <v>1980</v>
      </c>
      <c r="S241" s="101"/>
      <c r="T241" t="s">
        <v>417</v>
      </c>
      <c r="U241" s="101">
        <f t="shared" si="9"/>
        <v>229297</v>
      </c>
      <c r="V241" s="101">
        <f>Inkomsten!M241</f>
        <v>202169000</v>
      </c>
      <c r="W241" s="101">
        <f>Inkomsten!D241</f>
        <v>150535753</v>
      </c>
      <c r="X241" s="101">
        <v>6101</v>
      </c>
      <c r="Y241" s="101">
        <v>8477</v>
      </c>
      <c r="Z241" s="101">
        <v>272</v>
      </c>
      <c r="AA241" s="101">
        <v>971</v>
      </c>
      <c r="AB241" s="101">
        <v>1606</v>
      </c>
      <c r="AC241" s="101">
        <v>806</v>
      </c>
      <c r="AD241" s="101">
        <v>1243</v>
      </c>
      <c r="AE241" s="101">
        <v>3927</v>
      </c>
      <c r="AF241" s="101">
        <v>959</v>
      </c>
      <c r="AG241" s="101">
        <f t="shared" si="10"/>
        <v>153301.753</v>
      </c>
      <c r="AH241" s="101">
        <v>60749</v>
      </c>
      <c r="AI241" s="101">
        <f t="shared" si="11"/>
        <v>2523.5271856326854</v>
      </c>
      <c r="AJ241" t="s">
        <v>439</v>
      </c>
      <c r="AN241" t="s">
        <v>208</v>
      </c>
      <c r="AO241" s="259">
        <v>2712.383781133914</v>
      </c>
      <c r="AP241" t="s">
        <v>116</v>
      </c>
    </row>
    <row r="242" spans="2:42" x14ac:dyDescent="0.25">
      <c r="B242" t="s">
        <v>383</v>
      </c>
      <c r="C242" s="101">
        <v>311503</v>
      </c>
      <c r="D242" s="101">
        <v>0</v>
      </c>
      <c r="E242" s="101">
        <v>4024</v>
      </c>
      <c r="F242" s="101">
        <v>9900</v>
      </c>
      <c r="G242" s="101">
        <v>50719</v>
      </c>
      <c r="H242" s="101">
        <v>14405</v>
      </c>
      <c r="I242" s="101">
        <v>8458</v>
      </c>
      <c r="J242" s="101">
        <v>14263</v>
      </c>
      <c r="K242" s="101">
        <v>19278</v>
      </c>
      <c r="L242" s="101">
        <v>9007</v>
      </c>
      <c r="M242" s="101">
        <v>16616</v>
      </c>
      <c r="N242" s="101">
        <v>67309</v>
      </c>
      <c r="O242" s="101">
        <v>27989</v>
      </c>
      <c r="P242" s="101">
        <v>41299</v>
      </c>
      <c r="Q242" s="101">
        <v>28366</v>
      </c>
      <c r="R242" s="101">
        <v>2119</v>
      </c>
      <c r="S242" s="101"/>
      <c r="T242" t="s">
        <v>383</v>
      </c>
      <c r="U242" s="101">
        <f t="shared" si="9"/>
        <v>297579</v>
      </c>
      <c r="V242" s="101">
        <f>Inkomsten!M242</f>
        <v>242707000</v>
      </c>
      <c r="W242" s="101">
        <f>Inkomsten!D242</f>
        <v>182602779</v>
      </c>
      <c r="X242" s="101">
        <v>14351</v>
      </c>
      <c r="Y242" s="101">
        <v>11150</v>
      </c>
      <c r="Z242" s="101">
        <v>0</v>
      </c>
      <c r="AA242" s="101">
        <v>973</v>
      </c>
      <c r="AB242" s="101">
        <v>1479</v>
      </c>
      <c r="AC242" s="101">
        <v>684</v>
      </c>
      <c r="AD242" s="101">
        <v>204</v>
      </c>
      <c r="AE242" s="101">
        <v>1927</v>
      </c>
      <c r="AF242" s="101">
        <v>288</v>
      </c>
      <c r="AG242" s="101">
        <f t="shared" si="10"/>
        <v>206418.77900000001</v>
      </c>
      <c r="AH242" s="101">
        <v>77566</v>
      </c>
      <c r="AI242" s="101">
        <f t="shared" si="11"/>
        <v>2661.2018023360752</v>
      </c>
      <c r="AJ242" t="s">
        <v>439</v>
      </c>
      <c r="AN242" t="s">
        <v>146</v>
      </c>
      <c r="AO242" s="259">
        <v>2685.5993397603647</v>
      </c>
      <c r="AP242" t="s">
        <v>116</v>
      </c>
    </row>
    <row r="243" spans="2:42" x14ac:dyDescent="0.25">
      <c r="B243" t="s">
        <v>314</v>
      </c>
      <c r="C243" s="101">
        <v>4425355</v>
      </c>
      <c r="D243" s="101">
        <v>61598</v>
      </c>
      <c r="E243" s="101">
        <v>41337</v>
      </c>
      <c r="F243" s="101">
        <v>161220</v>
      </c>
      <c r="G243" s="101">
        <v>1320796</v>
      </c>
      <c r="H243" s="101">
        <v>232027</v>
      </c>
      <c r="I243" s="101">
        <v>114127</v>
      </c>
      <c r="J243" s="101">
        <v>102929</v>
      </c>
      <c r="K243" s="101">
        <v>33510</v>
      </c>
      <c r="L243" s="101">
        <v>223315</v>
      </c>
      <c r="M243" s="101">
        <v>311475</v>
      </c>
      <c r="N243" s="101">
        <v>691517</v>
      </c>
      <c r="O243" s="101">
        <v>239482</v>
      </c>
      <c r="P243" s="101">
        <v>644210</v>
      </c>
      <c r="Q243" s="101">
        <v>258489</v>
      </c>
      <c r="R243" s="101">
        <v>-1536</v>
      </c>
      <c r="S243" s="101"/>
      <c r="T243" t="s">
        <v>314</v>
      </c>
      <c r="U243" s="101">
        <f t="shared" si="9"/>
        <v>4161200</v>
      </c>
      <c r="V243" s="101">
        <f>Inkomsten!M243</f>
        <v>3256691000</v>
      </c>
      <c r="W243" s="101">
        <f>Inkomsten!D243</f>
        <v>2100329677</v>
      </c>
      <c r="X243" s="101">
        <v>106864</v>
      </c>
      <c r="Y243" s="101">
        <v>124198</v>
      </c>
      <c r="Z243" s="101">
        <v>5246</v>
      </c>
      <c r="AA243" s="101">
        <v>16216</v>
      </c>
      <c r="AB243" s="101">
        <v>23021</v>
      </c>
      <c r="AC243" s="217">
        <v>13490</v>
      </c>
      <c r="AD243" s="101">
        <v>16815</v>
      </c>
      <c r="AE243" s="101">
        <v>219279</v>
      </c>
      <c r="AF243" s="101">
        <v>27527</v>
      </c>
      <c r="AG243" s="101">
        <f t="shared" si="10"/>
        <v>2452182.6770000001</v>
      </c>
      <c r="AH243" s="101">
        <v>671125</v>
      </c>
      <c r="AI243" s="101">
        <f t="shared" si="11"/>
        <v>3653.8389674054761</v>
      </c>
      <c r="AJ243" t="s">
        <v>439</v>
      </c>
      <c r="AN243" t="s">
        <v>271</v>
      </c>
      <c r="AO243" s="259">
        <v>2674.5716012316079</v>
      </c>
      <c r="AP243" t="s">
        <v>116</v>
      </c>
    </row>
    <row r="244" spans="2:42" x14ac:dyDescent="0.25">
      <c r="B244" t="s">
        <v>200</v>
      </c>
      <c r="C244" s="101">
        <v>9680</v>
      </c>
      <c r="D244" s="101">
        <v>0</v>
      </c>
      <c r="E244" s="101">
        <v>0</v>
      </c>
      <c r="F244" s="101">
        <v>234</v>
      </c>
      <c r="G244" s="101">
        <v>1588</v>
      </c>
      <c r="H244" s="101">
        <v>1069</v>
      </c>
      <c r="I244" s="101">
        <v>218</v>
      </c>
      <c r="J244" s="101">
        <v>154</v>
      </c>
      <c r="K244" s="101">
        <v>2</v>
      </c>
      <c r="L244" s="101">
        <v>431</v>
      </c>
      <c r="M244" s="101">
        <v>191</v>
      </c>
      <c r="N244" s="101">
        <v>187</v>
      </c>
      <c r="O244" s="101">
        <v>403</v>
      </c>
      <c r="P244" s="101">
        <v>4581</v>
      </c>
      <c r="Q244" s="101">
        <v>537</v>
      </c>
      <c r="R244" s="101">
        <v>85</v>
      </c>
      <c r="S244" s="101"/>
      <c r="T244" t="s">
        <v>200</v>
      </c>
      <c r="U244" s="101">
        <f t="shared" si="9"/>
        <v>9446</v>
      </c>
      <c r="V244" s="101">
        <f>Inkomsten!M244</f>
        <v>8805000</v>
      </c>
      <c r="W244" s="101">
        <f>Inkomsten!D244</f>
        <v>3735682</v>
      </c>
      <c r="X244" s="101">
        <v>168</v>
      </c>
      <c r="Y244" s="101">
        <v>217</v>
      </c>
      <c r="Z244" s="101">
        <v>89</v>
      </c>
      <c r="AA244" s="101">
        <v>65</v>
      </c>
      <c r="AB244" s="101">
        <v>60</v>
      </c>
      <c r="AC244" s="101">
        <v>1</v>
      </c>
      <c r="AD244" s="101">
        <v>0</v>
      </c>
      <c r="AE244" s="101">
        <v>0</v>
      </c>
      <c r="AF244" s="101">
        <v>12</v>
      </c>
      <c r="AG244" s="101">
        <f t="shared" si="10"/>
        <v>3764.6819999999998</v>
      </c>
      <c r="AH244" s="101">
        <v>1831</v>
      </c>
      <c r="AI244" s="101">
        <f t="shared" si="11"/>
        <v>2056.0797378481702</v>
      </c>
      <c r="AJ244" t="s">
        <v>465</v>
      </c>
      <c r="AN244" t="s">
        <v>210</v>
      </c>
      <c r="AO244" s="259">
        <v>2665.1112876924944</v>
      </c>
      <c r="AP244" t="s">
        <v>116</v>
      </c>
    </row>
    <row r="245" spans="2:42" x14ac:dyDescent="0.25">
      <c r="B245" t="s">
        <v>384</v>
      </c>
      <c r="C245" s="101">
        <v>73844</v>
      </c>
      <c r="D245" s="101">
        <v>1959</v>
      </c>
      <c r="E245" s="101">
        <v>399</v>
      </c>
      <c r="F245" s="101">
        <v>4403</v>
      </c>
      <c r="G245" s="101">
        <v>15347</v>
      </c>
      <c r="H245" s="101">
        <v>5307</v>
      </c>
      <c r="I245" s="101">
        <v>1840</v>
      </c>
      <c r="J245" s="101">
        <v>2577</v>
      </c>
      <c r="K245" s="101">
        <v>639</v>
      </c>
      <c r="L245" s="101">
        <v>1702</v>
      </c>
      <c r="M245" s="101">
        <v>3233</v>
      </c>
      <c r="N245" s="101">
        <v>15619</v>
      </c>
      <c r="O245" s="101">
        <v>5161</v>
      </c>
      <c r="P245" s="101">
        <v>10073</v>
      </c>
      <c r="Q245" s="101">
        <v>5316</v>
      </c>
      <c r="R245" s="101">
        <v>514</v>
      </c>
      <c r="S245" s="101"/>
      <c r="T245" t="s">
        <v>384</v>
      </c>
      <c r="U245" s="101">
        <f t="shared" si="9"/>
        <v>67083</v>
      </c>
      <c r="V245" s="101">
        <f>Inkomsten!M245</f>
        <v>62440000</v>
      </c>
      <c r="W245" s="101">
        <f>Inkomsten!D245</f>
        <v>46780419</v>
      </c>
      <c r="X245" s="101">
        <v>2732</v>
      </c>
      <c r="Y245" s="101">
        <v>3093</v>
      </c>
      <c r="Z245" s="101">
        <v>27</v>
      </c>
      <c r="AA245" s="101">
        <v>491</v>
      </c>
      <c r="AB245" s="101">
        <v>613</v>
      </c>
      <c r="AC245" s="101">
        <v>33</v>
      </c>
      <c r="AD245" s="101">
        <v>116</v>
      </c>
      <c r="AE245" s="101">
        <v>0</v>
      </c>
      <c r="AF245" s="101">
        <v>40</v>
      </c>
      <c r="AG245" s="101">
        <f t="shared" si="10"/>
        <v>44278.419000000002</v>
      </c>
      <c r="AH245" s="101">
        <v>23924</v>
      </c>
      <c r="AI245" s="101">
        <f t="shared" si="11"/>
        <v>1850.7949757565625</v>
      </c>
      <c r="AJ245" t="s">
        <v>116</v>
      </c>
      <c r="AN245" t="s">
        <v>249</v>
      </c>
      <c r="AO245" s="259">
        <v>2652.4349381289435</v>
      </c>
      <c r="AP245" t="s">
        <v>116</v>
      </c>
    </row>
    <row r="246" spans="2:42" x14ac:dyDescent="0.25">
      <c r="B246" t="s">
        <v>269</v>
      </c>
      <c r="C246" s="101">
        <v>150700</v>
      </c>
      <c r="D246" s="101">
        <v>9177</v>
      </c>
      <c r="E246" s="101">
        <v>1599</v>
      </c>
      <c r="F246" s="101">
        <v>7111</v>
      </c>
      <c r="G246" s="101">
        <v>37186</v>
      </c>
      <c r="H246" s="101">
        <v>11499</v>
      </c>
      <c r="I246" s="101">
        <v>4704</v>
      </c>
      <c r="J246" s="101">
        <v>7710</v>
      </c>
      <c r="K246" s="101">
        <v>993</v>
      </c>
      <c r="L246" s="101">
        <v>1713</v>
      </c>
      <c r="M246" s="101">
        <v>11289</v>
      </c>
      <c r="N246" s="101">
        <v>15562</v>
      </c>
      <c r="O246" s="101">
        <v>16407</v>
      </c>
      <c r="P246" s="101">
        <v>12130</v>
      </c>
      <c r="Q246" s="101">
        <v>12981</v>
      </c>
      <c r="R246" s="101">
        <v>639</v>
      </c>
      <c r="S246" s="101"/>
      <c r="T246" t="s">
        <v>269</v>
      </c>
      <c r="U246" s="101">
        <f t="shared" si="9"/>
        <v>132813</v>
      </c>
      <c r="V246" s="101">
        <f>Inkomsten!M246</f>
        <v>112759000</v>
      </c>
      <c r="W246" s="101">
        <f>Inkomsten!D246</f>
        <v>93635519</v>
      </c>
      <c r="X246" s="101">
        <v>5810</v>
      </c>
      <c r="Y246" s="101">
        <v>7658</v>
      </c>
      <c r="Z246" s="101">
        <v>288</v>
      </c>
      <c r="AA246" s="101">
        <v>831</v>
      </c>
      <c r="AB246" s="101">
        <v>1600</v>
      </c>
      <c r="AC246" s="101">
        <v>178</v>
      </c>
      <c r="AD246" s="101">
        <v>2724</v>
      </c>
      <c r="AE246" s="101">
        <v>7</v>
      </c>
      <c r="AF246" s="101">
        <v>411</v>
      </c>
      <c r="AG246" s="101">
        <f t="shared" si="10"/>
        <v>94182.519</v>
      </c>
      <c r="AH246" s="101">
        <v>47734</v>
      </c>
      <c r="AI246" s="101">
        <f t="shared" si="11"/>
        <v>1973.0699082415051</v>
      </c>
      <c r="AJ246" t="s">
        <v>116</v>
      </c>
      <c r="AN246" t="s">
        <v>333</v>
      </c>
      <c r="AO246" s="259">
        <v>2644.1111983770493</v>
      </c>
      <c r="AP246" t="s">
        <v>116</v>
      </c>
    </row>
    <row r="247" spans="2:42" x14ac:dyDescent="0.25">
      <c r="B247" t="s">
        <v>201</v>
      </c>
      <c r="C247" s="101">
        <v>28353</v>
      </c>
      <c r="D247" s="101">
        <v>1987</v>
      </c>
      <c r="E247" s="101">
        <v>59</v>
      </c>
      <c r="F247" s="101">
        <v>861</v>
      </c>
      <c r="G247" s="101">
        <v>8619</v>
      </c>
      <c r="H247" s="101">
        <v>2444</v>
      </c>
      <c r="I247" s="101">
        <v>700</v>
      </c>
      <c r="J247" s="101">
        <v>881</v>
      </c>
      <c r="K247" s="101">
        <v>249</v>
      </c>
      <c r="L247" s="101">
        <v>565</v>
      </c>
      <c r="M247" s="101">
        <v>1574</v>
      </c>
      <c r="N247" s="101">
        <v>1629</v>
      </c>
      <c r="O247" s="101">
        <v>3005</v>
      </c>
      <c r="P247" s="101">
        <v>2534</v>
      </c>
      <c r="Q247" s="101">
        <v>2082</v>
      </c>
      <c r="R247" s="101">
        <v>1339</v>
      </c>
      <c r="S247" s="101"/>
      <c r="T247" t="s">
        <v>201</v>
      </c>
      <c r="U247" s="101">
        <f t="shared" si="9"/>
        <v>25446</v>
      </c>
      <c r="V247" s="101">
        <f>Inkomsten!M247</f>
        <v>22459000</v>
      </c>
      <c r="W247" s="101">
        <f>Inkomsten!D247</f>
        <v>18269384</v>
      </c>
      <c r="X247" s="101">
        <v>1193</v>
      </c>
      <c r="Y247" s="101">
        <v>1079</v>
      </c>
      <c r="Z247" s="101">
        <v>155</v>
      </c>
      <c r="AA247" s="101">
        <v>159</v>
      </c>
      <c r="AB247" s="101">
        <v>543</v>
      </c>
      <c r="AC247" s="101">
        <v>73</v>
      </c>
      <c r="AD247" s="101">
        <v>157</v>
      </c>
      <c r="AE247" s="101">
        <v>0</v>
      </c>
      <c r="AF247" s="101">
        <v>34</v>
      </c>
      <c r="AG247" s="101">
        <f t="shared" si="10"/>
        <v>17863.383999999998</v>
      </c>
      <c r="AH247" s="101">
        <v>10344</v>
      </c>
      <c r="AI247" s="101">
        <f t="shared" si="11"/>
        <v>1726.9319412219645</v>
      </c>
      <c r="AJ247" t="s">
        <v>465</v>
      </c>
      <c r="AN247" t="s">
        <v>337</v>
      </c>
      <c r="AO247" s="259">
        <v>2602.3732224361752</v>
      </c>
      <c r="AP247" t="s">
        <v>116</v>
      </c>
    </row>
    <row r="248" spans="2:42" x14ac:dyDescent="0.25">
      <c r="B248" t="s">
        <v>315</v>
      </c>
      <c r="C248" s="101">
        <v>374477</v>
      </c>
      <c r="D248" s="101">
        <v>27190</v>
      </c>
      <c r="E248" s="101">
        <v>8233</v>
      </c>
      <c r="F248" s="101">
        <v>12324</v>
      </c>
      <c r="G248" s="101">
        <v>50272</v>
      </c>
      <c r="H248" s="101">
        <v>21406</v>
      </c>
      <c r="I248" s="101">
        <v>9881</v>
      </c>
      <c r="J248" s="101">
        <v>13542</v>
      </c>
      <c r="K248" s="101">
        <v>25314</v>
      </c>
      <c r="L248" s="101">
        <v>11158</v>
      </c>
      <c r="M248" s="101">
        <v>24626</v>
      </c>
      <c r="N248" s="101">
        <v>68517</v>
      </c>
      <c r="O248" s="101">
        <v>29574</v>
      </c>
      <c r="P248" s="101">
        <v>43588</v>
      </c>
      <c r="Q248" s="101">
        <v>25473</v>
      </c>
      <c r="R248" s="101">
        <v>4891</v>
      </c>
      <c r="S248" s="101"/>
      <c r="T248" t="s">
        <v>315</v>
      </c>
      <c r="U248" s="101">
        <f t="shared" si="9"/>
        <v>326730</v>
      </c>
      <c r="V248" s="101">
        <f>Inkomsten!M248</f>
        <v>266797000</v>
      </c>
      <c r="W248" s="101">
        <f>Inkomsten!D248</f>
        <v>197737650</v>
      </c>
      <c r="X248" s="101">
        <v>10927</v>
      </c>
      <c r="Y248" s="101">
        <v>14189</v>
      </c>
      <c r="Z248" s="101">
        <v>0</v>
      </c>
      <c r="AA248" s="101">
        <v>1582</v>
      </c>
      <c r="AB248" s="101">
        <v>1600</v>
      </c>
      <c r="AC248" s="101">
        <v>1557</v>
      </c>
      <c r="AD248" s="101">
        <v>350</v>
      </c>
      <c r="AE248" s="101">
        <v>3648</v>
      </c>
      <c r="AF248" s="101">
        <v>9017</v>
      </c>
      <c r="AG248" s="101">
        <f t="shared" si="10"/>
        <v>214800.65</v>
      </c>
      <c r="AH248" s="101">
        <v>81855</v>
      </c>
      <c r="AI248" s="101">
        <f t="shared" si="11"/>
        <v>2624.1604055952598</v>
      </c>
      <c r="AJ248" t="s">
        <v>116</v>
      </c>
      <c r="AN248" t="s">
        <v>287</v>
      </c>
      <c r="AO248" s="260">
        <v>2585.1971828202172</v>
      </c>
      <c r="AP248" t="s">
        <v>116</v>
      </c>
    </row>
    <row r="249" spans="2:42" x14ac:dyDescent="0.25">
      <c r="B249" t="s">
        <v>133</v>
      </c>
      <c r="C249" s="101">
        <v>10069</v>
      </c>
      <c r="D249" s="101">
        <v>0</v>
      </c>
      <c r="E249" s="101">
        <v>261</v>
      </c>
      <c r="F249" s="101">
        <v>404</v>
      </c>
      <c r="G249" s="101">
        <v>3316</v>
      </c>
      <c r="H249" s="101">
        <v>1632</v>
      </c>
      <c r="I249" s="101">
        <v>441</v>
      </c>
      <c r="J249" s="101">
        <v>326</v>
      </c>
      <c r="K249" s="101">
        <v>206</v>
      </c>
      <c r="L249" s="101">
        <v>555</v>
      </c>
      <c r="M249" s="101">
        <v>772</v>
      </c>
      <c r="N249" s="101">
        <v>176</v>
      </c>
      <c r="O249" s="101">
        <v>154</v>
      </c>
      <c r="P249" s="101">
        <v>566</v>
      </c>
      <c r="Q249" s="101">
        <v>530</v>
      </c>
      <c r="R249" s="101">
        <v>772</v>
      </c>
      <c r="S249" s="101"/>
      <c r="T249" t="s">
        <v>133</v>
      </c>
      <c r="U249" s="101">
        <f t="shared" si="9"/>
        <v>9404</v>
      </c>
      <c r="V249" s="101">
        <f>Inkomsten!M249</f>
        <v>5146000</v>
      </c>
      <c r="W249" s="101">
        <f>Inkomsten!D249</f>
        <v>4286258</v>
      </c>
      <c r="X249" s="101">
        <v>220</v>
      </c>
      <c r="Y249" s="101">
        <v>383</v>
      </c>
      <c r="Z249" s="101">
        <v>41</v>
      </c>
      <c r="AA249" s="101">
        <v>33</v>
      </c>
      <c r="AB249" s="101">
        <v>106</v>
      </c>
      <c r="AC249" s="101">
        <v>69</v>
      </c>
      <c r="AD249" s="101">
        <v>1835</v>
      </c>
      <c r="AE249" s="101">
        <v>0</v>
      </c>
      <c r="AF249" s="101">
        <v>122</v>
      </c>
      <c r="AG249" s="101">
        <f t="shared" si="10"/>
        <v>5735.2579999999998</v>
      </c>
      <c r="AH249" s="101">
        <v>971</v>
      </c>
      <c r="AI249" s="101">
        <f t="shared" si="11"/>
        <v>5906.5478887744594</v>
      </c>
      <c r="AJ249" t="s">
        <v>116</v>
      </c>
      <c r="AN249" t="s">
        <v>335</v>
      </c>
      <c r="AO249" s="259">
        <v>2563.588087211835</v>
      </c>
      <c r="AP249" t="s">
        <v>116</v>
      </c>
    </row>
    <row r="250" spans="2:42" x14ac:dyDescent="0.25">
      <c r="B250" t="s">
        <v>335</v>
      </c>
      <c r="C250" s="101">
        <v>139666</v>
      </c>
      <c r="D250" s="101">
        <v>203</v>
      </c>
      <c r="E250" s="101">
        <v>1702</v>
      </c>
      <c r="F250" s="101">
        <v>6674</v>
      </c>
      <c r="G250" s="101">
        <v>37472</v>
      </c>
      <c r="H250" s="101">
        <v>11762</v>
      </c>
      <c r="I250" s="101">
        <v>4485</v>
      </c>
      <c r="J250" s="101">
        <v>10420</v>
      </c>
      <c r="K250" s="101">
        <v>3638</v>
      </c>
      <c r="L250" s="101">
        <v>3262</v>
      </c>
      <c r="M250" s="101">
        <v>10805</v>
      </c>
      <c r="N250" s="101">
        <v>11830</v>
      </c>
      <c r="O250" s="101">
        <v>6918</v>
      </c>
      <c r="P250" s="101">
        <v>17085</v>
      </c>
      <c r="Q250" s="101">
        <v>12121</v>
      </c>
      <c r="R250" s="101">
        <v>1983</v>
      </c>
      <c r="S250" s="101"/>
      <c r="T250" t="s">
        <v>335</v>
      </c>
      <c r="U250" s="101">
        <f t="shared" si="9"/>
        <v>131087</v>
      </c>
      <c r="V250" s="101">
        <f>Inkomsten!M250</f>
        <v>87737000</v>
      </c>
      <c r="W250" s="101">
        <f>Inkomsten!D250</f>
        <v>72516620</v>
      </c>
      <c r="X250" s="101">
        <v>7421</v>
      </c>
      <c r="Y250" s="101">
        <v>5080</v>
      </c>
      <c r="Z250" s="101">
        <v>627</v>
      </c>
      <c r="AA250" s="101">
        <v>444</v>
      </c>
      <c r="AB250" s="101">
        <v>2056</v>
      </c>
      <c r="AC250" s="101">
        <v>1117</v>
      </c>
      <c r="AD250" s="101">
        <v>9980</v>
      </c>
      <c r="AE250" s="101">
        <v>2427</v>
      </c>
      <c r="AF250" s="101">
        <v>1410</v>
      </c>
      <c r="AG250" s="101">
        <f t="shared" si="10"/>
        <v>85304.62</v>
      </c>
      <c r="AH250" s="101">
        <v>34631</v>
      </c>
      <c r="AI250" s="101">
        <f t="shared" si="11"/>
        <v>2463.2444919291966</v>
      </c>
      <c r="AJ250" s="140" t="s">
        <v>116</v>
      </c>
      <c r="AN250" t="s">
        <v>597</v>
      </c>
      <c r="AO250" s="259">
        <v>2544.036648172038</v>
      </c>
      <c r="AP250" t="s">
        <v>116</v>
      </c>
    </row>
    <row r="251" spans="2:42" x14ac:dyDescent="0.25">
      <c r="B251" t="s">
        <v>441</v>
      </c>
      <c r="C251" s="101">
        <v>3132702</v>
      </c>
      <c r="D251" s="101">
        <v>64307</v>
      </c>
      <c r="E251" s="101">
        <v>23922</v>
      </c>
      <c r="F251" s="101">
        <v>103597</v>
      </c>
      <c r="G251" s="101">
        <v>804858</v>
      </c>
      <c r="H251" s="101">
        <v>139068</v>
      </c>
      <c r="I251" s="101">
        <v>77929</v>
      </c>
      <c r="J251" s="101">
        <v>165773</v>
      </c>
      <c r="K251" s="101">
        <v>53160</v>
      </c>
      <c r="L251" s="101">
        <v>119262</v>
      </c>
      <c r="M251" s="101">
        <v>182257</v>
      </c>
      <c r="N251" s="101">
        <v>542022</v>
      </c>
      <c r="O251" s="101">
        <v>179067</v>
      </c>
      <c r="P251" s="101">
        <v>437055</v>
      </c>
      <c r="Q251" s="101">
        <v>203726</v>
      </c>
      <c r="R251" s="101">
        <v>48498</v>
      </c>
      <c r="S251" s="101"/>
      <c r="T251" t="s">
        <v>720</v>
      </c>
      <c r="U251" s="101">
        <f t="shared" si="9"/>
        <v>2940876</v>
      </c>
      <c r="V251" s="101">
        <f>Inkomsten!M251</f>
        <v>2354431000</v>
      </c>
      <c r="W251" s="101">
        <f>Inkomsten!D251</f>
        <v>1671722021</v>
      </c>
      <c r="X251" s="101">
        <v>54240</v>
      </c>
      <c r="Y251" s="101">
        <v>111486</v>
      </c>
      <c r="Z251" s="101">
        <v>2426</v>
      </c>
      <c r="AA251" s="101">
        <v>13666</v>
      </c>
      <c r="AB251" s="101">
        <v>25208</v>
      </c>
      <c r="AC251" s="101">
        <v>5016</v>
      </c>
      <c r="AD251" s="101">
        <v>16188</v>
      </c>
      <c r="AE251" s="101">
        <v>91688</v>
      </c>
      <c r="AF251" s="101">
        <v>18069</v>
      </c>
      <c r="AG251" s="101">
        <f t="shared" si="10"/>
        <v>1920180.0209999997</v>
      </c>
      <c r="AH251" s="101">
        <v>565701</v>
      </c>
      <c r="AI251" s="101">
        <f t="shared" si="11"/>
        <v>3394.3373283766509</v>
      </c>
      <c r="AJ251" t="s">
        <v>439</v>
      </c>
      <c r="AN251" t="s">
        <v>316</v>
      </c>
      <c r="AO251" s="259">
        <v>2538.9751896103712</v>
      </c>
      <c r="AP251" t="s">
        <v>116</v>
      </c>
    </row>
    <row r="252" spans="2:42" x14ac:dyDescent="0.25">
      <c r="B252" t="s">
        <v>476</v>
      </c>
      <c r="C252" s="101">
        <v>819716</v>
      </c>
      <c r="D252" s="101">
        <v>59980</v>
      </c>
      <c r="E252" s="101">
        <v>5185</v>
      </c>
      <c r="F252" s="101">
        <v>46334</v>
      </c>
      <c r="G252" s="101">
        <v>195116</v>
      </c>
      <c r="H252" s="101">
        <v>31303</v>
      </c>
      <c r="I252" s="101">
        <v>15772</v>
      </c>
      <c r="J252" s="101">
        <v>30691</v>
      </c>
      <c r="K252" s="101">
        <v>9174</v>
      </c>
      <c r="L252" s="101">
        <v>28476</v>
      </c>
      <c r="M252" s="101">
        <v>48552</v>
      </c>
      <c r="N252" s="101">
        <v>95321</v>
      </c>
      <c r="O252" s="101">
        <v>6689</v>
      </c>
      <c r="P252" s="101">
        <v>178740</v>
      </c>
      <c r="Q252" s="101">
        <v>66993</v>
      </c>
      <c r="R252" s="101">
        <v>4614</v>
      </c>
      <c r="S252" s="101"/>
      <c r="T252" t="s">
        <v>723</v>
      </c>
      <c r="U252" s="101">
        <f t="shared" si="9"/>
        <v>708217</v>
      </c>
      <c r="V252" s="101">
        <f>Inkomsten!M252</f>
        <v>526564000</v>
      </c>
      <c r="W252" s="101">
        <f>Inkomsten!D252</f>
        <v>348759605</v>
      </c>
      <c r="X252" s="101">
        <v>13343</v>
      </c>
      <c r="Y252" s="101">
        <v>20091</v>
      </c>
      <c r="Z252" s="101">
        <v>154</v>
      </c>
      <c r="AA252" s="101">
        <v>3183</v>
      </c>
      <c r="AB252" s="101">
        <v>4482</v>
      </c>
      <c r="AC252" s="101">
        <v>2457</v>
      </c>
      <c r="AD252" s="101">
        <v>2387</v>
      </c>
      <c r="AE252" s="101">
        <v>24211</v>
      </c>
      <c r="AF252" s="101">
        <v>2788</v>
      </c>
      <c r="AG252" s="101">
        <f t="shared" si="10"/>
        <v>457316.60499999998</v>
      </c>
      <c r="AH252" s="101">
        <v>160740</v>
      </c>
      <c r="AI252" s="101">
        <f t="shared" si="11"/>
        <v>2845.0703309692672</v>
      </c>
      <c r="AJ252" t="s">
        <v>439</v>
      </c>
      <c r="AN252" t="s">
        <v>151</v>
      </c>
      <c r="AO252" s="259">
        <v>2530.6477421124187</v>
      </c>
      <c r="AP252" t="s">
        <v>116</v>
      </c>
    </row>
    <row r="253" spans="2:42" x14ac:dyDescent="0.25">
      <c r="B253" t="s">
        <v>418</v>
      </c>
      <c r="C253" s="101">
        <v>31966</v>
      </c>
      <c r="D253" s="101">
        <v>142</v>
      </c>
      <c r="E253" s="101">
        <v>204</v>
      </c>
      <c r="F253" s="101">
        <v>1010</v>
      </c>
      <c r="G253" s="101">
        <v>7993</v>
      </c>
      <c r="H253" s="101">
        <v>2807</v>
      </c>
      <c r="I253" s="101">
        <v>1163</v>
      </c>
      <c r="J253" s="101">
        <v>972</v>
      </c>
      <c r="K253" s="101">
        <v>260</v>
      </c>
      <c r="L253" s="101">
        <v>790</v>
      </c>
      <c r="M253" s="101">
        <v>1794</v>
      </c>
      <c r="N253" s="101">
        <v>5698</v>
      </c>
      <c r="O253" s="101">
        <v>3104</v>
      </c>
      <c r="P253" s="101">
        <v>3117</v>
      </c>
      <c r="Q253" s="101">
        <v>2855</v>
      </c>
      <c r="R253" s="101">
        <v>152</v>
      </c>
      <c r="S253" s="101"/>
      <c r="T253" t="s">
        <v>418</v>
      </c>
      <c r="U253" s="101">
        <f t="shared" si="9"/>
        <v>30610</v>
      </c>
      <c r="V253" s="101">
        <f>Inkomsten!M253</f>
        <v>26603000</v>
      </c>
      <c r="W253" s="101">
        <f>Inkomsten!D253</f>
        <v>21533889</v>
      </c>
      <c r="X253" s="101">
        <v>1689</v>
      </c>
      <c r="Y253" s="101">
        <v>1427</v>
      </c>
      <c r="Z253" s="101">
        <v>30</v>
      </c>
      <c r="AA253" s="101">
        <v>183</v>
      </c>
      <c r="AB253" s="101">
        <v>35</v>
      </c>
      <c r="AC253" s="101">
        <v>9</v>
      </c>
      <c r="AD253" s="101">
        <v>61</v>
      </c>
      <c r="AE253" s="101">
        <v>2</v>
      </c>
      <c r="AF253" s="101">
        <v>0</v>
      </c>
      <c r="AG253" s="101">
        <f t="shared" si="10"/>
        <v>22104.888999999999</v>
      </c>
      <c r="AH253" s="101">
        <v>10252</v>
      </c>
      <c r="AI253" s="101">
        <f t="shared" si="11"/>
        <v>2156.153823644167</v>
      </c>
      <c r="AJ253" t="s">
        <v>116</v>
      </c>
      <c r="AN253" t="s">
        <v>475</v>
      </c>
      <c r="AO253" s="259">
        <v>2527.448452947996</v>
      </c>
      <c r="AP253" t="s">
        <v>116</v>
      </c>
    </row>
    <row r="254" spans="2:42" x14ac:dyDescent="0.25">
      <c r="B254" t="s">
        <v>385</v>
      </c>
      <c r="C254" s="101">
        <v>79921</v>
      </c>
      <c r="D254" s="101">
        <v>4164</v>
      </c>
      <c r="E254" s="101">
        <v>310</v>
      </c>
      <c r="F254" s="101">
        <v>4052</v>
      </c>
      <c r="G254" s="101">
        <v>1396</v>
      </c>
      <c r="H254" s="101">
        <v>7767</v>
      </c>
      <c r="I254" s="101">
        <v>3454</v>
      </c>
      <c r="J254" s="101">
        <v>3747</v>
      </c>
      <c r="K254" s="101">
        <v>780</v>
      </c>
      <c r="L254" s="101">
        <v>3219</v>
      </c>
      <c r="M254" s="101">
        <v>6114</v>
      </c>
      <c r="N254" s="101">
        <v>11062</v>
      </c>
      <c r="O254" s="101">
        <v>7539</v>
      </c>
      <c r="P254" s="101">
        <v>13808</v>
      </c>
      <c r="Q254" s="101">
        <v>9150</v>
      </c>
      <c r="R254" s="101">
        <v>3359</v>
      </c>
      <c r="S254" s="101"/>
      <c r="T254" t="s">
        <v>385</v>
      </c>
      <c r="U254" s="101">
        <f t="shared" si="9"/>
        <v>71395</v>
      </c>
      <c r="V254" s="101">
        <f>Inkomsten!M254</f>
        <v>58201000</v>
      </c>
      <c r="W254" s="101">
        <f>Inkomsten!D254</f>
        <v>48595001</v>
      </c>
      <c r="X254" s="101">
        <v>1976</v>
      </c>
      <c r="Y254" s="101">
        <v>3323</v>
      </c>
      <c r="Z254" s="101">
        <v>3</v>
      </c>
      <c r="AA254" s="101">
        <v>438</v>
      </c>
      <c r="AB254" s="101">
        <v>615</v>
      </c>
      <c r="AC254" s="101">
        <v>86</v>
      </c>
      <c r="AD254" s="101">
        <v>168</v>
      </c>
      <c r="AE254" s="101">
        <v>0</v>
      </c>
      <c r="AF254" s="101">
        <v>32</v>
      </c>
      <c r="AG254" s="101">
        <f t="shared" si="10"/>
        <v>55148.000999999997</v>
      </c>
      <c r="AH254" s="101">
        <v>30091</v>
      </c>
      <c r="AI254" s="101">
        <f t="shared" si="11"/>
        <v>1832.707487288558</v>
      </c>
      <c r="AJ254" t="s">
        <v>465</v>
      </c>
      <c r="AN254" t="s">
        <v>131</v>
      </c>
      <c r="AO254" s="259">
        <v>2512.8049740185074</v>
      </c>
      <c r="AP254" t="s">
        <v>116</v>
      </c>
    </row>
    <row r="255" spans="2:42" x14ac:dyDescent="0.25">
      <c r="B255" t="s">
        <v>419</v>
      </c>
      <c r="C255" s="101">
        <v>418307</v>
      </c>
      <c r="D255" s="101">
        <v>369</v>
      </c>
      <c r="E255" s="101">
        <v>9302</v>
      </c>
      <c r="F255" s="101">
        <v>18364</v>
      </c>
      <c r="G255" s="101">
        <v>79043</v>
      </c>
      <c r="H255" s="101">
        <v>42274</v>
      </c>
      <c r="I255" s="101">
        <v>9887</v>
      </c>
      <c r="J255" s="101">
        <v>16510</v>
      </c>
      <c r="K255" s="101">
        <v>9632</v>
      </c>
      <c r="L255" s="101">
        <v>7648</v>
      </c>
      <c r="M255" s="101">
        <v>33175</v>
      </c>
      <c r="N255" s="101">
        <v>66686</v>
      </c>
      <c r="O255" s="101">
        <v>36305</v>
      </c>
      <c r="P255" s="101">
        <v>63450</v>
      </c>
      <c r="Q255" s="101">
        <v>21486</v>
      </c>
      <c r="R255" s="101">
        <v>7678</v>
      </c>
      <c r="S255" s="101"/>
      <c r="T255" t="s">
        <v>419</v>
      </c>
      <c r="U255" s="101">
        <f t="shared" si="9"/>
        <v>390272</v>
      </c>
      <c r="V255" s="101">
        <f>Inkomsten!M255</f>
        <v>306376000</v>
      </c>
      <c r="W255" s="101">
        <f>Inkomsten!D255</f>
        <v>225165209</v>
      </c>
      <c r="X255" s="101">
        <v>11342</v>
      </c>
      <c r="Y255" s="101">
        <v>14508</v>
      </c>
      <c r="Z255" s="101">
        <v>506</v>
      </c>
      <c r="AA255" s="101">
        <v>1768</v>
      </c>
      <c r="AB255" s="101">
        <v>2152</v>
      </c>
      <c r="AC255" s="101">
        <v>630</v>
      </c>
      <c r="AD255" s="101">
        <v>326</v>
      </c>
      <c r="AE255" s="101">
        <v>5845</v>
      </c>
      <c r="AF255" s="101">
        <v>1665</v>
      </c>
      <c r="AG255" s="101">
        <f t="shared" si="10"/>
        <v>270319.20900000003</v>
      </c>
      <c r="AH255" s="101">
        <v>92624</v>
      </c>
      <c r="AI255" s="101">
        <f t="shared" si="11"/>
        <v>2918.4575164104344</v>
      </c>
      <c r="AJ255" t="s">
        <v>439</v>
      </c>
      <c r="AN255" t="s">
        <v>180</v>
      </c>
      <c r="AO255" s="259">
        <v>2509.1740877249749</v>
      </c>
      <c r="AP255" t="s">
        <v>116</v>
      </c>
    </row>
    <row r="256" spans="2:42" x14ac:dyDescent="0.25">
      <c r="B256" t="s">
        <v>316</v>
      </c>
      <c r="C256" s="101">
        <v>92501</v>
      </c>
      <c r="D256" s="101">
        <v>0</v>
      </c>
      <c r="E256" s="101">
        <v>455</v>
      </c>
      <c r="F256" s="101">
        <v>3161</v>
      </c>
      <c r="G256" s="101">
        <v>12383</v>
      </c>
      <c r="H256" s="101">
        <v>10296</v>
      </c>
      <c r="I256" s="101">
        <v>2895</v>
      </c>
      <c r="J256" s="101">
        <v>1566</v>
      </c>
      <c r="K256" s="101">
        <v>2283</v>
      </c>
      <c r="L256" s="101">
        <v>2368</v>
      </c>
      <c r="M256" s="101">
        <v>4018</v>
      </c>
      <c r="N256" s="101">
        <v>16565</v>
      </c>
      <c r="O256" s="101">
        <v>8581</v>
      </c>
      <c r="P256" s="101">
        <v>15034</v>
      </c>
      <c r="Q256" s="101">
        <v>8253</v>
      </c>
      <c r="R256" s="101">
        <v>4932</v>
      </c>
      <c r="S256" s="101"/>
      <c r="T256" t="s">
        <v>316</v>
      </c>
      <c r="U256" s="101">
        <f t="shared" si="9"/>
        <v>88885</v>
      </c>
      <c r="V256" s="101">
        <f>Inkomsten!M256</f>
        <v>80060000</v>
      </c>
      <c r="W256" s="101">
        <f>Inkomsten!D256</f>
        <v>56892629</v>
      </c>
      <c r="X256" s="101">
        <v>3782</v>
      </c>
      <c r="Y256" s="101">
        <v>3992</v>
      </c>
      <c r="Z256" s="101">
        <v>597</v>
      </c>
      <c r="AA256" s="101">
        <v>464</v>
      </c>
      <c r="AB256" s="101">
        <v>497</v>
      </c>
      <c r="AC256" s="101">
        <v>200</v>
      </c>
      <c r="AD256" s="101">
        <v>0</v>
      </c>
      <c r="AE256" s="101">
        <v>0</v>
      </c>
      <c r="AF256" s="101">
        <v>171</v>
      </c>
      <c r="AG256" s="101">
        <f t="shared" si="10"/>
        <v>56014.629000000001</v>
      </c>
      <c r="AH256" s="101">
        <v>26270</v>
      </c>
      <c r="AI256" s="101">
        <f t="shared" si="11"/>
        <v>2132.2660449181576</v>
      </c>
      <c r="AJ256" t="s">
        <v>116</v>
      </c>
      <c r="AN256" t="s">
        <v>336</v>
      </c>
      <c r="AO256" s="259">
        <v>2508.6469759986617</v>
      </c>
      <c r="AP256" t="s">
        <v>116</v>
      </c>
    </row>
    <row r="257" spans="2:42" x14ac:dyDescent="0.25">
      <c r="B257" t="s">
        <v>336</v>
      </c>
      <c r="C257" s="101">
        <v>97304</v>
      </c>
      <c r="D257" s="101">
        <v>2723</v>
      </c>
      <c r="E257" s="101">
        <v>1498</v>
      </c>
      <c r="F257" s="101">
        <v>5220</v>
      </c>
      <c r="G257" s="101">
        <v>20193</v>
      </c>
      <c r="H257" s="101">
        <v>8803</v>
      </c>
      <c r="I257" s="101">
        <v>3281</v>
      </c>
      <c r="J257" s="101">
        <v>6170</v>
      </c>
      <c r="K257" s="101">
        <v>2086</v>
      </c>
      <c r="L257" s="101">
        <v>3423</v>
      </c>
      <c r="M257" s="101">
        <v>8466</v>
      </c>
      <c r="N257" s="101">
        <v>13506</v>
      </c>
      <c r="O257" s="101">
        <v>7990</v>
      </c>
      <c r="P257" s="101">
        <v>5783</v>
      </c>
      <c r="Q257" s="101">
        <v>7985</v>
      </c>
      <c r="R257" s="101">
        <v>1023</v>
      </c>
      <c r="S257" s="101"/>
      <c r="T257" t="s">
        <v>336</v>
      </c>
      <c r="U257" s="101">
        <f t="shared" si="9"/>
        <v>87863</v>
      </c>
      <c r="V257" s="101">
        <f>Inkomsten!M257</f>
        <v>61505000</v>
      </c>
      <c r="W257" s="101">
        <f>Inkomsten!D257</f>
        <v>51582505</v>
      </c>
      <c r="X257" s="101">
        <v>4968</v>
      </c>
      <c r="Y257" s="101">
        <v>4074</v>
      </c>
      <c r="Z257" s="101">
        <v>234</v>
      </c>
      <c r="AA257" s="101">
        <v>442</v>
      </c>
      <c r="AB257" s="101">
        <v>512</v>
      </c>
      <c r="AC257" s="101">
        <v>116</v>
      </c>
      <c r="AD257" s="101">
        <v>6894</v>
      </c>
      <c r="AE257" s="101">
        <v>3058</v>
      </c>
      <c r="AF257" s="101">
        <v>691</v>
      </c>
      <c r="AG257" s="101">
        <f t="shared" si="10"/>
        <v>56951.505000000005</v>
      </c>
      <c r="AH257" s="101">
        <v>23152</v>
      </c>
      <c r="AI257" s="101">
        <f t="shared" si="11"/>
        <v>2459.8956893572913</v>
      </c>
      <c r="AJ257" t="s">
        <v>116</v>
      </c>
      <c r="AN257" t="s">
        <v>195</v>
      </c>
      <c r="AO257" s="259">
        <v>2484.0437114489173</v>
      </c>
      <c r="AP257" t="s">
        <v>116</v>
      </c>
    </row>
    <row r="258" spans="2:42" x14ac:dyDescent="0.25">
      <c r="B258" t="s">
        <v>134</v>
      </c>
      <c r="C258" s="101">
        <v>237758</v>
      </c>
      <c r="D258" s="101">
        <v>3657</v>
      </c>
      <c r="E258" s="101">
        <v>4283</v>
      </c>
      <c r="F258" s="101">
        <v>7996</v>
      </c>
      <c r="G258" s="101">
        <v>47871</v>
      </c>
      <c r="H258" s="101">
        <v>16066</v>
      </c>
      <c r="I258" s="101">
        <v>4364</v>
      </c>
      <c r="J258" s="101">
        <v>8932</v>
      </c>
      <c r="K258" s="101">
        <v>5243</v>
      </c>
      <c r="L258" s="101">
        <v>6409</v>
      </c>
      <c r="M258" s="101">
        <v>16341</v>
      </c>
      <c r="N258" s="101">
        <v>44558</v>
      </c>
      <c r="O258" s="101">
        <v>22976</v>
      </c>
      <c r="P258" s="101">
        <v>35335</v>
      </c>
      <c r="Q258" s="101">
        <v>12496</v>
      </c>
      <c r="R258" s="101">
        <v>2116</v>
      </c>
      <c r="S258" s="101"/>
      <c r="T258" t="s">
        <v>134</v>
      </c>
      <c r="U258" s="101">
        <f t="shared" si="9"/>
        <v>221822</v>
      </c>
      <c r="V258" s="101">
        <f>Inkomsten!M258</f>
        <v>201775000</v>
      </c>
      <c r="W258" s="101">
        <f>Inkomsten!D258</f>
        <v>144459251</v>
      </c>
      <c r="X258" s="101">
        <v>8068</v>
      </c>
      <c r="Y258" s="101">
        <v>7029</v>
      </c>
      <c r="Z258" s="101">
        <v>489</v>
      </c>
      <c r="AA258" s="101">
        <v>672</v>
      </c>
      <c r="AB258" s="101">
        <v>1212</v>
      </c>
      <c r="AC258" s="101">
        <v>280</v>
      </c>
      <c r="AD258" s="101">
        <v>150</v>
      </c>
      <c r="AE258" s="101">
        <v>3418</v>
      </c>
      <c r="AF258" s="101">
        <v>256</v>
      </c>
      <c r="AG258" s="101">
        <f t="shared" si="10"/>
        <v>142932.25099999999</v>
      </c>
      <c r="AH258" s="101">
        <v>56654</v>
      </c>
      <c r="AI258" s="101">
        <f t="shared" si="11"/>
        <v>2522.8977830338545</v>
      </c>
      <c r="AJ258" t="s">
        <v>439</v>
      </c>
      <c r="AN258" t="s">
        <v>327</v>
      </c>
      <c r="AO258" s="259">
        <v>2459.2286743800996</v>
      </c>
      <c r="AP258" t="s">
        <v>116</v>
      </c>
    </row>
    <row r="259" spans="2:42" x14ac:dyDescent="0.25">
      <c r="B259" t="s">
        <v>227</v>
      </c>
      <c r="C259" s="101">
        <v>150582</v>
      </c>
      <c r="D259" s="101">
        <v>9890</v>
      </c>
      <c r="E259" s="101">
        <v>784</v>
      </c>
      <c r="F259" s="101">
        <v>5435</v>
      </c>
      <c r="G259" s="101">
        <v>27755</v>
      </c>
      <c r="H259" s="101">
        <v>10025</v>
      </c>
      <c r="I259" s="101">
        <v>4241</v>
      </c>
      <c r="J259" s="101">
        <v>6289</v>
      </c>
      <c r="K259" s="101">
        <v>567</v>
      </c>
      <c r="L259" s="101">
        <v>3350</v>
      </c>
      <c r="M259" s="101">
        <v>10349</v>
      </c>
      <c r="N259" s="101">
        <v>22059</v>
      </c>
      <c r="O259" s="101">
        <v>14395</v>
      </c>
      <c r="P259" s="101">
        <v>19930</v>
      </c>
      <c r="Q259" s="101">
        <v>14472</v>
      </c>
      <c r="R259" s="101">
        <v>1291</v>
      </c>
      <c r="S259" s="101"/>
      <c r="T259" t="s">
        <v>227</v>
      </c>
      <c r="U259" s="101">
        <f t="shared" ref="U259:U322" si="12">SUM(C259,-D259,-E259,-F259)</f>
        <v>134473</v>
      </c>
      <c r="V259" s="101">
        <f>Inkomsten!M259</f>
        <v>103053000</v>
      </c>
      <c r="W259" s="101">
        <f>Inkomsten!D259</f>
        <v>84299252</v>
      </c>
      <c r="X259" s="101">
        <v>4864</v>
      </c>
      <c r="Y259" s="101">
        <v>6980</v>
      </c>
      <c r="Z259" s="101">
        <v>686</v>
      </c>
      <c r="AA259" s="101">
        <v>844</v>
      </c>
      <c r="AB259" s="101">
        <v>1408</v>
      </c>
      <c r="AC259" s="101">
        <v>132</v>
      </c>
      <c r="AD259" s="101">
        <v>0</v>
      </c>
      <c r="AE259" s="101">
        <v>11</v>
      </c>
      <c r="AF259" s="101">
        <v>129</v>
      </c>
      <c r="AG259" s="101">
        <f t="shared" ref="AG259:AG322" si="13">SUM(U259,-V259/1000,W259/1000,-X259,-Y259,-Z259,-AA259,-AB259,-AC259,-AD259,-AE259,-AF259)</f>
        <v>100665.25199999999</v>
      </c>
      <c r="AH259" s="101">
        <v>47685</v>
      </c>
      <c r="AI259" s="101">
        <f t="shared" ref="AI259:AI322" si="14">AG259*1000/AH259</f>
        <v>2111.0464926077384</v>
      </c>
      <c r="AJ259" t="s">
        <v>116</v>
      </c>
      <c r="AN259" t="s">
        <v>399</v>
      </c>
      <c r="AO259" s="259">
        <v>2455.0898757216601</v>
      </c>
      <c r="AP259" t="s">
        <v>116</v>
      </c>
    </row>
    <row r="260" spans="2:42" x14ac:dyDescent="0.25">
      <c r="B260" t="s">
        <v>386</v>
      </c>
      <c r="C260" s="101">
        <v>59458</v>
      </c>
      <c r="D260" s="101">
        <v>4079</v>
      </c>
      <c r="E260" s="101">
        <v>0</v>
      </c>
      <c r="F260" s="101">
        <v>1846</v>
      </c>
      <c r="G260" s="101">
        <v>11264</v>
      </c>
      <c r="H260" s="101">
        <v>6209</v>
      </c>
      <c r="I260" s="101">
        <v>1864</v>
      </c>
      <c r="J260" s="101">
        <v>3634</v>
      </c>
      <c r="K260" s="101">
        <v>1062</v>
      </c>
      <c r="L260" s="101">
        <v>1010</v>
      </c>
      <c r="M260" s="101">
        <v>3845</v>
      </c>
      <c r="N260" s="101">
        <v>7261</v>
      </c>
      <c r="O260" s="101">
        <v>3491</v>
      </c>
      <c r="P260" s="101">
        <v>8454</v>
      </c>
      <c r="Q260" s="101">
        <v>5257</v>
      </c>
      <c r="R260" s="101">
        <v>415</v>
      </c>
      <c r="S260" s="101"/>
      <c r="T260" t="s">
        <v>386</v>
      </c>
      <c r="U260" s="101">
        <f t="shared" si="12"/>
        <v>53533</v>
      </c>
      <c r="V260" s="101">
        <f>Inkomsten!M260</f>
        <v>42982000</v>
      </c>
      <c r="W260" s="101">
        <f>Inkomsten!D260</f>
        <v>36590835</v>
      </c>
      <c r="X260" s="101">
        <v>2139</v>
      </c>
      <c r="Y260" s="101">
        <v>2008</v>
      </c>
      <c r="Z260" s="101">
        <v>0</v>
      </c>
      <c r="AA260" s="101">
        <v>238</v>
      </c>
      <c r="AB260" s="101">
        <v>832</v>
      </c>
      <c r="AC260" s="101">
        <v>80</v>
      </c>
      <c r="AD260" s="101">
        <v>390</v>
      </c>
      <c r="AE260" s="101">
        <v>0</v>
      </c>
      <c r="AF260" s="101">
        <v>194</v>
      </c>
      <c r="AG260" s="101">
        <f t="shared" si="13"/>
        <v>41260.834999999999</v>
      </c>
      <c r="AH260" s="101">
        <v>20187</v>
      </c>
      <c r="AI260" s="101">
        <f t="shared" si="14"/>
        <v>2043.9309951949274</v>
      </c>
      <c r="AJ260" t="s">
        <v>465</v>
      </c>
      <c r="AN260" t="s">
        <v>199</v>
      </c>
      <c r="AO260" s="259">
        <v>2453.4821088397844</v>
      </c>
      <c r="AP260" t="s">
        <v>116</v>
      </c>
    </row>
    <row r="261" spans="2:42" x14ac:dyDescent="0.25">
      <c r="B261" t="s">
        <v>387</v>
      </c>
      <c r="C261" s="101">
        <v>48713</v>
      </c>
      <c r="D261" s="101">
        <v>2661</v>
      </c>
      <c r="E261" s="101">
        <v>1230</v>
      </c>
      <c r="F261" s="101">
        <v>2189</v>
      </c>
      <c r="G261" s="101">
        <v>8942</v>
      </c>
      <c r="H261" s="101">
        <v>7650</v>
      </c>
      <c r="I261" s="101">
        <v>1400</v>
      </c>
      <c r="J261" s="101">
        <v>1461</v>
      </c>
      <c r="K261" s="101">
        <v>297</v>
      </c>
      <c r="L261" s="101">
        <v>1229</v>
      </c>
      <c r="M261" s="101">
        <v>2104</v>
      </c>
      <c r="N261" s="101">
        <v>4651</v>
      </c>
      <c r="O261" s="101">
        <v>3973</v>
      </c>
      <c r="P261" s="101">
        <v>6550</v>
      </c>
      <c r="Q261" s="101">
        <v>3897</v>
      </c>
      <c r="R261" s="101">
        <v>683</v>
      </c>
      <c r="S261" s="101"/>
      <c r="T261" t="s">
        <v>387</v>
      </c>
      <c r="U261" s="101">
        <f t="shared" si="12"/>
        <v>42633</v>
      </c>
      <c r="V261" s="101">
        <f>Inkomsten!M261</f>
        <v>34194000</v>
      </c>
      <c r="W261" s="101">
        <f>Inkomsten!D261</f>
        <v>29054161</v>
      </c>
      <c r="X261" s="101">
        <v>1594</v>
      </c>
      <c r="Y261" s="101">
        <v>2359</v>
      </c>
      <c r="Z261" s="101">
        <v>0</v>
      </c>
      <c r="AA261" s="101">
        <v>210</v>
      </c>
      <c r="AB261" s="101">
        <v>669</v>
      </c>
      <c r="AC261" s="101">
        <v>83</v>
      </c>
      <c r="AD261" s="101">
        <v>0</v>
      </c>
      <c r="AE261" s="101">
        <v>0</v>
      </c>
      <c r="AF261" s="101">
        <v>175</v>
      </c>
      <c r="AG261" s="101">
        <f t="shared" si="13"/>
        <v>32403.161</v>
      </c>
      <c r="AH261" s="101">
        <v>17949</v>
      </c>
      <c r="AI261" s="101">
        <f t="shared" si="14"/>
        <v>1805.2906011476962</v>
      </c>
      <c r="AJ261" t="s">
        <v>465</v>
      </c>
      <c r="AN261" t="s">
        <v>274</v>
      </c>
      <c r="AO261" s="259">
        <v>2447.8678203975569</v>
      </c>
      <c r="AP261" t="s">
        <v>116</v>
      </c>
    </row>
    <row r="262" spans="2:42" x14ac:dyDescent="0.25">
      <c r="B262" t="s">
        <v>123</v>
      </c>
      <c r="C262" s="101">
        <v>141478</v>
      </c>
      <c r="D262" s="101">
        <v>769</v>
      </c>
      <c r="E262" s="101">
        <v>1122</v>
      </c>
      <c r="F262" s="101">
        <v>4180</v>
      </c>
      <c r="G262" s="101">
        <v>23201</v>
      </c>
      <c r="H262" s="101">
        <v>5664</v>
      </c>
      <c r="I262" s="101">
        <v>2416</v>
      </c>
      <c r="J262" s="101">
        <v>7319</v>
      </c>
      <c r="K262" s="101">
        <v>300</v>
      </c>
      <c r="L262" s="101">
        <v>2569</v>
      </c>
      <c r="M262" s="101">
        <v>4395</v>
      </c>
      <c r="N262" s="101">
        <v>41292</v>
      </c>
      <c r="O262" s="101">
        <v>16498</v>
      </c>
      <c r="P262" s="101">
        <v>23850</v>
      </c>
      <c r="Q262" s="101">
        <v>7348</v>
      </c>
      <c r="R262" s="101">
        <v>707</v>
      </c>
      <c r="S262" s="101"/>
      <c r="T262" t="s">
        <v>123</v>
      </c>
      <c r="U262" s="101">
        <f t="shared" si="12"/>
        <v>135407</v>
      </c>
      <c r="V262" s="101">
        <f>Inkomsten!M262</f>
        <v>125253000</v>
      </c>
      <c r="W262" s="101">
        <f>Inkomsten!D262</f>
        <v>87145875</v>
      </c>
      <c r="X262" s="101">
        <v>3029</v>
      </c>
      <c r="Y262" s="101">
        <v>3559</v>
      </c>
      <c r="Z262" s="101">
        <v>60</v>
      </c>
      <c r="AA262" s="101">
        <v>622</v>
      </c>
      <c r="AB262" s="101">
        <v>450</v>
      </c>
      <c r="AC262" s="101">
        <v>142</v>
      </c>
      <c r="AD262" s="101">
        <v>173</v>
      </c>
      <c r="AE262" s="101">
        <v>0</v>
      </c>
      <c r="AF262" s="101">
        <v>34</v>
      </c>
      <c r="AG262" s="101">
        <f t="shared" si="13"/>
        <v>89230.875</v>
      </c>
      <c r="AH262" s="101">
        <v>31993</v>
      </c>
      <c r="AI262" s="101">
        <f t="shared" si="14"/>
        <v>2789.074953896165</v>
      </c>
      <c r="AJ262" t="s">
        <v>439</v>
      </c>
      <c r="AN262" t="s">
        <v>223</v>
      </c>
      <c r="AO262" s="259">
        <v>2447.0134714369515</v>
      </c>
      <c r="AP262" t="s">
        <v>116</v>
      </c>
    </row>
    <row r="263" spans="2:42" x14ac:dyDescent="0.25">
      <c r="B263" t="s">
        <v>156</v>
      </c>
      <c r="C263" s="101">
        <v>60647</v>
      </c>
      <c r="D263" s="101">
        <v>2523</v>
      </c>
      <c r="E263" s="101">
        <v>0</v>
      </c>
      <c r="F263" s="101">
        <v>2044</v>
      </c>
      <c r="G263" s="101">
        <v>15609</v>
      </c>
      <c r="H263" s="101">
        <v>5537</v>
      </c>
      <c r="I263" s="101">
        <v>1237</v>
      </c>
      <c r="J263" s="101">
        <v>2264</v>
      </c>
      <c r="K263" s="101">
        <v>3574</v>
      </c>
      <c r="L263" s="101">
        <v>1317</v>
      </c>
      <c r="M263" s="101">
        <v>2982</v>
      </c>
      <c r="N263" s="101">
        <v>4065</v>
      </c>
      <c r="O263" s="101">
        <v>4104</v>
      </c>
      <c r="P263" s="101">
        <v>10239</v>
      </c>
      <c r="Q263" s="101">
        <v>4896</v>
      </c>
      <c r="R263" s="101">
        <v>445</v>
      </c>
      <c r="S263" s="101"/>
      <c r="T263" t="s">
        <v>156</v>
      </c>
      <c r="U263" s="101">
        <f t="shared" si="12"/>
        <v>56080</v>
      </c>
      <c r="V263" s="101">
        <f>Inkomsten!M263</f>
        <v>42731000</v>
      </c>
      <c r="W263" s="101">
        <f>Inkomsten!D263</f>
        <v>31864382</v>
      </c>
      <c r="X263" s="101">
        <v>1621</v>
      </c>
      <c r="Y263" s="101">
        <v>1482</v>
      </c>
      <c r="Z263" s="101">
        <v>378</v>
      </c>
      <c r="AA263" s="101">
        <v>322</v>
      </c>
      <c r="AB263" s="101">
        <v>748</v>
      </c>
      <c r="AC263" s="101">
        <v>70</v>
      </c>
      <c r="AD263" s="101">
        <v>127</v>
      </c>
      <c r="AE263" s="101">
        <v>0</v>
      </c>
      <c r="AF263" s="101">
        <v>50</v>
      </c>
      <c r="AG263" s="101">
        <f t="shared" si="13"/>
        <v>40415.381999999998</v>
      </c>
      <c r="AH263" s="101">
        <v>17738</v>
      </c>
      <c r="AI263" s="101">
        <f t="shared" si="14"/>
        <v>2278.4632991318076</v>
      </c>
      <c r="AJ263" t="s">
        <v>465</v>
      </c>
      <c r="AN263" t="s">
        <v>438</v>
      </c>
      <c r="AO263" s="259">
        <v>2446.3597678309957</v>
      </c>
      <c r="AP263" t="s">
        <v>116</v>
      </c>
    </row>
    <row r="264" spans="2:42" x14ac:dyDescent="0.25">
      <c r="B264" t="s">
        <v>270</v>
      </c>
      <c r="C264" s="101">
        <v>66352</v>
      </c>
      <c r="D264" s="101">
        <v>16</v>
      </c>
      <c r="E264" s="101">
        <v>1626</v>
      </c>
      <c r="F264" s="101">
        <v>2541</v>
      </c>
      <c r="G264" s="101">
        <v>2149</v>
      </c>
      <c r="H264" s="101">
        <v>10443</v>
      </c>
      <c r="I264" s="101">
        <v>2204</v>
      </c>
      <c r="J264" s="101">
        <v>3442</v>
      </c>
      <c r="K264" s="101">
        <v>719</v>
      </c>
      <c r="L264" s="101">
        <v>1174</v>
      </c>
      <c r="M264" s="101">
        <v>6018</v>
      </c>
      <c r="N264" s="101">
        <v>8254</v>
      </c>
      <c r="O264" s="101">
        <v>10270</v>
      </c>
      <c r="P264" s="101">
        <v>9899</v>
      </c>
      <c r="Q264" s="101">
        <v>5993</v>
      </c>
      <c r="R264" s="101">
        <v>1604</v>
      </c>
      <c r="S264" s="101"/>
      <c r="T264" t="s">
        <v>270</v>
      </c>
      <c r="U264" s="101">
        <f t="shared" si="12"/>
        <v>62169</v>
      </c>
      <c r="V264" s="101">
        <f>Inkomsten!M264</f>
        <v>54005000</v>
      </c>
      <c r="W264" s="101">
        <f>Inkomsten!D264</f>
        <v>46408785</v>
      </c>
      <c r="X264" s="101">
        <v>1980</v>
      </c>
      <c r="Y264" s="101">
        <v>3548</v>
      </c>
      <c r="Z264" s="101">
        <v>10</v>
      </c>
      <c r="AA264" s="101">
        <v>368</v>
      </c>
      <c r="AB264" s="101">
        <v>306</v>
      </c>
      <c r="AC264" s="101">
        <v>74</v>
      </c>
      <c r="AD264" s="101">
        <v>84</v>
      </c>
      <c r="AE264" s="101">
        <v>0</v>
      </c>
      <c r="AF264" s="101">
        <v>48</v>
      </c>
      <c r="AG264" s="101">
        <f t="shared" si="13"/>
        <v>48154.785000000003</v>
      </c>
      <c r="AH264" s="101">
        <v>22216</v>
      </c>
      <c r="AI264" s="101">
        <f t="shared" si="14"/>
        <v>2167.5722452286641</v>
      </c>
      <c r="AJ264" t="s">
        <v>116</v>
      </c>
      <c r="AN264" t="s">
        <v>312</v>
      </c>
      <c r="AO264" s="259">
        <v>2435.3371243680544</v>
      </c>
      <c r="AP264" t="s">
        <v>116</v>
      </c>
    </row>
    <row r="265" spans="2:42" x14ac:dyDescent="0.25">
      <c r="B265" t="s">
        <v>388</v>
      </c>
      <c r="C265" s="101">
        <v>75249</v>
      </c>
      <c r="D265" s="101">
        <v>2059</v>
      </c>
      <c r="E265" s="101">
        <v>331</v>
      </c>
      <c r="F265" s="101">
        <v>3382</v>
      </c>
      <c r="G265" s="101">
        <v>17664</v>
      </c>
      <c r="H265" s="101">
        <v>7578</v>
      </c>
      <c r="I265" s="101">
        <v>1853</v>
      </c>
      <c r="J265" s="101">
        <v>3229</v>
      </c>
      <c r="K265" s="101">
        <v>835</v>
      </c>
      <c r="L265" s="101">
        <v>1511</v>
      </c>
      <c r="M265" s="101">
        <v>3135</v>
      </c>
      <c r="N265" s="101">
        <v>11349</v>
      </c>
      <c r="O265" s="101">
        <v>4410</v>
      </c>
      <c r="P265" s="101">
        <v>11953</v>
      </c>
      <c r="Q265" s="101">
        <v>5374</v>
      </c>
      <c r="R265" s="101">
        <v>905</v>
      </c>
      <c r="S265" s="101"/>
      <c r="T265" t="s">
        <v>388</v>
      </c>
      <c r="U265" s="101">
        <f t="shared" si="12"/>
        <v>69477</v>
      </c>
      <c r="V265" s="101">
        <f>Inkomsten!M265</f>
        <v>59174000</v>
      </c>
      <c r="W265" s="101">
        <f>Inkomsten!D265</f>
        <v>49520392</v>
      </c>
      <c r="X265" s="101">
        <v>1899</v>
      </c>
      <c r="Y265" s="101">
        <v>3932</v>
      </c>
      <c r="Z265" s="101">
        <v>33</v>
      </c>
      <c r="AA265" s="101">
        <v>441</v>
      </c>
      <c r="AB265" s="101">
        <v>657</v>
      </c>
      <c r="AC265" s="101">
        <v>64</v>
      </c>
      <c r="AD265" s="101">
        <v>115</v>
      </c>
      <c r="AE265" s="101">
        <v>0</v>
      </c>
      <c r="AF265" s="101">
        <v>117</v>
      </c>
      <c r="AG265" s="101">
        <f t="shared" si="13"/>
        <v>52565.392</v>
      </c>
      <c r="AH265" s="101">
        <v>24498</v>
      </c>
      <c r="AI265" s="101">
        <f t="shared" si="14"/>
        <v>2145.7013633766023</v>
      </c>
      <c r="AJ265" t="s">
        <v>116</v>
      </c>
      <c r="AN265" t="s">
        <v>125</v>
      </c>
      <c r="AO265" s="259">
        <v>2421.3252666906997</v>
      </c>
      <c r="AP265" t="s">
        <v>116</v>
      </c>
    </row>
    <row r="266" spans="2:42" x14ac:dyDescent="0.25">
      <c r="B266" t="s">
        <v>157</v>
      </c>
      <c r="C266" s="101">
        <v>154773</v>
      </c>
      <c r="D266" s="101">
        <v>1886</v>
      </c>
      <c r="E266" s="101">
        <v>2141</v>
      </c>
      <c r="F266" s="101">
        <v>6451</v>
      </c>
      <c r="G266" s="101">
        <v>37640</v>
      </c>
      <c r="H266" s="101">
        <v>11968</v>
      </c>
      <c r="I266" s="101">
        <v>3670</v>
      </c>
      <c r="J266" s="101">
        <v>6242</v>
      </c>
      <c r="K266" s="101">
        <v>2190</v>
      </c>
      <c r="L266" s="101">
        <v>3238</v>
      </c>
      <c r="M266" s="101">
        <v>7639</v>
      </c>
      <c r="N266" s="101">
        <v>24619</v>
      </c>
      <c r="O266" s="101">
        <v>17060</v>
      </c>
      <c r="P266" s="101">
        <v>18467</v>
      </c>
      <c r="Q266" s="101">
        <v>11863</v>
      </c>
      <c r="R266" s="101">
        <v>645</v>
      </c>
      <c r="S266" s="101"/>
      <c r="T266" t="s">
        <v>157</v>
      </c>
      <c r="U266" s="101">
        <f t="shared" si="12"/>
        <v>144295</v>
      </c>
      <c r="V266" s="101">
        <f>Inkomsten!M266</f>
        <v>130604000</v>
      </c>
      <c r="W266" s="101">
        <f>Inkomsten!D266</f>
        <v>102311362</v>
      </c>
      <c r="X266" s="101">
        <v>4846</v>
      </c>
      <c r="Y266" s="101">
        <v>4349</v>
      </c>
      <c r="Z266" s="101">
        <v>612</v>
      </c>
      <c r="AA266" s="101">
        <v>683</v>
      </c>
      <c r="AB266" s="101">
        <v>1562</v>
      </c>
      <c r="AC266" s="101">
        <v>519</v>
      </c>
      <c r="AD266" s="101">
        <v>892</v>
      </c>
      <c r="AE266" s="101">
        <v>11</v>
      </c>
      <c r="AF266" s="101">
        <v>63</v>
      </c>
      <c r="AG266" s="101">
        <f t="shared" si="13"/>
        <v>102465.36199999999</v>
      </c>
      <c r="AH266" s="101">
        <v>45480</v>
      </c>
      <c r="AI266" s="101">
        <f t="shared" si="14"/>
        <v>2252.9762972735271</v>
      </c>
      <c r="AJ266" t="s">
        <v>116</v>
      </c>
      <c r="AN266" t="s">
        <v>157</v>
      </c>
      <c r="AO266" s="259">
        <v>2405.7624994431462</v>
      </c>
      <c r="AP266" t="s">
        <v>116</v>
      </c>
    </row>
    <row r="267" spans="2:42" x14ac:dyDescent="0.25">
      <c r="B267" t="s">
        <v>727</v>
      </c>
      <c r="C267" s="101">
        <v>82395</v>
      </c>
      <c r="D267" s="101">
        <v>6382</v>
      </c>
      <c r="E267" s="101">
        <v>1907</v>
      </c>
      <c r="F267" s="101">
        <v>4264</v>
      </c>
      <c r="G267" s="101">
        <v>13993</v>
      </c>
      <c r="H267" s="101">
        <v>6202</v>
      </c>
      <c r="I267" s="101">
        <v>2404</v>
      </c>
      <c r="J267" s="101">
        <v>3220</v>
      </c>
      <c r="K267" s="101">
        <v>1012</v>
      </c>
      <c r="L267" s="101">
        <v>2364</v>
      </c>
      <c r="M267" s="101">
        <v>3735</v>
      </c>
      <c r="N267" s="101">
        <v>10742</v>
      </c>
      <c r="O267" s="101">
        <v>7094</v>
      </c>
      <c r="P267" s="101">
        <v>10221</v>
      </c>
      <c r="Q267" s="101">
        <v>7671</v>
      </c>
      <c r="R267" s="101">
        <v>1506</v>
      </c>
      <c r="S267" s="101"/>
      <c r="T267" t="s">
        <v>727</v>
      </c>
      <c r="U267" s="101">
        <f t="shared" si="12"/>
        <v>69842</v>
      </c>
      <c r="V267" s="101">
        <f>Inkomsten!M267</f>
        <v>63041000</v>
      </c>
      <c r="W267" s="101">
        <f>Inkomsten!D267</f>
        <v>50578191</v>
      </c>
      <c r="X267" s="101">
        <v>3348</v>
      </c>
      <c r="Y267" s="101">
        <v>3734</v>
      </c>
      <c r="Z267" s="101">
        <v>45</v>
      </c>
      <c r="AA267" s="101">
        <v>434</v>
      </c>
      <c r="AB267" s="101">
        <v>271</v>
      </c>
      <c r="AC267" s="101">
        <v>54</v>
      </c>
      <c r="AD267" s="101">
        <v>203</v>
      </c>
      <c r="AE267" s="101">
        <v>0</v>
      </c>
      <c r="AF267" s="101">
        <v>72</v>
      </c>
      <c r="AG267" s="101">
        <f t="shared" si="13"/>
        <v>49218.190999999999</v>
      </c>
      <c r="AH267" s="101">
        <v>24748</v>
      </c>
      <c r="AI267" s="101">
        <f t="shared" si="14"/>
        <v>1988.7744868272184</v>
      </c>
      <c r="AJ267" t="s">
        <v>116</v>
      </c>
      <c r="AN267" t="s">
        <v>127</v>
      </c>
      <c r="AO267" s="259">
        <v>2397.7500743788896</v>
      </c>
      <c r="AP267" t="s">
        <v>116</v>
      </c>
    </row>
    <row r="268" spans="2:42" x14ac:dyDescent="0.25">
      <c r="B268" t="s">
        <v>228</v>
      </c>
      <c r="C268" s="101">
        <v>181231</v>
      </c>
      <c r="D268" s="101">
        <v>3614</v>
      </c>
      <c r="E268" s="101">
        <v>2568</v>
      </c>
      <c r="F268" s="101">
        <v>10068</v>
      </c>
      <c r="G268" s="101">
        <v>46476</v>
      </c>
      <c r="H268" s="101">
        <v>15484</v>
      </c>
      <c r="I268" s="101">
        <v>5974</v>
      </c>
      <c r="J268" s="101">
        <v>8184</v>
      </c>
      <c r="K268" s="101">
        <v>1075</v>
      </c>
      <c r="L268" s="101">
        <v>4737</v>
      </c>
      <c r="M268" s="101">
        <v>12605</v>
      </c>
      <c r="N268" s="101">
        <v>17075</v>
      </c>
      <c r="O268" s="101">
        <v>15494</v>
      </c>
      <c r="P268" s="101">
        <v>18493</v>
      </c>
      <c r="Q268" s="101">
        <v>18151</v>
      </c>
      <c r="R268" s="101">
        <v>1842</v>
      </c>
      <c r="S268" s="101"/>
      <c r="T268" t="s">
        <v>228</v>
      </c>
      <c r="U268" s="101">
        <f t="shared" si="12"/>
        <v>164981</v>
      </c>
      <c r="V268" s="101">
        <f>Inkomsten!M268</f>
        <v>133161000</v>
      </c>
      <c r="W268" s="101">
        <f>Inkomsten!D268</f>
        <v>113728149</v>
      </c>
      <c r="X268" s="101">
        <v>8402</v>
      </c>
      <c r="Y268" s="101">
        <v>10247</v>
      </c>
      <c r="Z268" s="101">
        <v>600</v>
      </c>
      <c r="AA268" s="101">
        <v>1423</v>
      </c>
      <c r="AB268" s="101">
        <v>3474</v>
      </c>
      <c r="AC268" s="101">
        <v>254</v>
      </c>
      <c r="AD268" s="101">
        <v>596</v>
      </c>
      <c r="AE268" s="101">
        <v>64</v>
      </c>
      <c r="AF268" s="101">
        <v>111</v>
      </c>
      <c r="AG268" s="101">
        <f t="shared" si="13"/>
        <v>120377.149</v>
      </c>
      <c r="AH268" s="101">
        <v>65893</v>
      </c>
      <c r="AI268" s="101">
        <f t="shared" si="14"/>
        <v>1826.8579211752387</v>
      </c>
      <c r="AJ268" t="s">
        <v>465</v>
      </c>
      <c r="AN268" t="s">
        <v>172</v>
      </c>
      <c r="AO268" s="259">
        <v>2385.6362178128938</v>
      </c>
      <c r="AP268" t="s">
        <v>116</v>
      </c>
    </row>
    <row r="269" spans="2:42" x14ac:dyDescent="0.25">
      <c r="B269" t="s">
        <v>438</v>
      </c>
      <c r="C269" s="101">
        <v>324262</v>
      </c>
      <c r="D269" s="101">
        <v>41</v>
      </c>
      <c r="E269" s="101">
        <v>4605</v>
      </c>
      <c r="F269" s="101">
        <v>15265</v>
      </c>
      <c r="G269" s="101">
        <v>82894</v>
      </c>
      <c r="H269" s="101">
        <v>18810</v>
      </c>
      <c r="I269" s="101">
        <v>7364</v>
      </c>
      <c r="J269" s="101">
        <v>18481</v>
      </c>
      <c r="K269" s="101">
        <v>4009</v>
      </c>
      <c r="L269" s="101">
        <v>5786</v>
      </c>
      <c r="M269" s="101">
        <v>16974</v>
      </c>
      <c r="N269" s="101">
        <v>62486</v>
      </c>
      <c r="O269" s="101">
        <v>26823</v>
      </c>
      <c r="P269" s="101">
        <v>38035</v>
      </c>
      <c r="Q269" s="101">
        <v>19243</v>
      </c>
      <c r="R269" s="101">
        <v>3817</v>
      </c>
      <c r="S269" s="101"/>
      <c r="T269" t="s">
        <v>438</v>
      </c>
      <c r="U269" s="101">
        <f t="shared" si="12"/>
        <v>304351</v>
      </c>
      <c r="V269" s="101">
        <f>Inkomsten!M269</f>
        <v>284742000</v>
      </c>
      <c r="W269" s="101">
        <f>Inkomsten!D269</f>
        <v>213273103</v>
      </c>
      <c r="X269" s="101">
        <v>9436</v>
      </c>
      <c r="Y269" s="101">
        <v>11629</v>
      </c>
      <c r="Z269" s="101">
        <v>625</v>
      </c>
      <c r="AA269" s="101">
        <v>1462</v>
      </c>
      <c r="AB269" s="101">
        <v>2416</v>
      </c>
      <c r="AC269" s="101">
        <v>1552</v>
      </c>
      <c r="AD269" s="101">
        <v>2272</v>
      </c>
      <c r="AE269" s="101">
        <v>2077</v>
      </c>
      <c r="AF269" s="101">
        <v>406</v>
      </c>
      <c r="AG269" s="101">
        <f t="shared" si="13"/>
        <v>201007.103</v>
      </c>
      <c r="AH269" s="101">
        <v>90435</v>
      </c>
      <c r="AI269" s="101">
        <f t="shared" si="14"/>
        <v>2222.6693536794382</v>
      </c>
      <c r="AJ269" t="s">
        <v>116</v>
      </c>
      <c r="AN269" t="s">
        <v>422</v>
      </c>
      <c r="AO269" s="259">
        <v>2383.9133227825027</v>
      </c>
      <c r="AP269" t="s">
        <v>116</v>
      </c>
    </row>
    <row r="270" spans="2:42" x14ac:dyDescent="0.25">
      <c r="B270" t="s">
        <v>337</v>
      </c>
      <c r="C270" s="101">
        <v>215132</v>
      </c>
      <c r="D270" s="101">
        <v>5184</v>
      </c>
      <c r="E270" s="101">
        <v>4684</v>
      </c>
      <c r="F270" s="101">
        <v>11191</v>
      </c>
      <c r="G270" s="101">
        <v>39981</v>
      </c>
      <c r="H270" s="101">
        <v>14797</v>
      </c>
      <c r="I270" s="101">
        <v>5186</v>
      </c>
      <c r="J270" s="101">
        <v>7605</v>
      </c>
      <c r="K270" s="101">
        <v>7374</v>
      </c>
      <c r="L270" s="101">
        <v>6773</v>
      </c>
      <c r="M270" s="101">
        <v>14209</v>
      </c>
      <c r="N270" s="101">
        <v>32602</v>
      </c>
      <c r="O270" s="101">
        <v>23273</v>
      </c>
      <c r="P270" s="101">
        <v>29268</v>
      </c>
      <c r="Q270" s="101">
        <v>11943</v>
      </c>
      <c r="R270" s="101">
        <v>2001</v>
      </c>
      <c r="S270" s="101"/>
      <c r="T270" t="s">
        <v>337</v>
      </c>
      <c r="U270" s="101">
        <f t="shared" si="12"/>
        <v>194073</v>
      </c>
      <c r="V270" s="101">
        <f>Inkomsten!M270</f>
        <v>165399000</v>
      </c>
      <c r="W270" s="101">
        <f>Inkomsten!D270</f>
        <v>128391122</v>
      </c>
      <c r="X270" s="101">
        <v>6354</v>
      </c>
      <c r="Y270" s="101">
        <v>9685</v>
      </c>
      <c r="Z270" s="101">
        <v>594</v>
      </c>
      <c r="AA270" s="101">
        <v>1185</v>
      </c>
      <c r="AB270" s="101">
        <v>2265</v>
      </c>
      <c r="AC270" s="101">
        <v>207</v>
      </c>
      <c r="AD270" s="101">
        <v>489</v>
      </c>
      <c r="AE270" s="101">
        <v>1142</v>
      </c>
      <c r="AF270" s="101">
        <v>62</v>
      </c>
      <c r="AG270" s="101">
        <f t="shared" si="13"/>
        <v>135082.122</v>
      </c>
      <c r="AH270" s="101">
        <v>55128</v>
      </c>
      <c r="AI270" s="101">
        <f t="shared" si="14"/>
        <v>2450.3359817152809</v>
      </c>
      <c r="AJ270" t="s">
        <v>116</v>
      </c>
      <c r="AN270" t="s">
        <v>401</v>
      </c>
      <c r="AO270" s="259">
        <v>2373.4794038046061</v>
      </c>
      <c r="AP270" t="s">
        <v>116</v>
      </c>
    </row>
    <row r="271" spans="2:42" x14ac:dyDescent="0.25">
      <c r="B271" t="s">
        <v>135</v>
      </c>
      <c r="C271" s="101">
        <v>30046</v>
      </c>
      <c r="D271" s="101">
        <v>8</v>
      </c>
      <c r="E271" s="101">
        <v>0</v>
      </c>
      <c r="F271" s="101">
        <v>942</v>
      </c>
      <c r="G271" s="101">
        <v>10008</v>
      </c>
      <c r="H271" s="101">
        <v>4369</v>
      </c>
      <c r="I271" s="101">
        <v>1159</v>
      </c>
      <c r="J271" s="101">
        <v>2355</v>
      </c>
      <c r="K271" s="101">
        <v>456</v>
      </c>
      <c r="L271" s="101">
        <v>993</v>
      </c>
      <c r="M271" s="101">
        <v>1781</v>
      </c>
      <c r="N271" s="101">
        <v>806</v>
      </c>
      <c r="O271" s="101">
        <v>1378</v>
      </c>
      <c r="P271" s="101">
        <v>1491</v>
      </c>
      <c r="Q271" s="101">
        <v>2706</v>
      </c>
      <c r="R271" s="101">
        <v>1594</v>
      </c>
      <c r="S271" s="101"/>
      <c r="T271" t="s">
        <v>135</v>
      </c>
      <c r="U271" s="101">
        <f t="shared" si="12"/>
        <v>29096</v>
      </c>
      <c r="V271" s="101">
        <f>Inkomsten!M271</f>
        <v>17694000</v>
      </c>
      <c r="W271" s="101">
        <f>Inkomsten!D271</f>
        <v>13105044</v>
      </c>
      <c r="X271" s="101">
        <v>940</v>
      </c>
      <c r="Y271" s="101">
        <v>972</v>
      </c>
      <c r="Z271" s="101">
        <v>10</v>
      </c>
      <c r="AA271" s="101">
        <v>130</v>
      </c>
      <c r="AB271" s="101">
        <v>457</v>
      </c>
      <c r="AC271" s="101">
        <v>297</v>
      </c>
      <c r="AD271" s="101">
        <v>4587</v>
      </c>
      <c r="AE271" s="101">
        <v>0</v>
      </c>
      <c r="AF271" s="101">
        <v>425</v>
      </c>
      <c r="AG271" s="101">
        <f t="shared" si="13"/>
        <v>16689.044000000002</v>
      </c>
      <c r="AH271" s="101">
        <v>4899</v>
      </c>
      <c r="AI271" s="101">
        <f t="shared" si="14"/>
        <v>3406.6225760359262</v>
      </c>
      <c r="AJ271" t="s">
        <v>465</v>
      </c>
      <c r="AN271" t="s">
        <v>726</v>
      </c>
      <c r="AO271" s="259">
        <v>2363.3449454971756</v>
      </c>
      <c r="AP271" t="s">
        <v>116</v>
      </c>
    </row>
    <row r="272" spans="2:42" x14ac:dyDescent="0.25">
      <c r="B272" t="s">
        <v>271</v>
      </c>
      <c r="C272" s="101">
        <v>69526</v>
      </c>
      <c r="D272" s="101">
        <v>0</v>
      </c>
      <c r="E272" s="101">
        <v>2195</v>
      </c>
      <c r="F272" s="101">
        <v>4551</v>
      </c>
      <c r="G272" s="101">
        <v>18486</v>
      </c>
      <c r="H272" s="101">
        <v>6356</v>
      </c>
      <c r="I272" s="101">
        <v>2185</v>
      </c>
      <c r="J272" s="101">
        <v>6975</v>
      </c>
      <c r="K272" s="101">
        <v>1416</v>
      </c>
      <c r="L272" s="101">
        <v>948</v>
      </c>
      <c r="M272" s="101">
        <v>5258</v>
      </c>
      <c r="N272" s="101">
        <v>3393</v>
      </c>
      <c r="O272" s="101">
        <v>2451</v>
      </c>
      <c r="P272" s="101">
        <v>5809</v>
      </c>
      <c r="Q272" s="101">
        <v>8446</v>
      </c>
      <c r="R272" s="101">
        <v>1079</v>
      </c>
      <c r="S272" s="101"/>
      <c r="T272" t="s">
        <v>271</v>
      </c>
      <c r="U272" s="101">
        <f t="shared" si="12"/>
        <v>62780</v>
      </c>
      <c r="V272" s="101">
        <f>Inkomsten!M272</f>
        <v>41828000</v>
      </c>
      <c r="W272" s="101">
        <f>Inkomsten!D272</f>
        <v>34446252</v>
      </c>
      <c r="X272" s="101">
        <v>3621</v>
      </c>
      <c r="Y272" s="101">
        <v>2341</v>
      </c>
      <c r="Z272" s="101">
        <v>69</v>
      </c>
      <c r="AA272" s="101">
        <v>229</v>
      </c>
      <c r="AB272" s="101">
        <v>1154</v>
      </c>
      <c r="AC272" s="101">
        <v>285</v>
      </c>
      <c r="AD272" s="101">
        <v>8750</v>
      </c>
      <c r="AE272" s="101">
        <v>4527</v>
      </c>
      <c r="AF272" s="101">
        <v>358</v>
      </c>
      <c r="AG272" s="101">
        <f t="shared" si="13"/>
        <v>34064.252</v>
      </c>
      <c r="AH272" s="101">
        <v>13814</v>
      </c>
      <c r="AI272" s="101">
        <f t="shared" si="14"/>
        <v>2465.922397567685</v>
      </c>
      <c r="AJ272" t="s">
        <v>116</v>
      </c>
      <c r="AN272" t="s">
        <v>159</v>
      </c>
      <c r="AO272" s="259">
        <v>2362.9752423740374</v>
      </c>
      <c r="AP272" t="s">
        <v>116</v>
      </c>
    </row>
    <row r="273" spans="2:42" x14ac:dyDescent="0.25">
      <c r="B273" t="s">
        <v>317</v>
      </c>
      <c r="C273" s="101">
        <v>97257</v>
      </c>
      <c r="D273" s="101">
        <v>177</v>
      </c>
      <c r="E273" s="101">
        <v>561</v>
      </c>
      <c r="F273" s="101">
        <v>5046</v>
      </c>
      <c r="G273" s="101">
        <v>1687</v>
      </c>
      <c r="H273" s="101">
        <v>16631</v>
      </c>
      <c r="I273" s="101">
        <v>4345</v>
      </c>
      <c r="J273" s="101">
        <v>5174</v>
      </c>
      <c r="K273" s="101">
        <v>1352</v>
      </c>
      <c r="L273" s="101">
        <v>3055</v>
      </c>
      <c r="M273" s="101">
        <v>7060</v>
      </c>
      <c r="N273" s="101">
        <v>12334</v>
      </c>
      <c r="O273" s="101">
        <v>8972</v>
      </c>
      <c r="P273" s="101">
        <v>17011</v>
      </c>
      <c r="Q273" s="101">
        <v>11133</v>
      </c>
      <c r="R273" s="101">
        <v>2727</v>
      </c>
      <c r="S273" s="101"/>
      <c r="T273" t="s">
        <v>317</v>
      </c>
      <c r="U273" s="101">
        <f t="shared" si="12"/>
        <v>91473</v>
      </c>
      <c r="V273" s="101">
        <f>Inkomsten!M273</f>
        <v>74373000</v>
      </c>
      <c r="W273" s="101">
        <f>Inkomsten!D273</f>
        <v>61616044</v>
      </c>
      <c r="X273" s="101">
        <v>3540</v>
      </c>
      <c r="Y273" s="101">
        <v>6008</v>
      </c>
      <c r="Z273" s="101">
        <v>0</v>
      </c>
      <c r="AA273" s="101">
        <v>500</v>
      </c>
      <c r="AB273" s="101">
        <v>644</v>
      </c>
      <c r="AC273" s="101">
        <v>233</v>
      </c>
      <c r="AD273" s="101">
        <v>0</v>
      </c>
      <c r="AE273" s="101">
        <v>17</v>
      </c>
      <c r="AF273" s="101">
        <v>183</v>
      </c>
      <c r="AG273" s="101">
        <f t="shared" si="13"/>
        <v>67591.043999999994</v>
      </c>
      <c r="AH273" s="101">
        <v>38472</v>
      </c>
      <c r="AI273" s="101">
        <f t="shared" si="14"/>
        <v>1756.8892701185277</v>
      </c>
      <c r="AJ273" t="s">
        <v>465</v>
      </c>
      <c r="AN273" t="s">
        <v>355</v>
      </c>
      <c r="AO273" s="259">
        <v>2323.7028769015119</v>
      </c>
      <c r="AP273" t="s">
        <v>116</v>
      </c>
    </row>
    <row r="274" spans="2:42" x14ac:dyDescent="0.25">
      <c r="B274" t="s">
        <v>338</v>
      </c>
      <c r="C274" s="101">
        <v>82953</v>
      </c>
      <c r="D274" s="101">
        <v>2890</v>
      </c>
      <c r="E274" s="101">
        <v>1408</v>
      </c>
      <c r="F274" s="101">
        <v>3365</v>
      </c>
      <c r="G274" s="101">
        <v>18030</v>
      </c>
      <c r="H274" s="101">
        <v>7113</v>
      </c>
      <c r="I274" s="101">
        <v>2755</v>
      </c>
      <c r="J274" s="101">
        <v>3859</v>
      </c>
      <c r="K274" s="101">
        <v>2326</v>
      </c>
      <c r="L274" s="101">
        <v>2676</v>
      </c>
      <c r="M274" s="101">
        <v>4015</v>
      </c>
      <c r="N274" s="101">
        <v>9772</v>
      </c>
      <c r="O274" s="101">
        <v>5995</v>
      </c>
      <c r="P274" s="101">
        <v>10670</v>
      </c>
      <c r="Q274" s="101">
        <v>7669</v>
      </c>
      <c r="R274" s="101">
        <v>656</v>
      </c>
      <c r="S274" s="101"/>
      <c r="T274" t="s">
        <v>338</v>
      </c>
      <c r="U274" s="101">
        <f t="shared" si="12"/>
        <v>75290</v>
      </c>
      <c r="V274" s="101">
        <f>Inkomsten!M274</f>
        <v>70712000</v>
      </c>
      <c r="W274" s="101">
        <f>Inkomsten!D274</f>
        <v>54011435</v>
      </c>
      <c r="X274" s="101">
        <v>2478</v>
      </c>
      <c r="Y274" s="101">
        <v>3058</v>
      </c>
      <c r="Z274" s="101">
        <v>496</v>
      </c>
      <c r="AA274" s="101">
        <v>504</v>
      </c>
      <c r="AB274" s="101">
        <v>552</v>
      </c>
      <c r="AC274" s="101">
        <v>168</v>
      </c>
      <c r="AD274" s="101">
        <v>385</v>
      </c>
      <c r="AE274" s="101">
        <v>6</v>
      </c>
      <c r="AF274" s="101">
        <v>1416</v>
      </c>
      <c r="AG274" s="101">
        <f t="shared" si="13"/>
        <v>49526.434999999998</v>
      </c>
      <c r="AH274" s="101">
        <v>26864</v>
      </c>
      <c r="AI274" s="101">
        <f t="shared" si="14"/>
        <v>1843.5986822513401</v>
      </c>
      <c r="AJ274" t="s">
        <v>465</v>
      </c>
      <c r="AN274" t="s">
        <v>136</v>
      </c>
      <c r="AO274" s="259">
        <v>2320.5699264008495</v>
      </c>
      <c r="AP274" t="s">
        <v>116</v>
      </c>
    </row>
    <row r="275" spans="2:42" x14ac:dyDescent="0.25">
      <c r="B275" t="s">
        <v>202</v>
      </c>
      <c r="C275" s="101">
        <v>169739</v>
      </c>
      <c r="D275" s="101">
        <v>540</v>
      </c>
      <c r="E275" s="101">
        <v>1415</v>
      </c>
      <c r="F275" s="101">
        <v>5706</v>
      </c>
      <c r="G275" s="101">
        <v>24344</v>
      </c>
      <c r="H275" s="101">
        <v>14635</v>
      </c>
      <c r="I275" s="101">
        <v>4691</v>
      </c>
      <c r="J275" s="101">
        <v>7949</v>
      </c>
      <c r="K275" s="101">
        <v>2263</v>
      </c>
      <c r="L275" s="101">
        <v>8071</v>
      </c>
      <c r="M275" s="101">
        <v>11636</v>
      </c>
      <c r="N275" s="101">
        <v>40478</v>
      </c>
      <c r="O275" s="101">
        <v>18008</v>
      </c>
      <c r="P275" s="101">
        <v>18380</v>
      </c>
      <c r="Q275" s="101">
        <v>11792</v>
      </c>
      <c r="R275" s="101">
        <v>439</v>
      </c>
      <c r="S275" s="101"/>
      <c r="T275" t="s">
        <v>202</v>
      </c>
      <c r="U275" s="101">
        <f t="shared" si="12"/>
        <v>162078</v>
      </c>
      <c r="V275" s="101">
        <f>Inkomsten!M275</f>
        <v>143342000</v>
      </c>
      <c r="W275" s="101">
        <f>Inkomsten!D275</f>
        <v>100482958</v>
      </c>
      <c r="X275" s="101">
        <v>4579</v>
      </c>
      <c r="Y275" s="101">
        <v>0</v>
      </c>
      <c r="Z275" s="101">
        <v>206</v>
      </c>
      <c r="AA275" s="101">
        <v>569</v>
      </c>
      <c r="AB275" s="101">
        <v>1114</v>
      </c>
      <c r="AC275" s="101">
        <v>458</v>
      </c>
      <c r="AD275" s="101">
        <v>249</v>
      </c>
      <c r="AE275" s="101">
        <v>2639</v>
      </c>
      <c r="AF275" s="101">
        <v>52</v>
      </c>
      <c r="AG275" s="101">
        <f t="shared" si="13"/>
        <v>109352.958</v>
      </c>
      <c r="AH275" s="101">
        <v>42372</v>
      </c>
      <c r="AI275" s="101">
        <f t="shared" si="14"/>
        <v>2580.7834890965732</v>
      </c>
      <c r="AJ275" t="s">
        <v>439</v>
      </c>
      <c r="AN275" t="s">
        <v>826</v>
      </c>
      <c r="AO275" s="259">
        <v>2319.3731470811526</v>
      </c>
      <c r="AP275" t="s">
        <v>116</v>
      </c>
    </row>
    <row r="276" spans="2:42" x14ac:dyDescent="0.25">
      <c r="B276" t="s">
        <v>389</v>
      </c>
      <c r="C276" s="101">
        <v>1074635</v>
      </c>
      <c r="D276" s="101">
        <v>30116</v>
      </c>
      <c r="E276" s="101">
        <v>7664</v>
      </c>
      <c r="F276" s="101">
        <v>58867</v>
      </c>
      <c r="G276" s="101">
        <v>218480</v>
      </c>
      <c r="H276" s="101">
        <v>37694</v>
      </c>
      <c r="I276" s="101">
        <v>26082</v>
      </c>
      <c r="J276" s="101">
        <v>41369</v>
      </c>
      <c r="K276" s="101">
        <v>34667</v>
      </c>
      <c r="L276" s="101">
        <v>29094</v>
      </c>
      <c r="M276" s="101">
        <v>72664</v>
      </c>
      <c r="N276" s="101">
        <v>167859</v>
      </c>
      <c r="O276" s="101">
        <v>75323</v>
      </c>
      <c r="P276" s="101">
        <v>222425</v>
      </c>
      <c r="Q276" s="101">
        <v>47087</v>
      </c>
      <c r="R276" s="101">
        <v>12050</v>
      </c>
      <c r="S276" s="101"/>
      <c r="T276" t="s">
        <v>389</v>
      </c>
      <c r="U276" s="101">
        <f t="shared" si="12"/>
        <v>977988</v>
      </c>
      <c r="V276" s="101">
        <f>Inkomsten!M276</f>
        <v>864683000</v>
      </c>
      <c r="W276" s="101">
        <f>Inkomsten!D276</f>
        <v>552556972</v>
      </c>
      <c r="X276" s="101">
        <v>15228</v>
      </c>
      <c r="Y276" s="101">
        <v>32105</v>
      </c>
      <c r="Z276" s="101">
        <v>250</v>
      </c>
      <c r="AA276" s="101">
        <v>4068</v>
      </c>
      <c r="AB276" s="101">
        <v>7074</v>
      </c>
      <c r="AC276" s="101">
        <v>1850</v>
      </c>
      <c r="AD276" s="101">
        <v>783</v>
      </c>
      <c r="AE276" s="101">
        <v>22600</v>
      </c>
      <c r="AF276" s="101">
        <v>3161</v>
      </c>
      <c r="AG276" s="101">
        <f t="shared" si="13"/>
        <v>578742.97199999995</v>
      </c>
      <c r="AH276" s="101">
        <v>229797</v>
      </c>
      <c r="AI276" s="101">
        <f t="shared" si="14"/>
        <v>2518.4966383373153</v>
      </c>
      <c r="AJ276" t="s">
        <v>439</v>
      </c>
      <c r="AN276" t="s">
        <v>303</v>
      </c>
      <c r="AO276" s="259">
        <v>2318.8258298902783</v>
      </c>
      <c r="AP276" t="s">
        <v>116</v>
      </c>
    </row>
    <row r="277" spans="2:42" x14ac:dyDescent="0.25">
      <c r="B277" t="s">
        <v>158</v>
      </c>
      <c r="C277" s="101">
        <v>60949</v>
      </c>
      <c r="D277" s="101">
        <v>2570</v>
      </c>
      <c r="E277" s="101">
        <v>379</v>
      </c>
      <c r="F277" s="101">
        <v>1921</v>
      </c>
      <c r="G277" s="101">
        <v>1010</v>
      </c>
      <c r="H277" s="101">
        <v>10672</v>
      </c>
      <c r="I277" s="101">
        <v>3516</v>
      </c>
      <c r="J277" s="101">
        <v>3514</v>
      </c>
      <c r="K277" s="101">
        <v>565</v>
      </c>
      <c r="L277" s="101">
        <v>4519</v>
      </c>
      <c r="M277" s="101">
        <v>4658</v>
      </c>
      <c r="N277" s="101">
        <v>6176</v>
      </c>
      <c r="O277" s="101">
        <v>5107</v>
      </c>
      <c r="P277" s="101">
        <v>9512</v>
      </c>
      <c r="Q277" s="101">
        <v>4622</v>
      </c>
      <c r="R277" s="101">
        <v>2208</v>
      </c>
      <c r="S277" s="101"/>
      <c r="T277" t="s">
        <v>158</v>
      </c>
      <c r="U277" s="101">
        <f t="shared" si="12"/>
        <v>56079</v>
      </c>
      <c r="V277" s="101">
        <f>Inkomsten!M277</f>
        <v>43029000</v>
      </c>
      <c r="W277" s="101">
        <f>Inkomsten!D277</f>
        <v>36299878</v>
      </c>
      <c r="X277" s="101">
        <v>2222</v>
      </c>
      <c r="Y277" s="101">
        <v>1776</v>
      </c>
      <c r="Z277" s="101">
        <v>0</v>
      </c>
      <c r="AA277" s="101">
        <v>397</v>
      </c>
      <c r="AB277" s="101">
        <v>496</v>
      </c>
      <c r="AC277" s="101">
        <v>22</v>
      </c>
      <c r="AD277" s="101">
        <v>195</v>
      </c>
      <c r="AE277" s="101">
        <v>2</v>
      </c>
      <c r="AF277" s="101">
        <v>15</v>
      </c>
      <c r="AG277" s="101">
        <f t="shared" si="13"/>
        <v>44224.877999999997</v>
      </c>
      <c r="AH277" s="101">
        <v>21393</v>
      </c>
      <c r="AI277" s="101">
        <f t="shared" si="14"/>
        <v>2067.2592904221005</v>
      </c>
      <c r="AJ277" t="s">
        <v>465</v>
      </c>
      <c r="AN277" t="s">
        <v>114</v>
      </c>
      <c r="AO277" s="259">
        <v>2300.6164508142756</v>
      </c>
      <c r="AP277" t="s">
        <v>116</v>
      </c>
    </row>
    <row r="278" spans="2:42" x14ac:dyDescent="0.25">
      <c r="B278" t="s">
        <v>159</v>
      </c>
      <c r="C278" s="101">
        <v>110191</v>
      </c>
      <c r="D278" s="101">
        <v>4060</v>
      </c>
      <c r="E278" s="101">
        <v>0</v>
      </c>
      <c r="F278" s="101">
        <v>2709</v>
      </c>
      <c r="G278" s="101">
        <v>8598</v>
      </c>
      <c r="H278" s="101">
        <v>13292</v>
      </c>
      <c r="I278" s="101">
        <v>3439</v>
      </c>
      <c r="J278" s="101">
        <v>2644</v>
      </c>
      <c r="K278" s="101">
        <v>3541</v>
      </c>
      <c r="L278" s="101">
        <v>3838</v>
      </c>
      <c r="M278" s="101">
        <v>7150</v>
      </c>
      <c r="N278" s="101">
        <v>11967</v>
      </c>
      <c r="O278" s="101">
        <v>15708</v>
      </c>
      <c r="P278" s="101">
        <v>21941</v>
      </c>
      <c r="Q278" s="101">
        <v>6849</v>
      </c>
      <c r="R278" s="101">
        <v>4524</v>
      </c>
      <c r="S278" s="101"/>
      <c r="T278" t="s">
        <v>159</v>
      </c>
      <c r="U278" s="101">
        <f t="shared" si="12"/>
        <v>103422</v>
      </c>
      <c r="V278" s="101">
        <f>Inkomsten!M278</f>
        <v>86943000</v>
      </c>
      <c r="W278" s="101">
        <f>Inkomsten!D278</f>
        <v>69242022</v>
      </c>
      <c r="X278" s="101">
        <v>3826</v>
      </c>
      <c r="Y278" s="101">
        <v>2515</v>
      </c>
      <c r="Z278" s="101">
        <v>650</v>
      </c>
      <c r="AA278" s="101">
        <v>439</v>
      </c>
      <c r="AB278" s="101">
        <v>952</v>
      </c>
      <c r="AC278" s="101">
        <v>29</v>
      </c>
      <c r="AD278" s="101">
        <v>80</v>
      </c>
      <c r="AE278" s="101">
        <v>0</v>
      </c>
      <c r="AF278" s="101">
        <v>112</v>
      </c>
      <c r="AG278" s="101">
        <f t="shared" si="13"/>
        <v>77118.021999999997</v>
      </c>
      <c r="AH278" s="101">
        <v>34071</v>
      </c>
      <c r="AI278" s="101">
        <f t="shared" si="14"/>
        <v>2263.450500425582</v>
      </c>
      <c r="AJ278" t="s">
        <v>116</v>
      </c>
      <c r="AN278" t="s">
        <v>525</v>
      </c>
      <c r="AO278" s="259">
        <v>2293.4066475513823</v>
      </c>
      <c r="AP278" t="s">
        <v>116</v>
      </c>
    </row>
    <row r="279" spans="2:42" x14ac:dyDescent="0.25">
      <c r="B279" t="s">
        <v>113</v>
      </c>
      <c r="C279" s="101">
        <v>97520</v>
      </c>
      <c r="D279" s="101">
        <v>5615</v>
      </c>
      <c r="E279" s="101">
        <v>1211</v>
      </c>
      <c r="F279" s="101">
        <v>3659</v>
      </c>
      <c r="G279" s="101">
        <v>24113</v>
      </c>
      <c r="H279" s="101">
        <v>7878</v>
      </c>
      <c r="I279" s="101">
        <v>2348</v>
      </c>
      <c r="J279" s="101">
        <v>3728</v>
      </c>
      <c r="K279" s="101">
        <v>2633</v>
      </c>
      <c r="L279" s="101">
        <v>2980</v>
      </c>
      <c r="M279" s="101">
        <v>6936</v>
      </c>
      <c r="N279" s="101">
        <v>10980</v>
      </c>
      <c r="O279" s="101">
        <v>8803</v>
      </c>
      <c r="P279" s="101">
        <v>10348</v>
      </c>
      <c r="Q279" s="101">
        <v>5992</v>
      </c>
      <c r="R279" s="101">
        <v>660</v>
      </c>
      <c r="S279" s="101"/>
      <c r="T279" t="s">
        <v>113</v>
      </c>
      <c r="U279" s="101">
        <f t="shared" si="12"/>
        <v>87035</v>
      </c>
      <c r="V279" s="101">
        <f>Inkomsten!M279</f>
        <v>77371000</v>
      </c>
      <c r="W279" s="101">
        <f>Inkomsten!D279</f>
        <v>63730027</v>
      </c>
      <c r="X279" s="101">
        <v>3217</v>
      </c>
      <c r="Y279" s="101">
        <v>3388</v>
      </c>
      <c r="Z279" s="101">
        <v>471</v>
      </c>
      <c r="AA279" s="101">
        <v>633</v>
      </c>
      <c r="AB279" s="101">
        <v>809</v>
      </c>
      <c r="AC279" s="101">
        <v>319</v>
      </c>
      <c r="AD279" s="101">
        <v>417</v>
      </c>
      <c r="AE279" s="101">
        <v>0</v>
      </c>
      <c r="AF279" s="101">
        <v>124</v>
      </c>
      <c r="AG279" s="101">
        <f t="shared" si="13"/>
        <v>64016.027000000002</v>
      </c>
      <c r="AH279" s="101">
        <v>34730</v>
      </c>
      <c r="AI279" s="101">
        <f t="shared" si="14"/>
        <v>1843.248689893464</v>
      </c>
      <c r="AJ279" t="s">
        <v>465</v>
      </c>
      <c r="AN279" t="s">
        <v>106</v>
      </c>
      <c r="AO279" s="259">
        <v>2281.8925720257466</v>
      </c>
      <c r="AP279" t="s">
        <v>116</v>
      </c>
    </row>
    <row r="280" spans="2:42" x14ac:dyDescent="0.25">
      <c r="B280" t="s">
        <v>136</v>
      </c>
      <c r="C280" s="101">
        <v>102483</v>
      </c>
      <c r="D280" s="101">
        <v>267</v>
      </c>
      <c r="E280" s="101">
        <v>692</v>
      </c>
      <c r="F280" s="101">
        <v>4059</v>
      </c>
      <c r="G280" s="101">
        <v>8074</v>
      </c>
      <c r="H280" s="101">
        <v>17987</v>
      </c>
      <c r="I280" s="101">
        <v>2839</v>
      </c>
      <c r="J280" s="101">
        <v>3244</v>
      </c>
      <c r="K280" s="101">
        <v>813</v>
      </c>
      <c r="L280" s="101">
        <v>4191</v>
      </c>
      <c r="M280" s="101">
        <v>6185</v>
      </c>
      <c r="N280" s="101">
        <v>19335</v>
      </c>
      <c r="O280" s="101">
        <v>9790</v>
      </c>
      <c r="P280" s="101">
        <v>15809</v>
      </c>
      <c r="Q280" s="101">
        <v>6924</v>
      </c>
      <c r="R280" s="101">
        <v>2275</v>
      </c>
      <c r="S280" s="101"/>
      <c r="T280" t="s">
        <v>136</v>
      </c>
      <c r="U280" s="101">
        <f t="shared" si="12"/>
        <v>97465</v>
      </c>
      <c r="V280" s="101">
        <f>Inkomsten!M280</f>
        <v>85816000</v>
      </c>
      <c r="W280" s="101">
        <f>Inkomsten!D280</f>
        <v>69229991</v>
      </c>
      <c r="X280" s="101">
        <v>2268</v>
      </c>
      <c r="Y280" s="101">
        <v>3496</v>
      </c>
      <c r="Z280" s="101">
        <v>17</v>
      </c>
      <c r="AA280" s="101">
        <v>294</v>
      </c>
      <c r="AB280" s="101">
        <v>487</v>
      </c>
      <c r="AC280" s="101">
        <v>218</v>
      </c>
      <c r="AD280" s="101">
        <v>460</v>
      </c>
      <c r="AE280" s="101">
        <v>0</v>
      </c>
      <c r="AF280" s="101">
        <v>205</v>
      </c>
      <c r="AG280" s="101">
        <f t="shared" si="13"/>
        <v>73433.990999999995</v>
      </c>
      <c r="AH280" s="101">
        <v>32601</v>
      </c>
      <c r="AI280" s="101">
        <f t="shared" si="14"/>
        <v>2252.5073157265115</v>
      </c>
      <c r="AJ280" t="s">
        <v>116</v>
      </c>
      <c r="AN280" t="s">
        <v>104</v>
      </c>
      <c r="AO280" s="259">
        <v>2273.2695614484655</v>
      </c>
      <c r="AP280" t="s">
        <v>116</v>
      </c>
    </row>
    <row r="281" spans="2:42" x14ac:dyDescent="0.25">
      <c r="B281" t="s">
        <v>272</v>
      </c>
      <c r="C281" s="101">
        <v>32489</v>
      </c>
      <c r="D281" s="101">
        <v>592</v>
      </c>
      <c r="E281" s="101">
        <v>438</v>
      </c>
      <c r="F281" s="101">
        <v>1504</v>
      </c>
      <c r="G281" s="101">
        <v>1725</v>
      </c>
      <c r="H281" s="101">
        <v>6965</v>
      </c>
      <c r="I281" s="101">
        <v>1538</v>
      </c>
      <c r="J281" s="101">
        <v>1678</v>
      </c>
      <c r="K281" s="101">
        <v>167</v>
      </c>
      <c r="L281" s="101">
        <v>667</v>
      </c>
      <c r="M281" s="101">
        <v>2224</v>
      </c>
      <c r="N281" s="101">
        <v>3381</v>
      </c>
      <c r="O281" s="101">
        <v>3769</v>
      </c>
      <c r="P281" s="101">
        <v>3779</v>
      </c>
      <c r="Q281" s="101">
        <v>2822</v>
      </c>
      <c r="R281" s="101">
        <v>1245</v>
      </c>
      <c r="S281" s="101"/>
      <c r="T281" t="s">
        <v>272</v>
      </c>
      <c r="U281" s="101">
        <f t="shared" si="12"/>
        <v>29955</v>
      </c>
      <c r="V281" s="101">
        <f>Inkomsten!M281</f>
        <v>25430000</v>
      </c>
      <c r="W281" s="101">
        <f>Inkomsten!D281</f>
        <v>21242996</v>
      </c>
      <c r="X281" s="101">
        <v>975</v>
      </c>
      <c r="Y281" s="101">
        <v>1820</v>
      </c>
      <c r="Z281" s="101">
        <v>16</v>
      </c>
      <c r="AA281" s="101">
        <v>254</v>
      </c>
      <c r="AB281" s="101">
        <v>182</v>
      </c>
      <c r="AC281" s="101">
        <v>32</v>
      </c>
      <c r="AD281" s="101">
        <v>111</v>
      </c>
      <c r="AE281" s="101">
        <v>0</v>
      </c>
      <c r="AF281" s="101">
        <v>26</v>
      </c>
      <c r="AG281" s="101">
        <f t="shared" si="13"/>
        <v>22351.995999999999</v>
      </c>
      <c r="AH281" s="101">
        <v>13407</v>
      </c>
      <c r="AI281" s="101">
        <f t="shared" si="14"/>
        <v>1667.1884836279555</v>
      </c>
      <c r="AJ281" t="s">
        <v>465</v>
      </c>
      <c r="AN281" t="s">
        <v>430</v>
      </c>
      <c r="AO281" s="259">
        <v>2268.7572419822723</v>
      </c>
      <c r="AP281" t="s">
        <v>116</v>
      </c>
    </row>
    <row r="282" spans="2:42" x14ac:dyDescent="0.25">
      <c r="B282" t="s">
        <v>273</v>
      </c>
      <c r="C282" s="101">
        <v>94591</v>
      </c>
      <c r="D282" s="101">
        <v>896</v>
      </c>
      <c r="E282" s="101">
        <v>1925</v>
      </c>
      <c r="F282" s="101">
        <v>5134</v>
      </c>
      <c r="G282" s="101">
        <v>7470</v>
      </c>
      <c r="H282" s="101">
        <v>15570</v>
      </c>
      <c r="I282" s="101">
        <v>3033</v>
      </c>
      <c r="J282" s="101">
        <v>6073</v>
      </c>
      <c r="K282" s="101">
        <v>550</v>
      </c>
      <c r="L282" s="101">
        <v>2969</v>
      </c>
      <c r="M282" s="101">
        <v>5674</v>
      </c>
      <c r="N282" s="101">
        <v>12017</v>
      </c>
      <c r="O282" s="101">
        <v>11984</v>
      </c>
      <c r="P282" s="101">
        <v>10772</v>
      </c>
      <c r="Q282" s="101">
        <v>8181</v>
      </c>
      <c r="R282" s="101">
        <v>2400</v>
      </c>
      <c r="S282" s="101"/>
      <c r="T282" t="s">
        <v>273</v>
      </c>
      <c r="U282" s="101">
        <f t="shared" si="12"/>
        <v>86636</v>
      </c>
      <c r="V282" s="101">
        <f>Inkomsten!M282</f>
        <v>72554000</v>
      </c>
      <c r="W282" s="101">
        <f>Inkomsten!D282</f>
        <v>58398316</v>
      </c>
      <c r="X282" s="101">
        <v>3914</v>
      </c>
      <c r="Y282" s="101">
        <v>4675</v>
      </c>
      <c r="Z282" s="101">
        <v>324</v>
      </c>
      <c r="AA282" s="101">
        <v>678</v>
      </c>
      <c r="AB282" s="101">
        <v>951</v>
      </c>
      <c r="AC282" s="101">
        <v>153</v>
      </c>
      <c r="AD282" s="101">
        <v>194</v>
      </c>
      <c r="AE282" s="101">
        <v>2</v>
      </c>
      <c r="AF282" s="101">
        <v>35</v>
      </c>
      <c r="AG282" s="101">
        <f t="shared" si="13"/>
        <v>61554.315999999992</v>
      </c>
      <c r="AH282" s="101">
        <v>31701</v>
      </c>
      <c r="AI282" s="101">
        <f t="shared" si="14"/>
        <v>1941.7152771205954</v>
      </c>
      <c r="AJ282" t="s">
        <v>465</v>
      </c>
      <c r="AN282" t="s">
        <v>147</v>
      </c>
      <c r="AO282" s="259">
        <v>2267.5683819785272</v>
      </c>
      <c r="AP282" t="s">
        <v>116</v>
      </c>
    </row>
    <row r="283" spans="2:42" x14ac:dyDescent="0.25">
      <c r="B283" t="s">
        <v>431</v>
      </c>
      <c r="C283" s="101">
        <v>83785</v>
      </c>
      <c r="D283" s="101">
        <v>13703</v>
      </c>
      <c r="E283" s="101">
        <v>2221</v>
      </c>
      <c r="F283" s="101">
        <v>2856</v>
      </c>
      <c r="G283" s="101">
        <v>17884</v>
      </c>
      <c r="H283" s="101">
        <v>5617</v>
      </c>
      <c r="I283" s="101">
        <v>1847</v>
      </c>
      <c r="J283" s="101">
        <v>2433</v>
      </c>
      <c r="K283" s="101">
        <v>11816</v>
      </c>
      <c r="L283" s="101">
        <v>3186</v>
      </c>
      <c r="M283" s="101">
        <v>3508</v>
      </c>
      <c r="N283" s="101">
        <v>5114</v>
      </c>
      <c r="O283" s="101">
        <v>3357</v>
      </c>
      <c r="P283" s="101">
        <v>5526</v>
      </c>
      <c r="Q283" s="101">
        <v>4928</v>
      </c>
      <c r="R283" s="101">
        <v>452</v>
      </c>
      <c r="S283" s="101"/>
      <c r="T283" t="s">
        <v>431</v>
      </c>
      <c r="U283" s="101">
        <f t="shared" si="12"/>
        <v>65005</v>
      </c>
      <c r="V283" s="101">
        <f>Inkomsten!M283</f>
        <v>45874000</v>
      </c>
      <c r="W283" s="101">
        <f>Inkomsten!D283</f>
        <v>38293834</v>
      </c>
      <c r="X283" s="101">
        <v>2304</v>
      </c>
      <c r="Y283" s="101">
        <v>1928</v>
      </c>
      <c r="Z283" s="101">
        <v>360</v>
      </c>
      <c r="AA283" s="101">
        <v>198</v>
      </c>
      <c r="AB283" s="101">
        <v>460</v>
      </c>
      <c r="AC283" s="101">
        <v>762</v>
      </c>
      <c r="AD283" s="101">
        <v>108</v>
      </c>
      <c r="AE283" s="101">
        <v>0</v>
      </c>
      <c r="AF283" s="101">
        <v>36</v>
      </c>
      <c r="AG283" s="101">
        <f t="shared" si="13"/>
        <v>51268.834000000003</v>
      </c>
      <c r="AH283" s="101">
        <v>21929</v>
      </c>
      <c r="AI283" s="101">
        <f t="shared" si="14"/>
        <v>2337.9467371973187</v>
      </c>
      <c r="AJ283" t="s">
        <v>465</v>
      </c>
      <c r="AN283" t="s">
        <v>599</v>
      </c>
      <c r="AO283" s="259">
        <v>2266.6491047324762</v>
      </c>
      <c r="AP283" t="s">
        <v>116</v>
      </c>
    </row>
    <row r="284" spans="2:42" x14ac:dyDescent="0.25">
      <c r="B284" t="s">
        <v>728</v>
      </c>
      <c r="C284" s="101">
        <v>2018261</v>
      </c>
      <c r="D284" s="101">
        <v>171744</v>
      </c>
      <c r="E284" s="101">
        <v>34281</v>
      </c>
      <c r="F284" s="101">
        <v>74365</v>
      </c>
      <c r="G284" s="101">
        <v>450331</v>
      </c>
      <c r="H284" s="101">
        <v>75122</v>
      </c>
      <c r="I284" s="101">
        <v>53299</v>
      </c>
      <c r="J284" s="101">
        <v>96213</v>
      </c>
      <c r="K284" s="101">
        <v>35165</v>
      </c>
      <c r="L284" s="101">
        <v>72293</v>
      </c>
      <c r="M284" s="101">
        <v>136345</v>
      </c>
      <c r="N284" s="101">
        <v>217348</v>
      </c>
      <c r="O284" s="101">
        <v>99047</v>
      </c>
      <c r="P284" s="101">
        <v>376303</v>
      </c>
      <c r="Q284" s="101">
        <v>103611</v>
      </c>
      <c r="R284" s="101">
        <v>28588</v>
      </c>
      <c r="S284" s="101"/>
      <c r="T284" t="s">
        <v>728</v>
      </c>
      <c r="U284" s="101">
        <f t="shared" si="12"/>
        <v>1737871</v>
      </c>
      <c r="V284" s="101">
        <f>Inkomsten!M284</f>
        <v>1277564000</v>
      </c>
      <c r="W284" s="101">
        <f>Inkomsten!D284</f>
        <v>896935677</v>
      </c>
      <c r="X284" s="101">
        <v>48759</v>
      </c>
      <c r="Y284" s="101">
        <v>60537</v>
      </c>
      <c r="Z284" s="101">
        <v>1243</v>
      </c>
      <c r="AA284" s="101">
        <v>6946</v>
      </c>
      <c r="AB284" s="101">
        <v>19083</v>
      </c>
      <c r="AC284" s="101">
        <v>4667</v>
      </c>
      <c r="AD284" s="101">
        <v>4514</v>
      </c>
      <c r="AE284" s="101">
        <v>73499</v>
      </c>
      <c r="AF284" s="101">
        <v>2542</v>
      </c>
      <c r="AG284" s="101">
        <f t="shared" si="13"/>
        <v>1135452.6770000001</v>
      </c>
      <c r="AH284" s="101">
        <v>374411</v>
      </c>
      <c r="AI284" s="101">
        <f t="shared" si="14"/>
        <v>3032.6370672870194</v>
      </c>
      <c r="AJ284" t="s">
        <v>439</v>
      </c>
      <c r="AN284" t="s">
        <v>391</v>
      </c>
      <c r="AO284" s="259">
        <v>2266.2354375458112</v>
      </c>
      <c r="AP284" t="s">
        <v>116</v>
      </c>
    </row>
    <row r="285" spans="2:42" x14ac:dyDescent="0.25">
      <c r="B285" t="s">
        <v>230</v>
      </c>
      <c r="C285" s="101">
        <v>150841</v>
      </c>
      <c r="D285" s="101">
        <v>2300</v>
      </c>
      <c r="E285" s="101">
        <v>2775</v>
      </c>
      <c r="F285" s="101">
        <v>7076</v>
      </c>
      <c r="G285" s="101">
        <v>30955</v>
      </c>
      <c r="H285" s="101">
        <v>11982</v>
      </c>
      <c r="I285" s="101">
        <v>8998</v>
      </c>
      <c r="J285" s="101">
        <v>4355</v>
      </c>
      <c r="K285" s="101">
        <v>469</v>
      </c>
      <c r="L285" s="101">
        <v>3346</v>
      </c>
      <c r="M285" s="101">
        <v>7977</v>
      </c>
      <c r="N285" s="101">
        <v>18684</v>
      </c>
      <c r="O285" s="101">
        <v>14308</v>
      </c>
      <c r="P285" s="101">
        <v>21391</v>
      </c>
      <c r="Q285" s="101">
        <v>14071</v>
      </c>
      <c r="R285" s="101">
        <v>2352</v>
      </c>
      <c r="S285" s="101"/>
      <c r="T285" t="s">
        <v>230</v>
      </c>
      <c r="U285" s="101">
        <f t="shared" si="12"/>
        <v>138690</v>
      </c>
      <c r="V285" s="101">
        <f>Inkomsten!M285</f>
        <v>108408000</v>
      </c>
      <c r="W285" s="101">
        <f>Inkomsten!D285</f>
        <v>89290510</v>
      </c>
      <c r="X285" s="101">
        <v>7703</v>
      </c>
      <c r="Y285" s="101">
        <v>6919</v>
      </c>
      <c r="Z285" s="101">
        <v>1294</v>
      </c>
      <c r="AA285" s="101">
        <v>822</v>
      </c>
      <c r="AB285" s="101">
        <v>1683</v>
      </c>
      <c r="AC285" s="101">
        <v>258</v>
      </c>
      <c r="AD285" s="101">
        <v>2047</v>
      </c>
      <c r="AE285" s="101">
        <v>21</v>
      </c>
      <c r="AF285" s="101">
        <v>238</v>
      </c>
      <c r="AG285" s="101">
        <f t="shared" si="13"/>
        <v>98587.51</v>
      </c>
      <c r="AH285" s="101">
        <v>50553</v>
      </c>
      <c r="AI285" s="101">
        <f t="shared" si="14"/>
        <v>1950.1811959725437</v>
      </c>
      <c r="AJ285" t="s">
        <v>465</v>
      </c>
      <c r="AN285" t="s">
        <v>107</v>
      </c>
      <c r="AO285" s="259">
        <v>2255.3226247685652</v>
      </c>
      <c r="AP285" t="s">
        <v>116</v>
      </c>
    </row>
    <row r="286" spans="2:42" x14ac:dyDescent="0.25">
      <c r="B286" t="s">
        <v>421</v>
      </c>
      <c r="C286" s="101">
        <v>41637</v>
      </c>
      <c r="D286" s="101">
        <v>0</v>
      </c>
      <c r="E286" s="101">
        <v>438</v>
      </c>
      <c r="F286" s="101">
        <v>1808</v>
      </c>
      <c r="G286" s="101">
        <v>9941</v>
      </c>
      <c r="H286" s="101">
        <v>4119</v>
      </c>
      <c r="I286" s="101">
        <v>1200</v>
      </c>
      <c r="J286" s="101">
        <v>1289</v>
      </c>
      <c r="K286" s="101">
        <v>316</v>
      </c>
      <c r="L286" s="101">
        <v>714</v>
      </c>
      <c r="M286" s="101">
        <v>2599</v>
      </c>
      <c r="N286" s="101">
        <v>7912</v>
      </c>
      <c r="O286" s="101">
        <v>1911</v>
      </c>
      <c r="P286" s="101">
        <v>5388</v>
      </c>
      <c r="Q286" s="101">
        <v>3575</v>
      </c>
      <c r="R286" s="101">
        <v>489</v>
      </c>
      <c r="S286" s="101"/>
      <c r="T286" t="s">
        <v>421</v>
      </c>
      <c r="U286" s="101">
        <f t="shared" si="12"/>
        <v>39391</v>
      </c>
      <c r="V286" s="101">
        <f>Inkomsten!M286</f>
        <v>33211000</v>
      </c>
      <c r="W286" s="101">
        <f>Inkomsten!D286</f>
        <v>24134292</v>
      </c>
      <c r="X286" s="101">
        <v>1588</v>
      </c>
      <c r="Y286" s="101">
        <v>2275</v>
      </c>
      <c r="Z286" s="101">
        <v>0</v>
      </c>
      <c r="AA286" s="101">
        <v>103</v>
      </c>
      <c r="AB286" s="101">
        <v>365</v>
      </c>
      <c r="AC286" s="101">
        <v>53</v>
      </c>
      <c r="AD286" s="101">
        <v>1632</v>
      </c>
      <c r="AE286" s="101">
        <v>803</v>
      </c>
      <c r="AF286" s="101">
        <v>21</v>
      </c>
      <c r="AG286" s="101">
        <f t="shared" si="13"/>
        <v>23474.292000000001</v>
      </c>
      <c r="AH286" s="101">
        <v>10120</v>
      </c>
      <c r="AI286" s="101">
        <f t="shared" si="14"/>
        <v>2319.5940711462449</v>
      </c>
      <c r="AJ286" t="s">
        <v>439</v>
      </c>
      <c r="AN286" t="s">
        <v>167</v>
      </c>
      <c r="AO286" s="259">
        <v>2247.3165261399517</v>
      </c>
      <c r="AP286" t="s">
        <v>116</v>
      </c>
    </row>
    <row r="287" spans="2:42" x14ac:dyDescent="0.25">
      <c r="B287" t="s">
        <v>422</v>
      </c>
      <c r="C287" s="101">
        <v>64872</v>
      </c>
      <c r="D287" s="101">
        <v>147</v>
      </c>
      <c r="E287" s="101">
        <v>190</v>
      </c>
      <c r="F287" s="101">
        <v>5159</v>
      </c>
      <c r="G287" s="101">
        <v>12951</v>
      </c>
      <c r="H287" s="101">
        <v>6120</v>
      </c>
      <c r="I287" s="101">
        <v>2224</v>
      </c>
      <c r="J287" s="101">
        <v>3233</v>
      </c>
      <c r="K287" s="101">
        <v>2992</v>
      </c>
      <c r="L287" s="101">
        <v>818</v>
      </c>
      <c r="M287" s="101">
        <v>3287</v>
      </c>
      <c r="N287" s="101">
        <v>7552</v>
      </c>
      <c r="O287" s="101">
        <v>4299</v>
      </c>
      <c r="P287" s="101">
        <v>10940</v>
      </c>
      <c r="Q287" s="101">
        <v>4233</v>
      </c>
      <c r="R287" s="101">
        <v>1103</v>
      </c>
      <c r="S287" s="101"/>
      <c r="T287" t="s">
        <v>422</v>
      </c>
      <c r="U287" s="101">
        <f t="shared" si="12"/>
        <v>59376</v>
      </c>
      <c r="V287" s="101">
        <f>Inkomsten!M287</f>
        <v>43827000</v>
      </c>
      <c r="W287" s="101">
        <f>Inkomsten!D287</f>
        <v>34372064</v>
      </c>
      <c r="X287" s="101">
        <v>2413</v>
      </c>
      <c r="Y287" s="101">
        <v>1561</v>
      </c>
      <c r="Z287" s="101">
        <v>135</v>
      </c>
      <c r="AA287" s="101">
        <v>297</v>
      </c>
      <c r="AB287" s="101">
        <v>501</v>
      </c>
      <c r="AC287" s="101">
        <v>345</v>
      </c>
      <c r="AD287" s="101">
        <v>2750</v>
      </c>
      <c r="AE287" s="101">
        <v>2938</v>
      </c>
      <c r="AF287" s="101">
        <v>136</v>
      </c>
      <c r="AG287" s="101">
        <f t="shared" si="13"/>
        <v>38845.063999999998</v>
      </c>
      <c r="AH287" s="101">
        <v>16425</v>
      </c>
      <c r="AI287" s="101">
        <f t="shared" si="14"/>
        <v>2364.9962861491626</v>
      </c>
      <c r="AJ287" t="s">
        <v>116</v>
      </c>
      <c r="AN287" t="s">
        <v>330</v>
      </c>
      <c r="AO287" s="259">
        <v>2246.8386399513233</v>
      </c>
      <c r="AP287" t="s">
        <v>116</v>
      </c>
    </row>
    <row r="288" spans="2:42" x14ac:dyDescent="0.25">
      <c r="B288" t="s">
        <v>391</v>
      </c>
      <c r="C288" s="101">
        <v>102383</v>
      </c>
      <c r="D288" s="101">
        <v>3269</v>
      </c>
      <c r="E288" s="101">
        <v>717</v>
      </c>
      <c r="F288" s="101">
        <v>4779</v>
      </c>
      <c r="G288" s="101">
        <v>16688</v>
      </c>
      <c r="H288" s="101">
        <v>16589</v>
      </c>
      <c r="I288" s="101">
        <v>2220</v>
      </c>
      <c r="J288" s="101">
        <v>2483</v>
      </c>
      <c r="K288" s="101">
        <v>1360</v>
      </c>
      <c r="L288" s="101">
        <v>2803</v>
      </c>
      <c r="M288" s="101">
        <v>7667</v>
      </c>
      <c r="N288" s="101">
        <v>16136</v>
      </c>
      <c r="O288" s="101">
        <v>6230</v>
      </c>
      <c r="P288" s="101">
        <v>13954</v>
      </c>
      <c r="Q288" s="101">
        <v>6725</v>
      </c>
      <c r="R288" s="101">
        <v>1011</v>
      </c>
      <c r="S288" s="101"/>
      <c r="T288" t="s">
        <v>391</v>
      </c>
      <c r="U288" s="101">
        <f t="shared" si="12"/>
        <v>93618</v>
      </c>
      <c r="V288" s="101">
        <f>Inkomsten!M288</f>
        <v>80471000</v>
      </c>
      <c r="W288" s="101">
        <f>Inkomsten!D288</f>
        <v>65322093</v>
      </c>
      <c r="X288" s="101">
        <v>3455</v>
      </c>
      <c r="Y288" s="101">
        <v>4400</v>
      </c>
      <c r="Z288" s="101">
        <v>188</v>
      </c>
      <c r="AA288" s="101">
        <v>491</v>
      </c>
      <c r="AB288" s="101">
        <v>463</v>
      </c>
      <c r="AC288" s="101">
        <v>209</v>
      </c>
      <c r="AD288" s="101">
        <v>0</v>
      </c>
      <c r="AE288" s="101">
        <v>610</v>
      </c>
      <c r="AF288" s="101">
        <v>255</v>
      </c>
      <c r="AG288" s="101">
        <f t="shared" si="13"/>
        <v>68398.092999999993</v>
      </c>
      <c r="AH288" s="101">
        <v>31700</v>
      </c>
      <c r="AI288" s="101">
        <f t="shared" si="14"/>
        <v>2157.6685488958992</v>
      </c>
      <c r="AJ288" t="s">
        <v>116</v>
      </c>
      <c r="AN288" t="s">
        <v>774</v>
      </c>
      <c r="AO288" s="259">
        <v>2245.7425294059035</v>
      </c>
      <c r="AP288" t="s">
        <v>116</v>
      </c>
    </row>
    <row r="289" spans="2:42" x14ac:dyDescent="0.25">
      <c r="B289" t="s">
        <v>124</v>
      </c>
      <c r="C289" s="101">
        <v>128679</v>
      </c>
      <c r="D289" s="101">
        <v>1856</v>
      </c>
      <c r="E289" s="101">
        <v>641</v>
      </c>
      <c r="F289" s="101">
        <v>3196</v>
      </c>
      <c r="G289" s="101">
        <v>21887</v>
      </c>
      <c r="H289" s="101">
        <v>10727</v>
      </c>
      <c r="I289" s="101">
        <v>1992</v>
      </c>
      <c r="J289" s="101">
        <v>3258</v>
      </c>
      <c r="K289" s="101">
        <v>2890</v>
      </c>
      <c r="L289" s="101">
        <v>2803</v>
      </c>
      <c r="M289" s="101">
        <v>7246</v>
      </c>
      <c r="N289" s="101">
        <v>29510</v>
      </c>
      <c r="O289" s="101">
        <v>21356</v>
      </c>
      <c r="P289" s="101">
        <v>14051</v>
      </c>
      <c r="Q289" s="101">
        <v>6244</v>
      </c>
      <c r="R289" s="101">
        <v>1280</v>
      </c>
      <c r="S289" s="101"/>
      <c r="T289" t="s">
        <v>124</v>
      </c>
      <c r="U289" s="101">
        <f t="shared" si="12"/>
        <v>122986</v>
      </c>
      <c r="V289" s="101">
        <f>Inkomsten!M289</f>
        <v>101195000</v>
      </c>
      <c r="W289" s="101">
        <f>Inkomsten!D289</f>
        <v>72474025</v>
      </c>
      <c r="X289" s="101">
        <v>2314</v>
      </c>
      <c r="Y289" s="101">
        <v>4687</v>
      </c>
      <c r="Z289" s="101">
        <v>82</v>
      </c>
      <c r="AA289" s="101">
        <v>318</v>
      </c>
      <c r="AB289" s="101">
        <v>404</v>
      </c>
      <c r="AC289" s="101">
        <v>39</v>
      </c>
      <c r="AD289" s="101">
        <v>0</v>
      </c>
      <c r="AE289" s="101">
        <v>0</v>
      </c>
      <c r="AF289" s="101">
        <v>199</v>
      </c>
      <c r="AG289" s="101">
        <f t="shared" si="13"/>
        <v>86222.024999999994</v>
      </c>
      <c r="AH289" s="101">
        <v>27517</v>
      </c>
      <c r="AI289" s="101">
        <f t="shared" si="14"/>
        <v>3133.4093469491586</v>
      </c>
      <c r="AJ289" t="s">
        <v>439</v>
      </c>
      <c r="AN289" t="s">
        <v>270</v>
      </c>
      <c r="AO289" s="259">
        <v>2243.8737123090009</v>
      </c>
      <c r="AP289" t="s">
        <v>116</v>
      </c>
    </row>
    <row r="290" spans="2:42" x14ac:dyDescent="0.25">
      <c r="B290" t="s">
        <v>231</v>
      </c>
      <c r="C290" s="101">
        <v>235316</v>
      </c>
      <c r="D290" s="101">
        <v>7905</v>
      </c>
      <c r="E290" s="101">
        <v>1998</v>
      </c>
      <c r="F290" s="101">
        <v>11920</v>
      </c>
      <c r="G290" s="101">
        <v>49902</v>
      </c>
      <c r="H290" s="101">
        <v>16769</v>
      </c>
      <c r="I290" s="101">
        <v>4908</v>
      </c>
      <c r="J290" s="101">
        <v>8123</v>
      </c>
      <c r="K290" s="101">
        <v>3136</v>
      </c>
      <c r="L290" s="101">
        <v>6026</v>
      </c>
      <c r="M290" s="101">
        <v>19538</v>
      </c>
      <c r="N290" s="101">
        <v>32041</v>
      </c>
      <c r="O290" s="101">
        <v>24830</v>
      </c>
      <c r="P290" s="101">
        <v>30293</v>
      </c>
      <c r="Q290" s="101">
        <v>15908</v>
      </c>
      <c r="R290" s="101">
        <v>3068</v>
      </c>
      <c r="S290" s="101"/>
      <c r="T290" t="s">
        <v>231</v>
      </c>
      <c r="U290" s="101">
        <f t="shared" si="12"/>
        <v>213493</v>
      </c>
      <c r="V290" s="101">
        <f>Inkomsten!M290</f>
        <v>183924000</v>
      </c>
      <c r="W290" s="101">
        <f>Inkomsten!D290</f>
        <v>147312110</v>
      </c>
      <c r="X290" s="101">
        <v>3609</v>
      </c>
      <c r="Y290" s="101">
        <v>8808</v>
      </c>
      <c r="Z290" s="101">
        <v>971</v>
      </c>
      <c r="AA290" s="101">
        <v>851</v>
      </c>
      <c r="AB290" s="101">
        <v>1846</v>
      </c>
      <c r="AC290" s="101">
        <v>82</v>
      </c>
      <c r="AD290" s="101">
        <v>113</v>
      </c>
      <c r="AE290" s="101">
        <v>2714</v>
      </c>
      <c r="AF290" s="101">
        <v>167</v>
      </c>
      <c r="AG290" s="101">
        <f t="shared" si="13"/>
        <v>157720.10999999999</v>
      </c>
      <c r="AH290" s="101">
        <v>69437</v>
      </c>
      <c r="AI290" s="101">
        <f t="shared" si="14"/>
        <v>2271.4130794821203</v>
      </c>
      <c r="AJ290" t="s">
        <v>439</v>
      </c>
      <c r="AN290" t="s">
        <v>416</v>
      </c>
      <c r="AO290" s="259">
        <v>2240.7171950633783</v>
      </c>
      <c r="AP290" t="s">
        <v>116</v>
      </c>
    </row>
    <row r="291" spans="2:42" x14ac:dyDescent="0.25">
      <c r="B291" t="s">
        <v>339</v>
      </c>
      <c r="C291" s="101">
        <v>87354</v>
      </c>
      <c r="D291" s="101">
        <v>8133</v>
      </c>
      <c r="E291" s="101">
        <v>925</v>
      </c>
      <c r="F291" s="101">
        <v>3732</v>
      </c>
      <c r="G291" s="101">
        <v>20887</v>
      </c>
      <c r="H291" s="101">
        <v>7978</v>
      </c>
      <c r="I291" s="101">
        <v>2933</v>
      </c>
      <c r="J291" s="101">
        <v>6476</v>
      </c>
      <c r="K291" s="101">
        <v>1542</v>
      </c>
      <c r="L291" s="101">
        <v>2053</v>
      </c>
      <c r="M291" s="101">
        <v>8389</v>
      </c>
      <c r="N291" s="101">
        <v>5493</v>
      </c>
      <c r="O291" s="101">
        <v>4344</v>
      </c>
      <c r="P291" s="101">
        <v>8096</v>
      </c>
      <c r="Q291" s="101">
        <v>6157</v>
      </c>
      <c r="R291" s="101">
        <v>596</v>
      </c>
      <c r="S291" s="101"/>
      <c r="T291" t="s">
        <v>339</v>
      </c>
      <c r="U291" s="101">
        <f t="shared" si="12"/>
        <v>74564</v>
      </c>
      <c r="V291" s="101">
        <f>Inkomsten!M291</f>
        <v>43600000</v>
      </c>
      <c r="W291" s="101">
        <f>Inkomsten!D291</f>
        <v>38296274</v>
      </c>
      <c r="X291" s="101">
        <v>2684</v>
      </c>
      <c r="Y291" s="101">
        <v>3921</v>
      </c>
      <c r="Z291" s="101">
        <v>585</v>
      </c>
      <c r="AA291" s="101">
        <v>342</v>
      </c>
      <c r="AB291" s="101">
        <v>889</v>
      </c>
      <c r="AC291" s="101">
        <v>328</v>
      </c>
      <c r="AD291" s="101">
        <v>10501</v>
      </c>
      <c r="AE291" s="101">
        <v>7150</v>
      </c>
      <c r="AF291" s="101">
        <v>523</v>
      </c>
      <c r="AG291" s="101">
        <f t="shared" si="13"/>
        <v>42337.274000000005</v>
      </c>
      <c r="AH291" s="101">
        <v>22067</v>
      </c>
      <c r="AI291" s="101">
        <f t="shared" si="14"/>
        <v>1918.5786015316992</v>
      </c>
      <c r="AJ291" t="s">
        <v>465</v>
      </c>
      <c r="AN291" t="s">
        <v>198</v>
      </c>
      <c r="AO291" s="259">
        <v>2236.3302764318914</v>
      </c>
      <c r="AP291" t="s">
        <v>116</v>
      </c>
    </row>
    <row r="292" spans="2:42" x14ac:dyDescent="0.25">
      <c r="B292" t="s">
        <v>392</v>
      </c>
      <c r="C292" s="101">
        <v>159791</v>
      </c>
      <c r="D292" s="101">
        <v>21728</v>
      </c>
      <c r="E292" s="101">
        <v>3040</v>
      </c>
      <c r="F292" s="101">
        <v>6134</v>
      </c>
      <c r="G292" s="101">
        <v>31584</v>
      </c>
      <c r="H292" s="101">
        <v>9214</v>
      </c>
      <c r="I292" s="101">
        <v>3164</v>
      </c>
      <c r="J292" s="101">
        <v>4705</v>
      </c>
      <c r="K292" s="101">
        <v>7248</v>
      </c>
      <c r="L292" s="101">
        <v>2971</v>
      </c>
      <c r="M292" s="101">
        <v>9511</v>
      </c>
      <c r="N292" s="101">
        <v>16908</v>
      </c>
      <c r="O292" s="101">
        <v>13899</v>
      </c>
      <c r="P292" s="101">
        <v>17368</v>
      </c>
      <c r="Q292" s="101">
        <v>12220</v>
      </c>
      <c r="R292" s="101">
        <v>1128</v>
      </c>
      <c r="S292" s="101"/>
      <c r="T292" t="s">
        <v>392</v>
      </c>
      <c r="U292" s="101">
        <f t="shared" si="12"/>
        <v>128889</v>
      </c>
      <c r="V292" s="101">
        <f>Inkomsten!M292</f>
        <v>101327000</v>
      </c>
      <c r="W292" s="101">
        <f>Inkomsten!D292</f>
        <v>84099232</v>
      </c>
      <c r="X292" s="101">
        <v>3816</v>
      </c>
      <c r="Y292" s="101">
        <v>5705</v>
      </c>
      <c r="Z292" s="101">
        <v>132</v>
      </c>
      <c r="AA292" s="101">
        <v>557</v>
      </c>
      <c r="AB292" s="101">
        <v>1191</v>
      </c>
      <c r="AC292" s="101">
        <v>80</v>
      </c>
      <c r="AD292" s="101">
        <v>443</v>
      </c>
      <c r="AE292" s="101">
        <v>819</v>
      </c>
      <c r="AF292" s="101">
        <v>127</v>
      </c>
      <c r="AG292" s="101">
        <f t="shared" si="13"/>
        <v>98791.232000000004</v>
      </c>
      <c r="AH292" s="101">
        <v>46826</v>
      </c>
      <c r="AI292" s="101">
        <f t="shared" si="14"/>
        <v>2109.7516764190832</v>
      </c>
      <c r="AJ292" t="s">
        <v>465</v>
      </c>
      <c r="AN292" t="s">
        <v>241</v>
      </c>
      <c r="AO292" s="259">
        <v>2234.6279200812769</v>
      </c>
      <c r="AP292" t="s">
        <v>116</v>
      </c>
    </row>
    <row r="293" spans="2:42" x14ac:dyDescent="0.25">
      <c r="B293" t="s">
        <v>274</v>
      </c>
      <c r="C293" s="101">
        <v>235863</v>
      </c>
      <c r="D293" s="101">
        <v>904</v>
      </c>
      <c r="E293" s="101">
        <v>3056</v>
      </c>
      <c r="F293" s="101">
        <v>11049</v>
      </c>
      <c r="G293" s="101">
        <v>47898</v>
      </c>
      <c r="H293" s="101">
        <v>20686</v>
      </c>
      <c r="I293" s="101">
        <v>10171</v>
      </c>
      <c r="J293" s="101">
        <v>6625</v>
      </c>
      <c r="K293" s="101">
        <v>10781</v>
      </c>
      <c r="L293" s="101">
        <v>5028</v>
      </c>
      <c r="M293" s="101">
        <v>15733</v>
      </c>
      <c r="N293" s="101">
        <v>33674</v>
      </c>
      <c r="O293" s="101">
        <v>22920</v>
      </c>
      <c r="P293" s="101">
        <v>28495</v>
      </c>
      <c r="Q293" s="101">
        <v>18190</v>
      </c>
      <c r="R293" s="101">
        <v>1298</v>
      </c>
      <c r="S293" s="101"/>
      <c r="T293" t="s">
        <v>274</v>
      </c>
      <c r="U293" s="101">
        <f t="shared" si="12"/>
        <v>220854</v>
      </c>
      <c r="V293" s="101">
        <f>Inkomsten!M293</f>
        <v>183497000</v>
      </c>
      <c r="W293" s="101">
        <f>Inkomsten!D293</f>
        <v>141046486</v>
      </c>
      <c r="X293" s="101">
        <v>6285</v>
      </c>
      <c r="Y293" s="101">
        <v>11986</v>
      </c>
      <c r="Z293" s="101">
        <v>367</v>
      </c>
      <c r="AA293" s="101">
        <v>1331</v>
      </c>
      <c r="AB293" s="101">
        <v>2329</v>
      </c>
      <c r="AC293" s="101">
        <v>117</v>
      </c>
      <c r="AD293" s="101">
        <v>1111</v>
      </c>
      <c r="AE293" s="101">
        <v>410</v>
      </c>
      <c r="AF293" s="101">
        <v>843</v>
      </c>
      <c r="AG293" s="101">
        <f t="shared" si="13"/>
        <v>153624.486</v>
      </c>
      <c r="AH293" s="101">
        <v>69238</v>
      </c>
      <c r="AI293" s="101">
        <f t="shared" si="14"/>
        <v>2218.7886131892892</v>
      </c>
      <c r="AJ293" t="s">
        <v>116</v>
      </c>
      <c r="AN293" t="s">
        <v>351</v>
      </c>
      <c r="AO293" s="259">
        <v>2229.9826437158308</v>
      </c>
      <c r="AP293" t="s">
        <v>116</v>
      </c>
    </row>
    <row r="294" spans="2:42" x14ac:dyDescent="0.25">
      <c r="B294" t="s">
        <v>423</v>
      </c>
      <c r="C294" s="101">
        <v>553883</v>
      </c>
      <c r="D294" s="101">
        <v>44727</v>
      </c>
      <c r="E294" s="101">
        <v>8954</v>
      </c>
      <c r="F294" s="101">
        <v>13224</v>
      </c>
      <c r="G294" s="101">
        <v>95351</v>
      </c>
      <c r="H294" s="101">
        <v>48402</v>
      </c>
      <c r="I294" s="101">
        <v>12044</v>
      </c>
      <c r="J294" s="101">
        <v>18089</v>
      </c>
      <c r="K294" s="101">
        <v>10129</v>
      </c>
      <c r="L294" s="101">
        <v>14721</v>
      </c>
      <c r="M294" s="101">
        <v>25862</v>
      </c>
      <c r="N294" s="101">
        <v>73533</v>
      </c>
      <c r="O294" s="101">
        <v>42228</v>
      </c>
      <c r="P294" s="101">
        <v>119100</v>
      </c>
      <c r="Q294" s="101">
        <v>22527</v>
      </c>
      <c r="R294" s="101">
        <v>7234</v>
      </c>
      <c r="S294" s="101"/>
      <c r="T294" t="s">
        <v>423</v>
      </c>
      <c r="U294" s="101">
        <f t="shared" si="12"/>
        <v>486978</v>
      </c>
      <c r="V294" s="101">
        <f>Inkomsten!M294</f>
        <v>411379000</v>
      </c>
      <c r="W294" s="101">
        <f>Inkomsten!D294</f>
        <v>244933551</v>
      </c>
      <c r="X294" s="101">
        <v>8247</v>
      </c>
      <c r="Y294" s="101">
        <v>10864</v>
      </c>
      <c r="Z294" s="101">
        <v>371</v>
      </c>
      <c r="AA294" s="101">
        <v>2576</v>
      </c>
      <c r="AB294" s="101">
        <v>4141</v>
      </c>
      <c r="AC294" s="101">
        <v>1201</v>
      </c>
      <c r="AD294" s="101">
        <v>2486</v>
      </c>
      <c r="AE294" s="101">
        <v>2756</v>
      </c>
      <c r="AF294" s="101">
        <v>954</v>
      </c>
      <c r="AG294" s="101">
        <f t="shared" si="13"/>
        <v>286936.55099999998</v>
      </c>
      <c r="AH294" s="101">
        <v>103785</v>
      </c>
      <c r="AI294" s="101">
        <f t="shared" si="14"/>
        <v>2764.7208267090618</v>
      </c>
      <c r="AJ294" t="s">
        <v>439</v>
      </c>
      <c r="AN294" t="s">
        <v>150</v>
      </c>
      <c r="AO294" s="259">
        <v>2228.9748965431772</v>
      </c>
      <c r="AP294" t="s">
        <v>116</v>
      </c>
    </row>
    <row r="295" spans="2:42" x14ac:dyDescent="0.25">
      <c r="B295" t="s">
        <v>424</v>
      </c>
      <c r="C295" s="101">
        <v>166358</v>
      </c>
      <c r="D295" s="101">
        <v>-90</v>
      </c>
      <c r="E295" s="101">
        <v>2757</v>
      </c>
      <c r="F295" s="101">
        <v>6745</v>
      </c>
      <c r="G295" s="101">
        <v>39821</v>
      </c>
      <c r="H295" s="101">
        <v>10793</v>
      </c>
      <c r="I295" s="101">
        <v>3856</v>
      </c>
      <c r="J295" s="101">
        <v>5674</v>
      </c>
      <c r="K295" s="101">
        <v>2538</v>
      </c>
      <c r="L295" s="101">
        <v>3531</v>
      </c>
      <c r="M295" s="101">
        <v>11230</v>
      </c>
      <c r="N295" s="101">
        <v>29767</v>
      </c>
      <c r="O295" s="101">
        <v>14673</v>
      </c>
      <c r="P295" s="101">
        <v>25210</v>
      </c>
      <c r="Q295" s="101">
        <v>10860</v>
      </c>
      <c r="R295" s="101">
        <v>408</v>
      </c>
      <c r="S295" s="101"/>
      <c r="T295" t="s">
        <v>424</v>
      </c>
      <c r="U295" s="101">
        <f t="shared" si="12"/>
        <v>156946</v>
      </c>
      <c r="V295" s="101">
        <f>Inkomsten!M295</f>
        <v>126733000</v>
      </c>
      <c r="W295" s="101">
        <f>Inkomsten!D295</f>
        <v>96933990</v>
      </c>
      <c r="X295" s="101">
        <v>4881</v>
      </c>
      <c r="Y295" s="101">
        <v>5372</v>
      </c>
      <c r="Z295" s="101">
        <v>17</v>
      </c>
      <c r="AA295" s="101">
        <v>838</v>
      </c>
      <c r="AB295" s="101">
        <v>1013</v>
      </c>
      <c r="AC295" s="101">
        <v>444</v>
      </c>
      <c r="AD295" s="101">
        <v>707</v>
      </c>
      <c r="AE295" s="101">
        <v>509</v>
      </c>
      <c r="AF295" s="101">
        <v>458</v>
      </c>
      <c r="AG295" s="101">
        <f t="shared" si="13"/>
        <v>112907.99</v>
      </c>
      <c r="AH295" s="101">
        <v>44668</v>
      </c>
      <c r="AI295" s="101">
        <f t="shared" si="14"/>
        <v>2527.7153667054713</v>
      </c>
      <c r="AJ295" t="s">
        <v>439</v>
      </c>
      <c r="AN295" t="s">
        <v>418</v>
      </c>
      <c r="AO295" s="259">
        <v>2224.7533133076713</v>
      </c>
      <c r="AP295" t="s">
        <v>116</v>
      </c>
    </row>
    <row r="296" spans="2:42" x14ac:dyDescent="0.25">
      <c r="B296" t="s">
        <v>598</v>
      </c>
      <c r="C296" s="187">
        <v>182132</v>
      </c>
      <c r="D296" s="187">
        <v>15420</v>
      </c>
      <c r="E296" s="187">
        <v>3852</v>
      </c>
      <c r="F296" s="187">
        <v>11297</v>
      </c>
      <c r="G296" s="187">
        <v>34279</v>
      </c>
      <c r="H296" s="187">
        <v>13884</v>
      </c>
      <c r="I296" s="187">
        <v>4860</v>
      </c>
      <c r="J296" s="187">
        <v>6554</v>
      </c>
      <c r="K296" s="187">
        <v>1257</v>
      </c>
      <c r="L296" s="187">
        <v>6728</v>
      </c>
      <c r="M296" s="187">
        <v>9631</v>
      </c>
      <c r="N296" s="187">
        <v>23107</v>
      </c>
      <c r="O296" s="187">
        <v>18200</v>
      </c>
      <c r="P296" s="187">
        <v>19253</v>
      </c>
      <c r="Q296" s="187">
        <v>14218</v>
      </c>
      <c r="R296" s="187">
        <v>2012</v>
      </c>
      <c r="S296" s="101"/>
      <c r="T296" t="s">
        <v>598</v>
      </c>
      <c r="U296" s="101">
        <f t="shared" si="12"/>
        <v>151563</v>
      </c>
      <c r="V296" s="101">
        <v>133928000</v>
      </c>
      <c r="W296" s="101">
        <f>Inkomsten!D296</f>
        <v>114852385.04471263</v>
      </c>
      <c r="X296" s="101">
        <v>5585</v>
      </c>
      <c r="Y296" s="101">
        <v>9846</v>
      </c>
      <c r="Z296" s="101">
        <v>948</v>
      </c>
      <c r="AA296" s="101">
        <v>650</v>
      </c>
      <c r="AB296" s="101">
        <v>3083</v>
      </c>
      <c r="AC296" s="101">
        <v>343</v>
      </c>
      <c r="AD296" s="101">
        <v>275</v>
      </c>
      <c r="AE296" s="101">
        <v>526</v>
      </c>
      <c r="AF296" s="101">
        <v>0</v>
      </c>
      <c r="AG296" s="101">
        <f t="shared" si="13"/>
        <v>111231.38504471263</v>
      </c>
      <c r="AH296" s="101">
        <v>61650</v>
      </c>
      <c r="AI296" s="101">
        <f t="shared" si="14"/>
        <v>1804.239822298664</v>
      </c>
      <c r="AJ296" t="s">
        <v>116</v>
      </c>
      <c r="AN296" t="s">
        <v>252</v>
      </c>
      <c r="AO296" s="259">
        <v>2224.679533229837</v>
      </c>
      <c r="AP296" t="s">
        <v>116</v>
      </c>
    </row>
    <row r="297" spans="2:42" x14ac:dyDescent="0.25">
      <c r="B297" t="s">
        <v>318</v>
      </c>
      <c r="C297" s="101">
        <v>414727</v>
      </c>
      <c r="D297" s="101">
        <v>20898</v>
      </c>
      <c r="E297" s="101">
        <v>2031</v>
      </c>
      <c r="F297" s="101">
        <v>11201</v>
      </c>
      <c r="G297" s="101">
        <v>49784</v>
      </c>
      <c r="H297" s="101">
        <v>22719</v>
      </c>
      <c r="I297" s="101">
        <v>12682</v>
      </c>
      <c r="J297" s="101">
        <v>12538</v>
      </c>
      <c r="K297" s="101">
        <v>7730</v>
      </c>
      <c r="L297" s="101">
        <v>11702</v>
      </c>
      <c r="M297" s="101">
        <v>26964</v>
      </c>
      <c r="N297" s="101">
        <v>76290</v>
      </c>
      <c r="O297" s="101">
        <v>25466</v>
      </c>
      <c r="P297" s="101">
        <v>98843</v>
      </c>
      <c r="Q297" s="101">
        <v>21567</v>
      </c>
      <c r="R297" s="101">
        <v>14464</v>
      </c>
      <c r="S297" s="101"/>
      <c r="T297" t="s">
        <v>318</v>
      </c>
      <c r="U297" s="101">
        <f t="shared" si="12"/>
        <v>380597</v>
      </c>
      <c r="V297" s="101">
        <f>Inkomsten!M297</f>
        <v>301878000</v>
      </c>
      <c r="W297" s="101">
        <f>Inkomsten!D297</f>
        <v>183950448</v>
      </c>
      <c r="X297" s="101">
        <v>7026</v>
      </c>
      <c r="Y297" s="101">
        <v>13511</v>
      </c>
      <c r="Z297" s="101">
        <v>866</v>
      </c>
      <c r="AA297" s="101">
        <v>830</v>
      </c>
      <c r="AB297" s="101">
        <v>1480</v>
      </c>
      <c r="AC297" s="101">
        <v>1359</v>
      </c>
      <c r="AD297" s="101">
        <v>371</v>
      </c>
      <c r="AE297" s="101">
        <v>2965</v>
      </c>
      <c r="AF297" s="101">
        <v>4765</v>
      </c>
      <c r="AG297" s="101">
        <f t="shared" si="13"/>
        <v>229496.44799999997</v>
      </c>
      <c r="AH297" s="101">
        <v>76472</v>
      </c>
      <c r="AI297" s="101">
        <f t="shared" si="14"/>
        <v>3001.051992886285</v>
      </c>
      <c r="AJ297" t="s">
        <v>116</v>
      </c>
      <c r="AN297" t="s">
        <v>434</v>
      </c>
      <c r="AO297" s="259">
        <v>2223.3147896757723</v>
      </c>
      <c r="AP297" t="s">
        <v>116</v>
      </c>
    </row>
    <row r="298" spans="2:42" x14ac:dyDescent="0.25">
      <c r="B298" t="s">
        <v>137</v>
      </c>
      <c r="C298" s="101">
        <v>10416</v>
      </c>
      <c r="D298" s="101">
        <v>0</v>
      </c>
      <c r="E298" s="101">
        <v>347</v>
      </c>
      <c r="F298" s="101">
        <v>908</v>
      </c>
      <c r="G298" s="101">
        <v>3418</v>
      </c>
      <c r="H298" s="101">
        <v>1669</v>
      </c>
      <c r="I298" s="101">
        <v>408</v>
      </c>
      <c r="J298" s="101">
        <v>156</v>
      </c>
      <c r="K298" s="101">
        <v>323</v>
      </c>
      <c r="L298" s="101">
        <v>179</v>
      </c>
      <c r="M298" s="101">
        <v>1074</v>
      </c>
      <c r="N298" s="101">
        <v>188</v>
      </c>
      <c r="O298" s="101">
        <v>130</v>
      </c>
      <c r="P298" s="101">
        <v>569</v>
      </c>
      <c r="Q298" s="101">
        <v>834</v>
      </c>
      <c r="R298" s="101">
        <v>295</v>
      </c>
      <c r="S298" s="101"/>
      <c r="T298" t="s">
        <v>137</v>
      </c>
      <c r="U298" s="101">
        <f t="shared" si="12"/>
        <v>9161</v>
      </c>
      <c r="V298" s="101">
        <f>Inkomsten!M298</f>
        <v>5699000</v>
      </c>
      <c r="W298" s="101">
        <f>Inkomsten!D298</f>
        <v>5099201</v>
      </c>
      <c r="X298" s="101">
        <v>232</v>
      </c>
      <c r="Y298" s="101">
        <v>571</v>
      </c>
      <c r="Z298" s="101">
        <v>21</v>
      </c>
      <c r="AA298" s="101">
        <v>112</v>
      </c>
      <c r="AB298" s="101">
        <v>90</v>
      </c>
      <c r="AC298" s="101">
        <v>0</v>
      </c>
      <c r="AD298" s="101">
        <v>1869</v>
      </c>
      <c r="AE298" s="101">
        <v>0</v>
      </c>
      <c r="AF298" s="101">
        <v>47</v>
      </c>
      <c r="AG298" s="101">
        <f t="shared" si="13"/>
        <v>5619.2010000000009</v>
      </c>
      <c r="AH298" s="101">
        <v>1258</v>
      </c>
      <c r="AI298" s="101">
        <f t="shared" si="14"/>
        <v>4466.7734499205098</v>
      </c>
      <c r="AJ298" t="s">
        <v>116</v>
      </c>
      <c r="AN298" t="s">
        <v>213</v>
      </c>
      <c r="AO298" s="259">
        <v>2218.5893054251219</v>
      </c>
      <c r="AP298" t="s">
        <v>116</v>
      </c>
    </row>
    <row r="299" spans="2:42" x14ac:dyDescent="0.25">
      <c r="B299" t="s">
        <v>340</v>
      </c>
      <c r="C299" s="101">
        <v>280839</v>
      </c>
      <c r="D299" s="101">
        <v>16012</v>
      </c>
      <c r="E299" s="101">
        <v>3051</v>
      </c>
      <c r="F299" s="101">
        <v>8612</v>
      </c>
      <c r="G299" s="101">
        <v>38769</v>
      </c>
      <c r="H299" s="101">
        <v>15714</v>
      </c>
      <c r="I299" s="101">
        <v>4424</v>
      </c>
      <c r="J299" s="101">
        <v>6830</v>
      </c>
      <c r="K299" s="101">
        <v>8320</v>
      </c>
      <c r="L299" s="101">
        <v>6307</v>
      </c>
      <c r="M299" s="101">
        <v>7876</v>
      </c>
      <c r="N299" s="101">
        <v>53290</v>
      </c>
      <c r="O299" s="101">
        <v>21469</v>
      </c>
      <c r="P299" s="101">
        <v>76918</v>
      </c>
      <c r="Q299" s="101">
        <v>12443</v>
      </c>
      <c r="R299" s="101">
        <v>1646</v>
      </c>
      <c r="S299" s="101"/>
      <c r="T299" t="s">
        <v>340</v>
      </c>
      <c r="U299" s="101">
        <f t="shared" si="12"/>
        <v>253164</v>
      </c>
      <c r="V299" s="101">
        <f>Inkomsten!M299</f>
        <v>225140000</v>
      </c>
      <c r="W299" s="101">
        <f>Inkomsten!D299</f>
        <v>125424134</v>
      </c>
      <c r="X299" s="101">
        <v>6783</v>
      </c>
      <c r="Y299" s="101">
        <v>7955</v>
      </c>
      <c r="Z299" s="101">
        <v>645</v>
      </c>
      <c r="AA299" s="101">
        <v>649</v>
      </c>
      <c r="AB299" s="101">
        <v>2134</v>
      </c>
      <c r="AC299" s="101">
        <v>406</v>
      </c>
      <c r="AD299" s="101">
        <v>1080</v>
      </c>
      <c r="AE299" s="101">
        <v>3265</v>
      </c>
      <c r="AF299" s="101">
        <v>356</v>
      </c>
      <c r="AG299" s="101">
        <f t="shared" si="13"/>
        <v>130175.13400000002</v>
      </c>
      <c r="AH299" s="101">
        <v>45410</v>
      </c>
      <c r="AI299" s="101">
        <f t="shared" si="14"/>
        <v>2866.6622770314912</v>
      </c>
      <c r="AJ299" t="s">
        <v>439</v>
      </c>
      <c r="AN299" t="s">
        <v>361</v>
      </c>
      <c r="AO299" s="259">
        <v>2207.0374036928497</v>
      </c>
      <c r="AP299" t="s">
        <v>116</v>
      </c>
    </row>
    <row r="300" spans="2:42" x14ac:dyDescent="0.25">
      <c r="B300" t="s">
        <v>425</v>
      </c>
      <c r="C300" s="101">
        <v>34938</v>
      </c>
      <c r="D300" s="101">
        <v>0</v>
      </c>
      <c r="E300" s="101">
        <v>690</v>
      </c>
      <c r="F300" s="101">
        <v>1784</v>
      </c>
      <c r="G300" s="101">
        <v>8926</v>
      </c>
      <c r="H300" s="101">
        <v>3139</v>
      </c>
      <c r="I300" s="101">
        <v>1161</v>
      </c>
      <c r="J300" s="101">
        <v>1474</v>
      </c>
      <c r="K300" s="101">
        <v>268</v>
      </c>
      <c r="L300" s="101">
        <v>1128</v>
      </c>
      <c r="M300" s="101">
        <v>2289</v>
      </c>
      <c r="N300" s="101">
        <v>4260</v>
      </c>
      <c r="O300" s="101">
        <v>2492</v>
      </c>
      <c r="P300" s="101">
        <v>3978</v>
      </c>
      <c r="Q300" s="101">
        <v>2697</v>
      </c>
      <c r="R300" s="101">
        <v>825</v>
      </c>
      <c r="S300" s="101"/>
      <c r="T300" t="s">
        <v>425</v>
      </c>
      <c r="U300" s="101">
        <f t="shared" si="12"/>
        <v>32464</v>
      </c>
      <c r="V300" s="101">
        <f>Inkomsten!M300</f>
        <v>27136000</v>
      </c>
      <c r="W300" s="101">
        <f>Inkomsten!D300</f>
        <v>23546175</v>
      </c>
      <c r="X300" s="101">
        <v>2088</v>
      </c>
      <c r="Y300" s="101">
        <v>1788</v>
      </c>
      <c r="Z300" s="101">
        <v>22</v>
      </c>
      <c r="AA300" s="101">
        <v>273</v>
      </c>
      <c r="AB300" s="101">
        <v>82</v>
      </c>
      <c r="AC300" s="101">
        <v>40</v>
      </c>
      <c r="AD300" s="101">
        <v>61</v>
      </c>
      <c r="AE300" s="101">
        <v>3</v>
      </c>
      <c r="AF300" s="101">
        <v>53</v>
      </c>
      <c r="AG300" s="101">
        <f t="shared" si="13"/>
        <v>24464.174999999999</v>
      </c>
      <c r="AH300" s="101">
        <v>12378</v>
      </c>
      <c r="AI300" s="101">
        <f t="shared" si="14"/>
        <v>1976.4238972370335</v>
      </c>
      <c r="AJ300" t="s">
        <v>465</v>
      </c>
      <c r="AN300" t="s">
        <v>364</v>
      </c>
      <c r="AO300" s="259">
        <v>2206.0238356525251</v>
      </c>
      <c r="AP300" t="s">
        <v>116</v>
      </c>
    </row>
    <row r="301" spans="2:42" x14ac:dyDescent="0.25">
      <c r="B301" t="s">
        <v>827</v>
      </c>
      <c r="C301" s="101">
        <v>274102</v>
      </c>
      <c r="D301" s="101">
        <v>11346</v>
      </c>
      <c r="E301" s="101">
        <v>4166</v>
      </c>
      <c r="F301" s="101">
        <v>14087</v>
      </c>
      <c r="G301" s="101">
        <v>53125</v>
      </c>
      <c r="H301" s="101">
        <v>27621</v>
      </c>
      <c r="I301" s="101">
        <v>6174</v>
      </c>
      <c r="J301" s="101">
        <v>8244</v>
      </c>
      <c r="K301" s="101">
        <v>1072</v>
      </c>
      <c r="L301" s="101">
        <v>5063</v>
      </c>
      <c r="M301" s="101">
        <v>16205</v>
      </c>
      <c r="N301" s="101">
        <v>22721</v>
      </c>
      <c r="O301" s="101">
        <v>18596</v>
      </c>
      <c r="P301" s="101">
        <v>20486</v>
      </c>
      <c r="Q301" s="101">
        <v>55447</v>
      </c>
      <c r="R301" s="101">
        <v>9938</v>
      </c>
      <c r="S301" s="101"/>
      <c r="T301" t="s">
        <v>827</v>
      </c>
      <c r="U301" s="101">
        <f t="shared" si="12"/>
        <v>244503</v>
      </c>
      <c r="V301" s="101">
        <f>Inkomsten!M301</f>
        <v>168736000</v>
      </c>
      <c r="W301" s="101">
        <f>Inkomsten!D301</f>
        <v>138879603</v>
      </c>
      <c r="X301" s="101">
        <v>7647</v>
      </c>
      <c r="Y301" s="101">
        <v>10974</v>
      </c>
      <c r="Z301" s="101">
        <v>465</v>
      </c>
      <c r="AA301" s="101">
        <v>926</v>
      </c>
      <c r="AB301" s="101">
        <v>1995</v>
      </c>
      <c r="AC301" s="101">
        <v>290</v>
      </c>
      <c r="AD301" s="101">
        <v>2234</v>
      </c>
      <c r="AE301" s="101">
        <v>631</v>
      </c>
      <c r="AF301" s="101">
        <v>278</v>
      </c>
      <c r="AG301" s="101">
        <f t="shared" si="13"/>
        <v>189206.603</v>
      </c>
      <c r="AH301" s="101">
        <v>74342</v>
      </c>
      <c r="AI301" s="101">
        <f t="shared" si="14"/>
        <v>2545.0835732156788</v>
      </c>
      <c r="AJ301" t="s">
        <v>465</v>
      </c>
      <c r="AN301" t="s">
        <v>601</v>
      </c>
      <c r="AO301" s="259">
        <v>2205.9958894615997</v>
      </c>
      <c r="AP301" t="s">
        <v>116</v>
      </c>
    </row>
    <row r="302" spans="2:42" x14ac:dyDescent="0.25">
      <c r="B302" t="s">
        <v>319</v>
      </c>
      <c r="C302" s="101">
        <v>80842</v>
      </c>
      <c r="D302" s="101">
        <v>7260</v>
      </c>
      <c r="E302" s="101">
        <v>547</v>
      </c>
      <c r="F302" s="101">
        <v>2491</v>
      </c>
      <c r="G302" s="101">
        <v>20001</v>
      </c>
      <c r="H302" s="101">
        <v>10740</v>
      </c>
      <c r="I302" s="101">
        <v>1921</v>
      </c>
      <c r="J302" s="101">
        <v>2284</v>
      </c>
      <c r="K302" s="101">
        <v>428</v>
      </c>
      <c r="L302" s="101">
        <v>1108</v>
      </c>
      <c r="M302" s="101">
        <v>4869</v>
      </c>
      <c r="N302" s="101">
        <v>8230</v>
      </c>
      <c r="O302" s="101">
        <v>6582</v>
      </c>
      <c r="P302" s="101">
        <v>7636</v>
      </c>
      <c r="Q302" s="101">
        <v>5962</v>
      </c>
      <c r="R302" s="101">
        <v>963</v>
      </c>
      <c r="S302" s="101"/>
      <c r="T302" t="s">
        <v>319</v>
      </c>
      <c r="U302" s="101">
        <f t="shared" si="12"/>
        <v>70544</v>
      </c>
      <c r="V302" s="101">
        <f>Inkomsten!M302</f>
        <v>56029000</v>
      </c>
      <c r="W302" s="101">
        <f>Inkomsten!D302</f>
        <v>44362309</v>
      </c>
      <c r="X302" s="101">
        <v>2887</v>
      </c>
      <c r="Y302" s="101">
        <v>4989</v>
      </c>
      <c r="Z302" s="101">
        <v>354</v>
      </c>
      <c r="AA302" s="101">
        <v>382</v>
      </c>
      <c r="AB302" s="101">
        <v>648</v>
      </c>
      <c r="AC302" s="101">
        <v>90</v>
      </c>
      <c r="AD302" s="101">
        <v>176</v>
      </c>
      <c r="AE302" s="101">
        <v>3</v>
      </c>
      <c r="AF302" s="101">
        <v>31</v>
      </c>
      <c r="AG302" s="101">
        <f t="shared" si="13"/>
        <v>49317.309000000001</v>
      </c>
      <c r="AH302" s="101">
        <v>25618</v>
      </c>
      <c r="AI302" s="101">
        <f t="shared" si="14"/>
        <v>1925.103794207198</v>
      </c>
      <c r="AJ302" t="s">
        <v>465</v>
      </c>
      <c r="AN302" t="s">
        <v>111</v>
      </c>
      <c r="AO302" s="259">
        <v>2205.7375916350657</v>
      </c>
      <c r="AP302" t="s">
        <v>116</v>
      </c>
    </row>
    <row r="303" spans="2:42" x14ac:dyDescent="0.25">
      <c r="B303" t="s">
        <v>203</v>
      </c>
      <c r="C303" s="101">
        <v>78260</v>
      </c>
      <c r="D303" s="101">
        <v>7591</v>
      </c>
      <c r="E303" s="101">
        <v>493</v>
      </c>
      <c r="F303" s="101">
        <v>2702</v>
      </c>
      <c r="G303" s="101">
        <v>20736</v>
      </c>
      <c r="H303" s="101">
        <v>6897</v>
      </c>
      <c r="I303" s="101">
        <v>1947</v>
      </c>
      <c r="J303" s="101">
        <v>2213</v>
      </c>
      <c r="K303" s="101">
        <v>1020</v>
      </c>
      <c r="L303" s="101">
        <v>1642</v>
      </c>
      <c r="M303" s="101">
        <v>5462</v>
      </c>
      <c r="N303" s="101">
        <v>5950</v>
      </c>
      <c r="O303" s="101">
        <v>5179</v>
      </c>
      <c r="P303" s="101">
        <v>10545</v>
      </c>
      <c r="Q303" s="101">
        <v>5964</v>
      </c>
      <c r="R303" s="101">
        <v>389</v>
      </c>
      <c r="S303" s="101"/>
      <c r="T303" t="s">
        <v>203</v>
      </c>
      <c r="U303" s="101">
        <f t="shared" si="12"/>
        <v>67474</v>
      </c>
      <c r="V303" s="101">
        <f>Inkomsten!M303</f>
        <v>54297000</v>
      </c>
      <c r="W303" s="101">
        <f>Inkomsten!D303</f>
        <v>46818688</v>
      </c>
      <c r="X303" s="101">
        <v>2552</v>
      </c>
      <c r="Y303" s="101">
        <v>2201</v>
      </c>
      <c r="Z303" s="101">
        <v>170</v>
      </c>
      <c r="AA303" s="101">
        <v>356</v>
      </c>
      <c r="AB303" s="101">
        <v>1074</v>
      </c>
      <c r="AC303" s="101">
        <v>120</v>
      </c>
      <c r="AD303" s="101">
        <v>202</v>
      </c>
      <c r="AE303" s="101">
        <v>0</v>
      </c>
      <c r="AF303" s="101">
        <v>11</v>
      </c>
      <c r="AG303" s="101">
        <f t="shared" si="13"/>
        <v>53309.688000000002</v>
      </c>
      <c r="AH303" s="101">
        <v>25383</v>
      </c>
      <c r="AI303" s="101">
        <f t="shared" si="14"/>
        <v>2100.2122680534217</v>
      </c>
      <c r="AJ303" t="s">
        <v>465</v>
      </c>
      <c r="AN303" t="s">
        <v>132</v>
      </c>
      <c r="AO303" s="259">
        <v>2204.9897412244168</v>
      </c>
      <c r="AP303" t="s">
        <v>116</v>
      </c>
    </row>
    <row r="304" spans="2:42" x14ac:dyDescent="0.25">
      <c r="B304" t="s">
        <v>393</v>
      </c>
      <c r="C304" s="101">
        <v>109546</v>
      </c>
      <c r="D304" s="101">
        <v>49</v>
      </c>
      <c r="E304" s="101">
        <v>2036</v>
      </c>
      <c r="F304" s="101">
        <v>7093</v>
      </c>
      <c r="G304" s="101">
        <v>24548</v>
      </c>
      <c r="H304" s="101">
        <v>17159</v>
      </c>
      <c r="I304" s="101">
        <v>2579</v>
      </c>
      <c r="J304" s="101">
        <v>9523</v>
      </c>
      <c r="K304" s="101">
        <v>443</v>
      </c>
      <c r="L304" s="101">
        <v>2273</v>
      </c>
      <c r="M304" s="101">
        <v>5621</v>
      </c>
      <c r="N304" s="101">
        <v>12292</v>
      </c>
      <c r="O304" s="101">
        <v>6793</v>
      </c>
      <c r="P304" s="101">
        <v>10925</v>
      </c>
      <c r="Q304" s="101">
        <v>7593</v>
      </c>
      <c r="R304" s="101">
        <v>703</v>
      </c>
      <c r="S304" s="101"/>
      <c r="T304" t="s">
        <v>393</v>
      </c>
      <c r="U304" s="101">
        <f t="shared" si="12"/>
        <v>100368</v>
      </c>
      <c r="V304" s="101">
        <f>Inkomsten!M304</f>
        <v>79622000</v>
      </c>
      <c r="W304" s="101">
        <f>Inkomsten!D304</f>
        <v>58203338</v>
      </c>
      <c r="X304" s="101">
        <v>4478</v>
      </c>
      <c r="Y304" s="101">
        <v>3732</v>
      </c>
      <c r="Z304" s="101">
        <v>20</v>
      </c>
      <c r="AA304" s="101">
        <v>560</v>
      </c>
      <c r="AB304" s="101">
        <v>1597</v>
      </c>
      <c r="AC304" s="101">
        <v>84</v>
      </c>
      <c r="AD304" s="101">
        <v>474</v>
      </c>
      <c r="AE304" s="101">
        <v>0</v>
      </c>
      <c r="AF304" s="101">
        <v>267</v>
      </c>
      <c r="AG304" s="101">
        <f t="shared" si="13"/>
        <v>67737.338000000003</v>
      </c>
      <c r="AH304" s="101">
        <v>32348</v>
      </c>
      <c r="AI304" s="101">
        <f t="shared" si="14"/>
        <v>2094.0193520464945</v>
      </c>
      <c r="AJ304" t="s">
        <v>116</v>
      </c>
      <c r="AN304" t="s">
        <v>145</v>
      </c>
      <c r="AO304" s="259">
        <v>2204.6564467305661</v>
      </c>
      <c r="AP304" t="s">
        <v>116</v>
      </c>
    </row>
    <row r="305" spans="2:42" x14ac:dyDescent="0.25">
      <c r="B305" t="s">
        <v>599</v>
      </c>
      <c r="C305" s="101">
        <v>149501</v>
      </c>
      <c r="D305" s="101">
        <v>320</v>
      </c>
      <c r="E305" s="101">
        <v>836</v>
      </c>
      <c r="F305" s="101">
        <v>3903</v>
      </c>
      <c r="G305" s="101">
        <v>27779</v>
      </c>
      <c r="H305" s="101">
        <v>13577</v>
      </c>
      <c r="I305" s="101">
        <v>3887</v>
      </c>
      <c r="J305" s="101">
        <v>7730</v>
      </c>
      <c r="K305" s="101">
        <v>1744</v>
      </c>
      <c r="L305" s="101">
        <v>4566</v>
      </c>
      <c r="M305" s="101">
        <v>8359</v>
      </c>
      <c r="N305" s="101">
        <v>32799</v>
      </c>
      <c r="O305" s="101">
        <v>14583</v>
      </c>
      <c r="P305" s="101">
        <v>16717</v>
      </c>
      <c r="Q305" s="101">
        <v>12767</v>
      </c>
      <c r="R305" s="101">
        <v>585</v>
      </c>
      <c r="S305" s="101"/>
      <c r="T305" t="s">
        <v>599</v>
      </c>
      <c r="U305" s="101">
        <f t="shared" si="12"/>
        <v>144442</v>
      </c>
      <c r="V305" s="101">
        <f>Inkomsten!M305</f>
        <v>132359000</v>
      </c>
      <c r="W305" s="101">
        <f>Inkomsten!D305</f>
        <v>105864967</v>
      </c>
      <c r="X305" s="101">
        <v>6490</v>
      </c>
      <c r="Y305" s="101">
        <v>6044</v>
      </c>
      <c r="Z305" s="101">
        <v>170</v>
      </c>
      <c r="AA305" s="101">
        <v>797</v>
      </c>
      <c r="AB305" s="101">
        <v>759</v>
      </c>
      <c r="AC305" s="101">
        <v>72</v>
      </c>
      <c r="AD305" s="101">
        <v>0</v>
      </c>
      <c r="AE305" s="101">
        <v>513</v>
      </c>
      <c r="AF305" s="101">
        <v>458</v>
      </c>
      <c r="AG305" s="101">
        <f t="shared" si="13"/>
        <v>102644.967</v>
      </c>
      <c r="AH305" s="101">
        <v>46910</v>
      </c>
      <c r="AI305" s="101">
        <f t="shared" si="14"/>
        <v>2188.1254956299294</v>
      </c>
      <c r="AJ305" t="s">
        <v>116</v>
      </c>
      <c r="AN305" t="s">
        <v>140</v>
      </c>
      <c r="AO305" s="259">
        <v>2197.5661403448448</v>
      </c>
      <c r="AP305" t="s">
        <v>116</v>
      </c>
    </row>
    <row r="306" spans="2:42" x14ac:dyDescent="0.25">
      <c r="B306" t="s">
        <v>394</v>
      </c>
      <c r="C306" s="101">
        <v>45094</v>
      </c>
      <c r="D306" s="101">
        <v>613</v>
      </c>
      <c r="E306" s="101">
        <v>501</v>
      </c>
      <c r="F306" s="101">
        <v>2209</v>
      </c>
      <c r="G306" s="101">
        <v>11767</v>
      </c>
      <c r="H306" s="101">
        <v>3702</v>
      </c>
      <c r="I306" s="101">
        <v>1271</v>
      </c>
      <c r="J306" s="101">
        <v>1801</v>
      </c>
      <c r="K306" s="101">
        <v>215</v>
      </c>
      <c r="L306" s="101">
        <v>948</v>
      </c>
      <c r="M306" s="101">
        <v>3896</v>
      </c>
      <c r="N306" s="101">
        <v>5648</v>
      </c>
      <c r="O306" s="101">
        <v>3142</v>
      </c>
      <c r="P306" s="101">
        <v>5198</v>
      </c>
      <c r="Q306" s="101">
        <v>3719</v>
      </c>
      <c r="R306" s="101">
        <v>587</v>
      </c>
      <c r="S306" s="101"/>
      <c r="T306" t="s">
        <v>394</v>
      </c>
      <c r="U306" s="101">
        <f t="shared" si="12"/>
        <v>41771</v>
      </c>
      <c r="V306" s="101">
        <f>Inkomsten!M306</f>
        <v>34251000</v>
      </c>
      <c r="W306" s="101">
        <f>Inkomsten!D306</f>
        <v>28400203</v>
      </c>
      <c r="X306" s="101">
        <v>1702</v>
      </c>
      <c r="Y306" s="101">
        <v>1865</v>
      </c>
      <c r="Z306" s="101">
        <v>60</v>
      </c>
      <c r="AA306" s="101">
        <v>300</v>
      </c>
      <c r="AB306" s="101">
        <v>800</v>
      </c>
      <c r="AC306" s="101">
        <v>5</v>
      </c>
      <c r="AD306" s="101">
        <v>220</v>
      </c>
      <c r="AE306" s="101">
        <v>0</v>
      </c>
      <c r="AF306" s="101">
        <v>13</v>
      </c>
      <c r="AG306" s="101">
        <f t="shared" si="13"/>
        <v>30955.203000000001</v>
      </c>
      <c r="AH306" s="101">
        <v>17995</v>
      </c>
      <c r="AI306" s="101">
        <f t="shared" si="14"/>
        <v>1720.2113364823563</v>
      </c>
      <c r="AJ306" t="s">
        <v>465</v>
      </c>
      <c r="AN306" t="s">
        <v>360</v>
      </c>
      <c r="AO306" s="259">
        <v>2192.4676724785973</v>
      </c>
      <c r="AP306" t="s">
        <v>116</v>
      </c>
    </row>
    <row r="307" spans="2:42" x14ac:dyDescent="0.25">
      <c r="B307" t="s">
        <v>395</v>
      </c>
      <c r="C307" s="101">
        <v>189014</v>
      </c>
      <c r="D307" s="101">
        <v>4423</v>
      </c>
      <c r="E307" s="101">
        <v>4120</v>
      </c>
      <c r="F307" s="101">
        <v>8415</v>
      </c>
      <c r="G307" s="101">
        <v>36545</v>
      </c>
      <c r="H307" s="101">
        <v>10093</v>
      </c>
      <c r="I307" s="101">
        <v>3935</v>
      </c>
      <c r="J307" s="101">
        <v>4015</v>
      </c>
      <c r="K307" s="101">
        <v>23522</v>
      </c>
      <c r="L307" s="101">
        <v>7045</v>
      </c>
      <c r="M307" s="101">
        <v>15027</v>
      </c>
      <c r="N307" s="101">
        <v>26685</v>
      </c>
      <c r="O307" s="101">
        <v>14893</v>
      </c>
      <c r="P307" s="101">
        <v>20814</v>
      </c>
      <c r="Q307" s="101">
        <v>8781</v>
      </c>
      <c r="R307" s="101">
        <v>1524</v>
      </c>
      <c r="S307" s="101"/>
      <c r="T307" t="s">
        <v>395</v>
      </c>
      <c r="U307" s="101">
        <f t="shared" si="12"/>
        <v>172056</v>
      </c>
      <c r="V307" s="101">
        <f>Inkomsten!M307</f>
        <v>130785000</v>
      </c>
      <c r="W307" s="101">
        <f>Inkomsten!D307</f>
        <v>105730618</v>
      </c>
      <c r="X307" s="101">
        <v>4795</v>
      </c>
      <c r="Y307" s="101">
        <v>4723</v>
      </c>
      <c r="Z307" s="101">
        <v>384</v>
      </c>
      <c r="AA307" s="101">
        <v>1052</v>
      </c>
      <c r="AB307" s="101">
        <v>1438</v>
      </c>
      <c r="AC307" s="101">
        <v>194</v>
      </c>
      <c r="AD307" s="101">
        <v>492</v>
      </c>
      <c r="AE307" s="101">
        <v>1253</v>
      </c>
      <c r="AF307" s="101">
        <v>710</v>
      </c>
      <c r="AG307" s="101">
        <f t="shared" si="13"/>
        <v>131960.61800000002</v>
      </c>
      <c r="AH307" s="101">
        <v>50310</v>
      </c>
      <c r="AI307" s="101">
        <f t="shared" si="14"/>
        <v>2622.9500695686747</v>
      </c>
      <c r="AJ307" t="s">
        <v>116</v>
      </c>
      <c r="AN307" t="s">
        <v>264</v>
      </c>
      <c r="AO307" s="259">
        <v>2187.5206716859466</v>
      </c>
      <c r="AP307" t="s">
        <v>116</v>
      </c>
    </row>
    <row r="308" spans="2:42" x14ac:dyDescent="0.25">
      <c r="B308" t="s">
        <v>320</v>
      </c>
      <c r="C308" s="101">
        <v>103484</v>
      </c>
      <c r="D308" s="101">
        <v>13753</v>
      </c>
      <c r="E308" s="101">
        <v>1610</v>
      </c>
      <c r="F308" s="101">
        <v>4967</v>
      </c>
      <c r="G308" s="101">
        <v>18295</v>
      </c>
      <c r="H308" s="101">
        <v>8463</v>
      </c>
      <c r="I308" s="101">
        <v>2323</v>
      </c>
      <c r="J308" s="101">
        <v>3466</v>
      </c>
      <c r="K308" s="101">
        <v>949</v>
      </c>
      <c r="L308" s="101">
        <v>2976</v>
      </c>
      <c r="M308" s="101">
        <v>7819</v>
      </c>
      <c r="N308" s="101">
        <v>8853</v>
      </c>
      <c r="O308" s="101">
        <v>10125</v>
      </c>
      <c r="P308" s="101">
        <v>8388</v>
      </c>
      <c r="Q308" s="101">
        <v>9768</v>
      </c>
      <c r="R308" s="101">
        <v>1832</v>
      </c>
      <c r="S308" s="101"/>
      <c r="T308" t="s">
        <v>320</v>
      </c>
      <c r="U308" s="101">
        <f t="shared" si="12"/>
        <v>83154</v>
      </c>
      <c r="V308" s="101">
        <f>Inkomsten!M308</f>
        <v>76925000</v>
      </c>
      <c r="W308" s="101">
        <f>Inkomsten!D308</f>
        <v>62647918</v>
      </c>
      <c r="X308" s="101">
        <v>3275</v>
      </c>
      <c r="Y308" s="101">
        <v>5341</v>
      </c>
      <c r="Z308" s="101">
        <v>373</v>
      </c>
      <c r="AA308" s="101">
        <v>502</v>
      </c>
      <c r="AB308" s="101">
        <v>772</v>
      </c>
      <c r="AC308" s="101">
        <v>138</v>
      </c>
      <c r="AD308" s="101">
        <v>33</v>
      </c>
      <c r="AE308" s="101">
        <v>0</v>
      </c>
      <c r="AF308" s="101">
        <v>37</v>
      </c>
      <c r="AG308" s="101">
        <f t="shared" si="13"/>
        <v>58405.918000000005</v>
      </c>
      <c r="AH308" s="101">
        <v>34000</v>
      </c>
      <c r="AI308" s="101">
        <f t="shared" si="14"/>
        <v>1717.8211176470591</v>
      </c>
      <c r="AJ308" t="s">
        <v>465</v>
      </c>
      <c r="AN308" t="s">
        <v>280</v>
      </c>
      <c r="AO308" s="259">
        <v>2185.9102644226691</v>
      </c>
      <c r="AP308" t="s">
        <v>116</v>
      </c>
    </row>
    <row r="309" spans="2:42" x14ac:dyDescent="0.25">
      <c r="B309" t="s">
        <v>204</v>
      </c>
      <c r="C309" s="101">
        <v>129687</v>
      </c>
      <c r="D309" s="101">
        <v>332</v>
      </c>
      <c r="E309" s="101">
        <v>1706</v>
      </c>
      <c r="F309" s="101">
        <v>5164</v>
      </c>
      <c r="G309" s="101">
        <v>38036</v>
      </c>
      <c r="H309" s="101">
        <v>11318</v>
      </c>
      <c r="I309" s="101">
        <v>3486</v>
      </c>
      <c r="J309" s="101">
        <v>3729</v>
      </c>
      <c r="K309" s="101">
        <v>2096</v>
      </c>
      <c r="L309" s="101">
        <v>1916</v>
      </c>
      <c r="M309" s="101">
        <v>8552</v>
      </c>
      <c r="N309" s="101">
        <v>17548</v>
      </c>
      <c r="O309" s="101">
        <v>9344</v>
      </c>
      <c r="P309" s="101">
        <v>16464</v>
      </c>
      <c r="Q309" s="101">
        <v>8959</v>
      </c>
      <c r="R309" s="101">
        <v>1759</v>
      </c>
      <c r="S309" s="101"/>
      <c r="T309" t="s">
        <v>204</v>
      </c>
      <c r="U309" s="101">
        <f t="shared" si="12"/>
        <v>122485</v>
      </c>
      <c r="V309" s="101">
        <f>Inkomsten!M309</f>
        <v>101903000</v>
      </c>
      <c r="W309" s="101">
        <f>Inkomsten!D309</f>
        <v>78029978</v>
      </c>
      <c r="X309" s="101">
        <v>2419</v>
      </c>
      <c r="Y309" s="101">
        <v>5727</v>
      </c>
      <c r="Z309" s="101">
        <v>544</v>
      </c>
      <c r="AA309" s="101">
        <v>759</v>
      </c>
      <c r="AB309" s="101">
        <v>1352</v>
      </c>
      <c r="AC309" s="101">
        <v>1354</v>
      </c>
      <c r="AD309" s="101">
        <v>255</v>
      </c>
      <c r="AE309" s="101">
        <v>1222</v>
      </c>
      <c r="AF309" s="101">
        <v>216</v>
      </c>
      <c r="AG309" s="101">
        <f t="shared" si="13"/>
        <v>84763.978000000003</v>
      </c>
      <c r="AH309" s="101">
        <v>42616</v>
      </c>
      <c r="AI309" s="101">
        <f t="shared" si="14"/>
        <v>1989.0176928853014</v>
      </c>
      <c r="AJ309" t="s">
        <v>116</v>
      </c>
      <c r="AN309" t="s">
        <v>204</v>
      </c>
      <c r="AO309" s="259">
        <v>2182.3221288114146</v>
      </c>
      <c r="AP309" t="s">
        <v>116</v>
      </c>
    </row>
    <row r="310" spans="2:42" x14ac:dyDescent="0.25">
      <c r="B310" t="s">
        <v>321</v>
      </c>
      <c r="C310" s="101">
        <v>88216</v>
      </c>
      <c r="D310" s="101">
        <v>37</v>
      </c>
      <c r="E310" s="101">
        <v>13</v>
      </c>
      <c r="F310" s="101">
        <v>2678</v>
      </c>
      <c r="G310" s="101">
        <v>19605</v>
      </c>
      <c r="H310" s="101">
        <v>9348</v>
      </c>
      <c r="I310" s="101">
        <v>2814</v>
      </c>
      <c r="J310" s="101">
        <v>3192</v>
      </c>
      <c r="K310" s="101">
        <v>787</v>
      </c>
      <c r="L310" s="101">
        <v>3287</v>
      </c>
      <c r="M310" s="101">
        <v>6572</v>
      </c>
      <c r="N310" s="101">
        <v>11216</v>
      </c>
      <c r="O310" s="101">
        <v>7439</v>
      </c>
      <c r="P310" s="101">
        <v>11052</v>
      </c>
      <c r="Q310" s="101">
        <v>8719</v>
      </c>
      <c r="R310" s="101">
        <v>1872</v>
      </c>
      <c r="S310" s="101"/>
      <c r="T310" t="s">
        <v>321</v>
      </c>
      <c r="U310" s="101">
        <f t="shared" si="12"/>
        <v>85488</v>
      </c>
      <c r="V310" s="101">
        <f>Inkomsten!M310</f>
        <v>55176000</v>
      </c>
      <c r="W310" s="101">
        <f>Inkomsten!D310</f>
        <v>43194102</v>
      </c>
      <c r="X310" s="101">
        <v>2759</v>
      </c>
      <c r="Y310" s="101">
        <v>5716</v>
      </c>
      <c r="Z310" s="101">
        <v>54</v>
      </c>
      <c r="AA310" s="101">
        <v>565</v>
      </c>
      <c r="AB310" s="101">
        <v>1793</v>
      </c>
      <c r="AC310" s="101">
        <v>83</v>
      </c>
      <c r="AD310" s="101">
        <v>2508</v>
      </c>
      <c r="AE310" s="101">
        <v>18</v>
      </c>
      <c r="AF310" s="101">
        <v>228</v>
      </c>
      <c r="AG310" s="101">
        <f t="shared" si="13"/>
        <v>59782.101999999999</v>
      </c>
      <c r="AH310" s="101">
        <v>27108</v>
      </c>
      <c r="AI310" s="101">
        <f t="shared" si="14"/>
        <v>2205.3306035118785</v>
      </c>
      <c r="AJ310" t="s">
        <v>465</v>
      </c>
      <c r="AN310" t="s">
        <v>163</v>
      </c>
      <c r="AO310" s="260">
        <v>2182.2334946596129</v>
      </c>
      <c r="AP310" t="s">
        <v>116</v>
      </c>
    </row>
    <row r="311" spans="2:42" x14ac:dyDescent="0.25">
      <c r="B311" t="s">
        <v>275</v>
      </c>
      <c r="C311" s="101">
        <v>48037</v>
      </c>
      <c r="D311" s="101">
        <v>0</v>
      </c>
      <c r="E311" s="101">
        <v>1094</v>
      </c>
      <c r="F311" s="101">
        <v>2334</v>
      </c>
      <c r="G311" s="101">
        <v>15172</v>
      </c>
      <c r="H311" s="101">
        <v>4330</v>
      </c>
      <c r="I311" s="101">
        <v>2070</v>
      </c>
      <c r="J311" s="101">
        <v>2729</v>
      </c>
      <c r="K311" s="101">
        <v>316</v>
      </c>
      <c r="L311" s="101">
        <v>871</v>
      </c>
      <c r="M311" s="101">
        <v>1997</v>
      </c>
      <c r="N311" s="101">
        <v>3599</v>
      </c>
      <c r="O311" s="101">
        <v>4407</v>
      </c>
      <c r="P311" s="101">
        <v>4737</v>
      </c>
      <c r="Q311" s="101">
        <v>3696</v>
      </c>
      <c r="R311" s="101">
        <v>802</v>
      </c>
      <c r="S311" s="101"/>
      <c r="T311" t="s">
        <v>275</v>
      </c>
      <c r="U311" s="101">
        <f t="shared" si="12"/>
        <v>44609</v>
      </c>
      <c r="V311" s="101">
        <f>Inkomsten!M311</f>
        <v>36441000</v>
      </c>
      <c r="W311" s="101">
        <f>Inkomsten!D311</f>
        <v>31795789</v>
      </c>
      <c r="X311" s="101">
        <v>1315</v>
      </c>
      <c r="Y311" s="101">
        <v>1989</v>
      </c>
      <c r="Z311" s="101">
        <v>251</v>
      </c>
      <c r="AA311" s="101">
        <v>262</v>
      </c>
      <c r="AB311" s="101">
        <v>884</v>
      </c>
      <c r="AC311" s="101">
        <v>146</v>
      </c>
      <c r="AD311" s="101">
        <v>808</v>
      </c>
      <c r="AE311" s="101">
        <v>503</v>
      </c>
      <c r="AF311" s="101">
        <v>217</v>
      </c>
      <c r="AG311" s="101">
        <f t="shared" si="13"/>
        <v>33588.789000000004</v>
      </c>
      <c r="AH311" s="101">
        <v>17529</v>
      </c>
      <c r="AI311" s="101">
        <f t="shared" si="14"/>
        <v>1916.183980831765</v>
      </c>
      <c r="AJ311" t="s">
        <v>465</v>
      </c>
      <c r="AN311" t="s">
        <v>772</v>
      </c>
      <c r="AO311" s="259">
        <v>2179.2544346124773</v>
      </c>
      <c r="AP311" t="s">
        <v>116</v>
      </c>
    </row>
    <row r="312" spans="2:42" x14ac:dyDescent="0.25">
      <c r="B312" t="s">
        <v>426</v>
      </c>
      <c r="C312" s="101">
        <v>196144</v>
      </c>
      <c r="D312" s="101">
        <v>9081</v>
      </c>
      <c r="E312" s="101">
        <v>1985</v>
      </c>
      <c r="F312" s="101">
        <v>6885</v>
      </c>
      <c r="G312" s="101">
        <v>38017</v>
      </c>
      <c r="H312" s="101">
        <v>15749</v>
      </c>
      <c r="I312" s="101">
        <v>4777</v>
      </c>
      <c r="J312" s="101">
        <v>8894</v>
      </c>
      <c r="K312" s="101">
        <v>11578</v>
      </c>
      <c r="L312" s="101">
        <v>3562</v>
      </c>
      <c r="M312" s="101">
        <v>15114</v>
      </c>
      <c r="N312" s="101">
        <v>28884</v>
      </c>
      <c r="O312" s="101">
        <v>15013</v>
      </c>
      <c r="P312" s="101">
        <v>23685</v>
      </c>
      <c r="Q312" s="101">
        <v>11808</v>
      </c>
      <c r="R312" s="101">
        <v>2010</v>
      </c>
      <c r="S312" s="101"/>
      <c r="T312" t="s">
        <v>426</v>
      </c>
      <c r="U312" s="101">
        <f t="shared" si="12"/>
        <v>178193</v>
      </c>
      <c r="V312" s="101">
        <f>Inkomsten!M312</f>
        <v>143537000</v>
      </c>
      <c r="W312" s="101">
        <f>Inkomsten!D312</f>
        <v>115495084</v>
      </c>
      <c r="X312" s="101">
        <v>5633</v>
      </c>
      <c r="Y312" s="101">
        <v>7475</v>
      </c>
      <c r="Z312" s="101">
        <v>3</v>
      </c>
      <c r="AA312" s="101">
        <v>988</v>
      </c>
      <c r="AB312" s="101">
        <v>1610</v>
      </c>
      <c r="AC312" s="101">
        <v>640</v>
      </c>
      <c r="AD312" s="101">
        <v>1617</v>
      </c>
      <c r="AE312" s="101">
        <v>3219</v>
      </c>
      <c r="AF312" s="101">
        <v>403</v>
      </c>
      <c r="AG312" s="101">
        <f t="shared" si="13"/>
        <v>128563.084</v>
      </c>
      <c r="AH312" s="101">
        <v>51060</v>
      </c>
      <c r="AI312" s="101">
        <f t="shared" si="14"/>
        <v>2517.882569526048</v>
      </c>
      <c r="AJ312" t="s">
        <v>439</v>
      </c>
      <c r="AN312" t="s">
        <v>403</v>
      </c>
      <c r="AO312" s="259">
        <v>2169.1107595272983</v>
      </c>
      <c r="AP312" t="s">
        <v>116</v>
      </c>
    </row>
    <row r="313" spans="2:42" x14ac:dyDescent="0.25">
      <c r="B313" t="s">
        <v>828</v>
      </c>
      <c r="C313" s="101">
        <v>161891</v>
      </c>
      <c r="D313" s="101">
        <v>16928</v>
      </c>
      <c r="E313" s="101">
        <v>4164</v>
      </c>
      <c r="F313" s="101">
        <v>4387</v>
      </c>
      <c r="G313" s="101">
        <v>26091</v>
      </c>
      <c r="H313" s="101">
        <v>17183</v>
      </c>
      <c r="I313" s="101">
        <v>5596</v>
      </c>
      <c r="J313" s="101">
        <v>8652</v>
      </c>
      <c r="K313" s="101">
        <v>645</v>
      </c>
      <c r="L313" s="101">
        <v>4762</v>
      </c>
      <c r="M313" s="101">
        <v>6370</v>
      </c>
      <c r="N313" s="101">
        <v>17535</v>
      </c>
      <c r="O313" s="101">
        <v>13144</v>
      </c>
      <c r="P313" s="101">
        <v>15075</v>
      </c>
      <c r="Q313" s="101">
        <v>17554</v>
      </c>
      <c r="R313" s="101">
        <v>4366</v>
      </c>
      <c r="S313" s="101"/>
      <c r="T313" t="s">
        <v>828</v>
      </c>
      <c r="U313" s="101">
        <f t="shared" si="12"/>
        <v>136412</v>
      </c>
      <c r="V313" s="101">
        <f>Inkomsten!M313</f>
        <v>108027000</v>
      </c>
      <c r="W313" s="101">
        <f>Inkomsten!D313</f>
        <v>91465813</v>
      </c>
      <c r="X313" s="101">
        <v>9952</v>
      </c>
      <c r="Y313" s="101">
        <v>0</v>
      </c>
      <c r="Z313" s="101">
        <v>794</v>
      </c>
      <c r="AA313" s="101">
        <v>988</v>
      </c>
      <c r="AB313" s="101">
        <v>1616</v>
      </c>
      <c r="AC313" s="101">
        <v>278</v>
      </c>
      <c r="AD313" s="101">
        <v>232</v>
      </c>
      <c r="AE313" s="101">
        <v>198</v>
      </c>
      <c r="AF313" s="101">
        <v>98</v>
      </c>
      <c r="AG313" s="101">
        <f t="shared" si="13"/>
        <v>105694.81299999999</v>
      </c>
      <c r="AH313" s="101">
        <v>52947</v>
      </c>
      <c r="AI313" s="101">
        <f t="shared" si="14"/>
        <v>1996.2379927096908</v>
      </c>
      <c r="AJ313" t="s">
        <v>465</v>
      </c>
      <c r="AN313" t="s">
        <v>227</v>
      </c>
      <c r="AO313" s="259">
        <v>2161.2656471856185</v>
      </c>
      <c r="AP313" t="s">
        <v>116</v>
      </c>
    </row>
    <row r="314" spans="2:42" x14ac:dyDescent="0.25">
      <c r="B314" t="s">
        <v>205</v>
      </c>
      <c r="C314" s="101">
        <v>53947</v>
      </c>
      <c r="D314" s="101">
        <v>2332</v>
      </c>
      <c r="E314" s="101">
        <v>394</v>
      </c>
      <c r="F314" s="101">
        <v>2073</v>
      </c>
      <c r="G314" s="101">
        <v>9672</v>
      </c>
      <c r="H314" s="101">
        <v>5061</v>
      </c>
      <c r="I314" s="101">
        <v>1960</v>
      </c>
      <c r="J314" s="101">
        <v>1799</v>
      </c>
      <c r="K314" s="101">
        <v>240</v>
      </c>
      <c r="L314" s="101">
        <v>1731</v>
      </c>
      <c r="M314" s="101">
        <v>1918</v>
      </c>
      <c r="N314" s="101">
        <v>7525</v>
      </c>
      <c r="O314" s="101">
        <v>4725</v>
      </c>
      <c r="P314" s="101">
        <v>7519</v>
      </c>
      <c r="Q314" s="101">
        <v>4091</v>
      </c>
      <c r="R314" s="101">
        <v>3041</v>
      </c>
      <c r="S314" s="101"/>
      <c r="T314" t="s">
        <v>205</v>
      </c>
      <c r="U314" s="101">
        <f t="shared" si="12"/>
        <v>49148</v>
      </c>
      <c r="V314" s="101">
        <f>Inkomsten!M314</f>
        <v>43337000</v>
      </c>
      <c r="W314" s="101">
        <f>Inkomsten!D314</f>
        <v>37388701</v>
      </c>
      <c r="X314" s="101">
        <v>2625</v>
      </c>
      <c r="Y314" s="101">
        <v>0</v>
      </c>
      <c r="Z314" s="101">
        <v>13</v>
      </c>
      <c r="AA314" s="101">
        <v>338</v>
      </c>
      <c r="AB314" s="101">
        <v>1057</v>
      </c>
      <c r="AC314" s="101">
        <v>56</v>
      </c>
      <c r="AD314" s="101">
        <v>162</v>
      </c>
      <c r="AE314" s="101">
        <v>0</v>
      </c>
      <c r="AF314" s="101">
        <v>55</v>
      </c>
      <c r="AG314" s="101">
        <f t="shared" si="13"/>
        <v>38893.701000000001</v>
      </c>
      <c r="AH314" s="101">
        <v>20327</v>
      </c>
      <c r="AI314" s="101">
        <f t="shared" si="14"/>
        <v>1913.4009445565011</v>
      </c>
      <c r="AJ314" t="s">
        <v>465</v>
      </c>
      <c r="AN314" t="s">
        <v>305</v>
      </c>
      <c r="AO314" s="259">
        <v>2157.4122292118723</v>
      </c>
      <c r="AP314" t="s">
        <v>116</v>
      </c>
    </row>
    <row r="315" spans="2:42" x14ac:dyDescent="0.25">
      <c r="B315" t="s">
        <v>601</v>
      </c>
      <c r="C315" s="101">
        <v>205486</v>
      </c>
      <c r="D315" s="101">
        <v>82</v>
      </c>
      <c r="E315" s="101">
        <v>4009</v>
      </c>
      <c r="F315" s="101">
        <v>11299</v>
      </c>
      <c r="G315" s="101">
        <v>59366</v>
      </c>
      <c r="H315" s="101">
        <v>15683</v>
      </c>
      <c r="I315" s="101">
        <v>5357</v>
      </c>
      <c r="J315" s="101">
        <v>5804</v>
      </c>
      <c r="K315" s="101">
        <v>765</v>
      </c>
      <c r="L315" s="101">
        <v>3414</v>
      </c>
      <c r="M315" s="101">
        <v>11524</v>
      </c>
      <c r="N315" s="101">
        <v>21452</v>
      </c>
      <c r="O315" s="101">
        <v>23004</v>
      </c>
      <c r="P315" s="101">
        <v>24623</v>
      </c>
      <c r="Q315" s="101">
        <v>17282</v>
      </c>
      <c r="R315" s="101">
        <v>2287</v>
      </c>
      <c r="S315" s="101"/>
      <c r="T315" t="s">
        <v>601</v>
      </c>
      <c r="U315" s="101">
        <f t="shared" si="12"/>
        <v>190096</v>
      </c>
      <c r="V315" s="101">
        <f>Inkomsten!M315</f>
        <v>160742000</v>
      </c>
      <c r="W315" s="101">
        <f>Inkomsten!D315</f>
        <v>131157855</v>
      </c>
      <c r="X315" s="101">
        <v>6882</v>
      </c>
      <c r="Y315" s="101">
        <v>9597</v>
      </c>
      <c r="Z315" s="101">
        <v>542</v>
      </c>
      <c r="AA315" s="101">
        <v>970</v>
      </c>
      <c r="AB315" s="101">
        <v>1280</v>
      </c>
      <c r="AC315" s="101">
        <v>64</v>
      </c>
      <c r="AD315" s="101">
        <v>0</v>
      </c>
      <c r="AE315" s="101">
        <v>7</v>
      </c>
      <c r="AF315" s="101">
        <v>144</v>
      </c>
      <c r="AG315" s="101">
        <f t="shared" si="13"/>
        <v>141025.85500000001</v>
      </c>
      <c r="AH315" s="101">
        <v>64893</v>
      </c>
      <c r="AI315" s="101">
        <f t="shared" si="14"/>
        <v>2173.2059698272542</v>
      </c>
      <c r="AJ315" t="s">
        <v>116</v>
      </c>
      <c r="AN315" t="s">
        <v>170</v>
      </c>
      <c r="AO315" s="259">
        <v>2152.1261821613302</v>
      </c>
      <c r="AP315" t="s">
        <v>116</v>
      </c>
    </row>
    <row r="316" spans="2:42" x14ac:dyDescent="0.25">
      <c r="B316" t="s">
        <v>114</v>
      </c>
      <c r="C316" s="101">
        <v>64560</v>
      </c>
      <c r="D316" s="101">
        <v>1756</v>
      </c>
      <c r="E316" s="101">
        <v>270</v>
      </c>
      <c r="F316" s="101">
        <v>2179</v>
      </c>
      <c r="G316" s="101">
        <v>16402</v>
      </c>
      <c r="H316" s="101">
        <v>6710</v>
      </c>
      <c r="I316" s="101">
        <v>1484</v>
      </c>
      <c r="J316" s="101">
        <v>3257</v>
      </c>
      <c r="K316" s="101">
        <v>1803</v>
      </c>
      <c r="L316" s="101">
        <v>926</v>
      </c>
      <c r="M316" s="101">
        <v>3762</v>
      </c>
      <c r="N316" s="101">
        <v>7798</v>
      </c>
      <c r="O316" s="101">
        <v>4510</v>
      </c>
      <c r="P316" s="101">
        <v>7057</v>
      </c>
      <c r="Q316" s="101">
        <v>5403</v>
      </c>
      <c r="R316" s="101">
        <v>1739</v>
      </c>
      <c r="S316" s="101"/>
      <c r="T316" t="s">
        <v>114</v>
      </c>
      <c r="U316" s="101">
        <f t="shared" si="12"/>
        <v>60355</v>
      </c>
      <c r="V316" s="101">
        <f>Inkomsten!M316</f>
        <v>50144000</v>
      </c>
      <c r="W316" s="101">
        <f>Inkomsten!D316</f>
        <v>42688027</v>
      </c>
      <c r="X316" s="101">
        <v>2148</v>
      </c>
      <c r="Y316" s="101">
        <v>2831</v>
      </c>
      <c r="Z316" s="101">
        <v>365</v>
      </c>
      <c r="AA316" s="101">
        <v>292</v>
      </c>
      <c r="AB316" s="101">
        <v>536</v>
      </c>
      <c r="AC316" s="101">
        <v>51</v>
      </c>
      <c r="AD316" s="101">
        <v>1207</v>
      </c>
      <c r="AE316" s="101">
        <v>0</v>
      </c>
      <c r="AF316" s="101">
        <v>45</v>
      </c>
      <c r="AG316" s="101">
        <f t="shared" si="13"/>
        <v>45424.027000000002</v>
      </c>
      <c r="AH316" s="101">
        <v>20000</v>
      </c>
      <c r="AI316" s="101">
        <f t="shared" si="14"/>
        <v>2271.2013499999998</v>
      </c>
      <c r="AJ316" t="s">
        <v>116</v>
      </c>
      <c r="AN316" t="s">
        <v>175</v>
      </c>
      <c r="AO316" s="259">
        <v>2151.2336214536654</v>
      </c>
      <c r="AP316" t="s">
        <v>116</v>
      </c>
    </row>
    <row r="317" spans="2:42" x14ac:dyDescent="0.25">
      <c r="B317" t="s">
        <v>206</v>
      </c>
      <c r="C317" s="101">
        <v>46305</v>
      </c>
      <c r="D317" s="101">
        <v>305</v>
      </c>
      <c r="E317" s="101">
        <v>410</v>
      </c>
      <c r="F317" s="101">
        <v>1342</v>
      </c>
      <c r="G317" s="101">
        <v>1035</v>
      </c>
      <c r="H317" s="101">
        <v>7874</v>
      </c>
      <c r="I317" s="101">
        <v>1111</v>
      </c>
      <c r="J317" s="101">
        <v>1702</v>
      </c>
      <c r="K317" s="101">
        <v>394</v>
      </c>
      <c r="L317" s="101">
        <v>1261</v>
      </c>
      <c r="M317" s="101">
        <v>2421</v>
      </c>
      <c r="N317" s="101">
        <v>10238</v>
      </c>
      <c r="O317" s="101">
        <v>5336</v>
      </c>
      <c r="P317" s="101">
        <v>7262</v>
      </c>
      <c r="Q317" s="101">
        <v>3950</v>
      </c>
      <c r="R317" s="101">
        <v>1705</v>
      </c>
      <c r="S317" s="101"/>
      <c r="T317" t="s">
        <v>206</v>
      </c>
      <c r="U317" s="101">
        <f t="shared" si="12"/>
        <v>44248</v>
      </c>
      <c r="V317" s="101">
        <f>Inkomsten!M317</f>
        <v>40913000</v>
      </c>
      <c r="W317" s="101">
        <f>Inkomsten!D317</f>
        <v>31906574</v>
      </c>
      <c r="X317" s="101">
        <v>1807</v>
      </c>
      <c r="Y317" s="101">
        <v>1662</v>
      </c>
      <c r="Z317" s="101">
        <v>28</v>
      </c>
      <c r="AA317" s="101">
        <v>271</v>
      </c>
      <c r="AB317" s="101">
        <v>93</v>
      </c>
      <c r="AC317" s="101">
        <v>32</v>
      </c>
      <c r="AD317" s="101">
        <v>0</v>
      </c>
      <c r="AE317" s="101">
        <v>2</v>
      </c>
      <c r="AF317" s="101">
        <v>20</v>
      </c>
      <c r="AG317" s="101">
        <f t="shared" si="13"/>
        <v>31326.574000000001</v>
      </c>
      <c r="AH317" s="101">
        <v>15152</v>
      </c>
      <c r="AI317" s="101">
        <f t="shared" si="14"/>
        <v>2067.4877243928195</v>
      </c>
      <c r="AJ317" t="s">
        <v>116</v>
      </c>
      <c r="AN317" t="s">
        <v>404</v>
      </c>
      <c r="AO317" s="259">
        <v>2150.3006136460808</v>
      </c>
      <c r="AP317" t="s">
        <v>116</v>
      </c>
    </row>
    <row r="318" spans="2:42" x14ac:dyDescent="0.25">
      <c r="B318" t="s">
        <v>602</v>
      </c>
      <c r="C318" s="101">
        <v>119038</v>
      </c>
      <c r="D318" s="101">
        <v>0</v>
      </c>
      <c r="E318" s="101">
        <v>307</v>
      </c>
      <c r="F318" s="101">
        <v>2837</v>
      </c>
      <c r="G318" s="101">
        <v>29292</v>
      </c>
      <c r="H318" s="101">
        <v>8424</v>
      </c>
      <c r="I318" s="101">
        <v>3820</v>
      </c>
      <c r="J318" s="101">
        <v>3140</v>
      </c>
      <c r="K318" s="101">
        <v>555</v>
      </c>
      <c r="L318" s="101">
        <v>4153</v>
      </c>
      <c r="M318" s="101">
        <v>7281</v>
      </c>
      <c r="N318" s="101">
        <v>21705</v>
      </c>
      <c r="O318" s="101">
        <v>9395</v>
      </c>
      <c r="P318" s="101">
        <v>18415</v>
      </c>
      <c r="Q318" s="101">
        <v>9363</v>
      </c>
      <c r="R318" s="101">
        <v>533</v>
      </c>
      <c r="S318" s="101"/>
      <c r="T318" t="s">
        <v>602</v>
      </c>
      <c r="U318" s="101">
        <f t="shared" si="12"/>
        <v>115894</v>
      </c>
      <c r="V318" s="101">
        <f>Inkomsten!M318</f>
        <v>106998000</v>
      </c>
      <c r="W318" s="101">
        <f>Inkomsten!D318</f>
        <v>65453426</v>
      </c>
      <c r="X318" s="101">
        <v>4069</v>
      </c>
      <c r="Y318" s="101">
        <v>4388</v>
      </c>
      <c r="Z318" s="101">
        <v>110</v>
      </c>
      <c r="AA318" s="101">
        <v>464</v>
      </c>
      <c r="AB318" s="101">
        <v>500</v>
      </c>
      <c r="AC318" s="101">
        <v>44</v>
      </c>
      <c r="AD318" s="101">
        <v>392</v>
      </c>
      <c r="AE318" s="101">
        <v>0</v>
      </c>
      <c r="AF318" s="101">
        <v>18</v>
      </c>
      <c r="AG318" s="101">
        <f t="shared" si="13"/>
        <v>64364.426000000007</v>
      </c>
      <c r="AH318" s="101">
        <v>26558</v>
      </c>
      <c r="AI318" s="101">
        <f t="shared" si="14"/>
        <v>2423.541908276226</v>
      </c>
      <c r="AJ318" t="s">
        <v>116</v>
      </c>
      <c r="AN318" t="s">
        <v>206</v>
      </c>
      <c r="AO318" s="259">
        <v>2140.9944939731236</v>
      </c>
      <c r="AP318" t="s">
        <v>116</v>
      </c>
    </row>
    <row r="319" spans="2:42" x14ac:dyDescent="0.25">
      <c r="B319" t="s">
        <v>322</v>
      </c>
      <c r="C319" s="101">
        <v>373023</v>
      </c>
      <c r="D319" s="101">
        <v>46213</v>
      </c>
      <c r="E319" s="101">
        <v>7985</v>
      </c>
      <c r="F319" s="101">
        <v>23501</v>
      </c>
      <c r="G319" s="101">
        <v>89060</v>
      </c>
      <c r="H319" s="101">
        <v>20718</v>
      </c>
      <c r="I319" s="101">
        <v>9456</v>
      </c>
      <c r="J319" s="101">
        <v>9386</v>
      </c>
      <c r="K319" s="101">
        <v>3605</v>
      </c>
      <c r="L319" s="101">
        <v>5703</v>
      </c>
      <c r="M319" s="101">
        <v>20873</v>
      </c>
      <c r="N319" s="101">
        <v>34611</v>
      </c>
      <c r="O319" s="101">
        <v>22972</v>
      </c>
      <c r="P319" s="101">
        <v>51519</v>
      </c>
      <c r="Q319" s="101">
        <v>25977</v>
      </c>
      <c r="R319" s="101">
        <v>3231</v>
      </c>
      <c r="S319" s="101"/>
      <c r="T319" t="s">
        <v>322</v>
      </c>
      <c r="U319" s="101">
        <f t="shared" si="12"/>
        <v>295324</v>
      </c>
      <c r="V319" s="101">
        <f>Inkomsten!M319</f>
        <v>242260000</v>
      </c>
      <c r="W319" s="101">
        <f>Inkomsten!D319</f>
        <v>206359489</v>
      </c>
      <c r="X319" s="101">
        <v>16747</v>
      </c>
      <c r="Y319" s="101">
        <v>14645</v>
      </c>
      <c r="Z319" s="101">
        <v>1082</v>
      </c>
      <c r="AA319" s="101">
        <v>1770</v>
      </c>
      <c r="AB319" s="101">
        <v>5346</v>
      </c>
      <c r="AC319" s="101">
        <v>435</v>
      </c>
      <c r="AD319" s="101">
        <v>305</v>
      </c>
      <c r="AE319" s="101">
        <v>373</v>
      </c>
      <c r="AF319" s="101">
        <v>81</v>
      </c>
      <c r="AG319" s="101">
        <f t="shared" si="13"/>
        <v>218639.489</v>
      </c>
      <c r="AH319" s="101">
        <v>115984</v>
      </c>
      <c r="AI319" s="101">
        <f t="shared" si="14"/>
        <v>1885.0831925093116</v>
      </c>
      <c r="AJ319" t="s">
        <v>465</v>
      </c>
      <c r="AN319" t="s">
        <v>179</v>
      </c>
      <c r="AO319" s="259">
        <v>2129.160190376339</v>
      </c>
      <c r="AP319" t="s">
        <v>116</v>
      </c>
    </row>
    <row r="320" spans="2:42" x14ac:dyDescent="0.25">
      <c r="B320" t="s">
        <v>138</v>
      </c>
      <c r="C320" s="101">
        <v>104713</v>
      </c>
      <c r="D320" s="101">
        <v>3851</v>
      </c>
      <c r="E320" s="101">
        <v>1533</v>
      </c>
      <c r="F320" s="101">
        <v>5293</v>
      </c>
      <c r="G320" s="101">
        <v>29145</v>
      </c>
      <c r="H320" s="101">
        <v>10005</v>
      </c>
      <c r="I320" s="101">
        <v>1933</v>
      </c>
      <c r="J320" s="101">
        <v>3931</v>
      </c>
      <c r="K320" s="101">
        <v>527</v>
      </c>
      <c r="L320" s="101">
        <v>2345</v>
      </c>
      <c r="M320" s="101">
        <v>3046</v>
      </c>
      <c r="N320" s="101">
        <v>14085</v>
      </c>
      <c r="O320" s="101">
        <v>8862</v>
      </c>
      <c r="P320" s="101">
        <v>11728</v>
      </c>
      <c r="Q320" s="101">
        <v>6957</v>
      </c>
      <c r="R320" s="101">
        <v>1600</v>
      </c>
      <c r="S320" s="101"/>
      <c r="T320" t="s">
        <v>138</v>
      </c>
      <c r="U320" s="101">
        <f t="shared" si="12"/>
        <v>94036</v>
      </c>
      <c r="V320" s="101">
        <f>Inkomsten!M320</f>
        <v>79605000</v>
      </c>
      <c r="W320" s="101">
        <f>Inkomsten!D320</f>
        <v>61972823</v>
      </c>
      <c r="X320" s="101">
        <v>2277</v>
      </c>
      <c r="Y320" s="101">
        <v>3328</v>
      </c>
      <c r="Z320" s="101">
        <v>97</v>
      </c>
      <c r="AA320" s="101">
        <v>400</v>
      </c>
      <c r="AB320" s="101">
        <v>525</v>
      </c>
      <c r="AC320" s="101">
        <v>96</v>
      </c>
      <c r="AD320" s="101">
        <v>165</v>
      </c>
      <c r="AE320" s="101">
        <v>0</v>
      </c>
      <c r="AF320" s="101">
        <v>13</v>
      </c>
      <c r="AG320" s="101">
        <f t="shared" si="13"/>
        <v>69502.823000000004</v>
      </c>
      <c r="AH320" s="101">
        <v>26493</v>
      </c>
      <c r="AI320" s="101">
        <f t="shared" si="14"/>
        <v>2623.441022156796</v>
      </c>
      <c r="AJ320" t="s">
        <v>116</v>
      </c>
      <c r="AN320" t="s">
        <v>188</v>
      </c>
      <c r="AO320" s="259">
        <v>2129.1220779787977</v>
      </c>
      <c r="AP320" t="s">
        <v>116</v>
      </c>
    </row>
    <row r="321" spans="2:42" x14ac:dyDescent="0.25">
      <c r="B321" t="s">
        <v>160</v>
      </c>
      <c r="C321" s="101">
        <v>79336</v>
      </c>
      <c r="D321" s="101">
        <v>9864</v>
      </c>
      <c r="E321" s="101">
        <v>788</v>
      </c>
      <c r="F321" s="101">
        <v>3109</v>
      </c>
      <c r="G321" s="101">
        <v>21854</v>
      </c>
      <c r="H321" s="101">
        <v>4968</v>
      </c>
      <c r="I321" s="101">
        <v>2009</v>
      </c>
      <c r="J321" s="101">
        <v>1964</v>
      </c>
      <c r="K321" s="101">
        <v>2397</v>
      </c>
      <c r="L321" s="101">
        <v>1152</v>
      </c>
      <c r="M321" s="101">
        <v>4915</v>
      </c>
      <c r="N321" s="101">
        <v>5792</v>
      </c>
      <c r="O321" s="101">
        <v>5487</v>
      </c>
      <c r="P321" s="101">
        <v>8078</v>
      </c>
      <c r="Q321" s="101">
        <v>6482</v>
      </c>
      <c r="R321" s="101">
        <v>645</v>
      </c>
      <c r="S321" s="101"/>
      <c r="T321" t="s">
        <v>160</v>
      </c>
      <c r="U321" s="101">
        <f t="shared" si="12"/>
        <v>65575</v>
      </c>
      <c r="V321" s="101">
        <f>Inkomsten!M321</f>
        <v>51037000</v>
      </c>
      <c r="W321" s="101">
        <f>Inkomsten!D321</f>
        <v>44192639</v>
      </c>
      <c r="X321" s="101">
        <v>3652</v>
      </c>
      <c r="Y321" s="101">
        <v>2496</v>
      </c>
      <c r="Z321" s="101">
        <v>360</v>
      </c>
      <c r="AA321" s="101">
        <v>443</v>
      </c>
      <c r="AB321" s="101">
        <v>932</v>
      </c>
      <c r="AC321" s="101">
        <v>38</v>
      </c>
      <c r="AD321" s="101">
        <v>298</v>
      </c>
      <c r="AE321" s="101">
        <v>0</v>
      </c>
      <c r="AF321" s="101">
        <v>14</v>
      </c>
      <c r="AG321" s="101">
        <f t="shared" si="13"/>
        <v>50497.639000000003</v>
      </c>
      <c r="AH321" s="101">
        <v>24929</v>
      </c>
      <c r="AI321" s="101">
        <f t="shared" si="14"/>
        <v>2025.6584299410326</v>
      </c>
      <c r="AJ321" t="s">
        <v>465</v>
      </c>
      <c r="AN321" t="s">
        <v>388</v>
      </c>
      <c r="AO321" s="259">
        <v>2127.9660305896932</v>
      </c>
      <c r="AP321" t="s">
        <v>116</v>
      </c>
    </row>
    <row r="322" spans="2:42" x14ac:dyDescent="0.25">
      <c r="B322" t="s">
        <v>207</v>
      </c>
      <c r="C322" s="101">
        <v>120000</v>
      </c>
      <c r="D322" s="101">
        <v>104</v>
      </c>
      <c r="E322" s="101">
        <v>333</v>
      </c>
      <c r="F322" s="101">
        <v>3766</v>
      </c>
      <c r="G322" s="101">
        <v>2159</v>
      </c>
      <c r="H322" s="101">
        <v>19392</v>
      </c>
      <c r="I322" s="101">
        <v>4372</v>
      </c>
      <c r="J322" s="101">
        <v>5777</v>
      </c>
      <c r="K322" s="101">
        <v>1338</v>
      </c>
      <c r="L322" s="101">
        <v>2893</v>
      </c>
      <c r="M322" s="101">
        <v>10453</v>
      </c>
      <c r="N322" s="101">
        <v>19725</v>
      </c>
      <c r="O322" s="101">
        <v>17049</v>
      </c>
      <c r="P322" s="101">
        <v>17944</v>
      </c>
      <c r="Q322" s="101">
        <v>12886</v>
      </c>
      <c r="R322" s="101">
        <v>1809</v>
      </c>
      <c r="S322" s="101"/>
      <c r="T322" t="s">
        <v>207</v>
      </c>
      <c r="U322" s="101">
        <f t="shared" si="12"/>
        <v>115797</v>
      </c>
      <c r="V322" s="101">
        <f>Inkomsten!M322</f>
        <v>104048000</v>
      </c>
      <c r="W322" s="101">
        <f>Inkomsten!D322</f>
        <v>83223932</v>
      </c>
      <c r="X322" s="101">
        <v>4588</v>
      </c>
      <c r="Y322" s="101">
        <v>4445</v>
      </c>
      <c r="Z322" s="101">
        <v>0</v>
      </c>
      <c r="AA322" s="101">
        <v>695</v>
      </c>
      <c r="AB322" s="101">
        <v>1057</v>
      </c>
      <c r="AC322" s="101">
        <v>346</v>
      </c>
      <c r="AD322" s="101">
        <v>214</v>
      </c>
      <c r="AE322" s="101">
        <v>0</v>
      </c>
      <c r="AF322" s="101">
        <v>38</v>
      </c>
      <c r="AG322" s="101">
        <f t="shared" si="13"/>
        <v>83589.932000000001</v>
      </c>
      <c r="AH322" s="101">
        <v>41543</v>
      </c>
      <c r="AI322" s="101">
        <f t="shared" si="14"/>
        <v>2012.1303709409528</v>
      </c>
      <c r="AJ322" t="s">
        <v>116</v>
      </c>
      <c r="AN322" t="s">
        <v>363</v>
      </c>
      <c r="AO322" s="259">
        <v>2127.5306091625375</v>
      </c>
      <c r="AP322" t="s">
        <v>116</v>
      </c>
    </row>
    <row r="323" spans="2:42" x14ac:dyDescent="0.25">
      <c r="B323" t="s">
        <v>277</v>
      </c>
      <c r="C323" s="101">
        <v>67616</v>
      </c>
      <c r="D323" s="101">
        <v>1515</v>
      </c>
      <c r="E323" s="101">
        <v>535</v>
      </c>
      <c r="F323" s="101">
        <v>2989</v>
      </c>
      <c r="G323" s="101">
        <v>21968</v>
      </c>
      <c r="H323" s="101">
        <v>6420</v>
      </c>
      <c r="I323" s="101">
        <v>2877</v>
      </c>
      <c r="J323" s="101">
        <v>2750</v>
      </c>
      <c r="K323" s="101">
        <v>366</v>
      </c>
      <c r="L323" s="101">
        <v>1272</v>
      </c>
      <c r="M323" s="101">
        <v>3050</v>
      </c>
      <c r="N323" s="101">
        <v>4771</v>
      </c>
      <c r="O323" s="101">
        <v>5621</v>
      </c>
      <c r="P323" s="101">
        <v>6048</v>
      </c>
      <c r="Q323" s="101">
        <v>6129</v>
      </c>
      <c r="R323" s="101">
        <v>1419</v>
      </c>
      <c r="S323" s="101"/>
      <c r="T323" t="s">
        <v>277</v>
      </c>
      <c r="U323" s="101">
        <f t="shared" ref="U323:U343" si="15">SUM(C323,-D323,-E323,-F323)</f>
        <v>62577</v>
      </c>
      <c r="V323" s="101">
        <f>Inkomsten!M323</f>
        <v>43761000</v>
      </c>
      <c r="W323" s="101">
        <f>Inkomsten!D323</f>
        <v>38837955</v>
      </c>
      <c r="X323" s="101">
        <v>4642</v>
      </c>
      <c r="Y323" s="101">
        <v>4457</v>
      </c>
      <c r="Z323" s="101">
        <v>275</v>
      </c>
      <c r="AA323" s="101">
        <v>261</v>
      </c>
      <c r="AB323" s="101">
        <v>411</v>
      </c>
      <c r="AC323" s="101">
        <v>32</v>
      </c>
      <c r="AD323" s="101">
        <v>317</v>
      </c>
      <c r="AE323" s="101">
        <v>0</v>
      </c>
      <c r="AF323" s="101">
        <v>28</v>
      </c>
      <c r="AG323" s="101">
        <f t="shared" ref="AG323:AG344" si="16">SUM(U323,-V323/1000,W323/1000,-X323,-Y323,-Z323,-AA323,-AB323,-AC323,-AD323,-AE323,-AF323)</f>
        <v>47230.955000000002</v>
      </c>
      <c r="AH323" s="101">
        <v>24608</v>
      </c>
      <c r="AI323" s="101">
        <f t="shared" ref="AI323:AI344" si="17">AG323*1000/AH323</f>
        <v>1919.3333468790638</v>
      </c>
      <c r="AJ323" t="s">
        <v>465</v>
      </c>
      <c r="AN323" t="s">
        <v>194</v>
      </c>
      <c r="AO323" s="259">
        <v>2110.6596902550659</v>
      </c>
      <c r="AP323" t="s">
        <v>116</v>
      </c>
    </row>
    <row r="324" spans="2:42" x14ac:dyDescent="0.25">
      <c r="B324" t="s">
        <v>232</v>
      </c>
      <c r="C324" s="101">
        <v>64878</v>
      </c>
      <c r="D324" s="101">
        <v>35</v>
      </c>
      <c r="E324" s="101">
        <v>964</v>
      </c>
      <c r="F324" s="101">
        <v>2599</v>
      </c>
      <c r="G324" s="101">
        <v>15349</v>
      </c>
      <c r="H324" s="101">
        <v>4849</v>
      </c>
      <c r="I324" s="101">
        <v>1980</v>
      </c>
      <c r="J324" s="101">
        <v>2118</v>
      </c>
      <c r="K324" s="101">
        <v>1741</v>
      </c>
      <c r="L324" s="101">
        <v>1120</v>
      </c>
      <c r="M324" s="101">
        <v>2765</v>
      </c>
      <c r="N324" s="101">
        <v>7984</v>
      </c>
      <c r="O324" s="101">
        <v>7461</v>
      </c>
      <c r="P324" s="101">
        <v>9890</v>
      </c>
      <c r="Q324" s="101">
        <v>5584</v>
      </c>
      <c r="R324" s="101">
        <v>616</v>
      </c>
      <c r="S324" s="101"/>
      <c r="T324" t="s">
        <v>232</v>
      </c>
      <c r="U324" s="101">
        <f t="shared" si="15"/>
        <v>61280</v>
      </c>
      <c r="V324" s="101">
        <f>Inkomsten!M324</f>
        <v>48877000</v>
      </c>
      <c r="W324" s="101">
        <f>Inkomsten!D324</f>
        <v>40810408</v>
      </c>
      <c r="X324" s="101">
        <v>2667</v>
      </c>
      <c r="Y324" s="101">
        <v>3133</v>
      </c>
      <c r="Z324" s="101">
        <v>189</v>
      </c>
      <c r="AA324" s="101">
        <v>517</v>
      </c>
      <c r="AB324" s="101">
        <v>603</v>
      </c>
      <c r="AC324" s="101">
        <v>137</v>
      </c>
      <c r="AD324" s="101">
        <v>46</v>
      </c>
      <c r="AE324" s="101">
        <v>36</v>
      </c>
      <c r="AF324" s="101">
        <v>50</v>
      </c>
      <c r="AG324" s="101">
        <f t="shared" si="16"/>
        <v>45835.408000000003</v>
      </c>
      <c r="AH324" s="101">
        <v>23953</v>
      </c>
      <c r="AI324" s="101">
        <f t="shared" si="17"/>
        <v>1913.556047259216</v>
      </c>
      <c r="AJ324" t="s">
        <v>465</v>
      </c>
      <c r="AN324" t="s">
        <v>269</v>
      </c>
      <c r="AO324" s="259">
        <v>2109.0546112281645</v>
      </c>
      <c r="AP324" t="s">
        <v>116</v>
      </c>
    </row>
    <row r="325" spans="2:42" x14ac:dyDescent="0.25">
      <c r="B325" t="s">
        <v>208</v>
      </c>
      <c r="C325" s="101">
        <v>108092</v>
      </c>
      <c r="D325" s="101">
        <v>189</v>
      </c>
      <c r="E325" s="101">
        <v>1736</v>
      </c>
      <c r="F325" s="101">
        <v>5993</v>
      </c>
      <c r="G325" s="101">
        <v>25494</v>
      </c>
      <c r="H325" s="101">
        <v>5702</v>
      </c>
      <c r="I325" s="101">
        <v>2138</v>
      </c>
      <c r="J325" s="101">
        <v>1964</v>
      </c>
      <c r="K325" s="101">
        <v>919</v>
      </c>
      <c r="L325" s="101">
        <v>1953</v>
      </c>
      <c r="M325" s="101">
        <v>7570</v>
      </c>
      <c r="N325" s="101">
        <v>16474</v>
      </c>
      <c r="O325" s="101">
        <v>8689</v>
      </c>
      <c r="P325" s="101">
        <v>22444</v>
      </c>
      <c r="Q325" s="101">
        <v>6767</v>
      </c>
      <c r="R325" s="101">
        <v>453</v>
      </c>
      <c r="S325" s="101"/>
      <c r="T325" t="s">
        <v>208</v>
      </c>
      <c r="U325" s="101">
        <f t="shared" si="15"/>
        <v>100174</v>
      </c>
      <c r="V325" s="101">
        <f>Inkomsten!M325</f>
        <v>85217000</v>
      </c>
      <c r="W325" s="101">
        <f>Inkomsten!D325</f>
        <v>66130179</v>
      </c>
      <c r="X325" s="101">
        <v>4373</v>
      </c>
      <c r="Y325" s="101">
        <v>2842</v>
      </c>
      <c r="Z325" s="101">
        <v>201</v>
      </c>
      <c r="AA325" s="101">
        <v>492</v>
      </c>
      <c r="AB325" s="101">
        <v>670</v>
      </c>
      <c r="AC325" s="101">
        <v>142</v>
      </c>
      <c r="AD325" s="101">
        <v>914</v>
      </c>
      <c r="AE325" s="101">
        <v>0</v>
      </c>
      <c r="AF325" s="101">
        <v>61</v>
      </c>
      <c r="AG325" s="101">
        <f t="shared" si="16"/>
        <v>71392.179000000004</v>
      </c>
      <c r="AH325" s="101">
        <v>29235</v>
      </c>
      <c r="AI325" s="101">
        <f t="shared" si="17"/>
        <v>2442.0105695228322</v>
      </c>
      <c r="AJ325" t="s">
        <v>116</v>
      </c>
      <c r="AN325" t="s">
        <v>308</v>
      </c>
      <c r="AO325" s="259">
        <v>2107.8418674182412</v>
      </c>
      <c r="AP325" t="s">
        <v>116</v>
      </c>
    </row>
    <row r="326" spans="2:42" x14ac:dyDescent="0.25">
      <c r="B326" t="s">
        <v>396</v>
      </c>
      <c r="C326" s="101">
        <v>61451</v>
      </c>
      <c r="D326" s="101">
        <v>595</v>
      </c>
      <c r="E326" s="101">
        <v>52</v>
      </c>
      <c r="F326" s="101">
        <v>2347</v>
      </c>
      <c r="G326" s="101">
        <v>12494</v>
      </c>
      <c r="H326" s="101">
        <v>5913</v>
      </c>
      <c r="I326" s="101">
        <v>1970</v>
      </c>
      <c r="J326" s="101">
        <v>2404</v>
      </c>
      <c r="K326" s="101">
        <v>278</v>
      </c>
      <c r="L326" s="101">
        <v>1624</v>
      </c>
      <c r="M326" s="101">
        <v>3332</v>
      </c>
      <c r="N326" s="101">
        <v>9355</v>
      </c>
      <c r="O326" s="101">
        <v>4509</v>
      </c>
      <c r="P326" s="101">
        <v>10462</v>
      </c>
      <c r="Q326" s="101">
        <v>5938</v>
      </c>
      <c r="R326" s="101">
        <v>213</v>
      </c>
      <c r="S326" s="101"/>
      <c r="T326" t="s">
        <v>396</v>
      </c>
      <c r="U326" s="101">
        <f t="shared" si="15"/>
        <v>58457</v>
      </c>
      <c r="V326" s="101">
        <f>Inkomsten!M326</f>
        <v>49439000</v>
      </c>
      <c r="W326" s="101">
        <f>Inkomsten!D326</f>
        <v>40903146</v>
      </c>
      <c r="X326" s="101">
        <v>2172</v>
      </c>
      <c r="Y326" s="101">
        <v>2882</v>
      </c>
      <c r="Z326" s="101">
        <v>85</v>
      </c>
      <c r="AA326" s="101">
        <v>362</v>
      </c>
      <c r="AB326" s="101">
        <v>755</v>
      </c>
      <c r="AC326" s="101">
        <v>120</v>
      </c>
      <c r="AD326" s="101">
        <v>641</v>
      </c>
      <c r="AE326" s="101">
        <v>0</v>
      </c>
      <c r="AF326" s="101">
        <v>24</v>
      </c>
      <c r="AG326" s="101">
        <f t="shared" si="16"/>
        <v>42880.146000000001</v>
      </c>
      <c r="AH326" s="101">
        <v>22215</v>
      </c>
      <c r="AI326" s="101">
        <f t="shared" si="17"/>
        <v>1930.2338960162053</v>
      </c>
      <c r="AJ326" t="s">
        <v>465</v>
      </c>
      <c r="AN326" t="s">
        <v>235</v>
      </c>
      <c r="AO326" s="259">
        <v>2103.317962104763</v>
      </c>
      <c r="AP326" t="s">
        <v>116</v>
      </c>
    </row>
    <row r="327" spans="2:42" x14ac:dyDescent="0.25">
      <c r="B327" t="s">
        <v>233</v>
      </c>
      <c r="C327" s="101">
        <v>181198</v>
      </c>
      <c r="D327" s="101">
        <v>7394</v>
      </c>
      <c r="E327" s="101">
        <v>2871</v>
      </c>
      <c r="F327" s="101">
        <v>11936</v>
      </c>
      <c r="G327" s="101">
        <v>41093</v>
      </c>
      <c r="H327" s="101">
        <v>9130</v>
      </c>
      <c r="I327" s="101">
        <v>4476</v>
      </c>
      <c r="J327" s="101">
        <v>9321</v>
      </c>
      <c r="K327" s="101">
        <v>6276</v>
      </c>
      <c r="L327" s="101">
        <v>4487</v>
      </c>
      <c r="M327" s="101">
        <v>11339</v>
      </c>
      <c r="N327" s="101">
        <v>25921</v>
      </c>
      <c r="O327" s="101">
        <v>14486</v>
      </c>
      <c r="P327" s="101">
        <v>18998</v>
      </c>
      <c r="Q327" s="101">
        <v>12074</v>
      </c>
      <c r="R327" s="101">
        <v>1870</v>
      </c>
      <c r="S327" s="101"/>
      <c r="T327" t="s">
        <v>233</v>
      </c>
      <c r="U327" s="101">
        <f t="shared" si="15"/>
        <v>158997</v>
      </c>
      <c r="V327" s="101">
        <f>Inkomsten!M327</f>
        <v>122826000</v>
      </c>
      <c r="W327" s="101">
        <f>Inkomsten!D327</f>
        <v>102299912</v>
      </c>
      <c r="X327" s="101">
        <v>7472</v>
      </c>
      <c r="Y327" s="101">
        <v>6740</v>
      </c>
      <c r="Z327" s="101">
        <v>812</v>
      </c>
      <c r="AA327" s="101">
        <v>905</v>
      </c>
      <c r="AB327" s="101">
        <v>1466</v>
      </c>
      <c r="AC327" s="101">
        <v>348</v>
      </c>
      <c r="AD327" s="101">
        <v>117</v>
      </c>
      <c r="AE327" s="101">
        <v>2398</v>
      </c>
      <c r="AF327" s="101">
        <v>203</v>
      </c>
      <c r="AG327" s="101">
        <f t="shared" si="16"/>
        <v>118009.91200000001</v>
      </c>
      <c r="AH327" s="101">
        <v>53730</v>
      </c>
      <c r="AI327" s="101">
        <f t="shared" si="17"/>
        <v>2196.3504932067749</v>
      </c>
      <c r="AJ327" t="s">
        <v>465</v>
      </c>
      <c r="AN327" t="s">
        <v>410</v>
      </c>
      <c r="AO327" s="259">
        <v>2102.7850607437331</v>
      </c>
      <c r="AP327" t="s">
        <v>116</v>
      </c>
    </row>
    <row r="328" spans="2:42" x14ac:dyDescent="0.25">
      <c r="B328" t="s">
        <v>278</v>
      </c>
      <c r="C328" s="101">
        <v>47561</v>
      </c>
      <c r="D328" s="101">
        <v>0</v>
      </c>
      <c r="E328" s="101">
        <v>210</v>
      </c>
      <c r="F328" s="101">
        <v>2516</v>
      </c>
      <c r="G328" s="101">
        <v>1249</v>
      </c>
      <c r="H328" s="101">
        <v>9248</v>
      </c>
      <c r="I328" s="101">
        <v>2340</v>
      </c>
      <c r="J328" s="101">
        <v>2506</v>
      </c>
      <c r="K328" s="101">
        <v>53</v>
      </c>
      <c r="L328" s="101">
        <v>1199</v>
      </c>
      <c r="M328" s="101">
        <v>3079</v>
      </c>
      <c r="N328" s="101">
        <v>5272</v>
      </c>
      <c r="O328" s="101">
        <v>3439</v>
      </c>
      <c r="P328" s="101">
        <v>7064</v>
      </c>
      <c r="Q328" s="101">
        <v>6492</v>
      </c>
      <c r="R328" s="101">
        <v>2894</v>
      </c>
      <c r="S328" s="101"/>
      <c r="T328" t="s">
        <v>278</v>
      </c>
      <c r="U328" s="101">
        <f t="shared" si="15"/>
        <v>44835</v>
      </c>
      <c r="V328" s="101">
        <f>Inkomsten!M328</f>
        <v>37198000</v>
      </c>
      <c r="W328" s="101">
        <f>Inkomsten!D328</f>
        <v>31492224</v>
      </c>
      <c r="X328" s="101">
        <v>2139</v>
      </c>
      <c r="Y328" s="101">
        <v>2805</v>
      </c>
      <c r="Z328" s="101">
        <v>176</v>
      </c>
      <c r="AA328" s="101">
        <v>217</v>
      </c>
      <c r="AB328" s="101">
        <v>2073</v>
      </c>
      <c r="AC328" s="101">
        <v>63</v>
      </c>
      <c r="AD328" s="101">
        <v>30</v>
      </c>
      <c r="AE328" s="101">
        <v>0</v>
      </c>
      <c r="AF328" s="101">
        <v>56</v>
      </c>
      <c r="AG328" s="101">
        <f t="shared" si="16"/>
        <v>31570.224000000002</v>
      </c>
      <c r="AH328" s="101">
        <v>16560</v>
      </c>
      <c r="AI328" s="101">
        <f t="shared" si="17"/>
        <v>1906.4144927536233</v>
      </c>
      <c r="AJ328" t="s">
        <v>465</v>
      </c>
      <c r="AN328" t="s">
        <v>380</v>
      </c>
      <c r="AO328" s="259">
        <v>2099.1093436801411</v>
      </c>
      <c r="AP328" t="s">
        <v>116</v>
      </c>
    </row>
    <row r="329" spans="2:42" x14ac:dyDescent="0.25">
      <c r="B329" t="s">
        <v>234</v>
      </c>
      <c r="C329" s="101">
        <v>43702</v>
      </c>
      <c r="D329" s="101">
        <v>8099</v>
      </c>
      <c r="E329" s="101">
        <v>38</v>
      </c>
      <c r="F329" s="101">
        <v>1281</v>
      </c>
      <c r="G329" s="101">
        <v>8923</v>
      </c>
      <c r="H329" s="101">
        <v>2622</v>
      </c>
      <c r="I329" s="101">
        <v>973</v>
      </c>
      <c r="J329" s="101">
        <v>810</v>
      </c>
      <c r="K329" s="101">
        <v>215</v>
      </c>
      <c r="L329" s="101">
        <v>952</v>
      </c>
      <c r="M329" s="101">
        <v>1595</v>
      </c>
      <c r="N329" s="101">
        <v>2571</v>
      </c>
      <c r="O329" s="101">
        <v>4457</v>
      </c>
      <c r="P329" s="101">
        <v>7232</v>
      </c>
      <c r="Q329" s="101">
        <v>3537</v>
      </c>
      <c r="R329" s="101">
        <v>521</v>
      </c>
      <c r="S329" s="101"/>
      <c r="T329" t="s">
        <v>234</v>
      </c>
      <c r="U329" s="101">
        <f t="shared" si="15"/>
        <v>34284</v>
      </c>
      <c r="V329" s="101">
        <f>Inkomsten!M329</f>
        <v>31279000</v>
      </c>
      <c r="W329" s="101">
        <f>Inkomsten!D329</f>
        <v>23526022</v>
      </c>
      <c r="X329" s="101">
        <v>1493</v>
      </c>
      <c r="Y329" s="101">
        <v>1847</v>
      </c>
      <c r="Z329" s="101">
        <v>166</v>
      </c>
      <c r="AA329" s="101">
        <v>205</v>
      </c>
      <c r="AB329" s="101">
        <v>332</v>
      </c>
      <c r="AC329" s="101">
        <v>7</v>
      </c>
      <c r="AD329" s="101">
        <v>367</v>
      </c>
      <c r="AE329" s="101">
        <v>0</v>
      </c>
      <c r="AF329" s="101">
        <v>0</v>
      </c>
      <c r="AG329" s="101">
        <f t="shared" si="16"/>
        <v>22114.022000000001</v>
      </c>
      <c r="AH329" s="101">
        <v>14633</v>
      </c>
      <c r="AI329" s="101">
        <f t="shared" si="17"/>
        <v>1511.243217385362</v>
      </c>
      <c r="AJ329" t="s">
        <v>465</v>
      </c>
      <c r="AN329" t="s">
        <v>268</v>
      </c>
      <c r="AO329" s="259">
        <v>2098.9415631050115</v>
      </c>
      <c r="AP329" t="s">
        <v>116</v>
      </c>
    </row>
    <row r="330" spans="2:42" x14ac:dyDescent="0.25">
      <c r="B330" t="s">
        <v>279</v>
      </c>
      <c r="C330" s="101">
        <v>695519</v>
      </c>
      <c r="D330" s="101">
        <v>37302</v>
      </c>
      <c r="E330" s="101">
        <v>12001</v>
      </c>
      <c r="F330" s="101">
        <v>36381</v>
      </c>
      <c r="G330" s="101">
        <v>133788</v>
      </c>
      <c r="H330" s="101">
        <v>33910</v>
      </c>
      <c r="I330" s="101">
        <v>18035</v>
      </c>
      <c r="J330" s="101">
        <v>21663</v>
      </c>
      <c r="K330" s="101">
        <v>4322</v>
      </c>
      <c r="L330" s="101">
        <v>23972</v>
      </c>
      <c r="M330" s="101">
        <v>38425</v>
      </c>
      <c r="N330" s="101">
        <v>87327</v>
      </c>
      <c r="O330" s="101">
        <v>58838</v>
      </c>
      <c r="P330" s="101">
        <v>126167</v>
      </c>
      <c r="Q330" s="101">
        <v>52573</v>
      </c>
      <c r="R330" s="101">
        <v>11981</v>
      </c>
      <c r="S330" s="101"/>
      <c r="T330" t="s">
        <v>279</v>
      </c>
      <c r="U330" s="101">
        <f t="shared" si="15"/>
        <v>609835</v>
      </c>
      <c r="V330" s="101">
        <f>Inkomsten!M330</f>
        <v>519437000</v>
      </c>
      <c r="W330" s="101">
        <f>Inkomsten!D330</f>
        <v>378635273</v>
      </c>
      <c r="X330" s="101">
        <v>25097</v>
      </c>
      <c r="Y330" s="101">
        <v>24000</v>
      </c>
      <c r="Z330" s="101">
        <v>1128</v>
      </c>
      <c r="AA330" s="101">
        <v>3567</v>
      </c>
      <c r="AB330" s="101">
        <v>7779</v>
      </c>
      <c r="AC330" s="101">
        <v>1907</v>
      </c>
      <c r="AD330" s="101">
        <v>2968</v>
      </c>
      <c r="AE330" s="101">
        <v>5962</v>
      </c>
      <c r="AF330" s="101">
        <v>3549</v>
      </c>
      <c r="AG330" s="101">
        <f t="shared" si="16"/>
        <v>393076.27299999999</v>
      </c>
      <c r="AH330" s="101">
        <v>161429</v>
      </c>
      <c r="AI330" s="101">
        <f t="shared" si="17"/>
        <v>2434.9792974000952</v>
      </c>
      <c r="AJ330" t="s">
        <v>439</v>
      </c>
      <c r="AN330" t="s">
        <v>259</v>
      </c>
      <c r="AO330" s="259">
        <v>2098.6897898925217</v>
      </c>
      <c r="AP330" t="s">
        <v>116</v>
      </c>
    </row>
    <row r="331" spans="2:42" x14ac:dyDescent="0.25">
      <c r="B331" t="s">
        <v>209</v>
      </c>
      <c r="C331" s="101">
        <v>93688</v>
      </c>
      <c r="D331" s="101">
        <v>1908</v>
      </c>
      <c r="E331" s="101">
        <v>994</v>
      </c>
      <c r="F331" s="101">
        <v>4408</v>
      </c>
      <c r="G331" s="101">
        <v>12596</v>
      </c>
      <c r="H331" s="101">
        <v>11491</v>
      </c>
      <c r="I331" s="101">
        <v>3608</v>
      </c>
      <c r="J331" s="101">
        <v>4088</v>
      </c>
      <c r="K331" s="101">
        <v>3354</v>
      </c>
      <c r="L331" s="101">
        <v>2984</v>
      </c>
      <c r="M331" s="101">
        <v>6256</v>
      </c>
      <c r="N331" s="101">
        <v>12543</v>
      </c>
      <c r="O331" s="101">
        <v>7512</v>
      </c>
      <c r="P331" s="101">
        <v>10734</v>
      </c>
      <c r="Q331" s="101">
        <v>9206</v>
      </c>
      <c r="R331" s="101">
        <v>2248</v>
      </c>
      <c r="S331" s="101"/>
      <c r="T331" t="s">
        <v>209</v>
      </c>
      <c r="U331" s="101">
        <f t="shared" si="15"/>
        <v>86378</v>
      </c>
      <c r="V331" s="101">
        <f>Inkomsten!M331</f>
        <v>69423000</v>
      </c>
      <c r="W331" s="101">
        <f>Inkomsten!D331</f>
        <v>58523935</v>
      </c>
      <c r="X331" s="101">
        <v>4064</v>
      </c>
      <c r="Y331" s="101">
        <v>0</v>
      </c>
      <c r="Z331" s="101">
        <v>434</v>
      </c>
      <c r="AA331" s="101">
        <v>390</v>
      </c>
      <c r="AB331" s="101">
        <v>1171</v>
      </c>
      <c r="AC331" s="101">
        <v>157</v>
      </c>
      <c r="AD331" s="101">
        <v>249</v>
      </c>
      <c r="AE331" s="101">
        <v>782</v>
      </c>
      <c r="AF331" s="101">
        <v>152</v>
      </c>
      <c r="AG331" s="101">
        <f t="shared" si="16"/>
        <v>68079.934999999998</v>
      </c>
      <c r="AH331" s="101">
        <v>30418</v>
      </c>
      <c r="AI331" s="101">
        <f t="shared" si="17"/>
        <v>2238.1463278322044</v>
      </c>
      <c r="AJ331" t="s">
        <v>465</v>
      </c>
      <c r="AN331" t="s">
        <v>393</v>
      </c>
      <c r="AO331" s="259">
        <v>2083.9547640882743</v>
      </c>
      <c r="AP331" t="s">
        <v>116</v>
      </c>
    </row>
    <row r="332" spans="2:42" x14ac:dyDescent="0.25">
      <c r="B332" t="s">
        <v>280</v>
      </c>
      <c r="C332" s="101">
        <v>71427</v>
      </c>
      <c r="D332" s="101">
        <v>2014</v>
      </c>
      <c r="E332" s="101">
        <v>1360</v>
      </c>
      <c r="F332" s="101">
        <v>3072</v>
      </c>
      <c r="G332" s="101">
        <v>1380</v>
      </c>
      <c r="H332" s="101">
        <v>11378</v>
      </c>
      <c r="I332" s="101">
        <v>4800</v>
      </c>
      <c r="J332" s="101">
        <v>5710</v>
      </c>
      <c r="K332" s="101">
        <v>2723</v>
      </c>
      <c r="L332" s="101">
        <v>1452</v>
      </c>
      <c r="M332" s="101">
        <v>4826</v>
      </c>
      <c r="N332" s="101">
        <v>10944</v>
      </c>
      <c r="O332" s="101">
        <v>5442</v>
      </c>
      <c r="P332" s="101">
        <v>7506</v>
      </c>
      <c r="Q332" s="101">
        <v>6055</v>
      </c>
      <c r="R332" s="101">
        <v>2765</v>
      </c>
      <c r="S332" s="101"/>
      <c r="T332" t="s">
        <v>280</v>
      </c>
      <c r="U332" s="101">
        <f t="shared" si="15"/>
        <v>64981</v>
      </c>
      <c r="V332" s="101">
        <f>Inkomsten!M332</f>
        <v>42958000</v>
      </c>
      <c r="W332" s="101">
        <f>Inkomsten!D332</f>
        <v>34677960</v>
      </c>
      <c r="X332" s="101">
        <v>2413</v>
      </c>
      <c r="Y332" s="101">
        <v>2575</v>
      </c>
      <c r="Z332" s="101">
        <v>141</v>
      </c>
      <c r="AA332" s="101">
        <v>381</v>
      </c>
      <c r="AB332" s="101">
        <v>442</v>
      </c>
      <c r="AC332" s="101">
        <v>988</v>
      </c>
      <c r="AD332" s="101">
        <v>3660</v>
      </c>
      <c r="AE332" s="101">
        <v>9022</v>
      </c>
      <c r="AF332" s="101">
        <v>925</v>
      </c>
      <c r="AG332" s="101">
        <f t="shared" si="16"/>
        <v>36153.96</v>
      </c>
      <c r="AH332" s="101">
        <v>17473</v>
      </c>
      <c r="AI332" s="101">
        <f t="shared" si="17"/>
        <v>2069.1329479768788</v>
      </c>
      <c r="AJ332" t="s">
        <v>116</v>
      </c>
      <c r="AN332" t="s">
        <v>727</v>
      </c>
      <c r="AO332" s="259">
        <v>2064.7463338863226</v>
      </c>
      <c r="AP332" t="s">
        <v>116</v>
      </c>
    </row>
    <row r="333" spans="2:42" x14ac:dyDescent="0.25">
      <c r="B333" t="s">
        <v>432</v>
      </c>
      <c r="C333" s="101">
        <v>85492</v>
      </c>
      <c r="D333" s="101">
        <v>8656</v>
      </c>
      <c r="E333" s="101">
        <v>3</v>
      </c>
      <c r="F333" s="101">
        <v>1864</v>
      </c>
      <c r="G333" s="101">
        <v>10724</v>
      </c>
      <c r="H333" s="101">
        <v>13372</v>
      </c>
      <c r="I333" s="101">
        <v>2300</v>
      </c>
      <c r="J333" s="101">
        <v>4626</v>
      </c>
      <c r="K333" s="101">
        <v>5464</v>
      </c>
      <c r="L333" s="101">
        <v>1229</v>
      </c>
      <c r="M333" s="101">
        <v>4255</v>
      </c>
      <c r="N333" s="101">
        <v>8187</v>
      </c>
      <c r="O333" s="101">
        <v>10587</v>
      </c>
      <c r="P333" s="101">
        <v>6828</v>
      </c>
      <c r="Q333" s="101">
        <v>7417</v>
      </c>
      <c r="R333" s="101">
        <v>138</v>
      </c>
      <c r="S333" s="101"/>
      <c r="T333" t="s">
        <v>432</v>
      </c>
      <c r="U333" s="101">
        <f t="shared" si="15"/>
        <v>74969</v>
      </c>
      <c r="V333" s="101">
        <f>Inkomsten!M333</f>
        <v>50941000</v>
      </c>
      <c r="W333" s="101">
        <f>Inkomsten!D333</f>
        <v>41521924</v>
      </c>
      <c r="X333" s="101">
        <v>1483</v>
      </c>
      <c r="Y333" s="101">
        <v>3652</v>
      </c>
      <c r="Z333" s="101">
        <v>100</v>
      </c>
      <c r="AA333" s="101">
        <v>496</v>
      </c>
      <c r="AB333" s="101">
        <v>1075</v>
      </c>
      <c r="AC333" s="101">
        <v>85</v>
      </c>
      <c r="AD333" s="101">
        <v>3400</v>
      </c>
      <c r="AE333" s="101">
        <v>0</v>
      </c>
      <c r="AF333" s="101">
        <v>127</v>
      </c>
      <c r="AG333" s="101">
        <f t="shared" si="16"/>
        <v>55131.923999999999</v>
      </c>
      <c r="AH333" s="101">
        <v>23883</v>
      </c>
      <c r="AI333" s="101">
        <f t="shared" si="17"/>
        <v>2308.4170330360507</v>
      </c>
      <c r="AJ333" t="s">
        <v>465</v>
      </c>
      <c r="AN333" t="s">
        <v>975</v>
      </c>
      <c r="AO333" s="259">
        <v>2053.6379431239179</v>
      </c>
      <c r="AP333" t="s">
        <v>116</v>
      </c>
    </row>
    <row r="334" spans="2:42" x14ac:dyDescent="0.25">
      <c r="B334" t="s">
        <v>235</v>
      </c>
      <c r="C334" s="101">
        <v>204311</v>
      </c>
      <c r="D334" s="101">
        <v>546</v>
      </c>
      <c r="E334" s="101">
        <v>705</v>
      </c>
      <c r="F334" s="101">
        <v>7960</v>
      </c>
      <c r="G334" s="101">
        <v>32282</v>
      </c>
      <c r="H334" s="101">
        <v>8140</v>
      </c>
      <c r="I334" s="101">
        <v>7092</v>
      </c>
      <c r="J334" s="101">
        <v>7594</v>
      </c>
      <c r="K334" s="101">
        <v>1110</v>
      </c>
      <c r="L334" s="101">
        <v>4333</v>
      </c>
      <c r="M334" s="101">
        <v>14148</v>
      </c>
      <c r="N334" s="101">
        <v>41261</v>
      </c>
      <c r="O334" s="101">
        <v>21681</v>
      </c>
      <c r="P334" s="101">
        <v>35679</v>
      </c>
      <c r="Q334" s="101">
        <v>19487</v>
      </c>
      <c r="R334" s="101">
        <v>2732</v>
      </c>
      <c r="S334" s="101"/>
      <c r="T334" t="s">
        <v>235</v>
      </c>
      <c r="U334" s="101">
        <f t="shared" si="15"/>
        <v>195100</v>
      </c>
      <c r="V334" s="101">
        <f>Inkomsten!M334</f>
        <v>167861000</v>
      </c>
      <c r="W334" s="101">
        <f>Inkomsten!D334</f>
        <v>134112290</v>
      </c>
      <c r="X334" s="101">
        <v>6027</v>
      </c>
      <c r="Y334" s="101">
        <v>10333</v>
      </c>
      <c r="Z334" s="101">
        <v>1645</v>
      </c>
      <c r="AA334" s="101">
        <v>1370</v>
      </c>
      <c r="AB334" s="101">
        <v>4007</v>
      </c>
      <c r="AC334" s="101">
        <v>110</v>
      </c>
      <c r="AD334" s="101">
        <v>451</v>
      </c>
      <c r="AE334" s="101">
        <v>3730</v>
      </c>
      <c r="AF334" s="101">
        <v>351</v>
      </c>
      <c r="AG334" s="101">
        <f t="shared" si="16"/>
        <v>133327.29</v>
      </c>
      <c r="AH334" s="101">
        <v>66623</v>
      </c>
      <c r="AI334" s="101">
        <f t="shared" si="17"/>
        <v>2001.2201491977248</v>
      </c>
      <c r="AJ334" t="s">
        <v>116</v>
      </c>
      <c r="AN334" t="s">
        <v>412</v>
      </c>
      <c r="AO334" s="259">
        <v>2037.6817521035912</v>
      </c>
      <c r="AP334" t="s">
        <v>116</v>
      </c>
    </row>
    <row r="335" spans="2:42" x14ac:dyDescent="0.25">
      <c r="B335" t="s">
        <v>210</v>
      </c>
      <c r="C335" s="101">
        <v>163437</v>
      </c>
      <c r="D335" s="101">
        <v>4572</v>
      </c>
      <c r="E335" s="101">
        <v>1990</v>
      </c>
      <c r="F335" s="101">
        <v>5325</v>
      </c>
      <c r="G335" s="101">
        <v>32540</v>
      </c>
      <c r="H335" s="101">
        <v>8858</v>
      </c>
      <c r="I335" s="101">
        <v>3558</v>
      </c>
      <c r="J335" s="101">
        <v>4383</v>
      </c>
      <c r="K335" s="101">
        <v>9990</v>
      </c>
      <c r="L335" s="101">
        <v>3356</v>
      </c>
      <c r="M335" s="101">
        <v>9521</v>
      </c>
      <c r="N335" s="101">
        <v>25645</v>
      </c>
      <c r="O335" s="101">
        <v>19576</v>
      </c>
      <c r="P335" s="101">
        <v>21134</v>
      </c>
      <c r="Q335" s="101">
        <v>11413</v>
      </c>
      <c r="R335" s="101">
        <v>2227</v>
      </c>
      <c r="S335" s="101"/>
      <c r="T335" t="s">
        <v>210</v>
      </c>
      <c r="U335" s="101">
        <f t="shared" si="15"/>
        <v>151550</v>
      </c>
      <c r="V335" s="101">
        <f>Inkomsten!M335</f>
        <v>118259000</v>
      </c>
      <c r="W335" s="101">
        <f>Inkomsten!D335</f>
        <v>96611143</v>
      </c>
      <c r="X335" s="101">
        <v>5101</v>
      </c>
      <c r="Y335" s="101">
        <v>4097</v>
      </c>
      <c r="Z335" s="101">
        <v>135</v>
      </c>
      <c r="AA335" s="101">
        <v>879</v>
      </c>
      <c r="AB335" s="101">
        <v>950</v>
      </c>
      <c r="AC335" s="101">
        <v>161</v>
      </c>
      <c r="AD335" s="101">
        <v>382</v>
      </c>
      <c r="AE335" s="101">
        <v>1278</v>
      </c>
      <c r="AF335" s="101">
        <v>117</v>
      </c>
      <c r="AG335" s="101">
        <f t="shared" si="16"/>
        <v>116802.143</v>
      </c>
      <c r="AH335" s="101">
        <v>45050</v>
      </c>
      <c r="AI335" s="101">
        <f t="shared" si="17"/>
        <v>2592.7223751387346</v>
      </c>
      <c r="AJ335" t="s">
        <v>116</v>
      </c>
      <c r="AN335" t="s">
        <v>112</v>
      </c>
      <c r="AO335" s="259">
        <v>2028.606993635955</v>
      </c>
      <c r="AP335" t="s">
        <v>116</v>
      </c>
    </row>
    <row r="336" spans="2:42" x14ac:dyDescent="0.25">
      <c r="B336" t="s">
        <v>324</v>
      </c>
      <c r="C336" s="101">
        <v>486762</v>
      </c>
      <c r="D336" s="101">
        <v>8174</v>
      </c>
      <c r="E336" s="101">
        <v>544</v>
      </c>
      <c r="F336" s="101">
        <v>9970</v>
      </c>
      <c r="G336" s="101">
        <v>109361</v>
      </c>
      <c r="H336" s="101">
        <v>29347</v>
      </c>
      <c r="I336" s="101">
        <v>13200</v>
      </c>
      <c r="J336" s="101">
        <v>17446</v>
      </c>
      <c r="K336" s="101">
        <v>10459</v>
      </c>
      <c r="L336" s="101">
        <v>19622</v>
      </c>
      <c r="M336" s="101">
        <v>37226</v>
      </c>
      <c r="N336" s="101">
        <v>82423</v>
      </c>
      <c r="O336" s="101">
        <v>58736</v>
      </c>
      <c r="P336" s="101">
        <v>56967</v>
      </c>
      <c r="Q336" s="101">
        <v>27185</v>
      </c>
      <c r="R336" s="101">
        <v>8008</v>
      </c>
      <c r="S336" s="101"/>
      <c r="T336" t="s">
        <v>324</v>
      </c>
      <c r="U336" s="101">
        <f t="shared" si="15"/>
        <v>468074</v>
      </c>
      <c r="V336" s="101">
        <f>Inkomsten!M336</f>
        <v>365973000</v>
      </c>
      <c r="W336" s="101">
        <f>Inkomsten!D336</f>
        <v>286539032</v>
      </c>
      <c r="X336" s="101">
        <v>7958</v>
      </c>
      <c r="Y336" s="101">
        <v>18566</v>
      </c>
      <c r="Z336" s="101">
        <v>474</v>
      </c>
      <c r="AA336" s="101">
        <v>2825</v>
      </c>
      <c r="AB336" s="101">
        <v>5913</v>
      </c>
      <c r="AC336" s="101">
        <v>400</v>
      </c>
      <c r="AD336" s="101">
        <v>530</v>
      </c>
      <c r="AE336" s="101">
        <v>2032</v>
      </c>
      <c r="AF336" s="101">
        <v>2617</v>
      </c>
      <c r="AG336" s="101">
        <f t="shared" si="16"/>
        <v>347325.03200000001</v>
      </c>
      <c r="AH336" s="101">
        <v>128424</v>
      </c>
      <c r="AI336" s="101">
        <f t="shared" si="17"/>
        <v>2704.5180963059865</v>
      </c>
      <c r="AJ336" t="s">
        <v>439</v>
      </c>
      <c r="AN336" t="s">
        <v>246</v>
      </c>
      <c r="AO336" s="259">
        <v>2019.0614854253506</v>
      </c>
      <c r="AP336" t="s">
        <v>116</v>
      </c>
    </row>
    <row r="337" spans="2:45" x14ac:dyDescent="0.25">
      <c r="B337" t="s">
        <v>325</v>
      </c>
      <c r="C337" s="101">
        <v>28246</v>
      </c>
      <c r="D337" s="101">
        <v>140</v>
      </c>
      <c r="E337" s="101">
        <v>318</v>
      </c>
      <c r="F337" s="101">
        <v>1642</v>
      </c>
      <c r="G337" s="101">
        <v>8523</v>
      </c>
      <c r="H337" s="101">
        <v>5348</v>
      </c>
      <c r="I337" s="101">
        <v>772</v>
      </c>
      <c r="J337" s="101">
        <v>1076</v>
      </c>
      <c r="K337" s="101">
        <v>163</v>
      </c>
      <c r="L337" s="101">
        <v>498</v>
      </c>
      <c r="M337" s="101">
        <v>1163</v>
      </c>
      <c r="N337" s="101">
        <v>1438</v>
      </c>
      <c r="O337" s="101">
        <v>1864</v>
      </c>
      <c r="P337" s="101">
        <v>2122</v>
      </c>
      <c r="Q337" s="101">
        <v>3136</v>
      </c>
      <c r="R337" s="101">
        <v>156</v>
      </c>
      <c r="S337" s="101"/>
      <c r="T337" t="s">
        <v>325</v>
      </c>
      <c r="U337" s="101">
        <f t="shared" si="15"/>
        <v>26146</v>
      </c>
      <c r="V337" s="101">
        <f>Inkomsten!M337</f>
        <v>21046000</v>
      </c>
      <c r="W337" s="101">
        <f>Inkomsten!D337</f>
        <v>17688826</v>
      </c>
      <c r="X337" s="101">
        <v>1309</v>
      </c>
      <c r="Y337" s="101">
        <v>1242</v>
      </c>
      <c r="Z337" s="101">
        <v>5</v>
      </c>
      <c r="AA337" s="101">
        <v>85</v>
      </c>
      <c r="AB337" s="101">
        <v>183</v>
      </c>
      <c r="AC337" s="101">
        <v>27</v>
      </c>
      <c r="AD337" s="101">
        <v>0</v>
      </c>
      <c r="AE337" s="101">
        <v>0</v>
      </c>
      <c r="AF337" s="101">
        <v>0</v>
      </c>
      <c r="AG337" s="101">
        <f t="shared" si="16"/>
        <v>19937.826000000001</v>
      </c>
      <c r="AH337" s="101">
        <v>9731</v>
      </c>
      <c r="AI337" s="101">
        <f t="shared" si="17"/>
        <v>2048.8979549892097</v>
      </c>
      <c r="AJ337" t="s">
        <v>465</v>
      </c>
      <c r="AN337" t="s">
        <v>207</v>
      </c>
      <c r="AO337" s="259">
        <v>2016.4936835286678</v>
      </c>
      <c r="AP337" t="s">
        <v>116</v>
      </c>
    </row>
    <row r="338" spans="2:45" x14ac:dyDescent="0.25">
      <c r="B338" t="s">
        <v>326</v>
      </c>
      <c r="C338" s="101">
        <v>147939</v>
      </c>
      <c r="D338" s="101">
        <v>20136</v>
      </c>
      <c r="E338" s="101">
        <v>3467</v>
      </c>
      <c r="F338" s="101">
        <v>8408</v>
      </c>
      <c r="G338" s="101">
        <v>28367</v>
      </c>
      <c r="H338" s="101">
        <v>7186</v>
      </c>
      <c r="I338" s="101">
        <v>4501</v>
      </c>
      <c r="J338" s="101">
        <v>2938</v>
      </c>
      <c r="K338" s="101">
        <v>250</v>
      </c>
      <c r="L338" s="101">
        <v>3163</v>
      </c>
      <c r="M338" s="101">
        <v>8505</v>
      </c>
      <c r="N338" s="101">
        <v>14766</v>
      </c>
      <c r="O338" s="101">
        <v>15268</v>
      </c>
      <c r="P338" s="101">
        <v>15688</v>
      </c>
      <c r="Q338" s="101">
        <v>11427</v>
      </c>
      <c r="R338" s="101">
        <v>3989</v>
      </c>
      <c r="S338" s="101"/>
      <c r="T338" t="s">
        <v>326</v>
      </c>
      <c r="U338" s="101">
        <f t="shared" si="15"/>
        <v>115928</v>
      </c>
      <c r="V338" s="101">
        <f>Inkomsten!M338</f>
        <v>97243000</v>
      </c>
      <c r="W338" s="101">
        <f>Inkomsten!D338</f>
        <v>82661813</v>
      </c>
      <c r="X338" s="101">
        <v>4326</v>
      </c>
      <c r="Y338" s="101">
        <v>5719</v>
      </c>
      <c r="Z338" s="101">
        <v>312</v>
      </c>
      <c r="AA338" s="101">
        <v>719</v>
      </c>
      <c r="AB338" s="101">
        <v>1922</v>
      </c>
      <c r="AC338" s="101">
        <v>49</v>
      </c>
      <c r="AD338" s="101">
        <v>464</v>
      </c>
      <c r="AE338" s="101">
        <v>12</v>
      </c>
      <c r="AF338" s="101">
        <v>411</v>
      </c>
      <c r="AG338" s="101">
        <f t="shared" si="16"/>
        <v>87412.812999999995</v>
      </c>
      <c r="AH338" s="101">
        <v>47826</v>
      </c>
      <c r="AI338" s="101">
        <f t="shared" si="17"/>
        <v>1827.7257767741396</v>
      </c>
      <c r="AJ338" t="s">
        <v>465</v>
      </c>
      <c r="AN338" t="s">
        <v>362</v>
      </c>
      <c r="AO338" s="259">
        <v>2004.6141179786684</v>
      </c>
      <c r="AP338" t="s">
        <v>116</v>
      </c>
    </row>
    <row r="339" spans="2:45" x14ac:dyDescent="0.25">
      <c r="B339" t="s">
        <v>397</v>
      </c>
      <c r="C339" s="101">
        <v>66241</v>
      </c>
      <c r="D339" s="101">
        <v>0</v>
      </c>
      <c r="E339" s="101">
        <v>629</v>
      </c>
      <c r="F339" s="101">
        <v>2263</v>
      </c>
      <c r="G339" s="101">
        <v>13895</v>
      </c>
      <c r="H339" s="101">
        <v>5849</v>
      </c>
      <c r="I339" s="101">
        <v>1710</v>
      </c>
      <c r="J339" s="101">
        <v>2799</v>
      </c>
      <c r="K339" s="101">
        <v>2236</v>
      </c>
      <c r="L339" s="101">
        <v>1702</v>
      </c>
      <c r="M339" s="101">
        <v>4576</v>
      </c>
      <c r="N339" s="101">
        <v>7827</v>
      </c>
      <c r="O339" s="101">
        <v>3910</v>
      </c>
      <c r="P339" s="101">
        <v>12298</v>
      </c>
      <c r="Q339" s="101">
        <v>5913</v>
      </c>
      <c r="R339" s="101">
        <v>1187</v>
      </c>
      <c r="S339" s="101"/>
      <c r="T339" t="s">
        <v>397</v>
      </c>
      <c r="U339" s="101">
        <f t="shared" si="15"/>
        <v>63349</v>
      </c>
      <c r="V339" s="101">
        <f>Inkomsten!M339</f>
        <v>50311000</v>
      </c>
      <c r="W339" s="101">
        <f>Inkomsten!D339</f>
        <v>40356147</v>
      </c>
      <c r="X339" s="101">
        <v>3087</v>
      </c>
      <c r="Y339" s="101">
        <v>3749</v>
      </c>
      <c r="Z339" s="101">
        <v>2</v>
      </c>
      <c r="AA339" s="101">
        <v>232</v>
      </c>
      <c r="AB339" s="101">
        <v>1272</v>
      </c>
      <c r="AC339" s="101">
        <v>115</v>
      </c>
      <c r="AD339" s="101">
        <v>162</v>
      </c>
      <c r="AE339" s="101">
        <v>0</v>
      </c>
      <c r="AF339" s="101">
        <v>28</v>
      </c>
      <c r="AG339" s="101">
        <f t="shared" si="16"/>
        <v>44747.146999999997</v>
      </c>
      <c r="AH339" s="101">
        <v>22545</v>
      </c>
      <c r="AI339" s="101">
        <f t="shared" si="17"/>
        <v>1984.7925038811265</v>
      </c>
      <c r="AJ339" t="s">
        <v>465</v>
      </c>
      <c r="AN339" t="s">
        <v>368</v>
      </c>
      <c r="AO339" s="259">
        <v>1984.6052749416251</v>
      </c>
      <c r="AP339" t="s">
        <v>116</v>
      </c>
    </row>
    <row r="340" spans="2:45" x14ac:dyDescent="0.25">
      <c r="B340" t="s">
        <v>211</v>
      </c>
      <c r="C340" s="101">
        <v>203945</v>
      </c>
      <c r="D340" s="101">
        <v>5321</v>
      </c>
      <c r="E340" s="101">
        <v>2031</v>
      </c>
      <c r="F340" s="101">
        <v>11106</v>
      </c>
      <c r="G340" s="101">
        <v>56341</v>
      </c>
      <c r="H340" s="101">
        <v>9730</v>
      </c>
      <c r="I340" s="101">
        <v>3603</v>
      </c>
      <c r="J340" s="101">
        <v>3903</v>
      </c>
      <c r="K340" s="101">
        <v>4487</v>
      </c>
      <c r="L340" s="101">
        <v>4738</v>
      </c>
      <c r="M340" s="101">
        <v>12257</v>
      </c>
      <c r="N340" s="101">
        <v>31065</v>
      </c>
      <c r="O340" s="101">
        <v>21277</v>
      </c>
      <c r="P340" s="101">
        <v>25443</v>
      </c>
      <c r="Q340" s="101">
        <v>11134</v>
      </c>
      <c r="R340" s="101">
        <v>2596</v>
      </c>
      <c r="S340" s="101"/>
      <c r="T340" t="s">
        <v>211</v>
      </c>
      <c r="U340" s="101">
        <f t="shared" si="15"/>
        <v>185487</v>
      </c>
      <c r="V340" s="101">
        <f>Inkomsten!M340</f>
        <v>159638000</v>
      </c>
      <c r="W340" s="101">
        <f>Inkomsten!D340</f>
        <v>122409006</v>
      </c>
      <c r="X340" s="101">
        <v>3823</v>
      </c>
      <c r="Y340" s="101">
        <v>6382</v>
      </c>
      <c r="Z340" s="101">
        <v>209</v>
      </c>
      <c r="AA340" s="101">
        <v>888</v>
      </c>
      <c r="AB340" s="101">
        <v>1489</v>
      </c>
      <c r="AC340" s="101">
        <v>287</v>
      </c>
      <c r="AD340" s="101">
        <v>194</v>
      </c>
      <c r="AE340" s="101">
        <v>2806</v>
      </c>
      <c r="AF340" s="101">
        <v>887</v>
      </c>
      <c r="AG340" s="101">
        <f t="shared" si="16"/>
        <v>131293.00599999999</v>
      </c>
      <c r="AH340" s="101">
        <v>48746</v>
      </c>
      <c r="AI340" s="101">
        <f t="shared" si="17"/>
        <v>2693.4108644811881</v>
      </c>
      <c r="AJ340" t="s">
        <v>439</v>
      </c>
      <c r="AN340" t="s">
        <v>592</v>
      </c>
      <c r="AO340" s="259">
        <v>1964.3195140693354</v>
      </c>
      <c r="AP340" t="s">
        <v>116</v>
      </c>
    </row>
    <row r="341" spans="2:45" x14ac:dyDescent="0.25">
      <c r="B341" t="s">
        <v>161</v>
      </c>
      <c r="C341" s="101">
        <v>75257</v>
      </c>
      <c r="D341" s="101">
        <v>5419</v>
      </c>
      <c r="E341" s="101">
        <v>620</v>
      </c>
      <c r="F341" s="101">
        <v>3274</v>
      </c>
      <c r="G341" s="101">
        <v>16968</v>
      </c>
      <c r="H341" s="101">
        <v>6827</v>
      </c>
      <c r="I341" s="101">
        <v>1929</v>
      </c>
      <c r="J341" s="101">
        <v>2938</v>
      </c>
      <c r="K341" s="101">
        <v>7863</v>
      </c>
      <c r="L341" s="101">
        <v>1731</v>
      </c>
      <c r="M341" s="101">
        <v>3368</v>
      </c>
      <c r="N341" s="101">
        <v>5638</v>
      </c>
      <c r="O341" s="101">
        <v>6231</v>
      </c>
      <c r="P341" s="101">
        <v>6481</v>
      </c>
      <c r="Q341" s="101">
        <v>4697</v>
      </c>
      <c r="R341" s="101">
        <v>1915</v>
      </c>
      <c r="S341" s="101"/>
      <c r="T341" t="s">
        <v>161</v>
      </c>
      <c r="U341" s="101">
        <f t="shared" si="15"/>
        <v>65944</v>
      </c>
      <c r="V341" s="101">
        <f>Inkomsten!M341</f>
        <v>50669000</v>
      </c>
      <c r="W341" s="101">
        <f>Inkomsten!D341</f>
        <v>43378071</v>
      </c>
      <c r="X341" s="101">
        <v>3313</v>
      </c>
      <c r="Y341" s="101">
        <v>2011</v>
      </c>
      <c r="Z341" s="101">
        <v>468</v>
      </c>
      <c r="AA341" s="101">
        <v>385</v>
      </c>
      <c r="AB341" s="101">
        <v>917</v>
      </c>
      <c r="AC341" s="101">
        <v>345</v>
      </c>
      <c r="AD341" s="101">
        <v>85</v>
      </c>
      <c r="AE341" s="101">
        <v>0</v>
      </c>
      <c r="AF341" s="101">
        <v>282</v>
      </c>
      <c r="AG341" s="101">
        <f t="shared" si="16"/>
        <v>50847.071000000004</v>
      </c>
      <c r="AH341" s="101">
        <v>23447</v>
      </c>
      <c r="AI341" s="101">
        <f t="shared" si="17"/>
        <v>2168.5960250778353</v>
      </c>
      <c r="AJ341" t="s">
        <v>465</v>
      </c>
      <c r="AN341" t="s">
        <v>384</v>
      </c>
      <c r="AO341" s="259">
        <v>1951.5402393485028</v>
      </c>
      <c r="AP341" t="s">
        <v>116</v>
      </c>
    </row>
    <row r="342" spans="2:45" x14ac:dyDescent="0.25">
      <c r="B342" t="s">
        <v>327</v>
      </c>
      <c r="C342" s="101">
        <v>178309</v>
      </c>
      <c r="D342" s="101">
        <v>8789</v>
      </c>
      <c r="E342" s="101">
        <v>5050</v>
      </c>
      <c r="F342" s="101">
        <v>8176</v>
      </c>
      <c r="G342" s="101">
        <v>23970</v>
      </c>
      <c r="H342" s="101">
        <v>14101</v>
      </c>
      <c r="I342" s="101">
        <v>4504</v>
      </c>
      <c r="J342" s="101">
        <v>6424</v>
      </c>
      <c r="K342" s="101">
        <v>1641</v>
      </c>
      <c r="L342" s="101">
        <v>3966</v>
      </c>
      <c r="M342" s="101">
        <v>8282</v>
      </c>
      <c r="N342" s="101">
        <v>36610</v>
      </c>
      <c r="O342" s="101">
        <v>17413</v>
      </c>
      <c r="P342" s="101">
        <v>25501</v>
      </c>
      <c r="Q342" s="101">
        <v>12766</v>
      </c>
      <c r="R342" s="101">
        <v>1702</v>
      </c>
      <c r="S342" s="101"/>
      <c r="T342" t="s">
        <v>327</v>
      </c>
      <c r="U342" s="101">
        <f t="shared" si="15"/>
        <v>156294</v>
      </c>
      <c r="V342" s="101">
        <f>Inkomsten!M342</f>
        <v>132344000</v>
      </c>
      <c r="W342" s="101">
        <f>Inkomsten!D342</f>
        <v>104666111</v>
      </c>
      <c r="X342" s="101">
        <v>7055</v>
      </c>
      <c r="Y342" s="101">
        <v>7249</v>
      </c>
      <c r="Z342" s="101">
        <v>832</v>
      </c>
      <c r="AA342" s="101">
        <v>576</v>
      </c>
      <c r="AB342" s="101">
        <v>1666</v>
      </c>
      <c r="AC342" s="101">
        <v>358</v>
      </c>
      <c r="AD342" s="101">
        <v>0</v>
      </c>
      <c r="AE342" s="101">
        <v>210</v>
      </c>
      <c r="AF342" s="101">
        <v>1153</v>
      </c>
      <c r="AG342" s="101">
        <f t="shared" si="16"/>
        <v>109517.111</v>
      </c>
      <c r="AH342" s="101">
        <v>44870</v>
      </c>
      <c r="AI342" s="101">
        <f t="shared" si="17"/>
        <v>2440.7646757298862</v>
      </c>
      <c r="AJ342" t="s">
        <v>116</v>
      </c>
      <c r="AN342" t="s">
        <v>296</v>
      </c>
      <c r="AO342" s="259">
        <v>1945.4064045287948</v>
      </c>
      <c r="AP342" t="s">
        <v>116</v>
      </c>
      <c r="AQ342">
        <f>_xlfn.QUARTILE.INC(AO231:AO343,3)</f>
        <v>2455.0898757216601</v>
      </c>
      <c r="AR342">
        <f>5%*AQ342</f>
        <v>122.754493786083</v>
      </c>
      <c r="AS342">
        <f>SUM(AQ342,AR342)</f>
        <v>2577.8443695077431</v>
      </c>
    </row>
    <row r="343" spans="2:45" x14ac:dyDescent="0.25">
      <c r="B343" t="s">
        <v>162</v>
      </c>
      <c r="C343" s="101">
        <v>722960</v>
      </c>
      <c r="D343" s="101">
        <v>111692</v>
      </c>
      <c r="E343" s="101">
        <v>5164</v>
      </c>
      <c r="F343" s="101">
        <v>22046</v>
      </c>
      <c r="G343" s="101">
        <v>111532</v>
      </c>
      <c r="H343" s="101">
        <v>48415</v>
      </c>
      <c r="I343" s="101">
        <v>14144</v>
      </c>
      <c r="J343" s="101">
        <v>19876</v>
      </c>
      <c r="K343" s="101">
        <v>6206</v>
      </c>
      <c r="L343" s="101">
        <v>18788</v>
      </c>
      <c r="M343" s="101">
        <v>43464</v>
      </c>
      <c r="N343" s="101">
        <v>84758</v>
      </c>
      <c r="O343" s="101">
        <v>58717</v>
      </c>
      <c r="P343" s="101">
        <v>153855</v>
      </c>
      <c r="Q343" s="101">
        <v>23872</v>
      </c>
      <c r="R343" s="101">
        <v>2445</v>
      </c>
      <c r="S343" s="101"/>
      <c r="T343" t="s">
        <v>162</v>
      </c>
      <c r="U343" s="101">
        <f t="shared" si="15"/>
        <v>584058</v>
      </c>
      <c r="V343" s="101">
        <f>Inkomsten!M343</f>
        <v>493240000</v>
      </c>
      <c r="W343" s="101">
        <f>Inkomsten!D343</f>
        <v>318149497</v>
      </c>
      <c r="X343" s="101">
        <v>8323</v>
      </c>
      <c r="Y343" s="101">
        <v>17727</v>
      </c>
      <c r="Z343" s="101">
        <v>1334</v>
      </c>
      <c r="AA343" s="101">
        <v>2976</v>
      </c>
      <c r="AB343" s="101">
        <v>4339</v>
      </c>
      <c r="AC343" s="101">
        <v>788</v>
      </c>
      <c r="AD343" s="101">
        <v>806</v>
      </c>
      <c r="AE343" s="101">
        <v>12640</v>
      </c>
      <c r="AF343" s="101">
        <v>975</v>
      </c>
      <c r="AG343" s="101">
        <f t="shared" si="16"/>
        <v>359059.49699999997</v>
      </c>
      <c r="AH343" s="101">
        <v>133133</v>
      </c>
      <c r="AI343" s="101">
        <f t="shared" si="17"/>
        <v>2696.998467697716</v>
      </c>
      <c r="AJ343" t="s">
        <v>439</v>
      </c>
      <c r="AN343" t="s">
        <v>598</v>
      </c>
      <c r="AO343" s="259">
        <v>1431.0544620047931</v>
      </c>
      <c r="AP343" t="s">
        <v>116</v>
      </c>
      <c r="AQ343">
        <f>_xlfn.QUARTILE.INC(AO231:AO343,1)</f>
        <v>2152.1261821613302</v>
      </c>
      <c r="AR343">
        <f>5%*AQ343</f>
        <v>107.60630910806651</v>
      </c>
      <c r="AS343">
        <f>SUM(AQ343,-AR343)</f>
        <v>2044.5198730532638</v>
      </c>
    </row>
    <row r="344" spans="2:45" x14ac:dyDescent="0.25">
      <c r="B344" t="s">
        <v>440</v>
      </c>
      <c r="C344" s="101">
        <v>74308152</v>
      </c>
      <c r="D344" s="101">
        <v>3021116</v>
      </c>
      <c r="E344" s="101">
        <v>901722</v>
      </c>
      <c r="F344" s="101">
        <v>3038277</v>
      </c>
      <c r="G344" s="101">
        <v>15530856</v>
      </c>
      <c r="H344" s="101">
        <v>5196238</v>
      </c>
      <c r="I344" s="101">
        <v>1900834</v>
      </c>
      <c r="J344" s="101">
        <v>2917179</v>
      </c>
      <c r="K344" s="101">
        <v>1554086</v>
      </c>
      <c r="L344" s="101">
        <v>2185533</v>
      </c>
      <c r="M344" s="101">
        <v>4650175</v>
      </c>
      <c r="N344" s="101">
        <v>10808128</v>
      </c>
      <c r="O344" s="101">
        <v>5723051</v>
      </c>
      <c r="P344" s="101">
        <v>11034961</v>
      </c>
      <c r="Q344" s="101">
        <v>4941319</v>
      </c>
      <c r="R344" s="101">
        <v>1212140</v>
      </c>
      <c r="S344" s="101"/>
      <c r="T344" t="s">
        <v>440</v>
      </c>
      <c r="U344" s="101">
        <f>SUM(U2:U343)</f>
        <v>67498600</v>
      </c>
      <c r="V344" s="101">
        <f>Inkomsten!M344</f>
        <v>54336040000</v>
      </c>
      <c r="W344" s="101">
        <f>Inkomsten!D344</f>
        <v>39930395633.731377</v>
      </c>
      <c r="X344" s="101">
        <v>1974321</v>
      </c>
      <c r="Y344" s="101">
        <v>2528857</v>
      </c>
      <c r="Z344" s="101">
        <v>125355</v>
      </c>
      <c r="AA344" s="101">
        <v>327486</v>
      </c>
      <c r="AB344" s="101">
        <v>629226</v>
      </c>
      <c r="AC344" s="101">
        <v>176294</v>
      </c>
      <c r="AD344" s="101">
        <v>538363</v>
      </c>
      <c r="AE344" s="101">
        <v>1321440</v>
      </c>
      <c r="AF344" s="101">
        <v>198166</v>
      </c>
      <c r="AG344" s="101">
        <f t="shared" si="16"/>
        <v>45273447.63373138</v>
      </c>
      <c r="AH344" s="101">
        <v>17947684</v>
      </c>
      <c r="AI344" s="101">
        <f t="shared" si="17"/>
        <v>2522.5231084819288</v>
      </c>
      <c r="AJ344" t="s">
        <v>116</v>
      </c>
      <c r="AN344" s="164" t="s">
        <v>440</v>
      </c>
      <c r="AO344" s="259">
        <v>2617.1590516117421</v>
      </c>
      <c r="AP344" s="164" t="s">
        <v>116</v>
      </c>
    </row>
    <row r="345" spans="2:45" x14ac:dyDescent="0.25">
      <c r="F345" s="101"/>
      <c r="G345" s="101"/>
      <c r="H345" s="101"/>
      <c r="I345" s="101"/>
      <c r="J345" s="101"/>
      <c r="K345" s="101"/>
      <c r="L345" s="101"/>
      <c r="M345" s="101"/>
      <c r="N345" s="101"/>
      <c r="O345" s="101"/>
      <c r="P345" s="101"/>
      <c r="Q345" s="101"/>
      <c r="R345" s="101"/>
      <c r="S345" s="101"/>
      <c r="U345" s="101"/>
      <c r="V345" s="101"/>
      <c r="X345" s="101"/>
      <c r="Y345" s="101"/>
      <c r="Z345" s="101"/>
      <c r="AA345" s="101"/>
      <c r="AB345" s="101"/>
      <c r="AC345" s="101"/>
      <c r="AD345" s="101"/>
      <c r="AE345" s="101"/>
      <c r="AF345" s="101"/>
      <c r="AH345" s="101"/>
      <c r="AI345" s="101"/>
    </row>
    <row r="346" spans="2:45" x14ac:dyDescent="0.25">
      <c r="F346" s="101"/>
      <c r="G346" s="101"/>
      <c r="H346" s="101"/>
      <c r="I346" s="101"/>
      <c r="J346" s="101"/>
      <c r="K346" s="101"/>
      <c r="L346" s="101"/>
      <c r="M346" s="101"/>
      <c r="N346" s="101"/>
      <c r="O346" s="101"/>
      <c r="P346" s="101"/>
      <c r="Q346" s="101"/>
      <c r="R346" s="101"/>
      <c r="S346" s="101"/>
      <c r="U346" s="101"/>
      <c r="V346" s="101"/>
      <c r="X346" s="101"/>
      <c r="Y346" s="101"/>
      <c r="Z346" s="101"/>
      <c r="AA346" s="101"/>
      <c r="AB346" s="101"/>
      <c r="AC346" s="101"/>
      <c r="AD346" s="101"/>
      <c r="AE346" s="101"/>
      <c r="AF346" s="101"/>
      <c r="AH346" s="101"/>
      <c r="AI346" s="101"/>
    </row>
    <row r="347" spans="2:45" x14ac:dyDescent="0.25">
      <c r="F347" s="101"/>
      <c r="G347" s="101"/>
      <c r="H347" s="101"/>
      <c r="I347" s="101"/>
      <c r="J347" s="101"/>
      <c r="K347" s="101"/>
      <c r="L347" s="101"/>
      <c r="M347" s="101"/>
      <c r="N347" s="101"/>
      <c r="O347" s="101"/>
      <c r="P347" s="101"/>
      <c r="Q347" s="101"/>
      <c r="R347" s="101"/>
      <c r="S347" s="101"/>
      <c r="U347" s="101"/>
      <c r="V347" s="101"/>
      <c r="X347" s="101"/>
      <c r="Y347" s="101"/>
      <c r="Z347" s="101"/>
      <c r="AA347" s="101"/>
      <c r="AB347" s="101"/>
      <c r="AC347" s="101"/>
      <c r="AD347" s="101"/>
      <c r="AE347" s="101"/>
      <c r="AF347" s="101"/>
      <c r="AH347" s="101"/>
      <c r="AI347" s="101"/>
    </row>
    <row r="348" spans="2:45" x14ac:dyDescent="0.25">
      <c r="H348" s="102"/>
      <c r="U348" s="101"/>
    </row>
    <row r="349" spans="2:45" x14ac:dyDescent="0.25">
      <c r="H349" s="102"/>
      <c r="U349" s="101"/>
    </row>
    <row r="350" spans="2:45" x14ac:dyDescent="0.25">
      <c r="H350" s="102"/>
      <c r="U350" s="101"/>
    </row>
    <row r="351" spans="2:45" x14ac:dyDescent="0.25">
      <c r="H351" s="102"/>
      <c r="U351" s="101"/>
    </row>
    <row r="352" spans="2:45" x14ac:dyDescent="0.25">
      <c r="H352" s="102"/>
      <c r="U352" s="101"/>
    </row>
    <row r="353" spans="4:23" x14ac:dyDescent="0.25">
      <c r="H353" s="102"/>
      <c r="U353" s="101"/>
    </row>
    <row r="354" spans="4:23" x14ac:dyDescent="0.25">
      <c r="H354" s="102"/>
      <c r="U354" s="101"/>
    </row>
    <row r="355" spans="4:23" x14ac:dyDescent="0.25">
      <c r="H355" s="102"/>
      <c r="U355" s="101"/>
    </row>
    <row r="356" spans="4:23" ht="13" customHeight="1" x14ac:dyDescent="0.25">
      <c r="H356" s="102"/>
      <c r="U356" s="101"/>
    </row>
    <row r="357" spans="4:23" x14ac:dyDescent="0.25">
      <c r="D357" s="102"/>
      <c r="E357" s="102"/>
      <c r="F357" s="102"/>
      <c r="G357" s="102"/>
      <c r="H357" s="102"/>
      <c r="U357" s="101"/>
      <c r="W357"/>
    </row>
  </sheetData>
  <sheetProtection algorithmName="SHA-512" hashValue="qjeMwiCY2W9eZemaYh4YYJJWr9QT28ckYBbN2n/4fAd3+uDRdrm78OtQ2cKz+7r5ifgAtPEcb1dWVor76zmyuA==" saltValue="FcHMPm3hsJ6Ms/uHAe69Hg==" spinCount="100000" sheet="1" objects="1" scenarios="1"/>
  <sortState xmlns:xlrd2="http://schemas.microsoft.com/office/spreadsheetml/2017/richdata2" ref="CD2:CF346">
    <sortCondition ref="CE2:CE346"/>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5"/>
  <dimension ref="A1:AG436"/>
  <sheetViews>
    <sheetView zoomScale="98" zoomScaleNormal="98" workbookViewId="0">
      <pane xSplit="2" ySplit="1" topLeftCell="C2" activePane="bottomRight" state="frozen"/>
      <selection pane="topRight" activeCell="C1" sqref="C1"/>
      <selection pane="bottomLeft" activeCell="A2" sqref="A2"/>
      <selection pane="bottomRight" activeCell="B155" sqref="B155"/>
    </sheetView>
  </sheetViews>
  <sheetFormatPr defaultRowHeight="12.5" x14ac:dyDescent="0.25"/>
  <cols>
    <col min="1" max="1" width="10.54296875" style="123" bestFit="1" customWidth="1"/>
    <col min="2" max="2" width="29.90625" style="123" bestFit="1" customWidth="1"/>
    <col min="3" max="3" width="24.54296875" style="123" bestFit="1" customWidth="1"/>
    <col min="4" max="4" width="33.08984375" style="123" bestFit="1" customWidth="1"/>
    <col min="5" max="5" width="36.90625" style="123" bestFit="1" customWidth="1"/>
    <col min="6" max="6" width="17" style="144" bestFit="1" customWidth="1"/>
    <col min="7" max="7" width="17.6328125" style="145" bestFit="1" customWidth="1"/>
    <col min="8" max="8" width="18.453125" style="145" bestFit="1" customWidth="1"/>
    <col min="9" max="9" width="19.54296875" style="145" bestFit="1" customWidth="1"/>
    <col min="10" max="10" width="12.54296875" style="145" bestFit="1" customWidth="1"/>
    <col min="11" max="11" width="37.08984375" style="145" bestFit="1" customWidth="1"/>
    <col min="12" max="12" width="28.36328125" style="145" bestFit="1" customWidth="1"/>
    <col min="13" max="13" width="22" style="145" bestFit="1" customWidth="1"/>
    <col min="14" max="14" width="24.90625" style="145" bestFit="1" customWidth="1"/>
    <col min="15" max="15" width="15.453125" style="145" bestFit="1" customWidth="1"/>
    <col min="16" max="16" width="42.54296875" style="101" bestFit="1" customWidth="1"/>
    <col min="17" max="17" width="30" bestFit="1" customWidth="1"/>
    <col min="18" max="18" width="33.54296875" bestFit="1" customWidth="1"/>
    <col min="19" max="19" width="33" bestFit="1" customWidth="1"/>
    <col min="20" max="20" width="37.453125" style="102" bestFit="1" customWidth="1"/>
    <col min="21" max="22" width="33.90625" bestFit="1" customWidth="1"/>
    <col min="23" max="23" width="21.54296875" bestFit="1" customWidth="1"/>
    <col min="24" max="24" width="27.81640625" bestFit="1" customWidth="1"/>
    <col min="25" max="25" width="32.90625" bestFit="1" customWidth="1"/>
    <col min="26" max="26" width="29.90625" bestFit="1" customWidth="1"/>
    <col min="27" max="27" width="24.6328125" bestFit="1" customWidth="1"/>
    <col min="28" max="28" width="28.453125" bestFit="1" customWidth="1"/>
    <col min="29" max="29" width="18.08984375" bestFit="1" customWidth="1"/>
    <col min="30" max="30" width="21.90625" bestFit="1" customWidth="1"/>
    <col min="31" max="31" width="19.08984375" bestFit="1" customWidth="1"/>
    <col min="32" max="33" width="28.36328125" bestFit="1" customWidth="1"/>
    <col min="34" max="34" width="26" bestFit="1" customWidth="1"/>
  </cols>
  <sheetData>
    <row r="1" spans="1:33" ht="13.25" x14ac:dyDescent="0.25">
      <c r="A1" t="s">
        <v>549</v>
      </c>
      <c r="B1" t="s">
        <v>526</v>
      </c>
      <c r="C1" t="s">
        <v>614</v>
      </c>
      <c r="D1" t="s">
        <v>615</v>
      </c>
      <c r="E1" t="s">
        <v>616</v>
      </c>
      <c r="F1" t="s">
        <v>617</v>
      </c>
      <c r="G1" t="s">
        <v>618</v>
      </c>
      <c r="H1" t="s">
        <v>619</v>
      </c>
      <c r="I1" t="s">
        <v>620</v>
      </c>
      <c r="J1" t="s">
        <v>621</v>
      </c>
      <c r="K1" t="s">
        <v>622</v>
      </c>
      <c r="L1" t="s">
        <v>623</v>
      </c>
      <c r="M1" t="s">
        <v>624</v>
      </c>
      <c r="N1" t="s">
        <v>625</v>
      </c>
      <c r="O1" t="s">
        <v>626</v>
      </c>
      <c r="P1" t="s">
        <v>627</v>
      </c>
      <c r="Q1" t="s">
        <v>628</v>
      </c>
      <c r="R1" t="s">
        <v>629</v>
      </c>
      <c r="S1" t="s">
        <v>630</v>
      </c>
      <c r="T1" t="s">
        <v>631</v>
      </c>
      <c r="U1" t="s">
        <v>632</v>
      </c>
      <c r="V1" t="s">
        <v>633</v>
      </c>
      <c r="W1" t="s">
        <v>790</v>
      </c>
      <c r="X1" t="s">
        <v>791</v>
      </c>
    </row>
    <row r="2" spans="1:33" x14ac:dyDescent="0.25">
      <c r="A2" t="s">
        <v>512</v>
      </c>
      <c r="B2" t="s">
        <v>104</v>
      </c>
      <c r="C2">
        <f>SUM(D2:E2)</f>
        <v>4517</v>
      </c>
      <c r="D2">
        <v>3399</v>
      </c>
      <c r="E2">
        <v>1118</v>
      </c>
      <c r="F2">
        <v>0</v>
      </c>
      <c r="G2">
        <v>0</v>
      </c>
      <c r="H2">
        <v>1647</v>
      </c>
      <c r="I2">
        <v>145</v>
      </c>
      <c r="J2">
        <v>2071</v>
      </c>
      <c r="K2">
        <v>2502</v>
      </c>
      <c r="L2">
        <v>324</v>
      </c>
      <c r="M2">
        <v>130</v>
      </c>
      <c r="N2">
        <v>567</v>
      </c>
      <c r="O2">
        <v>25</v>
      </c>
      <c r="P2">
        <f>SUM(Q2:R2)</f>
        <v>3445000</v>
      </c>
      <c r="Q2">
        <v>3059000</v>
      </c>
      <c r="R2">
        <v>386000</v>
      </c>
      <c r="S2">
        <v>229000</v>
      </c>
      <c r="T2" s="101">
        <f t="shared" ref="T2:T63" si="0">0.1905*SUM(Q2,R2,R2)*10</f>
        <v>7298055</v>
      </c>
      <c r="U2" s="101">
        <f>SUM(T2,-C2*1000)</f>
        <v>2781055</v>
      </c>
      <c r="V2" s="101">
        <f t="shared" ref="V2:V63" si="1">IF(U2&gt;0,U2,0)</f>
        <v>2781055</v>
      </c>
      <c r="W2" s="101">
        <v>63549</v>
      </c>
      <c r="X2" s="149">
        <f>U2/(W2*1000)</f>
        <v>4.3762372342601774E-2</v>
      </c>
      <c r="Y2" s="184"/>
      <c r="AE2" s="101"/>
      <c r="AF2" s="101"/>
      <c r="AG2" s="101"/>
    </row>
    <row r="3" spans="1:33" x14ac:dyDescent="0.25">
      <c r="A3" t="s">
        <v>514</v>
      </c>
      <c r="B3" t="s">
        <v>236</v>
      </c>
      <c r="C3">
        <f t="shared" ref="C3:C65" si="2">SUM(D3:E3)</f>
        <v>10569</v>
      </c>
      <c r="D3">
        <v>5770</v>
      </c>
      <c r="E3">
        <v>4799</v>
      </c>
      <c r="F3">
        <v>19</v>
      </c>
      <c r="G3">
        <v>0</v>
      </c>
      <c r="H3">
        <v>712</v>
      </c>
      <c r="I3">
        <v>333</v>
      </c>
      <c r="J3">
        <v>2897</v>
      </c>
      <c r="K3">
        <v>3711</v>
      </c>
      <c r="L3">
        <v>337</v>
      </c>
      <c r="M3">
        <v>550</v>
      </c>
      <c r="N3">
        <v>872</v>
      </c>
      <c r="O3">
        <v>141</v>
      </c>
      <c r="P3">
        <f t="shared" ref="P3:P65" si="3">SUM(Q3:R3)</f>
        <v>6377000</v>
      </c>
      <c r="Q3">
        <v>5135000</v>
      </c>
      <c r="R3">
        <v>1242000</v>
      </c>
      <c r="S3">
        <v>304000</v>
      </c>
      <c r="T3" s="101">
        <f t="shared" si="0"/>
        <v>14514195</v>
      </c>
      <c r="U3" s="101">
        <f t="shared" ref="U3:U65" si="4">SUM(T3,-C3*1000)</f>
        <v>3945195</v>
      </c>
      <c r="V3" s="101">
        <f t="shared" si="1"/>
        <v>3945195</v>
      </c>
      <c r="W3" s="101">
        <v>89998</v>
      </c>
      <c r="X3" s="149">
        <f t="shared" ref="X3:X65" si="5">U3/(W3*1000)</f>
        <v>4.3836474143869861E-2</v>
      </c>
      <c r="Y3" s="184"/>
      <c r="AE3" s="101"/>
      <c r="AF3" s="101"/>
      <c r="AG3" s="101"/>
    </row>
    <row r="4" spans="1:33" x14ac:dyDescent="0.25">
      <c r="A4" t="s">
        <v>515</v>
      </c>
      <c r="B4" t="s">
        <v>163</v>
      </c>
      <c r="C4">
        <f t="shared" si="2"/>
        <v>5208</v>
      </c>
      <c r="D4">
        <v>3540</v>
      </c>
      <c r="E4">
        <v>1668</v>
      </c>
      <c r="F4">
        <v>9</v>
      </c>
      <c r="G4">
        <v>0</v>
      </c>
      <c r="H4">
        <v>103</v>
      </c>
      <c r="I4">
        <v>348</v>
      </c>
      <c r="J4">
        <v>1983</v>
      </c>
      <c r="K4">
        <v>1435</v>
      </c>
      <c r="L4">
        <v>234</v>
      </c>
      <c r="M4">
        <v>302</v>
      </c>
      <c r="N4">
        <v>361</v>
      </c>
      <c r="O4">
        <v>107</v>
      </c>
      <c r="P4">
        <f t="shared" si="3"/>
        <v>3283000</v>
      </c>
      <c r="Q4">
        <v>2777000</v>
      </c>
      <c r="R4">
        <v>506000</v>
      </c>
      <c r="S4">
        <v>195000</v>
      </c>
      <c r="T4" s="101">
        <f t="shared" si="0"/>
        <v>7218045</v>
      </c>
      <c r="U4" s="101">
        <f t="shared" si="4"/>
        <v>2010045</v>
      </c>
      <c r="V4" s="101">
        <f t="shared" si="1"/>
        <v>2010045</v>
      </c>
      <c r="W4" s="101">
        <v>64640</v>
      </c>
      <c r="X4" s="149">
        <f t="shared" si="5"/>
        <v>3.1095993193069306E-2</v>
      </c>
      <c r="Y4" s="184"/>
      <c r="AE4" s="101"/>
      <c r="AF4" s="101"/>
      <c r="AG4" s="101"/>
    </row>
    <row r="5" spans="1:33" x14ac:dyDescent="0.25">
      <c r="A5" t="s">
        <v>516</v>
      </c>
      <c r="B5" t="s">
        <v>125</v>
      </c>
      <c r="C5">
        <f t="shared" si="2"/>
        <v>6037</v>
      </c>
      <c r="D5">
        <v>3926</v>
      </c>
      <c r="E5">
        <v>2111</v>
      </c>
      <c r="F5">
        <v>0</v>
      </c>
      <c r="G5">
        <v>0</v>
      </c>
      <c r="H5">
        <v>20</v>
      </c>
      <c r="I5">
        <v>49</v>
      </c>
      <c r="J5">
        <v>2197</v>
      </c>
      <c r="K5">
        <v>3937</v>
      </c>
      <c r="L5">
        <v>265</v>
      </c>
      <c r="M5">
        <v>0</v>
      </c>
      <c r="N5">
        <v>478</v>
      </c>
      <c r="O5">
        <v>59</v>
      </c>
      <c r="P5">
        <f t="shared" si="3"/>
        <v>2844000</v>
      </c>
      <c r="Q5">
        <v>2428000</v>
      </c>
      <c r="R5">
        <v>416000</v>
      </c>
      <c r="S5">
        <v>171000</v>
      </c>
      <c r="T5" s="101">
        <f t="shared" si="0"/>
        <v>6210300</v>
      </c>
      <c r="U5" s="101">
        <f t="shared" si="4"/>
        <v>173300</v>
      </c>
      <c r="V5" s="101">
        <f t="shared" si="1"/>
        <v>173300</v>
      </c>
      <c r="W5" s="101">
        <v>87399</v>
      </c>
      <c r="X5" s="149">
        <f t="shared" si="5"/>
        <v>1.9828602157919428E-3</v>
      </c>
      <c r="Y5" s="184"/>
      <c r="AE5" s="101"/>
      <c r="AF5" s="101"/>
      <c r="AG5" s="101"/>
    </row>
    <row r="6" spans="1:33" x14ac:dyDescent="0.25">
      <c r="A6" t="s">
        <v>517</v>
      </c>
      <c r="B6" t="s">
        <v>281</v>
      </c>
      <c r="C6">
        <f t="shared" si="2"/>
        <v>5034</v>
      </c>
      <c r="D6">
        <v>2415</v>
      </c>
      <c r="E6">
        <v>2619</v>
      </c>
      <c r="F6">
        <v>0</v>
      </c>
      <c r="G6">
        <v>77</v>
      </c>
      <c r="H6">
        <v>32</v>
      </c>
      <c r="I6">
        <v>91</v>
      </c>
      <c r="J6">
        <v>1520</v>
      </c>
      <c r="K6">
        <v>3292</v>
      </c>
      <c r="L6">
        <v>174</v>
      </c>
      <c r="M6">
        <v>522</v>
      </c>
      <c r="N6">
        <v>1132</v>
      </c>
      <c r="O6">
        <v>103</v>
      </c>
      <c r="P6">
        <f t="shared" si="3"/>
        <v>2632000</v>
      </c>
      <c r="Q6">
        <v>2124000</v>
      </c>
      <c r="R6">
        <v>508000</v>
      </c>
      <c r="S6">
        <v>204000</v>
      </c>
      <c r="T6" s="101">
        <f t="shared" si="0"/>
        <v>5981700</v>
      </c>
      <c r="U6" s="101">
        <f t="shared" si="4"/>
        <v>947700</v>
      </c>
      <c r="V6" s="101">
        <f t="shared" si="1"/>
        <v>947700</v>
      </c>
      <c r="W6" s="101">
        <v>55491</v>
      </c>
      <c r="X6" s="149">
        <f t="shared" si="5"/>
        <v>1.7078445153268097E-2</v>
      </c>
      <c r="Y6" s="184"/>
      <c r="AE6" s="101"/>
      <c r="AF6" s="101"/>
      <c r="AG6" s="101"/>
    </row>
    <row r="7" spans="1:33" x14ac:dyDescent="0.25">
      <c r="A7" t="s">
        <v>517</v>
      </c>
      <c r="B7" t="s">
        <v>282</v>
      </c>
      <c r="C7">
        <f t="shared" si="2"/>
        <v>7318</v>
      </c>
      <c r="D7">
        <v>4500</v>
      </c>
      <c r="E7">
        <v>2818</v>
      </c>
      <c r="F7">
        <v>0</v>
      </c>
      <c r="G7">
        <v>0</v>
      </c>
      <c r="H7">
        <v>0</v>
      </c>
      <c r="I7">
        <v>0</v>
      </c>
      <c r="J7">
        <v>2982</v>
      </c>
      <c r="K7">
        <v>3995</v>
      </c>
      <c r="L7">
        <v>313</v>
      </c>
      <c r="M7">
        <v>213</v>
      </c>
      <c r="N7">
        <v>556</v>
      </c>
      <c r="O7">
        <v>31</v>
      </c>
      <c r="P7">
        <f t="shared" si="3"/>
        <v>3993000</v>
      </c>
      <c r="Q7">
        <v>3508000</v>
      </c>
      <c r="R7">
        <v>485000</v>
      </c>
      <c r="S7">
        <v>266000</v>
      </c>
      <c r="T7" s="101">
        <f t="shared" si="0"/>
        <v>8530590</v>
      </c>
      <c r="U7" s="101">
        <f t="shared" si="4"/>
        <v>1212590</v>
      </c>
      <c r="V7" s="101">
        <f t="shared" si="1"/>
        <v>1212590</v>
      </c>
      <c r="W7" s="101">
        <v>57589</v>
      </c>
      <c r="X7" s="149">
        <f t="shared" si="5"/>
        <v>2.1055930820121898E-2</v>
      </c>
      <c r="Y7" s="184"/>
      <c r="AE7" s="101"/>
      <c r="AF7" s="101"/>
      <c r="AG7" s="101"/>
    </row>
    <row r="8" spans="1:33" x14ac:dyDescent="0.25">
      <c r="A8" t="s">
        <v>514</v>
      </c>
      <c r="B8" t="s">
        <v>237</v>
      </c>
      <c r="C8">
        <f t="shared" si="2"/>
        <v>25822</v>
      </c>
      <c r="D8">
        <v>10343</v>
      </c>
      <c r="E8">
        <v>15479</v>
      </c>
      <c r="F8">
        <v>8853</v>
      </c>
      <c r="G8">
        <v>519</v>
      </c>
      <c r="H8">
        <v>572</v>
      </c>
      <c r="I8">
        <v>930</v>
      </c>
      <c r="J8">
        <v>8917</v>
      </c>
      <c r="K8">
        <v>14054</v>
      </c>
      <c r="L8">
        <v>993</v>
      </c>
      <c r="M8">
        <v>133</v>
      </c>
      <c r="N8">
        <v>2378</v>
      </c>
      <c r="O8">
        <v>526</v>
      </c>
      <c r="P8">
        <f t="shared" si="3"/>
        <v>16873000</v>
      </c>
      <c r="Q8">
        <v>13862000</v>
      </c>
      <c r="R8">
        <v>3011000</v>
      </c>
      <c r="S8">
        <v>202000</v>
      </c>
      <c r="T8" s="101">
        <f t="shared" si="0"/>
        <v>37879020</v>
      </c>
      <c r="U8" s="101">
        <f t="shared" si="4"/>
        <v>12057020</v>
      </c>
      <c r="V8" s="101">
        <f t="shared" si="1"/>
        <v>12057020</v>
      </c>
      <c r="W8" s="101">
        <v>393919</v>
      </c>
      <c r="X8" s="149">
        <f t="shared" si="5"/>
        <v>3.0607866084144203E-2</v>
      </c>
      <c r="Y8" s="184"/>
      <c r="AE8" s="101"/>
      <c r="AF8" s="101"/>
      <c r="AG8" s="101"/>
    </row>
    <row r="9" spans="1:33" x14ac:dyDescent="0.25">
      <c r="A9" t="s">
        <v>518</v>
      </c>
      <c r="B9" t="s">
        <v>139</v>
      </c>
      <c r="C9">
        <f t="shared" si="2"/>
        <v>24298</v>
      </c>
      <c r="D9">
        <v>10636</v>
      </c>
      <c r="E9">
        <v>13662</v>
      </c>
      <c r="F9">
        <v>2082</v>
      </c>
      <c r="G9">
        <v>50</v>
      </c>
      <c r="H9">
        <v>399</v>
      </c>
      <c r="I9">
        <v>125</v>
      </c>
      <c r="J9">
        <v>10745</v>
      </c>
      <c r="K9">
        <v>8407</v>
      </c>
      <c r="L9">
        <v>699</v>
      </c>
      <c r="M9">
        <v>418</v>
      </c>
      <c r="N9">
        <v>1756</v>
      </c>
      <c r="O9">
        <v>249</v>
      </c>
      <c r="P9">
        <f t="shared" si="3"/>
        <v>8536000</v>
      </c>
      <c r="Q9">
        <v>6621000</v>
      </c>
      <c r="R9">
        <v>1915000</v>
      </c>
      <c r="S9">
        <v>160000</v>
      </c>
      <c r="T9" s="101">
        <f t="shared" si="0"/>
        <v>19909155</v>
      </c>
      <c r="U9" s="101">
        <f t="shared" si="4"/>
        <v>-4388845</v>
      </c>
      <c r="V9" s="101">
        <f t="shared" si="1"/>
        <v>0</v>
      </c>
      <c r="W9" s="101">
        <v>314474</v>
      </c>
      <c r="X9" s="149">
        <f t="shared" si="5"/>
        <v>-1.395614581809625E-2</v>
      </c>
      <c r="Y9" s="184"/>
      <c r="AE9" s="101"/>
      <c r="AF9" s="101"/>
      <c r="AG9" s="101"/>
    </row>
    <row r="10" spans="1:33" x14ac:dyDescent="0.25">
      <c r="A10" t="s">
        <v>519</v>
      </c>
      <c r="B10" t="s">
        <v>427</v>
      </c>
      <c r="C10">
        <f t="shared" si="2"/>
        <v>49677</v>
      </c>
      <c r="D10">
        <v>28386</v>
      </c>
      <c r="E10">
        <v>21291</v>
      </c>
      <c r="F10">
        <v>16137</v>
      </c>
      <c r="G10">
        <v>240</v>
      </c>
      <c r="H10">
        <v>1199</v>
      </c>
      <c r="I10">
        <v>26</v>
      </c>
      <c r="J10">
        <v>16598</v>
      </c>
      <c r="K10">
        <v>33756</v>
      </c>
      <c r="L10">
        <v>2447</v>
      </c>
      <c r="M10">
        <v>0</v>
      </c>
      <c r="N10">
        <v>10686</v>
      </c>
      <c r="O10">
        <v>835</v>
      </c>
      <c r="P10">
        <f t="shared" si="3"/>
        <v>28120000</v>
      </c>
      <c r="Q10">
        <v>24382000</v>
      </c>
      <c r="R10">
        <v>3738000</v>
      </c>
      <c r="S10">
        <v>198000</v>
      </c>
      <c r="T10" s="101">
        <f t="shared" si="0"/>
        <v>60689490</v>
      </c>
      <c r="U10" s="101">
        <f t="shared" si="4"/>
        <v>11012490</v>
      </c>
      <c r="V10" s="101">
        <f t="shared" si="1"/>
        <v>11012490</v>
      </c>
      <c r="W10" s="101">
        <v>948569</v>
      </c>
      <c r="X10" s="149">
        <f t="shared" si="5"/>
        <v>1.1609582434171895E-2</v>
      </c>
      <c r="Y10" s="184"/>
      <c r="AE10" s="101"/>
      <c r="AF10" s="101"/>
      <c r="AG10" s="101"/>
    </row>
    <row r="11" spans="1:33" x14ac:dyDescent="0.25">
      <c r="A11" t="s">
        <v>517</v>
      </c>
      <c r="B11" t="s">
        <v>283</v>
      </c>
      <c r="C11">
        <f t="shared" si="2"/>
        <v>22021</v>
      </c>
      <c r="D11">
        <v>13504</v>
      </c>
      <c r="E11">
        <v>8517</v>
      </c>
      <c r="F11">
        <v>4041</v>
      </c>
      <c r="G11">
        <v>0</v>
      </c>
      <c r="H11">
        <v>100</v>
      </c>
      <c r="I11">
        <v>558</v>
      </c>
      <c r="J11">
        <v>12865</v>
      </c>
      <c r="K11">
        <v>14380</v>
      </c>
      <c r="L11">
        <v>1843</v>
      </c>
      <c r="M11">
        <v>850</v>
      </c>
      <c r="N11">
        <v>1928</v>
      </c>
      <c r="O11">
        <v>294</v>
      </c>
      <c r="P11">
        <f t="shared" si="3"/>
        <v>16123000</v>
      </c>
      <c r="Q11">
        <v>13873000</v>
      </c>
      <c r="R11">
        <v>2250000</v>
      </c>
      <c r="S11">
        <v>231000</v>
      </c>
      <c r="T11" s="101">
        <f t="shared" si="0"/>
        <v>35000565</v>
      </c>
      <c r="U11" s="101">
        <f t="shared" si="4"/>
        <v>12979565</v>
      </c>
      <c r="V11" s="101">
        <f t="shared" si="1"/>
        <v>12979565</v>
      </c>
      <c r="W11" s="101">
        <v>335894</v>
      </c>
      <c r="X11" s="149">
        <f t="shared" si="5"/>
        <v>3.8641848321196569E-2</v>
      </c>
      <c r="Y11" s="184"/>
      <c r="AE11" s="101"/>
      <c r="AF11" s="101"/>
      <c r="AG11" s="101"/>
    </row>
    <row r="12" spans="1:33" x14ac:dyDescent="0.25">
      <c r="A12" t="s">
        <v>513</v>
      </c>
      <c r="B12" t="s">
        <v>341</v>
      </c>
      <c r="C12">
        <f t="shared" si="2"/>
        <v>2541</v>
      </c>
      <c r="D12">
        <v>1699</v>
      </c>
      <c r="E12">
        <v>842</v>
      </c>
      <c r="F12">
        <v>0</v>
      </c>
      <c r="G12">
        <v>0</v>
      </c>
      <c r="H12">
        <v>234</v>
      </c>
      <c r="I12">
        <v>37</v>
      </c>
      <c r="J12">
        <v>1419</v>
      </c>
      <c r="K12">
        <v>1149</v>
      </c>
      <c r="L12">
        <v>160</v>
      </c>
      <c r="M12">
        <v>19</v>
      </c>
      <c r="N12">
        <v>448</v>
      </c>
      <c r="O12">
        <v>53</v>
      </c>
      <c r="P12">
        <f t="shared" si="3"/>
        <v>1775000</v>
      </c>
      <c r="Q12">
        <v>1459000</v>
      </c>
      <c r="R12">
        <v>316000</v>
      </c>
      <c r="S12">
        <v>307000</v>
      </c>
      <c r="T12" s="101">
        <f t="shared" si="0"/>
        <v>3983355</v>
      </c>
      <c r="U12" s="101">
        <f t="shared" si="4"/>
        <v>1442355</v>
      </c>
      <c r="V12" s="101">
        <f t="shared" si="1"/>
        <v>1442355</v>
      </c>
      <c r="W12" s="101">
        <v>25299</v>
      </c>
      <c r="X12" s="149">
        <f t="shared" si="5"/>
        <v>5.7012332503261001E-2</v>
      </c>
      <c r="Y12" s="184"/>
      <c r="AE12" s="101"/>
      <c r="AF12" s="101"/>
      <c r="AG12" s="101"/>
    </row>
    <row r="13" spans="1:33" x14ac:dyDescent="0.25">
      <c r="A13" t="s">
        <v>513</v>
      </c>
      <c r="B13" t="s">
        <v>591</v>
      </c>
      <c r="C13">
        <f t="shared" si="2"/>
        <v>9796</v>
      </c>
      <c r="D13">
        <v>6657</v>
      </c>
      <c r="E13">
        <v>3139</v>
      </c>
      <c r="F13">
        <v>0</v>
      </c>
      <c r="G13">
        <v>0</v>
      </c>
      <c r="H13">
        <v>147</v>
      </c>
      <c r="I13">
        <v>82</v>
      </c>
      <c r="J13">
        <v>5503</v>
      </c>
      <c r="K13">
        <v>6148</v>
      </c>
      <c r="L13">
        <v>583</v>
      </c>
      <c r="M13">
        <v>879</v>
      </c>
      <c r="N13">
        <v>2685</v>
      </c>
      <c r="O13">
        <v>794</v>
      </c>
      <c r="P13">
        <f t="shared" si="3"/>
        <v>7562000</v>
      </c>
      <c r="Q13">
        <v>6496000</v>
      </c>
      <c r="R13">
        <v>1066000</v>
      </c>
      <c r="S13">
        <v>245000</v>
      </c>
      <c r="T13" s="101">
        <f t="shared" si="0"/>
        <v>16436340</v>
      </c>
      <c r="U13" s="101">
        <f t="shared" si="4"/>
        <v>6640340</v>
      </c>
      <c r="V13" s="101">
        <f t="shared" si="1"/>
        <v>6640340</v>
      </c>
      <c r="W13" s="101">
        <v>135145</v>
      </c>
      <c r="X13" s="149">
        <f t="shared" si="5"/>
        <v>4.9134929150172035E-2</v>
      </c>
      <c r="Y13" s="184"/>
      <c r="AE13" s="101"/>
      <c r="AF13" s="101"/>
      <c r="AG13" s="101"/>
    </row>
    <row r="14" spans="1:33" x14ac:dyDescent="0.25">
      <c r="A14" t="s">
        <v>516</v>
      </c>
      <c r="B14" t="s">
        <v>126</v>
      </c>
      <c r="C14">
        <f t="shared" si="2"/>
        <v>1515</v>
      </c>
      <c r="D14">
        <v>1018</v>
      </c>
      <c r="E14">
        <v>497</v>
      </c>
      <c r="F14">
        <v>0</v>
      </c>
      <c r="G14">
        <v>0</v>
      </c>
      <c r="H14">
        <v>2876</v>
      </c>
      <c r="I14">
        <v>1679</v>
      </c>
      <c r="J14">
        <v>831</v>
      </c>
      <c r="K14">
        <v>1279</v>
      </c>
      <c r="L14">
        <v>61</v>
      </c>
      <c r="M14">
        <v>45</v>
      </c>
      <c r="N14">
        <v>228</v>
      </c>
      <c r="O14">
        <v>87</v>
      </c>
      <c r="P14">
        <f t="shared" si="3"/>
        <v>1324000</v>
      </c>
      <c r="Q14">
        <v>1128000</v>
      </c>
      <c r="R14">
        <v>196000</v>
      </c>
      <c r="S14">
        <v>238000</v>
      </c>
      <c r="T14" s="101">
        <f t="shared" si="0"/>
        <v>2895600</v>
      </c>
      <c r="U14" s="101">
        <f t="shared" si="4"/>
        <v>1380600</v>
      </c>
      <c r="V14" s="101">
        <f t="shared" si="1"/>
        <v>1380600</v>
      </c>
      <c r="W14" s="101">
        <v>23068</v>
      </c>
      <c r="X14" s="149">
        <f t="shared" si="5"/>
        <v>5.9849141668111672E-2</v>
      </c>
      <c r="Y14" s="184"/>
      <c r="AE14" s="101"/>
      <c r="AF14" s="101"/>
      <c r="AG14" s="101"/>
    </row>
    <row r="15" spans="1:33" x14ac:dyDescent="0.25">
      <c r="A15" t="s">
        <v>520</v>
      </c>
      <c r="B15" t="s">
        <v>212</v>
      </c>
      <c r="C15">
        <f t="shared" si="2"/>
        <v>51657</v>
      </c>
      <c r="D15">
        <v>28653</v>
      </c>
      <c r="E15">
        <v>23004</v>
      </c>
      <c r="F15">
        <v>3598</v>
      </c>
      <c r="G15">
        <v>275</v>
      </c>
      <c r="H15">
        <v>600</v>
      </c>
      <c r="I15">
        <v>1206</v>
      </c>
      <c r="J15">
        <v>14215</v>
      </c>
      <c r="K15">
        <v>21165</v>
      </c>
      <c r="L15">
        <v>2465</v>
      </c>
      <c r="M15">
        <v>4260</v>
      </c>
      <c r="N15">
        <v>4099</v>
      </c>
      <c r="O15">
        <v>1136</v>
      </c>
      <c r="P15">
        <f t="shared" si="3"/>
        <v>26687000</v>
      </c>
      <c r="Q15">
        <v>23009000</v>
      </c>
      <c r="R15">
        <v>3678000</v>
      </c>
      <c r="S15">
        <v>254000</v>
      </c>
      <c r="T15" s="101">
        <f t="shared" si="0"/>
        <v>57845325</v>
      </c>
      <c r="U15" s="101">
        <f t="shared" si="4"/>
        <v>6188325</v>
      </c>
      <c r="V15" s="101">
        <f t="shared" si="1"/>
        <v>6188325</v>
      </c>
      <c r="W15" s="101">
        <v>576833</v>
      </c>
      <c r="X15" s="149">
        <f t="shared" si="5"/>
        <v>1.072810501479631E-2</v>
      </c>
      <c r="Y15" s="184"/>
      <c r="AE15" s="101"/>
      <c r="AF15" s="101"/>
      <c r="AG15" s="101"/>
    </row>
    <row r="16" spans="1:33" x14ac:dyDescent="0.25">
      <c r="A16" t="s">
        <v>514</v>
      </c>
      <c r="B16" t="s">
        <v>238</v>
      </c>
      <c r="C16">
        <f t="shared" si="2"/>
        <v>23840</v>
      </c>
      <c r="D16">
        <v>12446</v>
      </c>
      <c r="E16">
        <v>11394</v>
      </c>
      <c r="F16">
        <v>3743</v>
      </c>
      <c r="G16">
        <v>0</v>
      </c>
      <c r="H16">
        <v>1062</v>
      </c>
      <c r="I16">
        <v>0</v>
      </c>
      <c r="J16">
        <v>9267</v>
      </c>
      <c r="K16">
        <v>11030</v>
      </c>
      <c r="L16">
        <v>1481</v>
      </c>
      <c r="M16">
        <v>4454</v>
      </c>
      <c r="N16">
        <v>1898</v>
      </c>
      <c r="O16">
        <v>320</v>
      </c>
      <c r="P16">
        <f t="shared" si="3"/>
        <v>21542000</v>
      </c>
      <c r="Q16">
        <v>18924000</v>
      </c>
      <c r="R16">
        <v>2618000</v>
      </c>
      <c r="S16">
        <v>342000</v>
      </c>
      <c r="T16" s="101">
        <f t="shared" si="0"/>
        <v>46024800</v>
      </c>
      <c r="U16" s="101">
        <f t="shared" si="4"/>
        <v>22184800</v>
      </c>
      <c r="V16" s="101">
        <f t="shared" si="1"/>
        <v>22184800</v>
      </c>
      <c r="W16" s="101">
        <v>265156</v>
      </c>
      <c r="X16" s="149">
        <f t="shared" si="5"/>
        <v>8.3666973404335557E-2</v>
      </c>
      <c r="Y16" s="184"/>
      <c r="AE16" s="101"/>
      <c r="AF16" s="101"/>
      <c r="AG16" s="101"/>
    </row>
    <row r="17" spans="1:33" x14ac:dyDescent="0.25">
      <c r="A17" t="s">
        <v>514</v>
      </c>
      <c r="B17" t="s">
        <v>239</v>
      </c>
      <c r="C17">
        <v>225948</v>
      </c>
      <c r="D17">
        <v>85176</v>
      </c>
      <c r="E17">
        <v>140772</v>
      </c>
      <c r="F17">
        <v>317115</v>
      </c>
      <c r="G17">
        <v>2681</v>
      </c>
      <c r="H17">
        <v>135000</v>
      </c>
      <c r="I17">
        <v>10436</v>
      </c>
      <c r="J17">
        <v>84510</v>
      </c>
      <c r="K17">
        <v>178453</v>
      </c>
      <c r="L17">
        <v>14405</v>
      </c>
      <c r="M17">
        <v>6455</v>
      </c>
      <c r="N17">
        <v>56840</v>
      </c>
      <c r="O17">
        <v>41306</v>
      </c>
      <c r="P17">
        <v>242125000</v>
      </c>
      <c r="Q17">
        <v>192856000</v>
      </c>
      <c r="R17">
        <v>49269000</v>
      </c>
      <c r="S17">
        <v>328000</v>
      </c>
      <c r="T17" s="101">
        <f t="shared" si="0"/>
        <v>555105570</v>
      </c>
      <c r="U17" s="101">
        <f t="shared" si="4"/>
        <v>329157570</v>
      </c>
      <c r="V17" s="101">
        <f t="shared" si="1"/>
        <v>329157570</v>
      </c>
      <c r="W17" s="101">
        <v>5453454</v>
      </c>
      <c r="X17" s="149">
        <f t="shared" si="5"/>
        <v>6.0357632062175641E-2</v>
      </c>
      <c r="Y17" s="184"/>
      <c r="AE17" s="101"/>
      <c r="AF17" s="101"/>
      <c r="AG17" s="101"/>
    </row>
    <row r="18" spans="1:33" x14ac:dyDescent="0.25">
      <c r="A18" t="s">
        <v>515</v>
      </c>
      <c r="B18" t="s">
        <v>164</v>
      </c>
      <c r="C18">
        <f t="shared" si="2"/>
        <v>55477</v>
      </c>
      <c r="D18">
        <v>26536</v>
      </c>
      <c r="E18">
        <v>28941</v>
      </c>
      <c r="F18">
        <v>4343</v>
      </c>
      <c r="G18">
        <v>487</v>
      </c>
      <c r="H18">
        <v>2206</v>
      </c>
      <c r="I18">
        <v>1199</v>
      </c>
      <c r="J18">
        <v>12846</v>
      </c>
      <c r="K18">
        <v>20811</v>
      </c>
      <c r="L18">
        <v>2101</v>
      </c>
      <c r="M18">
        <v>1647</v>
      </c>
      <c r="N18">
        <v>5397</v>
      </c>
      <c r="O18">
        <v>1220</v>
      </c>
      <c r="P18">
        <f t="shared" si="3"/>
        <v>24535000</v>
      </c>
      <c r="Q18">
        <v>20391000</v>
      </c>
      <c r="R18">
        <v>4144000</v>
      </c>
      <c r="S18">
        <v>223000</v>
      </c>
      <c r="T18" s="101">
        <f t="shared" si="0"/>
        <v>54633495</v>
      </c>
      <c r="U18" s="101">
        <f t="shared" si="4"/>
        <v>-843505</v>
      </c>
      <c r="V18" s="101">
        <f t="shared" si="1"/>
        <v>0</v>
      </c>
      <c r="W18" s="101">
        <v>593885</v>
      </c>
      <c r="X18" s="149">
        <f t="shared" si="5"/>
        <v>-1.4203170647515933E-3</v>
      </c>
      <c r="Y18" s="184"/>
      <c r="AE18" s="101"/>
      <c r="AF18" s="101"/>
      <c r="AG18" s="101"/>
    </row>
    <row r="19" spans="1:33" x14ac:dyDescent="0.25">
      <c r="A19" t="s">
        <v>515</v>
      </c>
      <c r="B19" t="s">
        <v>165</v>
      </c>
      <c r="C19">
        <f t="shared" si="2"/>
        <v>54703</v>
      </c>
      <c r="D19">
        <v>25997</v>
      </c>
      <c r="E19">
        <v>28706</v>
      </c>
      <c r="F19">
        <v>15444</v>
      </c>
      <c r="G19">
        <v>0</v>
      </c>
      <c r="H19">
        <v>525</v>
      </c>
      <c r="I19">
        <v>54</v>
      </c>
      <c r="J19">
        <v>17148</v>
      </c>
      <c r="K19">
        <v>20119</v>
      </c>
      <c r="L19">
        <v>2114</v>
      </c>
      <c r="M19">
        <v>0</v>
      </c>
      <c r="N19">
        <v>4037</v>
      </c>
      <c r="O19">
        <v>1311</v>
      </c>
      <c r="P19">
        <f t="shared" si="3"/>
        <v>21772000</v>
      </c>
      <c r="Q19">
        <v>18017000</v>
      </c>
      <c r="R19">
        <v>3755000</v>
      </c>
      <c r="S19">
        <v>187000</v>
      </c>
      <c r="T19" s="101">
        <f t="shared" si="0"/>
        <v>48628935</v>
      </c>
      <c r="U19" s="101">
        <f t="shared" si="4"/>
        <v>-6074065</v>
      </c>
      <c r="V19" s="101">
        <f t="shared" si="1"/>
        <v>0</v>
      </c>
      <c r="W19" s="101">
        <v>763281</v>
      </c>
      <c r="X19" s="149">
        <f t="shared" si="5"/>
        <v>-7.9578359739073817E-3</v>
      </c>
      <c r="Y19" s="184"/>
      <c r="AE19" s="101"/>
      <c r="AF19" s="101"/>
      <c r="AG19" s="101"/>
    </row>
    <row r="20" spans="1:33" x14ac:dyDescent="0.25">
      <c r="A20" t="s">
        <v>512</v>
      </c>
      <c r="B20" t="s">
        <v>105</v>
      </c>
      <c r="C20">
        <f t="shared" si="2"/>
        <v>20838</v>
      </c>
      <c r="D20">
        <v>11752</v>
      </c>
      <c r="E20">
        <v>9086</v>
      </c>
      <c r="F20">
        <v>4868</v>
      </c>
      <c r="G20">
        <v>90</v>
      </c>
      <c r="H20">
        <v>720</v>
      </c>
      <c r="I20">
        <v>0</v>
      </c>
      <c r="J20">
        <v>4720</v>
      </c>
      <c r="K20">
        <v>7194</v>
      </c>
      <c r="L20">
        <v>914</v>
      </c>
      <c r="M20">
        <v>561</v>
      </c>
      <c r="N20">
        <v>1999</v>
      </c>
      <c r="O20">
        <v>134</v>
      </c>
      <c r="P20">
        <f t="shared" si="3"/>
        <v>7967000</v>
      </c>
      <c r="Q20">
        <v>6738000</v>
      </c>
      <c r="R20">
        <v>1229000</v>
      </c>
      <c r="S20">
        <v>172000</v>
      </c>
      <c r="T20" s="101">
        <f t="shared" si="0"/>
        <v>17518380</v>
      </c>
      <c r="U20" s="101">
        <f t="shared" si="4"/>
        <v>-3319620</v>
      </c>
      <c r="V20" s="101">
        <f t="shared" si="1"/>
        <v>0</v>
      </c>
      <c r="W20" s="101">
        <v>312718</v>
      </c>
      <c r="X20" s="149">
        <f t="shared" si="5"/>
        <v>-1.0615378711810642E-2</v>
      </c>
      <c r="Y20" s="184"/>
      <c r="AE20" s="101"/>
      <c r="AF20" s="101"/>
      <c r="AG20" s="101"/>
    </row>
    <row r="21" spans="1:33" x14ac:dyDescent="0.25">
      <c r="A21" t="s">
        <v>513</v>
      </c>
      <c r="B21" t="s">
        <v>342</v>
      </c>
      <c r="C21">
        <f t="shared" si="2"/>
        <v>4534</v>
      </c>
      <c r="D21">
        <v>2680</v>
      </c>
      <c r="E21">
        <v>1854</v>
      </c>
      <c r="F21">
        <v>0</v>
      </c>
      <c r="G21">
        <v>0</v>
      </c>
      <c r="H21">
        <v>506</v>
      </c>
      <c r="I21">
        <v>127</v>
      </c>
      <c r="J21">
        <v>2222</v>
      </c>
      <c r="K21">
        <v>1172</v>
      </c>
      <c r="L21">
        <v>252</v>
      </c>
      <c r="M21">
        <v>0</v>
      </c>
      <c r="N21">
        <v>898</v>
      </c>
      <c r="O21">
        <v>33</v>
      </c>
      <c r="P21">
        <f t="shared" si="3"/>
        <v>2669000</v>
      </c>
      <c r="Q21">
        <v>2229000</v>
      </c>
      <c r="R21">
        <v>440000</v>
      </c>
      <c r="T21" s="101">
        <f t="shared" si="0"/>
        <v>5922645</v>
      </c>
      <c r="U21" s="101">
        <f t="shared" si="4"/>
        <v>1388645</v>
      </c>
      <c r="V21" s="101">
        <f t="shared" si="1"/>
        <v>1388645</v>
      </c>
      <c r="W21" s="101">
        <v>43424</v>
      </c>
      <c r="X21" s="149">
        <f t="shared" si="5"/>
        <v>3.1978744473102429E-2</v>
      </c>
      <c r="Y21" s="184"/>
      <c r="AE21" s="101"/>
      <c r="AF21" s="101"/>
      <c r="AG21" s="101"/>
    </row>
    <row r="22" spans="1:33" x14ac:dyDescent="0.25">
      <c r="A22" t="s">
        <v>513</v>
      </c>
      <c r="B22" t="s">
        <v>343</v>
      </c>
      <c r="C22">
        <f t="shared" si="2"/>
        <v>1636</v>
      </c>
      <c r="D22">
        <v>950</v>
      </c>
      <c r="E22">
        <v>686</v>
      </c>
      <c r="F22">
        <v>1</v>
      </c>
      <c r="G22">
        <v>9</v>
      </c>
      <c r="H22">
        <v>74</v>
      </c>
      <c r="I22">
        <v>344</v>
      </c>
      <c r="J22">
        <v>678</v>
      </c>
      <c r="K22">
        <v>836</v>
      </c>
      <c r="L22">
        <v>69</v>
      </c>
      <c r="M22">
        <v>0</v>
      </c>
      <c r="N22">
        <v>447</v>
      </c>
      <c r="O22">
        <v>45</v>
      </c>
      <c r="P22">
        <f t="shared" si="3"/>
        <v>1228000</v>
      </c>
      <c r="Q22">
        <v>950000</v>
      </c>
      <c r="R22">
        <v>278000</v>
      </c>
      <c r="S22">
        <v>265000</v>
      </c>
      <c r="T22" s="101">
        <f t="shared" si="0"/>
        <v>2868930</v>
      </c>
      <c r="U22" s="101">
        <f t="shared" si="4"/>
        <v>1232930</v>
      </c>
      <c r="V22" s="101">
        <f t="shared" si="1"/>
        <v>1232930</v>
      </c>
      <c r="W22" s="101">
        <v>18968</v>
      </c>
      <c r="X22" s="149">
        <f t="shared" si="5"/>
        <v>6.5000527203711508E-2</v>
      </c>
      <c r="Y22" s="184"/>
      <c r="AE22" s="101"/>
      <c r="AF22" s="101"/>
      <c r="AG22" s="101"/>
    </row>
    <row r="23" spans="1:33" x14ac:dyDescent="0.25">
      <c r="A23" t="s">
        <v>520</v>
      </c>
      <c r="B23" t="s">
        <v>213</v>
      </c>
      <c r="C23">
        <f t="shared" si="2"/>
        <v>6164</v>
      </c>
      <c r="D23">
        <v>4410</v>
      </c>
      <c r="E23">
        <v>1754</v>
      </c>
      <c r="F23">
        <v>20</v>
      </c>
      <c r="G23">
        <v>41</v>
      </c>
      <c r="H23">
        <v>91</v>
      </c>
      <c r="I23">
        <v>171</v>
      </c>
      <c r="J23">
        <v>2866</v>
      </c>
      <c r="K23">
        <v>3904</v>
      </c>
      <c r="L23">
        <v>315</v>
      </c>
      <c r="M23">
        <v>452</v>
      </c>
      <c r="N23">
        <v>401</v>
      </c>
      <c r="O23">
        <v>56</v>
      </c>
      <c r="P23">
        <f t="shared" si="3"/>
        <v>4884000</v>
      </c>
      <c r="Q23">
        <v>4435000</v>
      </c>
      <c r="R23">
        <v>449000</v>
      </c>
      <c r="S23">
        <v>306000</v>
      </c>
      <c r="T23" s="101">
        <f t="shared" si="0"/>
        <v>10159365</v>
      </c>
      <c r="U23" s="101">
        <f t="shared" si="4"/>
        <v>3995365</v>
      </c>
      <c r="V23" s="101">
        <f t="shared" si="1"/>
        <v>3995365</v>
      </c>
      <c r="W23" s="101">
        <v>61091</v>
      </c>
      <c r="X23" s="149">
        <f t="shared" si="5"/>
        <v>6.5400222618716336E-2</v>
      </c>
      <c r="Y23" s="184"/>
      <c r="AE23" s="101"/>
      <c r="AF23" s="101"/>
      <c r="AG23" s="101"/>
    </row>
    <row r="24" spans="1:33" x14ac:dyDescent="0.25">
      <c r="A24" t="s">
        <v>517</v>
      </c>
      <c r="B24" t="s">
        <v>284</v>
      </c>
      <c r="C24">
        <f t="shared" si="2"/>
        <v>10685</v>
      </c>
      <c r="D24">
        <v>7124</v>
      </c>
      <c r="E24">
        <v>3561</v>
      </c>
      <c r="F24">
        <v>43</v>
      </c>
      <c r="G24">
        <v>0</v>
      </c>
      <c r="H24">
        <v>25</v>
      </c>
      <c r="I24">
        <v>289</v>
      </c>
      <c r="J24">
        <v>3250</v>
      </c>
      <c r="K24">
        <v>6314</v>
      </c>
      <c r="L24">
        <v>546</v>
      </c>
      <c r="M24">
        <v>530</v>
      </c>
      <c r="N24">
        <v>1771</v>
      </c>
      <c r="O24">
        <v>140</v>
      </c>
      <c r="P24">
        <f t="shared" si="3"/>
        <v>7678000</v>
      </c>
      <c r="Q24">
        <v>6556000</v>
      </c>
      <c r="R24">
        <v>1122000</v>
      </c>
      <c r="S24">
        <v>263000</v>
      </c>
      <c r="T24" s="101">
        <f t="shared" si="0"/>
        <v>16764000</v>
      </c>
      <c r="U24" s="101">
        <f t="shared" si="4"/>
        <v>6079000</v>
      </c>
      <c r="V24" s="101">
        <f t="shared" si="1"/>
        <v>6079000</v>
      </c>
      <c r="W24" s="101">
        <v>117439</v>
      </c>
      <c r="X24" s="149">
        <f t="shared" si="5"/>
        <v>5.176304294144194E-2</v>
      </c>
      <c r="Y24" s="184"/>
      <c r="AE24" s="101"/>
      <c r="AF24" s="101"/>
      <c r="AG24" s="101"/>
    </row>
    <row r="25" spans="1:33" x14ac:dyDescent="0.25">
      <c r="A25" t="s">
        <v>515</v>
      </c>
      <c r="B25" t="s">
        <v>166</v>
      </c>
      <c r="C25">
        <f t="shared" si="2"/>
        <v>13486</v>
      </c>
      <c r="D25">
        <v>7052</v>
      </c>
      <c r="E25">
        <v>6434</v>
      </c>
      <c r="F25">
        <v>843</v>
      </c>
      <c r="G25">
        <v>2755</v>
      </c>
      <c r="H25">
        <v>585</v>
      </c>
      <c r="I25">
        <v>1378</v>
      </c>
      <c r="J25">
        <v>5159</v>
      </c>
      <c r="K25">
        <v>6429</v>
      </c>
      <c r="L25">
        <v>1029</v>
      </c>
      <c r="M25">
        <v>982</v>
      </c>
      <c r="N25">
        <v>3363</v>
      </c>
      <c r="O25">
        <v>111</v>
      </c>
      <c r="P25">
        <f t="shared" si="3"/>
        <v>9810000</v>
      </c>
      <c r="Q25">
        <v>7693000</v>
      </c>
      <c r="R25">
        <v>2117000</v>
      </c>
      <c r="S25">
        <v>277000</v>
      </c>
      <c r="T25" s="101">
        <f t="shared" si="0"/>
        <v>22720935</v>
      </c>
      <c r="U25" s="101">
        <f t="shared" si="4"/>
        <v>9234935</v>
      </c>
      <c r="V25" s="101">
        <f t="shared" si="1"/>
        <v>9234935</v>
      </c>
      <c r="W25" s="101">
        <v>141706</v>
      </c>
      <c r="X25" s="149">
        <f t="shared" si="5"/>
        <v>6.5169682299973178E-2</v>
      </c>
      <c r="Y25" s="184"/>
      <c r="AE25" s="101"/>
      <c r="AF25" s="101"/>
      <c r="AG25" s="101"/>
    </row>
    <row r="26" spans="1:33" x14ac:dyDescent="0.25">
      <c r="A26" t="s">
        <v>522</v>
      </c>
      <c r="B26" t="s">
        <v>826</v>
      </c>
      <c r="C26">
        <f t="shared" si="2"/>
        <v>4975</v>
      </c>
      <c r="D26">
        <v>2630</v>
      </c>
      <c r="E26">
        <v>2345</v>
      </c>
      <c r="F26">
        <v>0</v>
      </c>
      <c r="G26">
        <v>0</v>
      </c>
      <c r="H26">
        <v>27</v>
      </c>
      <c r="I26">
        <v>219</v>
      </c>
      <c r="J26">
        <v>1931</v>
      </c>
      <c r="K26">
        <v>2206</v>
      </c>
      <c r="L26">
        <v>189</v>
      </c>
      <c r="M26">
        <v>52</v>
      </c>
      <c r="N26">
        <v>389</v>
      </c>
      <c r="O26">
        <v>26</v>
      </c>
      <c r="P26">
        <f t="shared" si="3"/>
        <v>2257000</v>
      </c>
      <c r="Q26">
        <v>1781000</v>
      </c>
      <c r="R26">
        <v>476000</v>
      </c>
      <c r="S26">
        <v>192000</v>
      </c>
      <c r="T26" s="101">
        <f t="shared" si="0"/>
        <v>5206365</v>
      </c>
      <c r="U26" s="101">
        <f t="shared" si="4"/>
        <v>231365</v>
      </c>
      <c r="V26" s="101">
        <f t="shared" si="1"/>
        <v>231365</v>
      </c>
      <c r="W26" s="101">
        <v>42747</v>
      </c>
      <c r="X26" s="149">
        <f t="shared" si="5"/>
        <v>5.4124266030364703E-3</v>
      </c>
      <c r="Y26" s="184"/>
      <c r="AE26" s="101"/>
      <c r="AF26" s="101"/>
      <c r="AG26" s="101"/>
    </row>
    <row r="27" spans="1:33" x14ac:dyDescent="0.25">
      <c r="A27" t="s">
        <v>522</v>
      </c>
      <c r="B27" t="s">
        <v>592</v>
      </c>
      <c r="C27">
        <f t="shared" si="2"/>
        <v>7583</v>
      </c>
      <c r="D27">
        <v>5778</v>
      </c>
      <c r="E27">
        <v>1805</v>
      </c>
      <c r="F27">
        <v>0</v>
      </c>
      <c r="G27">
        <v>0</v>
      </c>
      <c r="H27">
        <v>143</v>
      </c>
      <c r="I27">
        <v>0</v>
      </c>
      <c r="J27">
        <v>4889</v>
      </c>
      <c r="K27">
        <v>4566</v>
      </c>
      <c r="L27">
        <v>474</v>
      </c>
      <c r="M27">
        <v>114</v>
      </c>
      <c r="N27">
        <v>583</v>
      </c>
      <c r="O27">
        <v>66</v>
      </c>
      <c r="P27">
        <f t="shared" si="3"/>
        <v>4425000</v>
      </c>
      <c r="Q27">
        <v>4027000</v>
      </c>
      <c r="R27">
        <v>398000</v>
      </c>
      <c r="S27" s="102">
        <v>195333.33333333334</v>
      </c>
      <c r="T27" s="101">
        <f t="shared" si="0"/>
        <v>9187815</v>
      </c>
      <c r="U27" s="101">
        <f t="shared" si="4"/>
        <v>1604815</v>
      </c>
      <c r="V27" s="101">
        <f t="shared" si="1"/>
        <v>1604815</v>
      </c>
      <c r="W27" s="101">
        <v>90914</v>
      </c>
      <c r="X27" s="149">
        <f t="shared" si="5"/>
        <v>1.7652011791363265E-2</v>
      </c>
      <c r="Y27" s="184"/>
      <c r="AE27" s="101"/>
      <c r="AF27" s="101"/>
      <c r="AG27" s="101"/>
    </row>
    <row r="28" spans="1:33" x14ac:dyDescent="0.25">
      <c r="A28" t="s">
        <v>514</v>
      </c>
      <c r="B28" t="s">
        <v>399</v>
      </c>
      <c r="C28">
        <f t="shared" si="2"/>
        <v>3734</v>
      </c>
      <c r="D28">
        <v>2652</v>
      </c>
      <c r="E28">
        <v>1082</v>
      </c>
      <c r="F28">
        <v>0</v>
      </c>
      <c r="G28">
        <v>0</v>
      </c>
      <c r="H28">
        <v>889</v>
      </c>
      <c r="I28">
        <v>72</v>
      </c>
      <c r="J28">
        <v>874</v>
      </c>
      <c r="K28">
        <v>1257</v>
      </c>
      <c r="L28">
        <v>137</v>
      </c>
      <c r="M28">
        <v>51</v>
      </c>
      <c r="N28">
        <v>563</v>
      </c>
      <c r="O28">
        <v>64</v>
      </c>
      <c r="P28">
        <f t="shared" si="3"/>
        <v>1623000</v>
      </c>
      <c r="Q28">
        <v>1454000</v>
      </c>
      <c r="R28">
        <v>169000</v>
      </c>
      <c r="S28">
        <v>323000</v>
      </c>
      <c r="T28" s="101">
        <f t="shared" si="0"/>
        <v>3413760</v>
      </c>
      <c r="U28" s="101">
        <f t="shared" si="4"/>
        <v>-320240</v>
      </c>
      <c r="V28" s="101">
        <f t="shared" si="1"/>
        <v>0</v>
      </c>
      <c r="W28" s="101">
        <v>36257</v>
      </c>
      <c r="X28" s="149">
        <f t="shared" si="5"/>
        <v>-8.8325013100918441E-3</v>
      </c>
      <c r="Y28" s="184"/>
      <c r="AE28" s="101"/>
      <c r="AF28" s="101"/>
      <c r="AG28" s="101"/>
    </row>
    <row r="29" spans="1:33" x14ac:dyDescent="0.25">
      <c r="A29" t="s">
        <v>522</v>
      </c>
      <c r="B29" t="s">
        <v>523</v>
      </c>
      <c r="C29">
        <f t="shared" si="2"/>
        <v>6250</v>
      </c>
      <c r="D29">
        <v>4173</v>
      </c>
      <c r="E29">
        <v>2077</v>
      </c>
      <c r="F29">
        <v>79</v>
      </c>
      <c r="G29">
        <v>0</v>
      </c>
      <c r="H29">
        <v>607</v>
      </c>
      <c r="I29">
        <v>77</v>
      </c>
      <c r="J29">
        <v>3952</v>
      </c>
      <c r="K29">
        <v>4568</v>
      </c>
      <c r="L29">
        <v>427</v>
      </c>
      <c r="M29">
        <v>75</v>
      </c>
      <c r="N29">
        <v>758</v>
      </c>
      <c r="O29">
        <v>188</v>
      </c>
      <c r="P29">
        <f t="shared" si="3"/>
        <v>4855000</v>
      </c>
      <c r="Q29">
        <v>4307000</v>
      </c>
      <c r="R29">
        <v>548000</v>
      </c>
      <c r="S29">
        <v>194000</v>
      </c>
      <c r="T29" s="101">
        <f t="shared" si="0"/>
        <v>10292715</v>
      </c>
      <c r="U29" s="101">
        <f t="shared" si="4"/>
        <v>4042715</v>
      </c>
      <c r="V29" s="101">
        <f t="shared" si="1"/>
        <v>4042715</v>
      </c>
      <c r="W29" s="101">
        <v>97653</v>
      </c>
      <c r="X29" s="149">
        <f t="shared" si="5"/>
        <v>4.1398779351376813E-2</v>
      </c>
      <c r="Y29" s="184"/>
      <c r="AE29" s="101"/>
      <c r="AF29" s="101"/>
      <c r="AG29" s="101"/>
    </row>
    <row r="30" spans="1:33" x14ac:dyDescent="0.25">
      <c r="A30" t="s">
        <v>515</v>
      </c>
      <c r="B30" t="s">
        <v>344</v>
      </c>
      <c r="C30">
        <f t="shared" si="2"/>
        <v>3893</v>
      </c>
      <c r="D30">
        <v>2509</v>
      </c>
      <c r="E30">
        <v>1384</v>
      </c>
      <c r="F30">
        <v>0</v>
      </c>
      <c r="G30">
        <v>0</v>
      </c>
      <c r="H30">
        <v>954</v>
      </c>
      <c r="I30">
        <v>37</v>
      </c>
      <c r="J30">
        <v>1900</v>
      </c>
      <c r="K30">
        <v>1493</v>
      </c>
      <c r="L30">
        <v>506</v>
      </c>
      <c r="M30">
        <v>14</v>
      </c>
      <c r="N30">
        <v>588</v>
      </c>
      <c r="O30">
        <v>49</v>
      </c>
      <c r="P30">
        <f t="shared" si="3"/>
        <v>3172000</v>
      </c>
      <c r="Q30">
        <v>2675000</v>
      </c>
      <c r="R30">
        <v>497000</v>
      </c>
      <c r="S30">
        <v>227000</v>
      </c>
      <c r="T30" s="101">
        <f t="shared" si="0"/>
        <v>6989445</v>
      </c>
      <c r="U30" s="101">
        <f t="shared" si="4"/>
        <v>3096445</v>
      </c>
      <c r="V30" s="101">
        <f t="shared" si="1"/>
        <v>3096445</v>
      </c>
      <c r="W30" s="101">
        <v>50440</v>
      </c>
      <c r="X30" s="149">
        <f t="shared" si="5"/>
        <v>6.1388679619349726E-2</v>
      </c>
      <c r="Y30" s="184"/>
      <c r="AE30" s="101"/>
      <c r="AF30" s="101"/>
      <c r="AG30" s="101"/>
    </row>
    <row r="31" spans="1:33" x14ac:dyDescent="0.25">
      <c r="A31" t="s">
        <v>513</v>
      </c>
      <c r="B31" t="s">
        <v>434</v>
      </c>
      <c r="C31">
        <f t="shared" si="2"/>
        <v>2343</v>
      </c>
      <c r="D31">
        <v>1569</v>
      </c>
      <c r="E31">
        <v>774</v>
      </c>
      <c r="F31">
        <v>0</v>
      </c>
      <c r="G31">
        <v>0</v>
      </c>
      <c r="H31">
        <v>503</v>
      </c>
      <c r="I31">
        <v>56</v>
      </c>
      <c r="J31">
        <v>1465</v>
      </c>
      <c r="K31">
        <v>1345</v>
      </c>
      <c r="L31">
        <v>205</v>
      </c>
      <c r="M31">
        <v>10</v>
      </c>
      <c r="N31">
        <v>224</v>
      </c>
      <c r="O31">
        <v>36</v>
      </c>
      <c r="P31">
        <f t="shared" si="3"/>
        <v>1660000</v>
      </c>
      <c r="Q31">
        <v>1460000</v>
      </c>
      <c r="R31">
        <v>200000</v>
      </c>
      <c r="S31">
        <v>288000</v>
      </c>
      <c r="T31" s="101">
        <f t="shared" si="0"/>
        <v>3543300</v>
      </c>
      <c r="U31" s="101">
        <f t="shared" si="4"/>
        <v>1200300</v>
      </c>
      <c r="V31" s="101">
        <f t="shared" si="1"/>
        <v>1200300</v>
      </c>
      <c r="W31" s="101">
        <v>39156</v>
      </c>
      <c r="X31" s="149">
        <f t="shared" si="5"/>
        <v>3.0654305853509041E-2</v>
      </c>
      <c r="Y31" s="184"/>
      <c r="AE31" s="101"/>
      <c r="AF31" s="101"/>
      <c r="AG31" s="101"/>
    </row>
    <row r="32" spans="1:33" x14ac:dyDescent="0.25">
      <c r="A32" t="s">
        <v>522</v>
      </c>
      <c r="B32" t="s">
        <v>435</v>
      </c>
      <c r="C32">
        <f t="shared" si="2"/>
        <v>10901</v>
      </c>
      <c r="D32">
        <v>7750</v>
      </c>
      <c r="E32">
        <v>3151</v>
      </c>
      <c r="F32">
        <v>5093</v>
      </c>
      <c r="G32">
        <v>149</v>
      </c>
      <c r="H32">
        <v>2970</v>
      </c>
      <c r="I32">
        <v>1595</v>
      </c>
      <c r="J32">
        <v>3411</v>
      </c>
      <c r="K32">
        <v>5119</v>
      </c>
      <c r="L32">
        <v>365</v>
      </c>
      <c r="M32">
        <v>492</v>
      </c>
      <c r="N32">
        <v>2300</v>
      </c>
      <c r="O32">
        <v>68</v>
      </c>
      <c r="P32">
        <f t="shared" si="3"/>
        <v>7995000</v>
      </c>
      <c r="Q32">
        <v>7267000</v>
      </c>
      <c r="R32">
        <v>728000</v>
      </c>
      <c r="S32">
        <v>208000</v>
      </c>
      <c r="T32" s="101">
        <f t="shared" si="0"/>
        <v>16617315</v>
      </c>
      <c r="U32" s="101">
        <f t="shared" si="4"/>
        <v>5716315</v>
      </c>
      <c r="V32" s="101">
        <f t="shared" si="1"/>
        <v>5716315</v>
      </c>
      <c r="W32" s="101">
        <v>79743</v>
      </c>
      <c r="X32" s="149">
        <f t="shared" si="5"/>
        <v>7.1684223066601452E-2</v>
      </c>
      <c r="Y32" s="184"/>
      <c r="AE32" s="101"/>
      <c r="AF32" s="101"/>
      <c r="AG32" s="101"/>
    </row>
    <row r="33" spans="1:33" x14ac:dyDescent="0.25">
      <c r="A33" t="s">
        <v>514</v>
      </c>
      <c r="B33" t="s">
        <v>345</v>
      </c>
      <c r="C33">
        <f t="shared" si="2"/>
        <v>17161</v>
      </c>
      <c r="D33">
        <v>7741</v>
      </c>
      <c r="E33">
        <v>9420</v>
      </c>
      <c r="F33">
        <v>4819</v>
      </c>
      <c r="G33">
        <v>186</v>
      </c>
      <c r="H33">
        <v>612</v>
      </c>
      <c r="I33">
        <v>0</v>
      </c>
      <c r="J33">
        <v>13292</v>
      </c>
      <c r="K33">
        <v>9142</v>
      </c>
      <c r="L33">
        <v>1143</v>
      </c>
      <c r="M33">
        <v>32</v>
      </c>
      <c r="N33">
        <v>955</v>
      </c>
      <c r="O33">
        <v>509</v>
      </c>
      <c r="P33">
        <f t="shared" si="3"/>
        <v>9333000</v>
      </c>
      <c r="Q33">
        <v>7606000</v>
      </c>
      <c r="R33">
        <v>1727000</v>
      </c>
      <c r="S33">
        <v>374000</v>
      </c>
      <c r="T33" s="101">
        <f t="shared" si="0"/>
        <v>21069300</v>
      </c>
      <c r="U33" s="101">
        <f t="shared" si="4"/>
        <v>3908300</v>
      </c>
      <c r="V33" s="101">
        <f t="shared" si="1"/>
        <v>3908300</v>
      </c>
      <c r="W33" s="101">
        <v>306294</v>
      </c>
      <c r="X33" s="149">
        <f t="shared" si="5"/>
        <v>1.2759962650264125E-2</v>
      </c>
      <c r="Y33" s="184"/>
      <c r="AE33" s="101"/>
      <c r="AF33" s="101"/>
      <c r="AG33" s="101"/>
    </row>
    <row r="34" spans="1:33" x14ac:dyDescent="0.25">
      <c r="A34" t="s">
        <v>513</v>
      </c>
      <c r="B34" t="s">
        <v>167</v>
      </c>
      <c r="C34">
        <f t="shared" si="2"/>
        <v>9919</v>
      </c>
      <c r="D34">
        <v>5757</v>
      </c>
      <c r="E34">
        <v>4162</v>
      </c>
      <c r="F34">
        <v>11</v>
      </c>
      <c r="G34">
        <v>0</v>
      </c>
      <c r="H34">
        <v>355</v>
      </c>
      <c r="I34">
        <v>170</v>
      </c>
      <c r="J34">
        <v>6392</v>
      </c>
      <c r="K34">
        <v>3089</v>
      </c>
      <c r="L34">
        <v>516</v>
      </c>
      <c r="M34">
        <v>270</v>
      </c>
      <c r="N34">
        <v>1263</v>
      </c>
      <c r="O34">
        <v>82</v>
      </c>
      <c r="P34">
        <f t="shared" si="3"/>
        <v>6081000</v>
      </c>
      <c r="Q34">
        <v>5034000</v>
      </c>
      <c r="R34">
        <v>1047000</v>
      </c>
      <c r="S34">
        <v>206000</v>
      </c>
      <c r="T34" s="101">
        <f t="shared" si="0"/>
        <v>13578840</v>
      </c>
      <c r="U34" s="101">
        <f t="shared" si="4"/>
        <v>3659840</v>
      </c>
      <c r="V34" s="101">
        <f t="shared" si="1"/>
        <v>3659840</v>
      </c>
      <c r="W34" s="101">
        <v>113974</v>
      </c>
      <c r="X34" s="149">
        <f t="shared" si="5"/>
        <v>3.2111183252320707E-2</v>
      </c>
      <c r="Y34" s="184"/>
      <c r="AE34" s="101"/>
      <c r="AF34" s="101"/>
      <c r="AG34" s="101"/>
    </row>
    <row r="35" spans="1:33" x14ac:dyDescent="0.25">
      <c r="A35" t="s">
        <v>515</v>
      </c>
      <c r="B35" t="s">
        <v>346</v>
      </c>
      <c r="C35">
        <f t="shared" si="2"/>
        <v>7862</v>
      </c>
      <c r="D35">
        <v>4913</v>
      </c>
      <c r="E35">
        <v>2949</v>
      </c>
      <c r="F35">
        <v>0</v>
      </c>
      <c r="G35">
        <v>0</v>
      </c>
      <c r="H35">
        <v>94</v>
      </c>
      <c r="I35">
        <v>29</v>
      </c>
      <c r="J35">
        <v>2524</v>
      </c>
      <c r="K35">
        <v>2991</v>
      </c>
      <c r="L35">
        <v>468</v>
      </c>
      <c r="M35">
        <v>106</v>
      </c>
      <c r="N35">
        <v>1447</v>
      </c>
      <c r="O35">
        <v>191</v>
      </c>
      <c r="P35">
        <f t="shared" si="3"/>
        <v>4669000</v>
      </c>
      <c r="Q35">
        <v>4080000</v>
      </c>
      <c r="R35">
        <v>589000</v>
      </c>
      <c r="S35">
        <v>215000</v>
      </c>
      <c r="T35" s="101">
        <f t="shared" si="0"/>
        <v>10016490</v>
      </c>
      <c r="U35" s="101">
        <f t="shared" si="4"/>
        <v>2154490</v>
      </c>
      <c r="V35" s="101">
        <f t="shared" si="1"/>
        <v>2154490</v>
      </c>
      <c r="W35" s="101">
        <v>87602</v>
      </c>
      <c r="X35" s="149">
        <f t="shared" si="5"/>
        <v>2.4594073194675922E-2</v>
      </c>
      <c r="Y35" s="184"/>
      <c r="AE35" s="101"/>
      <c r="AF35" s="101"/>
      <c r="AG35" s="101"/>
    </row>
    <row r="36" spans="1:33" x14ac:dyDescent="0.25">
      <c r="A36" t="s">
        <v>513</v>
      </c>
      <c r="B36" t="s">
        <v>347</v>
      </c>
      <c r="C36">
        <f t="shared" si="2"/>
        <v>6376</v>
      </c>
      <c r="D36">
        <v>3836</v>
      </c>
      <c r="E36">
        <v>2540</v>
      </c>
      <c r="F36">
        <v>0</v>
      </c>
      <c r="G36">
        <v>99</v>
      </c>
      <c r="H36">
        <v>109</v>
      </c>
      <c r="I36">
        <v>67</v>
      </c>
      <c r="J36">
        <v>2540</v>
      </c>
      <c r="K36">
        <v>4227</v>
      </c>
      <c r="L36">
        <v>423</v>
      </c>
      <c r="M36">
        <v>4</v>
      </c>
      <c r="N36">
        <v>1156</v>
      </c>
      <c r="O36">
        <v>523</v>
      </c>
      <c r="P36">
        <f t="shared" si="3"/>
        <v>4792000</v>
      </c>
      <c r="Q36">
        <v>4085000</v>
      </c>
      <c r="R36">
        <v>707000</v>
      </c>
      <c r="T36" s="101">
        <f t="shared" si="0"/>
        <v>10475595</v>
      </c>
      <c r="U36" s="101">
        <f t="shared" si="4"/>
        <v>4099595</v>
      </c>
      <c r="V36" s="101">
        <f t="shared" si="1"/>
        <v>4099595</v>
      </c>
      <c r="W36" s="101">
        <v>85660</v>
      </c>
      <c r="X36" s="149">
        <f t="shared" si="5"/>
        <v>4.785891898202195E-2</v>
      </c>
      <c r="Y36" s="184"/>
      <c r="AE36" s="101"/>
      <c r="AF36" s="101"/>
      <c r="AG36" s="101"/>
    </row>
    <row r="37" spans="1:33" x14ac:dyDescent="0.25">
      <c r="A37" t="s">
        <v>513</v>
      </c>
      <c r="B37" t="s">
        <v>168</v>
      </c>
      <c r="C37">
        <f t="shared" si="2"/>
        <v>7735</v>
      </c>
      <c r="D37">
        <v>4659</v>
      </c>
      <c r="E37">
        <v>3076</v>
      </c>
      <c r="F37">
        <v>0</v>
      </c>
      <c r="G37">
        <v>0</v>
      </c>
      <c r="H37">
        <v>212</v>
      </c>
      <c r="I37">
        <v>310</v>
      </c>
      <c r="J37">
        <v>2611</v>
      </c>
      <c r="K37">
        <v>2417</v>
      </c>
      <c r="L37">
        <v>573</v>
      </c>
      <c r="M37">
        <v>51</v>
      </c>
      <c r="N37">
        <v>507</v>
      </c>
      <c r="O37">
        <v>48</v>
      </c>
      <c r="P37">
        <f t="shared" si="3"/>
        <v>3612000</v>
      </c>
      <c r="Q37">
        <v>3257000</v>
      </c>
      <c r="R37">
        <v>355000</v>
      </c>
      <c r="S37">
        <v>272000</v>
      </c>
      <c r="T37" s="101">
        <f t="shared" si="0"/>
        <v>7557135</v>
      </c>
      <c r="U37" s="101">
        <f t="shared" si="4"/>
        <v>-177865</v>
      </c>
      <c r="V37" s="101">
        <f t="shared" si="1"/>
        <v>0</v>
      </c>
      <c r="W37" s="101">
        <v>69629</v>
      </c>
      <c r="X37" s="149">
        <f t="shared" si="5"/>
        <v>-2.5544672478421348E-3</v>
      </c>
      <c r="Y37" s="184"/>
      <c r="AE37" s="101"/>
      <c r="AF37" s="101"/>
      <c r="AG37" s="101"/>
    </row>
    <row r="38" spans="1:33" x14ac:dyDescent="0.25">
      <c r="A38" t="s">
        <v>515</v>
      </c>
      <c r="B38" t="s">
        <v>241</v>
      </c>
      <c r="C38">
        <f t="shared" si="2"/>
        <v>9596</v>
      </c>
      <c r="D38">
        <v>4874</v>
      </c>
      <c r="E38">
        <v>4722</v>
      </c>
      <c r="F38">
        <v>1413</v>
      </c>
      <c r="G38">
        <v>169</v>
      </c>
      <c r="H38">
        <v>157</v>
      </c>
      <c r="I38">
        <v>366</v>
      </c>
      <c r="J38">
        <v>4142</v>
      </c>
      <c r="K38">
        <v>5507</v>
      </c>
      <c r="L38">
        <v>542</v>
      </c>
      <c r="M38">
        <v>545</v>
      </c>
      <c r="N38">
        <v>529</v>
      </c>
      <c r="O38">
        <v>785</v>
      </c>
      <c r="P38">
        <f t="shared" si="3"/>
        <v>6028000</v>
      </c>
      <c r="Q38">
        <v>5084000</v>
      </c>
      <c r="R38">
        <v>944000</v>
      </c>
      <c r="S38">
        <v>235000</v>
      </c>
      <c r="T38" s="101">
        <f t="shared" si="0"/>
        <v>13281660</v>
      </c>
      <c r="U38" s="101">
        <f t="shared" si="4"/>
        <v>3685660</v>
      </c>
      <c r="V38" s="101">
        <f t="shared" si="1"/>
        <v>3685660</v>
      </c>
      <c r="W38" s="101">
        <v>134895</v>
      </c>
      <c r="X38" s="149">
        <f t="shared" si="5"/>
        <v>2.7322435968716408E-2</v>
      </c>
      <c r="Y38" s="184"/>
      <c r="AE38" s="101"/>
      <c r="AF38" s="101"/>
      <c r="AG38" s="101"/>
    </row>
    <row r="39" spans="1:33" x14ac:dyDescent="0.25">
      <c r="A39" t="s">
        <v>514</v>
      </c>
      <c r="B39" t="s">
        <v>348</v>
      </c>
      <c r="C39">
        <f t="shared" si="2"/>
        <v>4608</v>
      </c>
      <c r="D39">
        <v>2524</v>
      </c>
      <c r="E39">
        <v>2084</v>
      </c>
      <c r="F39">
        <v>4</v>
      </c>
      <c r="G39">
        <v>0</v>
      </c>
      <c r="H39">
        <v>1214</v>
      </c>
      <c r="I39">
        <v>75</v>
      </c>
      <c r="J39">
        <v>2033</v>
      </c>
      <c r="K39">
        <v>1379</v>
      </c>
      <c r="L39">
        <v>229</v>
      </c>
      <c r="M39">
        <v>0</v>
      </c>
      <c r="N39">
        <v>994</v>
      </c>
      <c r="O39">
        <v>109</v>
      </c>
      <c r="P39">
        <f t="shared" si="3"/>
        <v>3576000</v>
      </c>
      <c r="Q39">
        <v>2894000</v>
      </c>
      <c r="R39">
        <v>682000</v>
      </c>
      <c r="S39">
        <v>194000</v>
      </c>
      <c r="T39" s="101">
        <f t="shared" si="0"/>
        <v>8111490</v>
      </c>
      <c r="U39" s="101">
        <f t="shared" si="4"/>
        <v>3503490</v>
      </c>
      <c r="V39" s="101">
        <f t="shared" si="1"/>
        <v>3503490</v>
      </c>
      <c r="W39" s="101">
        <v>54633</v>
      </c>
      <c r="X39" s="149">
        <f t="shared" si="5"/>
        <v>6.4127725001372801E-2</v>
      </c>
      <c r="Y39" s="184"/>
      <c r="AE39" s="101"/>
      <c r="AF39" s="101"/>
      <c r="AG39" s="101"/>
    </row>
    <row r="40" spans="1:33" x14ac:dyDescent="0.25">
      <c r="A40" t="s">
        <v>513</v>
      </c>
      <c r="B40" t="s">
        <v>242</v>
      </c>
      <c r="C40">
        <f t="shared" si="2"/>
        <v>4579</v>
      </c>
      <c r="D40">
        <v>3825</v>
      </c>
      <c r="E40">
        <v>754</v>
      </c>
      <c r="F40">
        <v>0</v>
      </c>
      <c r="G40">
        <v>0</v>
      </c>
      <c r="H40">
        <v>37</v>
      </c>
      <c r="I40">
        <v>2</v>
      </c>
      <c r="J40">
        <v>1211</v>
      </c>
      <c r="K40">
        <v>1491</v>
      </c>
      <c r="L40">
        <v>178</v>
      </c>
      <c r="M40">
        <v>181</v>
      </c>
      <c r="N40">
        <v>937</v>
      </c>
      <c r="O40">
        <v>58</v>
      </c>
      <c r="P40">
        <f t="shared" si="3"/>
        <v>3803000</v>
      </c>
      <c r="Q40">
        <v>3674000</v>
      </c>
      <c r="R40">
        <v>129000</v>
      </c>
      <c r="S40">
        <v>278000</v>
      </c>
      <c r="T40" s="101">
        <f t="shared" si="0"/>
        <v>7490460</v>
      </c>
      <c r="U40" s="101">
        <f t="shared" si="4"/>
        <v>2911460</v>
      </c>
      <c r="V40" s="101">
        <f t="shared" si="1"/>
        <v>2911460</v>
      </c>
      <c r="W40" s="101">
        <v>33379</v>
      </c>
      <c r="X40" s="149">
        <f t="shared" si="5"/>
        <v>8.7224302705293744E-2</v>
      </c>
      <c r="Y40" s="184"/>
      <c r="AE40" s="101"/>
      <c r="AF40" s="101"/>
      <c r="AG40" s="101"/>
    </row>
    <row r="41" spans="1:33" x14ac:dyDescent="0.25">
      <c r="A41" t="s">
        <v>514</v>
      </c>
      <c r="B41" t="s">
        <v>243</v>
      </c>
      <c r="C41">
        <f t="shared" si="2"/>
        <v>10757</v>
      </c>
      <c r="D41">
        <v>8926</v>
      </c>
      <c r="E41">
        <v>1831</v>
      </c>
      <c r="F41">
        <v>1888</v>
      </c>
      <c r="G41">
        <v>36</v>
      </c>
      <c r="H41">
        <v>1496</v>
      </c>
      <c r="I41">
        <v>1</v>
      </c>
      <c r="J41">
        <v>3125</v>
      </c>
      <c r="K41">
        <v>3607</v>
      </c>
      <c r="L41">
        <v>349</v>
      </c>
      <c r="M41">
        <v>308</v>
      </c>
      <c r="N41">
        <v>738</v>
      </c>
      <c r="O41">
        <v>49</v>
      </c>
      <c r="P41">
        <f t="shared" si="3"/>
        <v>8229000</v>
      </c>
      <c r="Q41">
        <v>7872000</v>
      </c>
      <c r="R41">
        <v>357000</v>
      </c>
      <c r="S41">
        <v>575000</v>
      </c>
      <c r="T41" s="101">
        <f t="shared" si="0"/>
        <v>16356330</v>
      </c>
      <c r="U41" s="101">
        <f t="shared" si="4"/>
        <v>5599330</v>
      </c>
      <c r="V41" s="101">
        <f t="shared" si="1"/>
        <v>5599330</v>
      </c>
      <c r="W41" s="101">
        <v>56857</v>
      </c>
      <c r="X41" s="149">
        <f t="shared" si="5"/>
        <v>9.8480925831471944E-2</v>
      </c>
      <c r="Y41" s="184"/>
      <c r="AE41" s="101"/>
      <c r="AF41" s="101"/>
      <c r="AG41" s="101"/>
    </row>
    <row r="42" spans="1:33" x14ac:dyDescent="0.25">
      <c r="A42" t="s">
        <v>514</v>
      </c>
      <c r="B42" t="s">
        <v>285</v>
      </c>
      <c r="C42">
        <f t="shared" si="2"/>
        <v>10061</v>
      </c>
      <c r="D42">
        <v>6764</v>
      </c>
      <c r="E42">
        <v>3297</v>
      </c>
      <c r="F42">
        <v>7</v>
      </c>
      <c r="G42">
        <v>10</v>
      </c>
      <c r="H42">
        <v>862</v>
      </c>
      <c r="I42">
        <v>307</v>
      </c>
      <c r="J42">
        <v>4950</v>
      </c>
      <c r="K42">
        <v>4746</v>
      </c>
      <c r="L42">
        <v>381</v>
      </c>
      <c r="M42">
        <v>462</v>
      </c>
      <c r="N42">
        <v>1953</v>
      </c>
      <c r="O42">
        <v>160</v>
      </c>
      <c r="P42">
        <f t="shared" si="3"/>
        <v>6013000</v>
      </c>
      <c r="Q42">
        <v>5281000</v>
      </c>
      <c r="R42">
        <v>732000</v>
      </c>
      <c r="S42">
        <v>637000</v>
      </c>
      <c r="T42" s="101">
        <f t="shared" si="0"/>
        <v>12849225</v>
      </c>
      <c r="U42" s="101">
        <f t="shared" si="4"/>
        <v>2788225</v>
      </c>
      <c r="V42" s="101">
        <f t="shared" si="1"/>
        <v>2788225</v>
      </c>
      <c r="W42" s="101">
        <v>90215</v>
      </c>
      <c r="X42" s="149">
        <f t="shared" si="5"/>
        <v>3.0906445713018899E-2</v>
      </c>
      <c r="Y42" s="184"/>
      <c r="AE42" s="101"/>
      <c r="AF42" s="101"/>
      <c r="AG42" s="101"/>
    </row>
    <row r="43" spans="1:33" x14ac:dyDescent="0.25">
      <c r="A43" t="s">
        <v>517</v>
      </c>
      <c r="B43" t="s">
        <v>349</v>
      </c>
      <c r="C43">
        <f t="shared" si="2"/>
        <v>3011</v>
      </c>
      <c r="D43">
        <v>1955</v>
      </c>
      <c r="E43">
        <v>1056</v>
      </c>
      <c r="F43">
        <v>0</v>
      </c>
      <c r="G43">
        <v>0</v>
      </c>
      <c r="H43">
        <v>30</v>
      </c>
      <c r="I43">
        <v>0</v>
      </c>
      <c r="J43">
        <v>1129</v>
      </c>
      <c r="K43">
        <v>903</v>
      </c>
      <c r="L43">
        <v>116</v>
      </c>
      <c r="M43">
        <v>100</v>
      </c>
      <c r="N43">
        <v>440</v>
      </c>
      <c r="O43">
        <v>41</v>
      </c>
      <c r="P43">
        <f t="shared" si="3"/>
        <v>1540000</v>
      </c>
      <c r="Q43">
        <v>1285000</v>
      </c>
      <c r="R43">
        <v>255000</v>
      </c>
      <c r="S43">
        <v>278000</v>
      </c>
      <c r="T43" s="101">
        <f t="shared" si="0"/>
        <v>3419475</v>
      </c>
      <c r="U43" s="101">
        <f t="shared" si="4"/>
        <v>408475</v>
      </c>
      <c r="V43" s="101">
        <f t="shared" si="1"/>
        <v>408475</v>
      </c>
      <c r="W43" s="101">
        <v>38915</v>
      </c>
      <c r="X43" s="149">
        <f t="shared" si="5"/>
        <v>1.0496595143260953E-2</v>
      </c>
      <c r="Y43" s="184"/>
      <c r="AE43" s="101"/>
      <c r="AF43" s="101"/>
      <c r="AG43" s="101"/>
    </row>
    <row r="44" spans="1:33" x14ac:dyDescent="0.25">
      <c r="A44" t="s">
        <v>513</v>
      </c>
      <c r="B44" t="s">
        <v>106</v>
      </c>
      <c r="C44">
        <f t="shared" si="2"/>
        <v>6526</v>
      </c>
      <c r="D44">
        <v>4938</v>
      </c>
      <c r="E44">
        <v>1588</v>
      </c>
      <c r="F44">
        <v>0</v>
      </c>
      <c r="G44">
        <v>0</v>
      </c>
      <c r="H44">
        <v>1558</v>
      </c>
      <c r="I44">
        <v>198</v>
      </c>
      <c r="J44">
        <v>3134</v>
      </c>
      <c r="K44">
        <v>2423</v>
      </c>
      <c r="L44">
        <v>334</v>
      </c>
      <c r="M44">
        <v>161</v>
      </c>
      <c r="N44">
        <v>449</v>
      </c>
      <c r="O44">
        <v>28</v>
      </c>
      <c r="P44">
        <f t="shared" si="3"/>
        <v>3024000</v>
      </c>
      <c r="Q44">
        <v>2532000</v>
      </c>
      <c r="R44">
        <v>492000</v>
      </c>
      <c r="S44">
        <v>261000</v>
      </c>
      <c r="T44" s="101">
        <f t="shared" si="0"/>
        <v>6697980</v>
      </c>
      <c r="U44" s="101">
        <f t="shared" si="4"/>
        <v>171980</v>
      </c>
      <c r="V44" s="101">
        <f t="shared" si="1"/>
        <v>171980</v>
      </c>
      <c r="W44" s="101">
        <v>74509</v>
      </c>
      <c r="X44" s="149">
        <f t="shared" si="5"/>
        <v>2.3081775355997263E-3</v>
      </c>
      <c r="Y44" s="184"/>
      <c r="AE44" s="101"/>
      <c r="AF44" s="101"/>
      <c r="AG44" s="101"/>
    </row>
    <row r="45" spans="1:33" x14ac:dyDescent="0.25">
      <c r="A45" t="s">
        <v>512</v>
      </c>
      <c r="B45" t="s">
        <v>140</v>
      </c>
      <c r="C45">
        <f t="shared" si="2"/>
        <v>7169</v>
      </c>
      <c r="D45">
        <v>4721</v>
      </c>
      <c r="E45">
        <v>2448</v>
      </c>
      <c r="F45">
        <v>10</v>
      </c>
      <c r="G45">
        <v>0</v>
      </c>
      <c r="H45">
        <v>0</v>
      </c>
      <c r="I45">
        <v>169</v>
      </c>
      <c r="J45">
        <v>1810</v>
      </c>
      <c r="K45">
        <v>2009</v>
      </c>
      <c r="L45">
        <v>189</v>
      </c>
      <c r="M45">
        <v>122</v>
      </c>
      <c r="N45">
        <v>453</v>
      </c>
      <c r="O45">
        <v>124</v>
      </c>
      <c r="P45">
        <f t="shared" si="3"/>
        <v>3158000</v>
      </c>
      <c r="Q45">
        <v>2809000</v>
      </c>
      <c r="R45">
        <v>349000</v>
      </c>
      <c r="S45">
        <v>183000</v>
      </c>
      <c r="T45" s="101">
        <f t="shared" si="0"/>
        <v>6680835</v>
      </c>
      <c r="U45" s="101">
        <f t="shared" si="4"/>
        <v>-488165</v>
      </c>
      <c r="V45" s="101">
        <f t="shared" si="1"/>
        <v>0</v>
      </c>
      <c r="W45" s="101">
        <v>70892</v>
      </c>
      <c r="X45" s="149">
        <f t="shared" si="5"/>
        <v>-6.8860379168312362E-3</v>
      </c>
      <c r="Y45" s="184"/>
      <c r="AE45" s="101"/>
      <c r="AF45" s="101"/>
      <c r="AG45" s="101"/>
    </row>
    <row r="46" spans="1:33" x14ac:dyDescent="0.25">
      <c r="A46" t="s">
        <v>518</v>
      </c>
      <c r="B46" t="s">
        <v>328</v>
      </c>
      <c r="C46">
        <f t="shared" si="2"/>
        <v>8525</v>
      </c>
      <c r="D46">
        <v>2925</v>
      </c>
      <c r="E46">
        <v>5600</v>
      </c>
      <c r="F46">
        <v>0</v>
      </c>
      <c r="G46">
        <v>0</v>
      </c>
      <c r="H46">
        <v>0</v>
      </c>
      <c r="I46">
        <v>167</v>
      </c>
      <c r="J46">
        <v>1915</v>
      </c>
      <c r="K46">
        <v>3168</v>
      </c>
      <c r="L46">
        <v>288</v>
      </c>
      <c r="M46">
        <v>325</v>
      </c>
      <c r="N46">
        <v>232</v>
      </c>
      <c r="O46">
        <v>21</v>
      </c>
      <c r="P46">
        <f t="shared" si="3"/>
        <v>3494000</v>
      </c>
      <c r="Q46">
        <v>2329000</v>
      </c>
      <c r="R46">
        <v>1165000</v>
      </c>
      <c r="S46">
        <v>225000</v>
      </c>
      <c r="T46" s="101">
        <f t="shared" si="0"/>
        <v>8875395</v>
      </c>
      <c r="U46" s="101">
        <f t="shared" si="4"/>
        <v>350395</v>
      </c>
      <c r="V46" s="101">
        <f t="shared" si="1"/>
        <v>350395</v>
      </c>
      <c r="W46" s="101">
        <v>58391</v>
      </c>
      <c r="X46" s="149">
        <f t="shared" si="5"/>
        <v>6.000839170420099E-3</v>
      </c>
      <c r="Y46" s="184"/>
      <c r="AE46" s="101"/>
      <c r="AF46" s="101"/>
      <c r="AG46" s="101"/>
    </row>
    <row r="47" spans="1:33" x14ac:dyDescent="0.25">
      <c r="A47" t="s">
        <v>524</v>
      </c>
      <c r="B47" t="s">
        <v>351</v>
      </c>
      <c r="C47">
        <f t="shared" si="2"/>
        <v>8558</v>
      </c>
      <c r="D47">
        <v>5246</v>
      </c>
      <c r="E47">
        <v>3312</v>
      </c>
      <c r="F47">
        <v>351</v>
      </c>
      <c r="G47">
        <v>20</v>
      </c>
      <c r="H47">
        <v>29</v>
      </c>
      <c r="I47">
        <v>47</v>
      </c>
      <c r="J47">
        <v>3313</v>
      </c>
      <c r="K47">
        <v>3902</v>
      </c>
      <c r="L47">
        <v>482</v>
      </c>
      <c r="M47">
        <v>187</v>
      </c>
      <c r="N47">
        <v>893</v>
      </c>
      <c r="O47">
        <v>136</v>
      </c>
      <c r="P47">
        <f t="shared" si="3"/>
        <v>4825000</v>
      </c>
      <c r="Q47">
        <v>4147000</v>
      </c>
      <c r="R47">
        <v>678000</v>
      </c>
      <c r="S47">
        <v>211000</v>
      </c>
      <c r="T47" s="101">
        <f t="shared" si="0"/>
        <v>10483215</v>
      </c>
      <c r="U47" s="101">
        <f t="shared" si="4"/>
        <v>1925215</v>
      </c>
      <c r="V47" s="101">
        <f t="shared" si="1"/>
        <v>1925215</v>
      </c>
      <c r="W47" s="101">
        <v>94890</v>
      </c>
      <c r="X47" s="149">
        <f t="shared" si="5"/>
        <v>2.0288913478764884E-2</v>
      </c>
      <c r="Y47" s="184"/>
      <c r="AE47" s="101"/>
      <c r="AF47" s="101"/>
      <c r="AG47" s="101"/>
    </row>
    <row r="48" spans="1:33" x14ac:dyDescent="0.25">
      <c r="A48" t="s">
        <v>513</v>
      </c>
      <c r="B48" t="s">
        <v>352</v>
      </c>
      <c r="C48">
        <f t="shared" si="2"/>
        <v>37696</v>
      </c>
      <c r="D48">
        <v>18946</v>
      </c>
      <c r="E48">
        <v>18750</v>
      </c>
      <c r="F48">
        <v>19653</v>
      </c>
      <c r="G48">
        <v>1106</v>
      </c>
      <c r="H48">
        <v>950</v>
      </c>
      <c r="I48">
        <v>572</v>
      </c>
      <c r="J48">
        <v>21544</v>
      </c>
      <c r="K48">
        <v>25670</v>
      </c>
      <c r="L48">
        <v>2502</v>
      </c>
      <c r="M48">
        <v>0</v>
      </c>
      <c r="N48">
        <v>6205</v>
      </c>
      <c r="O48">
        <v>1186</v>
      </c>
      <c r="P48">
        <f t="shared" si="3"/>
        <v>31402000</v>
      </c>
      <c r="Q48">
        <v>26680000</v>
      </c>
      <c r="R48">
        <v>4722000</v>
      </c>
      <c r="S48">
        <v>239000</v>
      </c>
      <c r="T48" s="101">
        <f t="shared" si="0"/>
        <v>68816220</v>
      </c>
      <c r="U48" s="101">
        <f t="shared" si="4"/>
        <v>31120220</v>
      </c>
      <c r="V48" s="101">
        <f t="shared" si="1"/>
        <v>31120220</v>
      </c>
      <c r="W48" s="101">
        <v>708912</v>
      </c>
      <c r="X48" s="149">
        <f t="shared" si="5"/>
        <v>4.3898565689394452E-2</v>
      </c>
      <c r="Y48" s="184"/>
      <c r="AE48" s="101"/>
      <c r="AF48" s="101"/>
      <c r="AG48" s="101"/>
    </row>
    <row r="49" spans="1:33" x14ac:dyDescent="0.25">
      <c r="A49" t="s">
        <v>513</v>
      </c>
      <c r="B49" t="s">
        <v>169</v>
      </c>
      <c r="C49">
        <f t="shared" si="2"/>
        <v>8198</v>
      </c>
      <c r="D49">
        <v>5668</v>
      </c>
      <c r="E49">
        <v>2530</v>
      </c>
      <c r="F49">
        <v>0</v>
      </c>
      <c r="G49">
        <v>0</v>
      </c>
      <c r="H49">
        <v>260</v>
      </c>
      <c r="I49">
        <v>190</v>
      </c>
      <c r="J49">
        <v>4360</v>
      </c>
      <c r="K49">
        <v>3734</v>
      </c>
      <c r="L49">
        <v>345</v>
      </c>
      <c r="M49">
        <v>139</v>
      </c>
      <c r="N49">
        <v>1299</v>
      </c>
      <c r="O49">
        <v>13</v>
      </c>
      <c r="P49">
        <f t="shared" si="3"/>
        <v>5453000</v>
      </c>
      <c r="Q49">
        <v>4666000</v>
      </c>
      <c r="R49">
        <v>787000</v>
      </c>
      <c r="S49">
        <v>250000</v>
      </c>
      <c r="T49" s="101">
        <f t="shared" si="0"/>
        <v>11887200</v>
      </c>
      <c r="U49" s="101">
        <f t="shared" si="4"/>
        <v>3689200</v>
      </c>
      <c r="V49" s="101">
        <f t="shared" si="1"/>
        <v>3689200</v>
      </c>
      <c r="W49" s="101">
        <v>83275</v>
      </c>
      <c r="X49" s="149">
        <f t="shared" si="5"/>
        <v>4.4301410987691386E-2</v>
      </c>
      <c r="Y49" s="184"/>
      <c r="AE49" s="101"/>
      <c r="AF49" s="101"/>
      <c r="AG49" s="101"/>
    </row>
    <row r="50" spans="1:33" x14ac:dyDescent="0.25">
      <c r="A50" t="s">
        <v>517</v>
      </c>
      <c r="B50" t="s">
        <v>170</v>
      </c>
      <c r="C50">
        <f t="shared" si="2"/>
        <v>6051</v>
      </c>
      <c r="D50">
        <v>4097</v>
      </c>
      <c r="E50">
        <v>1954</v>
      </c>
      <c r="F50">
        <v>0</v>
      </c>
      <c r="G50">
        <v>0</v>
      </c>
      <c r="H50">
        <v>981</v>
      </c>
      <c r="I50">
        <v>44</v>
      </c>
      <c r="J50">
        <v>2580</v>
      </c>
      <c r="K50">
        <v>1536</v>
      </c>
      <c r="L50">
        <v>222</v>
      </c>
      <c r="M50">
        <v>111</v>
      </c>
      <c r="N50">
        <v>293</v>
      </c>
      <c r="O50">
        <v>112</v>
      </c>
      <c r="P50">
        <f t="shared" si="3"/>
        <v>2998000</v>
      </c>
      <c r="Q50">
        <v>2633000</v>
      </c>
      <c r="R50">
        <v>365000</v>
      </c>
      <c r="S50">
        <v>222000</v>
      </c>
      <c r="T50" s="101">
        <f t="shared" si="0"/>
        <v>6406515</v>
      </c>
      <c r="U50" s="101">
        <f t="shared" si="4"/>
        <v>355515</v>
      </c>
      <c r="V50" s="101">
        <f t="shared" si="1"/>
        <v>355515</v>
      </c>
      <c r="W50" s="101">
        <v>54433</v>
      </c>
      <c r="X50" s="149">
        <f t="shared" si="5"/>
        <v>6.5312402402954092E-3</v>
      </c>
      <c r="Y50" s="184"/>
      <c r="AE50" s="101"/>
      <c r="AF50" s="101"/>
      <c r="AG50" s="101"/>
    </row>
    <row r="51" spans="1:33" x14ac:dyDescent="0.25">
      <c r="A51" s="71" t="s">
        <v>515</v>
      </c>
      <c r="B51" t="s">
        <v>400</v>
      </c>
      <c r="C51">
        <f t="shared" si="2"/>
        <v>6245</v>
      </c>
      <c r="D51">
        <v>4519</v>
      </c>
      <c r="E51">
        <v>1726</v>
      </c>
      <c r="F51">
        <v>0</v>
      </c>
      <c r="G51">
        <v>22</v>
      </c>
      <c r="H51">
        <v>172</v>
      </c>
      <c r="I51">
        <v>337</v>
      </c>
      <c r="J51">
        <v>3563</v>
      </c>
      <c r="K51">
        <v>3652</v>
      </c>
      <c r="L51">
        <v>246</v>
      </c>
      <c r="M51">
        <v>60</v>
      </c>
      <c r="N51">
        <v>439</v>
      </c>
      <c r="O51">
        <v>90</v>
      </c>
      <c r="P51">
        <f t="shared" si="3"/>
        <v>2858000</v>
      </c>
      <c r="Q51">
        <v>2487000</v>
      </c>
      <c r="R51">
        <v>371000</v>
      </c>
      <c r="S51">
        <v>254000</v>
      </c>
      <c r="T51" s="101">
        <f t="shared" si="0"/>
        <v>6151245</v>
      </c>
      <c r="U51" s="101">
        <f t="shared" si="4"/>
        <v>-93755</v>
      </c>
      <c r="V51" s="101">
        <f t="shared" si="1"/>
        <v>0</v>
      </c>
      <c r="W51" s="101">
        <v>111560</v>
      </c>
      <c r="X51" s="149">
        <f t="shared" si="5"/>
        <v>-8.403997848691287E-4</v>
      </c>
      <c r="Y51" s="184"/>
      <c r="AE51" s="101"/>
      <c r="AF51" s="101"/>
      <c r="AG51" s="101"/>
    </row>
    <row r="52" spans="1:33" x14ac:dyDescent="0.25">
      <c r="A52" t="s">
        <v>515</v>
      </c>
      <c r="B52" t="s">
        <v>214</v>
      </c>
      <c r="C52">
        <f t="shared" si="2"/>
        <v>5540</v>
      </c>
      <c r="D52">
        <v>3577</v>
      </c>
      <c r="E52">
        <v>1963</v>
      </c>
      <c r="F52">
        <v>6</v>
      </c>
      <c r="G52">
        <v>0</v>
      </c>
      <c r="H52">
        <v>149</v>
      </c>
      <c r="I52">
        <v>0</v>
      </c>
      <c r="J52">
        <v>1620</v>
      </c>
      <c r="K52">
        <v>1883</v>
      </c>
      <c r="L52">
        <v>196</v>
      </c>
      <c r="M52">
        <v>0</v>
      </c>
      <c r="N52">
        <v>607</v>
      </c>
      <c r="O52">
        <v>105</v>
      </c>
      <c r="P52">
        <f t="shared" si="3"/>
        <v>2900000</v>
      </c>
      <c r="Q52">
        <v>2572000</v>
      </c>
      <c r="R52">
        <v>328000</v>
      </c>
      <c r="S52">
        <v>243000</v>
      </c>
      <c r="T52" s="101">
        <f t="shared" si="0"/>
        <v>6149340</v>
      </c>
      <c r="U52" s="101">
        <f t="shared" si="4"/>
        <v>609340</v>
      </c>
      <c r="V52" s="101">
        <f t="shared" si="1"/>
        <v>609340</v>
      </c>
      <c r="W52" s="101">
        <v>32949</v>
      </c>
      <c r="X52" s="149">
        <f t="shared" si="5"/>
        <v>1.8493429239127137E-2</v>
      </c>
      <c r="Y52" s="184"/>
      <c r="AE52" s="101"/>
      <c r="AF52" s="101"/>
      <c r="AG52" s="101"/>
    </row>
    <row r="53" spans="1:33" x14ac:dyDescent="0.25">
      <c r="A53" t="s">
        <v>522</v>
      </c>
      <c r="B53" t="s">
        <v>215</v>
      </c>
      <c r="C53">
        <f t="shared" si="2"/>
        <v>4428</v>
      </c>
      <c r="D53">
        <v>2576</v>
      </c>
      <c r="E53">
        <v>1852</v>
      </c>
      <c r="F53">
        <v>43</v>
      </c>
      <c r="G53">
        <v>70</v>
      </c>
      <c r="H53">
        <v>0</v>
      </c>
      <c r="I53">
        <v>27</v>
      </c>
      <c r="J53">
        <v>1544</v>
      </c>
      <c r="K53">
        <v>2266</v>
      </c>
      <c r="L53">
        <v>252</v>
      </c>
      <c r="M53">
        <v>387</v>
      </c>
      <c r="N53">
        <v>571</v>
      </c>
      <c r="O53">
        <v>287</v>
      </c>
      <c r="P53">
        <f t="shared" si="3"/>
        <v>3475000</v>
      </c>
      <c r="Q53">
        <v>2881000</v>
      </c>
      <c r="R53">
        <v>594000</v>
      </c>
      <c r="S53">
        <v>140000</v>
      </c>
      <c r="T53" s="101">
        <f t="shared" si="0"/>
        <v>7751445</v>
      </c>
      <c r="U53" s="101">
        <f t="shared" si="4"/>
        <v>3323445</v>
      </c>
      <c r="V53" s="101">
        <f t="shared" si="1"/>
        <v>3323445</v>
      </c>
      <c r="W53" s="101">
        <v>51886</v>
      </c>
      <c r="X53" s="149">
        <f t="shared" si="5"/>
        <v>6.4052827352272287E-2</v>
      </c>
      <c r="Y53" s="184"/>
      <c r="AE53" s="101"/>
      <c r="AF53" s="101"/>
      <c r="AG53" s="101"/>
    </row>
    <row r="54" spans="1:33" x14ac:dyDescent="0.25">
      <c r="A54" t="s">
        <v>520</v>
      </c>
      <c r="B54" t="s">
        <v>171</v>
      </c>
      <c r="C54">
        <f t="shared" si="2"/>
        <v>7443</v>
      </c>
      <c r="D54">
        <v>5295</v>
      </c>
      <c r="E54">
        <v>2148</v>
      </c>
      <c r="F54">
        <v>1</v>
      </c>
      <c r="G54">
        <v>0</v>
      </c>
      <c r="H54">
        <v>292</v>
      </c>
      <c r="I54">
        <v>164</v>
      </c>
      <c r="J54">
        <v>2904</v>
      </c>
      <c r="K54">
        <v>0</v>
      </c>
      <c r="L54">
        <v>288</v>
      </c>
      <c r="M54">
        <v>166</v>
      </c>
      <c r="N54">
        <v>1105</v>
      </c>
      <c r="O54">
        <v>77</v>
      </c>
      <c r="P54">
        <f t="shared" si="3"/>
        <v>4138000</v>
      </c>
      <c r="Q54">
        <v>3656000</v>
      </c>
      <c r="R54">
        <v>482000</v>
      </c>
      <c r="S54">
        <v>319000</v>
      </c>
      <c r="T54" s="101">
        <f t="shared" si="0"/>
        <v>8801100</v>
      </c>
      <c r="U54" s="101">
        <f t="shared" si="4"/>
        <v>1358100</v>
      </c>
      <c r="V54" s="101">
        <f t="shared" si="1"/>
        <v>1358100</v>
      </c>
      <c r="W54" s="101">
        <v>62518</v>
      </c>
      <c r="X54" s="149">
        <f t="shared" si="5"/>
        <v>2.1723343677021018E-2</v>
      </c>
      <c r="Y54" s="184"/>
      <c r="AE54" s="101"/>
      <c r="AF54" s="101"/>
      <c r="AG54" s="101"/>
    </row>
    <row r="55" spans="1:33" x14ac:dyDescent="0.25">
      <c r="A55" t="s">
        <v>520</v>
      </c>
      <c r="B55" t="s">
        <v>287</v>
      </c>
      <c r="C55">
        <f t="shared" si="2"/>
        <v>12036</v>
      </c>
      <c r="D55">
        <v>7202</v>
      </c>
      <c r="E55">
        <v>4834</v>
      </c>
      <c r="F55">
        <v>0</v>
      </c>
      <c r="G55">
        <v>0</v>
      </c>
      <c r="H55">
        <v>72</v>
      </c>
      <c r="I55">
        <v>288</v>
      </c>
      <c r="J55">
        <v>4396</v>
      </c>
      <c r="K55">
        <v>7906</v>
      </c>
      <c r="L55">
        <v>686</v>
      </c>
      <c r="M55">
        <v>0</v>
      </c>
      <c r="N55">
        <v>1223</v>
      </c>
      <c r="O55">
        <v>111</v>
      </c>
      <c r="P55">
        <f t="shared" si="3"/>
        <v>8756000</v>
      </c>
      <c r="Q55">
        <v>7682000</v>
      </c>
      <c r="R55">
        <v>1074000</v>
      </c>
      <c r="S55">
        <v>276000</v>
      </c>
      <c r="T55" s="101">
        <f t="shared" si="0"/>
        <v>18726150</v>
      </c>
      <c r="U55" s="101">
        <f t="shared" si="4"/>
        <v>6690150</v>
      </c>
      <c r="V55" s="101">
        <f t="shared" si="1"/>
        <v>6690150</v>
      </c>
      <c r="W55" s="101">
        <v>219564</v>
      </c>
      <c r="X55" s="149">
        <f t="shared" si="5"/>
        <v>3.0470159042465979E-2</v>
      </c>
      <c r="Y55" s="184"/>
      <c r="AE55" s="101"/>
      <c r="AF55" s="101"/>
      <c r="AG55" s="101"/>
    </row>
    <row r="56" spans="1:33" x14ac:dyDescent="0.25">
      <c r="A56" t="s">
        <v>515</v>
      </c>
      <c r="B56" t="s">
        <v>244</v>
      </c>
      <c r="C56">
        <f t="shared" si="2"/>
        <v>6826</v>
      </c>
      <c r="D56">
        <v>4983</v>
      </c>
      <c r="E56">
        <v>1843</v>
      </c>
      <c r="F56">
        <v>0</v>
      </c>
      <c r="G56">
        <v>27</v>
      </c>
      <c r="H56">
        <v>1140</v>
      </c>
      <c r="I56">
        <v>87</v>
      </c>
      <c r="J56">
        <v>3529</v>
      </c>
      <c r="K56">
        <v>4354</v>
      </c>
      <c r="L56">
        <v>462</v>
      </c>
      <c r="M56">
        <v>230</v>
      </c>
      <c r="N56">
        <v>1200</v>
      </c>
      <c r="O56">
        <v>78</v>
      </c>
      <c r="P56">
        <f t="shared" si="3"/>
        <v>6440000</v>
      </c>
      <c r="Q56">
        <v>5991000</v>
      </c>
      <c r="R56">
        <v>449000</v>
      </c>
      <c r="S56">
        <v>284000</v>
      </c>
      <c r="T56" s="101">
        <f t="shared" si="0"/>
        <v>13123545</v>
      </c>
      <c r="U56" s="101">
        <f t="shared" si="4"/>
        <v>6297545</v>
      </c>
      <c r="V56" s="101">
        <f t="shared" si="1"/>
        <v>6297545</v>
      </c>
      <c r="W56" s="101">
        <v>73875</v>
      </c>
      <c r="X56" s="149">
        <f t="shared" si="5"/>
        <v>8.5245956006768195E-2</v>
      </c>
      <c r="Y56" s="184"/>
      <c r="AE56" s="101"/>
      <c r="AF56" s="101"/>
      <c r="AG56" s="101"/>
    </row>
    <row r="57" spans="1:33" x14ac:dyDescent="0.25">
      <c r="A57" t="s">
        <v>517</v>
      </c>
      <c r="B57" t="s">
        <v>107</v>
      </c>
      <c r="C57">
        <f t="shared" si="2"/>
        <v>9135</v>
      </c>
      <c r="D57">
        <v>6155</v>
      </c>
      <c r="E57">
        <v>2980</v>
      </c>
      <c r="F57">
        <v>0</v>
      </c>
      <c r="G57">
        <v>0</v>
      </c>
      <c r="H57">
        <v>1890</v>
      </c>
      <c r="I57">
        <v>337</v>
      </c>
      <c r="J57">
        <v>3584</v>
      </c>
      <c r="K57">
        <v>4280</v>
      </c>
      <c r="L57">
        <v>343</v>
      </c>
      <c r="M57">
        <v>443</v>
      </c>
      <c r="N57">
        <v>1118</v>
      </c>
      <c r="O57">
        <v>66</v>
      </c>
      <c r="P57">
        <f t="shared" si="3"/>
        <v>4302000</v>
      </c>
      <c r="Q57">
        <v>3416000</v>
      </c>
      <c r="R57">
        <v>886000</v>
      </c>
      <c r="S57">
        <v>189000</v>
      </c>
      <c r="T57" s="101">
        <f t="shared" si="0"/>
        <v>9883140</v>
      </c>
      <c r="U57" s="101">
        <f t="shared" si="4"/>
        <v>748140</v>
      </c>
      <c r="V57" s="101">
        <f t="shared" si="1"/>
        <v>748140</v>
      </c>
      <c r="W57" s="101">
        <v>113860</v>
      </c>
      <c r="X57" s="149">
        <f t="shared" si="5"/>
        <v>6.5707008607061301E-3</v>
      </c>
      <c r="Y57" s="184"/>
      <c r="AE57" s="101"/>
      <c r="AF57" s="101"/>
      <c r="AG57" s="101"/>
    </row>
    <row r="58" spans="1:33" x14ac:dyDescent="0.25">
      <c r="A58" t="s">
        <v>514</v>
      </c>
      <c r="B58" t="s">
        <v>353</v>
      </c>
      <c r="C58">
        <f t="shared" si="2"/>
        <v>5488</v>
      </c>
      <c r="D58">
        <v>3181</v>
      </c>
      <c r="E58">
        <v>2307</v>
      </c>
      <c r="F58">
        <v>0</v>
      </c>
      <c r="G58">
        <v>12</v>
      </c>
      <c r="H58">
        <v>230</v>
      </c>
      <c r="I58">
        <v>33</v>
      </c>
      <c r="J58">
        <v>2112</v>
      </c>
      <c r="K58">
        <v>2371</v>
      </c>
      <c r="L58">
        <v>216</v>
      </c>
      <c r="M58">
        <v>53</v>
      </c>
      <c r="N58">
        <v>608</v>
      </c>
      <c r="O58">
        <v>103</v>
      </c>
      <c r="P58">
        <f t="shared" si="3"/>
        <v>3125000</v>
      </c>
      <c r="Q58">
        <v>2590000</v>
      </c>
      <c r="R58">
        <v>535000</v>
      </c>
      <c r="S58">
        <v>279000</v>
      </c>
      <c r="T58" s="101">
        <f t="shared" si="0"/>
        <v>6972300</v>
      </c>
      <c r="U58" s="101">
        <f t="shared" si="4"/>
        <v>1484300</v>
      </c>
      <c r="V58" s="101">
        <f t="shared" si="1"/>
        <v>1484300</v>
      </c>
      <c r="W58" s="101">
        <v>55734</v>
      </c>
      <c r="X58" s="149">
        <f t="shared" si="5"/>
        <v>2.6631858470592459E-2</v>
      </c>
      <c r="Y58" s="184"/>
      <c r="AE58" s="101"/>
      <c r="AF58" s="101"/>
      <c r="AG58" s="101"/>
    </row>
    <row r="59" spans="1:33" x14ac:dyDescent="0.25">
      <c r="A59" t="s">
        <v>512</v>
      </c>
      <c r="B59" t="s">
        <v>172</v>
      </c>
      <c r="C59">
        <f t="shared" si="2"/>
        <v>7640</v>
      </c>
      <c r="D59">
        <v>4476</v>
      </c>
      <c r="E59">
        <v>3164</v>
      </c>
      <c r="F59">
        <v>509</v>
      </c>
      <c r="G59">
        <v>33</v>
      </c>
      <c r="H59">
        <v>26</v>
      </c>
      <c r="I59">
        <v>97</v>
      </c>
      <c r="J59">
        <v>3449</v>
      </c>
      <c r="K59">
        <v>0</v>
      </c>
      <c r="L59">
        <v>245</v>
      </c>
      <c r="M59">
        <v>0</v>
      </c>
      <c r="N59">
        <v>796</v>
      </c>
      <c r="O59">
        <v>122</v>
      </c>
      <c r="P59">
        <f t="shared" si="3"/>
        <v>3818000</v>
      </c>
      <c r="Q59">
        <v>3299000</v>
      </c>
      <c r="R59">
        <v>519000</v>
      </c>
      <c r="S59">
        <v>192000</v>
      </c>
      <c r="T59" s="101">
        <f t="shared" si="0"/>
        <v>8261985</v>
      </c>
      <c r="U59" s="101">
        <f t="shared" si="4"/>
        <v>621985</v>
      </c>
      <c r="V59" s="101">
        <f t="shared" si="1"/>
        <v>621985</v>
      </c>
      <c r="W59" s="101">
        <v>80567</v>
      </c>
      <c r="X59" s="149">
        <f t="shared" si="5"/>
        <v>7.7200963173507759E-3</v>
      </c>
      <c r="Y59" s="184"/>
      <c r="AE59" s="101"/>
      <c r="AF59" s="101"/>
      <c r="AG59" s="101"/>
    </row>
    <row r="60" spans="1:33" x14ac:dyDescent="0.25">
      <c r="A60" t="s">
        <v>513</v>
      </c>
      <c r="B60" t="s">
        <v>141</v>
      </c>
      <c r="C60">
        <f t="shared" si="2"/>
        <v>6966</v>
      </c>
      <c r="D60">
        <v>4462</v>
      </c>
      <c r="E60">
        <v>2504</v>
      </c>
      <c r="F60">
        <v>0</v>
      </c>
      <c r="G60">
        <v>28</v>
      </c>
      <c r="H60">
        <v>200</v>
      </c>
      <c r="I60">
        <v>142</v>
      </c>
      <c r="J60">
        <v>1465</v>
      </c>
      <c r="K60">
        <v>2898</v>
      </c>
      <c r="L60">
        <v>324</v>
      </c>
      <c r="M60">
        <v>296</v>
      </c>
      <c r="N60">
        <v>1368</v>
      </c>
      <c r="O60">
        <v>124</v>
      </c>
      <c r="P60">
        <f t="shared" si="3"/>
        <v>4472000</v>
      </c>
      <c r="Q60">
        <v>3828000</v>
      </c>
      <c r="R60">
        <v>644000</v>
      </c>
      <c r="S60">
        <v>244000</v>
      </c>
      <c r="T60" s="101">
        <f t="shared" si="0"/>
        <v>9745980</v>
      </c>
      <c r="U60" s="101">
        <f t="shared" si="4"/>
        <v>2779980</v>
      </c>
      <c r="V60" s="101">
        <f t="shared" si="1"/>
        <v>2779980</v>
      </c>
      <c r="W60" s="101">
        <v>68226</v>
      </c>
      <c r="X60" s="149">
        <f t="shared" si="5"/>
        <v>4.0746636179755519E-2</v>
      </c>
      <c r="Y60" s="184"/>
      <c r="AE60" s="101"/>
      <c r="AF60" s="101"/>
      <c r="AG60" s="101"/>
    </row>
    <row r="61" spans="1:33" x14ac:dyDescent="0.25">
      <c r="A61" t="s">
        <v>513</v>
      </c>
      <c r="B61" t="s">
        <v>127</v>
      </c>
      <c r="C61">
        <f t="shared" si="2"/>
        <v>4277</v>
      </c>
      <c r="D61">
        <v>3205</v>
      </c>
      <c r="E61">
        <v>1072</v>
      </c>
      <c r="F61">
        <v>2</v>
      </c>
      <c r="G61">
        <v>0</v>
      </c>
      <c r="H61">
        <v>20</v>
      </c>
      <c r="I61">
        <v>0</v>
      </c>
      <c r="J61">
        <v>1586</v>
      </c>
      <c r="K61">
        <v>2061</v>
      </c>
      <c r="L61">
        <v>209</v>
      </c>
      <c r="M61">
        <v>0</v>
      </c>
      <c r="N61">
        <v>423</v>
      </c>
      <c r="O61">
        <v>35</v>
      </c>
      <c r="P61">
        <f t="shared" si="3"/>
        <v>1929000</v>
      </c>
      <c r="Q61">
        <v>1671000</v>
      </c>
      <c r="R61">
        <v>258000</v>
      </c>
      <c r="S61">
        <v>211000</v>
      </c>
      <c r="T61" s="101">
        <f t="shared" si="0"/>
        <v>4166235</v>
      </c>
      <c r="U61" s="101">
        <f t="shared" si="4"/>
        <v>-110765</v>
      </c>
      <c r="V61" s="101">
        <f t="shared" si="1"/>
        <v>0</v>
      </c>
      <c r="W61" s="101">
        <v>56749</v>
      </c>
      <c r="X61" s="149">
        <f t="shared" si="5"/>
        <v>-1.9518405610671555E-3</v>
      </c>
      <c r="Y61" s="184"/>
      <c r="AE61" s="101"/>
      <c r="AF61" s="101"/>
      <c r="AG61" s="101"/>
    </row>
    <row r="62" spans="1:33" x14ac:dyDescent="0.25">
      <c r="A62" t="s">
        <v>515</v>
      </c>
      <c r="B62" t="s">
        <v>216</v>
      </c>
      <c r="C62">
        <f t="shared" si="2"/>
        <v>12639</v>
      </c>
      <c r="D62">
        <v>8787</v>
      </c>
      <c r="E62">
        <v>3852</v>
      </c>
      <c r="F62">
        <v>0</v>
      </c>
      <c r="G62">
        <v>65</v>
      </c>
      <c r="H62">
        <v>215</v>
      </c>
      <c r="I62">
        <v>405</v>
      </c>
      <c r="J62">
        <v>4455</v>
      </c>
      <c r="K62">
        <v>5337</v>
      </c>
      <c r="L62">
        <v>466</v>
      </c>
      <c r="M62">
        <v>483</v>
      </c>
      <c r="N62">
        <v>1261</v>
      </c>
      <c r="O62">
        <v>164</v>
      </c>
      <c r="P62">
        <f t="shared" si="3"/>
        <v>9320000</v>
      </c>
      <c r="Q62">
        <v>8543000</v>
      </c>
      <c r="R62">
        <v>777000</v>
      </c>
      <c r="S62">
        <v>223000</v>
      </c>
      <c r="T62" s="101">
        <f t="shared" si="0"/>
        <v>19234785</v>
      </c>
      <c r="U62" s="101">
        <f t="shared" si="4"/>
        <v>6595785</v>
      </c>
      <c r="V62" s="101">
        <f t="shared" si="1"/>
        <v>6595785</v>
      </c>
      <c r="W62" s="101">
        <v>110862</v>
      </c>
      <c r="X62" s="149">
        <f t="shared" si="5"/>
        <v>5.9495453807436274E-2</v>
      </c>
      <c r="Y62" s="184"/>
      <c r="AE62" s="101"/>
      <c r="AF62" s="101"/>
      <c r="AG62" s="101"/>
    </row>
    <row r="63" spans="1:33" x14ac:dyDescent="0.25">
      <c r="A63" t="s">
        <v>518</v>
      </c>
      <c r="B63" t="s">
        <v>525</v>
      </c>
      <c r="C63">
        <f t="shared" si="2"/>
        <v>11679</v>
      </c>
      <c r="D63">
        <v>7413</v>
      </c>
      <c r="E63">
        <v>4266</v>
      </c>
      <c r="F63">
        <v>0</v>
      </c>
      <c r="G63">
        <v>88</v>
      </c>
      <c r="H63">
        <v>960</v>
      </c>
      <c r="I63">
        <v>1598</v>
      </c>
      <c r="J63">
        <v>5064</v>
      </c>
      <c r="K63">
        <v>5781</v>
      </c>
      <c r="L63">
        <v>567</v>
      </c>
      <c r="M63">
        <v>371</v>
      </c>
      <c r="N63">
        <v>1164</v>
      </c>
      <c r="O63">
        <v>1029</v>
      </c>
      <c r="P63">
        <f t="shared" si="3"/>
        <v>7203000</v>
      </c>
      <c r="Q63">
        <v>6191000</v>
      </c>
      <c r="R63">
        <v>1012000</v>
      </c>
      <c r="S63">
        <v>272000</v>
      </c>
      <c r="T63" s="101">
        <f t="shared" si="0"/>
        <v>15649575</v>
      </c>
      <c r="U63" s="101">
        <f t="shared" si="4"/>
        <v>3970575</v>
      </c>
      <c r="V63" s="101">
        <f t="shared" si="1"/>
        <v>3970575</v>
      </c>
      <c r="W63" s="101">
        <v>138773</v>
      </c>
      <c r="X63" s="149">
        <f t="shared" si="5"/>
        <v>2.861201386436843E-2</v>
      </c>
      <c r="Y63" s="184"/>
      <c r="AE63" s="101"/>
      <c r="AF63" s="101"/>
      <c r="AG63" s="101"/>
    </row>
    <row r="64" spans="1:33" x14ac:dyDescent="0.25">
      <c r="A64" t="s">
        <v>516</v>
      </c>
      <c r="B64" t="s">
        <v>217</v>
      </c>
      <c r="C64">
        <f t="shared" si="2"/>
        <v>9500</v>
      </c>
      <c r="D64">
        <v>6050</v>
      </c>
      <c r="E64">
        <v>3450</v>
      </c>
      <c r="F64">
        <v>6</v>
      </c>
      <c r="G64">
        <v>0</v>
      </c>
      <c r="H64">
        <v>448</v>
      </c>
      <c r="I64">
        <v>700</v>
      </c>
      <c r="J64">
        <v>4922</v>
      </c>
      <c r="K64">
        <v>6105</v>
      </c>
      <c r="L64">
        <v>384</v>
      </c>
      <c r="M64">
        <v>60</v>
      </c>
      <c r="N64">
        <v>1966</v>
      </c>
      <c r="O64">
        <v>219</v>
      </c>
      <c r="P64">
        <f t="shared" si="3"/>
        <v>8594000</v>
      </c>
      <c r="Q64">
        <v>7612000</v>
      </c>
      <c r="R64">
        <v>982000</v>
      </c>
      <c r="S64">
        <v>174000</v>
      </c>
      <c r="T64" s="101">
        <f t="shared" ref="T64:T126" si="6">0.1905*SUM(Q64,R64,R64)*10</f>
        <v>18242280</v>
      </c>
      <c r="U64" s="101">
        <f t="shared" si="4"/>
        <v>8742280</v>
      </c>
      <c r="V64" s="101">
        <f t="shared" ref="V64:V126" si="7">IF(U64&gt;0,U64,0)</f>
        <v>8742280</v>
      </c>
      <c r="W64" s="101">
        <v>96839</v>
      </c>
      <c r="X64" s="149">
        <f t="shared" si="5"/>
        <v>9.0276438211877447E-2</v>
      </c>
      <c r="Y64" s="184"/>
      <c r="AE64" s="101"/>
      <c r="AF64" s="101"/>
      <c r="AG64" s="101"/>
    </row>
    <row r="65" spans="1:33" x14ac:dyDescent="0.25">
      <c r="A65" t="s">
        <v>520</v>
      </c>
      <c r="B65" t="s">
        <v>115</v>
      </c>
      <c r="C65">
        <f t="shared" si="2"/>
        <v>4795</v>
      </c>
      <c r="D65">
        <v>3349</v>
      </c>
      <c r="E65">
        <v>1446</v>
      </c>
      <c r="F65">
        <v>0</v>
      </c>
      <c r="G65">
        <v>0</v>
      </c>
      <c r="H65">
        <v>388</v>
      </c>
      <c r="I65">
        <v>126</v>
      </c>
      <c r="J65">
        <v>2648</v>
      </c>
      <c r="K65">
        <v>1917</v>
      </c>
      <c r="L65">
        <v>300</v>
      </c>
      <c r="M65">
        <v>212</v>
      </c>
      <c r="N65">
        <v>758</v>
      </c>
      <c r="O65">
        <v>38</v>
      </c>
      <c r="P65">
        <f t="shared" si="3"/>
        <v>3396000</v>
      </c>
      <c r="Q65">
        <v>2947000</v>
      </c>
      <c r="R65">
        <v>449000</v>
      </c>
      <c r="S65">
        <v>359000</v>
      </c>
      <c r="T65" s="101">
        <f t="shared" si="6"/>
        <v>7324725</v>
      </c>
      <c r="U65" s="101">
        <f t="shared" si="4"/>
        <v>2529725</v>
      </c>
      <c r="V65" s="101">
        <f t="shared" si="7"/>
        <v>2529725</v>
      </c>
      <c r="W65" s="101">
        <v>55479</v>
      </c>
      <c r="X65" s="149">
        <f t="shared" si="5"/>
        <v>4.5597883883992142E-2</v>
      </c>
      <c r="Y65" s="184"/>
      <c r="AE65" s="101"/>
      <c r="AF65" s="101"/>
      <c r="AG65" s="101"/>
    </row>
    <row r="66" spans="1:33" x14ac:dyDescent="0.25">
      <c r="A66" t="s">
        <v>516</v>
      </c>
      <c r="B66" t="s">
        <v>288</v>
      </c>
      <c r="C66">
        <f t="shared" ref="C66:C128" si="8">SUM(D66:E66)</f>
        <v>28132</v>
      </c>
      <c r="D66">
        <v>14609</v>
      </c>
      <c r="E66">
        <v>13523</v>
      </c>
      <c r="F66">
        <v>7272</v>
      </c>
      <c r="G66">
        <v>763</v>
      </c>
      <c r="H66">
        <v>975</v>
      </c>
      <c r="I66">
        <v>240</v>
      </c>
      <c r="J66">
        <v>13566</v>
      </c>
      <c r="K66">
        <v>16827</v>
      </c>
      <c r="L66">
        <v>1251</v>
      </c>
      <c r="M66">
        <v>0</v>
      </c>
      <c r="N66">
        <v>3626</v>
      </c>
      <c r="O66">
        <v>252</v>
      </c>
      <c r="P66">
        <f t="shared" ref="P66:P128" si="9">SUM(Q66:R66)</f>
        <v>16260000</v>
      </c>
      <c r="Q66">
        <v>13553000</v>
      </c>
      <c r="R66">
        <v>2707000</v>
      </c>
      <c r="S66">
        <v>205000</v>
      </c>
      <c r="T66" s="101">
        <f t="shared" si="6"/>
        <v>36132135</v>
      </c>
      <c r="U66" s="101">
        <f t="shared" ref="U66:U128" si="10">SUM(T66,-C66*1000)</f>
        <v>8000135</v>
      </c>
      <c r="V66" s="101">
        <f t="shared" si="7"/>
        <v>8000135</v>
      </c>
      <c r="W66" s="101">
        <v>409558</v>
      </c>
      <c r="X66" s="149">
        <f t="shared" ref="X66:X128" si="11">U66/(W66*1000)</f>
        <v>1.953358254508519E-2</v>
      </c>
      <c r="Y66" s="184"/>
      <c r="AE66" s="101"/>
      <c r="AF66" s="101"/>
      <c r="AG66" s="101"/>
    </row>
    <row r="67" spans="1:33" x14ac:dyDescent="0.25">
      <c r="A67" t="s">
        <v>520</v>
      </c>
      <c r="B67" t="s">
        <v>245</v>
      </c>
      <c r="C67">
        <f t="shared" si="8"/>
        <v>14645</v>
      </c>
      <c r="D67">
        <v>6604</v>
      </c>
      <c r="E67">
        <v>8041</v>
      </c>
      <c r="F67">
        <v>63</v>
      </c>
      <c r="G67">
        <v>44</v>
      </c>
      <c r="H67">
        <v>751</v>
      </c>
      <c r="I67">
        <v>759</v>
      </c>
      <c r="J67">
        <v>3936</v>
      </c>
      <c r="K67">
        <v>11135</v>
      </c>
      <c r="L67">
        <v>889</v>
      </c>
      <c r="M67">
        <v>368</v>
      </c>
      <c r="N67">
        <v>1188</v>
      </c>
      <c r="O67">
        <v>105</v>
      </c>
      <c r="P67">
        <f t="shared" si="9"/>
        <v>6293000</v>
      </c>
      <c r="Q67">
        <v>5100000</v>
      </c>
      <c r="R67">
        <v>1193000</v>
      </c>
      <c r="S67">
        <v>322000</v>
      </c>
      <c r="T67" s="101">
        <f t="shared" si="6"/>
        <v>14260830</v>
      </c>
      <c r="U67" s="101">
        <f t="shared" si="10"/>
        <v>-384170</v>
      </c>
      <c r="V67" s="101">
        <f t="shared" si="7"/>
        <v>0</v>
      </c>
      <c r="W67" s="101">
        <v>214174</v>
      </c>
      <c r="X67" s="149">
        <f t="shared" si="11"/>
        <v>-1.7937284637724467E-3</v>
      </c>
      <c r="Y67" s="184"/>
      <c r="AE67" s="101"/>
      <c r="AF67" s="101"/>
      <c r="AG67" s="101"/>
    </row>
    <row r="68" spans="1:33" x14ac:dyDescent="0.25">
      <c r="A68" t="s">
        <v>512</v>
      </c>
      <c r="B68" t="s">
        <v>355</v>
      </c>
      <c r="C68">
        <f t="shared" si="8"/>
        <v>8601</v>
      </c>
      <c r="D68">
        <v>5603</v>
      </c>
      <c r="E68">
        <v>2998</v>
      </c>
      <c r="F68">
        <v>317</v>
      </c>
      <c r="G68">
        <v>0</v>
      </c>
      <c r="H68">
        <v>360</v>
      </c>
      <c r="I68">
        <v>278</v>
      </c>
      <c r="J68">
        <v>4130</v>
      </c>
      <c r="K68">
        <v>2505</v>
      </c>
      <c r="L68">
        <v>303</v>
      </c>
      <c r="M68">
        <v>76</v>
      </c>
      <c r="N68">
        <v>1400</v>
      </c>
      <c r="O68">
        <v>175</v>
      </c>
      <c r="P68">
        <f t="shared" si="9"/>
        <v>4895000</v>
      </c>
      <c r="Q68">
        <v>4075000</v>
      </c>
      <c r="R68">
        <v>820000</v>
      </c>
      <c r="S68">
        <v>256000</v>
      </c>
      <c r="T68" s="101">
        <f t="shared" si="6"/>
        <v>10887075</v>
      </c>
      <c r="U68" s="101">
        <f t="shared" si="10"/>
        <v>2286075</v>
      </c>
      <c r="V68" s="101">
        <f t="shared" si="7"/>
        <v>2286075</v>
      </c>
      <c r="W68" s="101">
        <v>100509</v>
      </c>
      <c r="X68" s="149">
        <f t="shared" si="11"/>
        <v>2.2744978061666119E-2</v>
      </c>
      <c r="Y68" s="184"/>
      <c r="AE68" s="101"/>
      <c r="AF68" s="101"/>
      <c r="AG68" s="101"/>
    </row>
    <row r="69" spans="1:33" x14ac:dyDescent="0.25">
      <c r="A69" t="s">
        <v>517</v>
      </c>
      <c r="B69" t="s">
        <v>142</v>
      </c>
      <c r="C69">
        <f t="shared" si="8"/>
        <v>28917</v>
      </c>
      <c r="D69">
        <v>15888</v>
      </c>
      <c r="E69">
        <v>13029</v>
      </c>
      <c r="F69">
        <v>4942</v>
      </c>
      <c r="G69">
        <v>182</v>
      </c>
      <c r="H69">
        <v>243</v>
      </c>
      <c r="I69">
        <v>355</v>
      </c>
      <c r="J69">
        <v>8546</v>
      </c>
      <c r="K69">
        <v>14432</v>
      </c>
      <c r="L69">
        <v>1162</v>
      </c>
      <c r="M69">
        <v>161</v>
      </c>
      <c r="N69">
        <v>3420</v>
      </c>
      <c r="O69">
        <v>1107</v>
      </c>
      <c r="P69">
        <f t="shared" si="9"/>
        <v>13250000</v>
      </c>
      <c r="Q69">
        <v>11201000</v>
      </c>
      <c r="R69">
        <v>2049000</v>
      </c>
      <c r="S69">
        <v>191000</v>
      </c>
      <c r="T69" s="101">
        <f t="shared" si="6"/>
        <v>29144595</v>
      </c>
      <c r="U69" s="101">
        <f t="shared" si="10"/>
        <v>227595</v>
      </c>
      <c r="V69" s="101">
        <f t="shared" si="7"/>
        <v>227595</v>
      </c>
      <c r="W69" s="101">
        <v>378726</v>
      </c>
      <c r="X69" s="149">
        <f t="shared" si="11"/>
        <v>6.0094897102390648E-4</v>
      </c>
      <c r="Y69" s="184"/>
      <c r="AE69" s="101"/>
      <c r="AF69" s="101"/>
      <c r="AG69" s="101"/>
    </row>
    <row r="70" spans="1:33" x14ac:dyDescent="0.25">
      <c r="A70" t="s">
        <v>514</v>
      </c>
      <c r="B70" t="s">
        <v>246</v>
      </c>
      <c r="C70">
        <f t="shared" si="8"/>
        <v>7465</v>
      </c>
      <c r="D70">
        <v>4475</v>
      </c>
      <c r="E70">
        <v>2990</v>
      </c>
      <c r="F70">
        <v>1205</v>
      </c>
      <c r="G70">
        <v>25</v>
      </c>
      <c r="H70">
        <v>515</v>
      </c>
      <c r="I70">
        <v>65</v>
      </c>
      <c r="J70">
        <v>3420</v>
      </c>
      <c r="K70">
        <v>4420</v>
      </c>
      <c r="L70">
        <v>356</v>
      </c>
      <c r="M70">
        <v>2</v>
      </c>
      <c r="N70">
        <v>1004</v>
      </c>
      <c r="O70">
        <v>90</v>
      </c>
      <c r="P70">
        <f t="shared" si="9"/>
        <v>5935000</v>
      </c>
      <c r="Q70">
        <v>5254000</v>
      </c>
      <c r="R70">
        <v>681000</v>
      </c>
      <c r="S70">
        <v>146000</v>
      </c>
      <c r="T70" s="101">
        <f t="shared" si="6"/>
        <v>12603480</v>
      </c>
      <c r="U70" s="101">
        <f t="shared" si="10"/>
        <v>5138480</v>
      </c>
      <c r="V70" s="101">
        <f t="shared" si="7"/>
        <v>5138480</v>
      </c>
      <c r="W70" s="101">
        <v>96754</v>
      </c>
      <c r="X70" s="149">
        <f t="shared" si="11"/>
        <v>5.3108708683878701E-2</v>
      </c>
      <c r="Y70" s="184"/>
      <c r="AE70" s="101"/>
      <c r="AF70" s="101"/>
      <c r="AG70" s="101"/>
    </row>
    <row r="71" spans="1:33" x14ac:dyDescent="0.25">
      <c r="A71" t="s">
        <v>513</v>
      </c>
      <c r="B71" t="s">
        <v>772</v>
      </c>
      <c r="C71">
        <f t="shared" si="8"/>
        <v>18163</v>
      </c>
      <c r="D71">
        <v>9938</v>
      </c>
      <c r="E71">
        <v>8225</v>
      </c>
      <c r="F71">
        <v>254</v>
      </c>
      <c r="G71">
        <v>0</v>
      </c>
      <c r="H71">
        <v>89</v>
      </c>
      <c r="I71">
        <v>0</v>
      </c>
      <c r="J71">
        <v>10399</v>
      </c>
      <c r="K71">
        <v>9629</v>
      </c>
      <c r="L71">
        <v>916</v>
      </c>
      <c r="M71">
        <v>410</v>
      </c>
      <c r="N71">
        <v>2018</v>
      </c>
      <c r="O71">
        <v>221</v>
      </c>
      <c r="P71">
        <f t="shared" si="9"/>
        <v>11995000</v>
      </c>
      <c r="Q71">
        <v>10401000</v>
      </c>
      <c r="R71">
        <v>1594000</v>
      </c>
      <c r="S71">
        <v>252000</v>
      </c>
      <c r="T71" s="101">
        <f t="shared" si="6"/>
        <v>25887045</v>
      </c>
      <c r="U71" s="101">
        <f t="shared" si="10"/>
        <v>7724045</v>
      </c>
      <c r="V71" s="101">
        <f t="shared" si="7"/>
        <v>7724045</v>
      </c>
      <c r="W71" s="101">
        <v>236097</v>
      </c>
      <c r="X71" s="149">
        <f t="shared" si="11"/>
        <v>3.2715557588618237E-2</v>
      </c>
      <c r="Y71" s="184"/>
      <c r="AE71" s="101"/>
      <c r="AF71" s="101"/>
      <c r="AG71" s="101"/>
    </row>
    <row r="72" spans="1:33" x14ac:dyDescent="0.25">
      <c r="A72" t="s">
        <v>518</v>
      </c>
      <c r="B72" t="s">
        <v>143</v>
      </c>
      <c r="C72">
        <f t="shared" si="8"/>
        <v>6883</v>
      </c>
      <c r="D72">
        <v>4108</v>
      </c>
      <c r="E72">
        <v>2775</v>
      </c>
      <c r="F72">
        <v>0</v>
      </c>
      <c r="G72">
        <v>17</v>
      </c>
      <c r="H72">
        <v>425</v>
      </c>
      <c r="I72">
        <v>224</v>
      </c>
      <c r="J72">
        <v>3144</v>
      </c>
      <c r="K72">
        <v>1718</v>
      </c>
      <c r="L72">
        <v>319</v>
      </c>
      <c r="M72">
        <v>0</v>
      </c>
      <c r="N72">
        <v>682</v>
      </c>
      <c r="O72">
        <v>68</v>
      </c>
      <c r="P72">
        <f t="shared" si="9"/>
        <v>3857000</v>
      </c>
      <c r="Q72">
        <v>3125000</v>
      </c>
      <c r="R72">
        <v>732000</v>
      </c>
      <c r="S72">
        <v>194000</v>
      </c>
      <c r="T72" s="101">
        <f t="shared" si="6"/>
        <v>8742045</v>
      </c>
      <c r="U72" s="101">
        <f t="shared" si="10"/>
        <v>1859045</v>
      </c>
      <c r="V72" s="101">
        <f t="shared" si="7"/>
        <v>1859045</v>
      </c>
      <c r="W72" s="101">
        <v>60954</v>
      </c>
      <c r="X72" s="149">
        <f t="shared" si="11"/>
        <v>3.0499146897660531E-2</v>
      </c>
      <c r="Y72" s="184"/>
      <c r="AE72" s="101"/>
      <c r="AF72" s="101"/>
      <c r="AG72" s="101"/>
    </row>
    <row r="73" spans="1:33" x14ac:dyDescent="0.25">
      <c r="A73" t="s">
        <v>514</v>
      </c>
      <c r="B73" t="s">
        <v>173</v>
      </c>
      <c r="C73">
        <f t="shared" si="8"/>
        <v>2171</v>
      </c>
      <c r="D73">
        <v>1712</v>
      </c>
      <c r="E73">
        <v>459</v>
      </c>
      <c r="F73">
        <v>541</v>
      </c>
      <c r="G73">
        <v>25</v>
      </c>
      <c r="H73">
        <v>408</v>
      </c>
      <c r="I73">
        <v>105</v>
      </c>
      <c r="J73">
        <v>1229</v>
      </c>
      <c r="K73">
        <v>1533</v>
      </c>
      <c r="L73">
        <v>137</v>
      </c>
      <c r="M73">
        <v>67</v>
      </c>
      <c r="N73">
        <v>335</v>
      </c>
      <c r="O73">
        <v>27</v>
      </c>
      <c r="P73">
        <f t="shared" si="9"/>
        <v>1350000</v>
      </c>
      <c r="Q73">
        <v>1208000</v>
      </c>
      <c r="R73">
        <v>142000</v>
      </c>
      <c r="S73">
        <v>235000</v>
      </c>
      <c r="T73" s="101">
        <f t="shared" si="6"/>
        <v>2842260</v>
      </c>
      <c r="U73" s="101">
        <f t="shared" si="10"/>
        <v>671260</v>
      </c>
      <c r="V73" s="101">
        <f t="shared" si="7"/>
        <v>671260</v>
      </c>
      <c r="W73" s="101">
        <v>33948</v>
      </c>
      <c r="X73" s="149">
        <f t="shared" si="11"/>
        <v>1.977318251443384E-2</v>
      </c>
      <c r="Y73" s="184"/>
      <c r="AE73" s="101"/>
      <c r="AF73" s="101"/>
      <c r="AG73" s="101"/>
    </row>
    <row r="74" spans="1:33" x14ac:dyDescent="0.25">
      <c r="A74" t="s">
        <v>518</v>
      </c>
      <c r="B74" t="s">
        <v>174</v>
      </c>
      <c r="C74">
        <f t="shared" si="8"/>
        <v>13563</v>
      </c>
      <c r="D74">
        <v>7580</v>
      </c>
      <c r="E74">
        <v>5983</v>
      </c>
      <c r="F74">
        <v>3536</v>
      </c>
      <c r="G74">
        <v>111</v>
      </c>
      <c r="H74">
        <v>75</v>
      </c>
      <c r="I74">
        <v>728</v>
      </c>
      <c r="J74">
        <v>6084</v>
      </c>
      <c r="K74">
        <v>8498</v>
      </c>
      <c r="L74">
        <v>956</v>
      </c>
      <c r="M74">
        <v>51</v>
      </c>
      <c r="N74">
        <v>1837</v>
      </c>
      <c r="O74">
        <v>241</v>
      </c>
      <c r="P74">
        <f t="shared" si="9"/>
        <v>7462000</v>
      </c>
      <c r="Q74">
        <v>6241000</v>
      </c>
      <c r="R74">
        <v>1221000</v>
      </c>
      <c r="S74">
        <v>254000</v>
      </c>
      <c r="T74" s="101">
        <f t="shared" si="6"/>
        <v>16541115</v>
      </c>
      <c r="U74" s="101">
        <f t="shared" si="10"/>
        <v>2978115</v>
      </c>
      <c r="V74" s="101">
        <f t="shared" si="7"/>
        <v>2978115</v>
      </c>
      <c r="W74" s="101">
        <v>248187</v>
      </c>
      <c r="X74" s="149">
        <f t="shared" si="11"/>
        <v>1.1999480230632548E-2</v>
      </c>
      <c r="Y74" s="184"/>
      <c r="AE74" s="101"/>
      <c r="AF74" s="101"/>
      <c r="AG74" s="101"/>
    </row>
    <row r="75" spans="1:33" x14ac:dyDescent="0.25">
      <c r="A75" t="s">
        <v>515</v>
      </c>
      <c r="B75" t="s">
        <v>356</v>
      </c>
      <c r="C75">
        <f t="shared" si="8"/>
        <v>6297</v>
      </c>
      <c r="D75">
        <v>4324</v>
      </c>
      <c r="E75">
        <v>1973</v>
      </c>
      <c r="F75">
        <v>1</v>
      </c>
      <c r="G75">
        <v>0</v>
      </c>
      <c r="H75">
        <v>140</v>
      </c>
      <c r="I75">
        <v>0</v>
      </c>
      <c r="J75">
        <v>1999</v>
      </c>
      <c r="K75">
        <v>3814</v>
      </c>
      <c r="L75">
        <v>258</v>
      </c>
      <c r="M75">
        <v>134</v>
      </c>
      <c r="N75">
        <v>589</v>
      </c>
      <c r="O75">
        <v>69</v>
      </c>
      <c r="P75">
        <f t="shared" si="9"/>
        <v>3667000</v>
      </c>
      <c r="Q75">
        <v>3173000</v>
      </c>
      <c r="R75">
        <v>494000</v>
      </c>
      <c r="S75">
        <v>190000</v>
      </c>
      <c r="T75" s="101">
        <f t="shared" si="6"/>
        <v>7926705</v>
      </c>
      <c r="U75" s="101">
        <f t="shared" si="10"/>
        <v>1629705</v>
      </c>
      <c r="V75" s="101">
        <f t="shared" si="7"/>
        <v>1629705</v>
      </c>
      <c r="W75" s="101">
        <v>64853</v>
      </c>
      <c r="X75" s="149">
        <f t="shared" si="11"/>
        <v>2.5129215302299047E-2</v>
      </c>
      <c r="Y75" s="184"/>
      <c r="AE75" s="101"/>
      <c r="AF75" s="101"/>
      <c r="AG75" s="101"/>
    </row>
    <row r="76" spans="1:33" x14ac:dyDescent="0.25">
      <c r="A76" t="s">
        <v>515</v>
      </c>
      <c r="B76" t="s">
        <v>289</v>
      </c>
      <c r="C76">
        <f t="shared" si="8"/>
        <v>26498</v>
      </c>
      <c r="D76">
        <v>13381</v>
      </c>
      <c r="E76">
        <v>13117</v>
      </c>
      <c r="F76">
        <v>10510</v>
      </c>
      <c r="G76">
        <v>185</v>
      </c>
      <c r="H76">
        <v>450</v>
      </c>
      <c r="I76">
        <v>457</v>
      </c>
      <c r="J76">
        <v>13540</v>
      </c>
      <c r="K76">
        <v>16421</v>
      </c>
      <c r="L76">
        <v>1458</v>
      </c>
      <c r="M76">
        <v>2133</v>
      </c>
      <c r="N76">
        <v>3871</v>
      </c>
      <c r="O76">
        <v>1129</v>
      </c>
      <c r="P76">
        <f t="shared" si="9"/>
        <v>15556000</v>
      </c>
      <c r="Q76">
        <v>12581000</v>
      </c>
      <c r="R76">
        <v>2975000</v>
      </c>
      <c r="S76">
        <v>194000</v>
      </c>
      <c r="T76" s="101">
        <f t="shared" si="6"/>
        <v>35301555</v>
      </c>
      <c r="U76" s="101">
        <f t="shared" si="10"/>
        <v>8803555</v>
      </c>
      <c r="V76" s="101">
        <f t="shared" si="7"/>
        <v>8803555</v>
      </c>
      <c r="W76" s="101">
        <v>526349</v>
      </c>
      <c r="X76" s="149">
        <f t="shared" si="11"/>
        <v>1.6725699108386262E-2</v>
      </c>
      <c r="Y76" s="184"/>
      <c r="AE76" s="101"/>
      <c r="AF76" s="101"/>
      <c r="AG76" s="101"/>
    </row>
    <row r="77" spans="1:33" x14ac:dyDescent="0.25">
      <c r="A77" t="s">
        <v>513</v>
      </c>
      <c r="B77" t="s">
        <v>247</v>
      </c>
      <c r="C77">
        <f t="shared" si="8"/>
        <v>2996</v>
      </c>
      <c r="D77">
        <v>2334</v>
      </c>
      <c r="E77">
        <v>662</v>
      </c>
      <c r="F77">
        <v>0</v>
      </c>
      <c r="G77">
        <v>0</v>
      </c>
      <c r="H77">
        <v>165</v>
      </c>
      <c r="I77">
        <v>15</v>
      </c>
      <c r="J77">
        <v>1496</v>
      </c>
      <c r="K77">
        <v>3077</v>
      </c>
      <c r="L77">
        <v>197</v>
      </c>
      <c r="M77">
        <v>35</v>
      </c>
      <c r="N77">
        <v>377</v>
      </c>
      <c r="O77">
        <v>49</v>
      </c>
      <c r="P77">
        <f t="shared" si="9"/>
        <v>2769000</v>
      </c>
      <c r="Q77">
        <v>2491000</v>
      </c>
      <c r="R77">
        <v>278000</v>
      </c>
      <c r="S77">
        <v>232000</v>
      </c>
      <c r="T77" s="101">
        <f t="shared" si="6"/>
        <v>5804535</v>
      </c>
      <c r="U77" s="101">
        <f t="shared" si="10"/>
        <v>2808535</v>
      </c>
      <c r="V77" s="101">
        <f t="shared" si="7"/>
        <v>2808535</v>
      </c>
      <c r="W77" s="101">
        <v>43493</v>
      </c>
      <c r="X77" s="149">
        <f t="shared" si="11"/>
        <v>6.4574414273561268E-2</v>
      </c>
      <c r="Y77" s="184"/>
      <c r="AE77" s="101"/>
      <c r="AF77" s="101"/>
      <c r="AG77" s="101"/>
    </row>
    <row r="78" spans="1:33" x14ac:dyDescent="0.25">
      <c r="A78" t="s">
        <v>517</v>
      </c>
      <c r="B78" t="s">
        <v>357</v>
      </c>
      <c r="C78">
        <f t="shared" si="8"/>
        <v>5091</v>
      </c>
      <c r="D78">
        <v>3730</v>
      </c>
      <c r="E78">
        <v>1361</v>
      </c>
      <c r="F78">
        <v>8</v>
      </c>
      <c r="G78">
        <v>33</v>
      </c>
      <c r="H78">
        <v>119</v>
      </c>
      <c r="I78">
        <v>0</v>
      </c>
      <c r="J78">
        <v>1639</v>
      </c>
      <c r="K78">
        <v>2604</v>
      </c>
      <c r="L78">
        <v>291</v>
      </c>
      <c r="M78">
        <v>114</v>
      </c>
      <c r="N78">
        <v>1313</v>
      </c>
      <c r="O78">
        <v>97</v>
      </c>
      <c r="P78">
        <f t="shared" si="9"/>
        <v>3866000</v>
      </c>
      <c r="Q78">
        <v>3348000</v>
      </c>
      <c r="R78">
        <v>518000</v>
      </c>
      <c r="S78">
        <v>173000</v>
      </c>
      <c r="T78" s="101">
        <f t="shared" si="6"/>
        <v>8351520</v>
      </c>
      <c r="U78" s="101">
        <f t="shared" si="10"/>
        <v>3260520</v>
      </c>
      <c r="V78" s="101">
        <f t="shared" si="7"/>
        <v>3260520</v>
      </c>
      <c r="W78" s="101">
        <v>64263</v>
      </c>
      <c r="X78" s="149">
        <f t="shared" si="11"/>
        <v>5.0737127118248446E-2</v>
      </c>
      <c r="Y78" s="184"/>
      <c r="AE78" s="101"/>
      <c r="AF78" s="101"/>
      <c r="AG78" s="101"/>
    </row>
    <row r="79" spans="1:33" x14ac:dyDescent="0.25">
      <c r="A79" t="s">
        <v>514</v>
      </c>
      <c r="B79" t="s">
        <v>428</v>
      </c>
      <c r="C79">
        <f t="shared" si="8"/>
        <v>10411</v>
      </c>
      <c r="D79">
        <v>6208</v>
      </c>
      <c r="E79">
        <v>4203</v>
      </c>
      <c r="F79">
        <v>8</v>
      </c>
      <c r="G79">
        <v>0</v>
      </c>
      <c r="H79">
        <v>1220</v>
      </c>
      <c r="I79">
        <v>337</v>
      </c>
      <c r="J79">
        <v>2565</v>
      </c>
      <c r="K79">
        <v>5169</v>
      </c>
      <c r="L79">
        <v>275</v>
      </c>
      <c r="M79">
        <v>405</v>
      </c>
      <c r="N79">
        <v>764</v>
      </c>
      <c r="O79">
        <v>145</v>
      </c>
      <c r="P79">
        <f t="shared" si="9"/>
        <v>5431000</v>
      </c>
      <c r="Q79">
        <v>4345000</v>
      </c>
      <c r="R79">
        <v>1086000</v>
      </c>
      <c r="S79">
        <v>244000</v>
      </c>
      <c r="T79" s="101">
        <f t="shared" si="6"/>
        <v>12414885</v>
      </c>
      <c r="U79" s="101">
        <f t="shared" si="10"/>
        <v>2003885</v>
      </c>
      <c r="V79" s="101">
        <f t="shared" si="7"/>
        <v>2003885</v>
      </c>
      <c r="W79" s="101">
        <v>108539</v>
      </c>
      <c r="X79" s="149">
        <f t="shared" si="11"/>
        <v>1.8462349938731699E-2</v>
      </c>
      <c r="Y79" s="184"/>
      <c r="AE79" s="101"/>
      <c r="AF79" s="101"/>
      <c r="AG79" s="101"/>
    </row>
    <row r="80" spans="1:33" x14ac:dyDescent="0.25">
      <c r="A80" t="s">
        <v>513</v>
      </c>
      <c r="B80" t="s">
        <v>175</v>
      </c>
      <c r="C80">
        <f t="shared" si="8"/>
        <v>3515</v>
      </c>
      <c r="D80">
        <v>2397</v>
      </c>
      <c r="E80">
        <v>1118</v>
      </c>
      <c r="F80">
        <v>0</v>
      </c>
      <c r="G80">
        <v>0</v>
      </c>
      <c r="H80">
        <v>0</v>
      </c>
      <c r="I80">
        <v>213</v>
      </c>
      <c r="J80">
        <v>1937</v>
      </c>
      <c r="K80">
        <v>1527</v>
      </c>
      <c r="L80">
        <v>233</v>
      </c>
      <c r="M80">
        <v>26</v>
      </c>
      <c r="N80">
        <v>628</v>
      </c>
      <c r="O80">
        <v>78</v>
      </c>
      <c r="P80">
        <f t="shared" si="9"/>
        <v>2527000</v>
      </c>
      <c r="Q80">
        <v>2167000</v>
      </c>
      <c r="R80">
        <v>360000</v>
      </c>
      <c r="S80">
        <v>242000</v>
      </c>
      <c r="T80" s="101">
        <f t="shared" si="6"/>
        <v>5499735</v>
      </c>
      <c r="U80" s="101">
        <f t="shared" si="10"/>
        <v>1984735</v>
      </c>
      <c r="V80" s="101">
        <f t="shared" si="7"/>
        <v>1984735</v>
      </c>
      <c r="W80" s="101">
        <v>47301</v>
      </c>
      <c r="X80" s="149">
        <f t="shared" si="11"/>
        <v>4.1959683727616749E-2</v>
      </c>
      <c r="Y80" s="184"/>
      <c r="AE80" s="101"/>
      <c r="AF80" s="101"/>
      <c r="AG80" s="101"/>
    </row>
    <row r="81" spans="1:33" x14ac:dyDescent="0.25">
      <c r="A81" t="s">
        <v>519</v>
      </c>
      <c r="B81" t="s">
        <v>176</v>
      </c>
      <c r="C81">
        <f t="shared" si="8"/>
        <v>6532</v>
      </c>
      <c r="D81">
        <v>3849</v>
      </c>
      <c r="E81">
        <v>2683</v>
      </c>
      <c r="F81">
        <v>1</v>
      </c>
      <c r="G81">
        <v>0</v>
      </c>
      <c r="H81">
        <v>177</v>
      </c>
      <c r="I81">
        <v>226</v>
      </c>
      <c r="J81">
        <v>2714</v>
      </c>
      <c r="K81">
        <v>2750</v>
      </c>
      <c r="L81">
        <v>218</v>
      </c>
      <c r="M81">
        <v>60</v>
      </c>
      <c r="N81">
        <v>796</v>
      </c>
      <c r="O81">
        <v>113</v>
      </c>
      <c r="P81">
        <f t="shared" si="9"/>
        <v>3545000</v>
      </c>
      <c r="Q81">
        <v>2774000</v>
      </c>
      <c r="R81">
        <v>771000</v>
      </c>
      <c r="S81">
        <v>206000</v>
      </c>
      <c r="T81" s="101">
        <f t="shared" si="6"/>
        <v>8221980</v>
      </c>
      <c r="U81" s="101">
        <f t="shared" si="10"/>
        <v>1689980</v>
      </c>
      <c r="V81" s="101">
        <f t="shared" si="7"/>
        <v>1689980</v>
      </c>
      <c r="W81" s="101">
        <v>64484</v>
      </c>
      <c r="X81" s="149">
        <f t="shared" si="11"/>
        <v>2.6207741455244713E-2</v>
      </c>
      <c r="Y81" s="184"/>
      <c r="AE81" s="101"/>
      <c r="AF81" s="101"/>
      <c r="AG81" s="101"/>
    </row>
    <row r="82" spans="1:33" x14ac:dyDescent="0.25">
      <c r="A82" t="s">
        <v>515</v>
      </c>
      <c r="B82" t="s">
        <v>401</v>
      </c>
      <c r="C82">
        <f t="shared" si="8"/>
        <v>6972</v>
      </c>
      <c r="D82">
        <v>4463</v>
      </c>
      <c r="E82">
        <v>2509</v>
      </c>
      <c r="F82">
        <v>0</v>
      </c>
      <c r="G82">
        <v>4</v>
      </c>
      <c r="H82">
        <v>385</v>
      </c>
      <c r="I82">
        <v>175</v>
      </c>
      <c r="J82">
        <v>4274</v>
      </c>
      <c r="K82">
        <v>2859</v>
      </c>
      <c r="L82">
        <v>354</v>
      </c>
      <c r="M82">
        <v>51</v>
      </c>
      <c r="N82">
        <v>755</v>
      </c>
      <c r="O82">
        <v>90</v>
      </c>
      <c r="P82">
        <f t="shared" si="9"/>
        <v>4211000</v>
      </c>
      <c r="Q82">
        <v>3633000</v>
      </c>
      <c r="R82">
        <v>578000</v>
      </c>
      <c r="S82">
        <v>226000</v>
      </c>
      <c r="T82" s="101">
        <f t="shared" si="6"/>
        <v>9123045</v>
      </c>
      <c r="U82" s="101">
        <f t="shared" si="10"/>
        <v>2151045</v>
      </c>
      <c r="V82" s="101">
        <f t="shared" si="7"/>
        <v>2151045</v>
      </c>
      <c r="W82" s="101">
        <v>83832</v>
      </c>
      <c r="X82" s="149">
        <f t="shared" si="11"/>
        <v>2.5658996564557685E-2</v>
      </c>
      <c r="Y82" s="184"/>
      <c r="AE82" s="101"/>
      <c r="AF82" s="101"/>
      <c r="AG82" s="101"/>
    </row>
    <row r="83" spans="1:33" x14ac:dyDescent="0.25">
      <c r="A83" t="s">
        <v>515</v>
      </c>
      <c r="B83" t="s">
        <v>248</v>
      </c>
      <c r="C83">
        <f t="shared" si="8"/>
        <v>6369</v>
      </c>
      <c r="D83">
        <v>4326</v>
      </c>
      <c r="E83">
        <v>2043</v>
      </c>
      <c r="F83">
        <v>153</v>
      </c>
      <c r="G83">
        <v>33</v>
      </c>
      <c r="H83">
        <v>1209</v>
      </c>
      <c r="I83">
        <v>147</v>
      </c>
      <c r="J83">
        <v>3692</v>
      </c>
      <c r="K83">
        <v>5038</v>
      </c>
      <c r="L83">
        <v>305</v>
      </c>
      <c r="M83">
        <v>100</v>
      </c>
      <c r="N83">
        <v>2086</v>
      </c>
      <c r="O83">
        <v>270</v>
      </c>
      <c r="P83">
        <f t="shared" si="9"/>
        <v>5709000</v>
      </c>
      <c r="Q83">
        <v>5046000</v>
      </c>
      <c r="R83">
        <v>663000</v>
      </c>
      <c r="S83">
        <v>209000</v>
      </c>
      <c r="T83" s="101">
        <f t="shared" si="6"/>
        <v>12138660</v>
      </c>
      <c r="U83" s="101">
        <f t="shared" si="10"/>
        <v>5769660</v>
      </c>
      <c r="V83" s="101">
        <f t="shared" si="7"/>
        <v>5769660</v>
      </c>
      <c r="W83" s="101">
        <v>81952</v>
      </c>
      <c r="X83" s="149">
        <f t="shared" si="11"/>
        <v>7.0402918781725887E-2</v>
      </c>
      <c r="Y83" s="184"/>
      <c r="AE83" s="101"/>
      <c r="AF83" s="101"/>
      <c r="AG83" s="101"/>
    </row>
    <row r="84" spans="1:33" x14ac:dyDescent="0.25">
      <c r="A84" t="s">
        <v>522</v>
      </c>
      <c r="B84" t="s">
        <v>177</v>
      </c>
      <c r="C84">
        <f t="shared" si="8"/>
        <v>26276</v>
      </c>
      <c r="D84">
        <v>14705</v>
      </c>
      <c r="E84">
        <v>11571</v>
      </c>
      <c r="F84">
        <v>1634</v>
      </c>
      <c r="G84">
        <v>0</v>
      </c>
      <c r="H84">
        <v>1174</v>
      </c>
      <c r="I84">
        <v>1488</v>
      </c>
      <c r="J84">
        <v>11067</v>
      </c>
      <c r="K84">
        <v>11016</v>
      </c>
      <c r="L84">
        <v>1641</v>
      </c>
      <c r="M84">
        <v>1263</v>
      </c>
      <c r="N84">
        <v>4348</v>
      </c>
      <c r="O84">
        <v>330</v>
      </c>
      <c r="P84">
        <f t="shared" si="9"/>
        <v>18128000</v>
      </c>
      <c r="Q84">
        <v>14776000</v>
      </c>
      <c r="R84">
        <v>3352000</v>
      </c>
      <c r="S84">
        <v>203000</v>
      </c>
      <c r="T84" s="101">
        <f t="shared" si="6"/>
        <v>40919400</v>
      </c>
      <c r="U84" s="101">
        <f t="shared" si="10"/>
        <v>14643400</v>
      </c>
      <c r="V84" s="101">
        <f t="shared" si="7"/>
        <v>14643400</v>
      </c>
      <c r="W84" s="101">
        <v>394066</v>
      </c>
      <c r="X84" s="149">
        <f t="shared" si="11"/>
        <v>3.7159765115488269E-2</v>
      </c>
      <c r="Y84" s="184"/>
      <c r="AE84" s="101"/>
      <c r="AF84" s="101"/>
      <c r="AG84" s="101"/>
    </row>
    <row r="85" spans="1:33" x14ac:dyDescent="0.25">
      <c r="A85" t="s">
        <v>514</v>
      </c>
      <c r="B85" t="s">
        <v>218</v>
      </c>
      <c r="C85">
        <f t="shared" si="8"/>
        <v>2558</v>
      </c>
      <c r="D85">
        <v>1853</v>
      </c>
      <c r="E85">
        <v>705</v>
      </c>
      <c r="F85">
        <v>4</v>
      </c>
      <c r="G85">
        <v>0</v>
      </c>
      <c r="H85">
        <v>115</v>
      </c>
      <c r="I85">
        <v>72</v>
      </c>
      <c r="J85">
        <v>854</v>
      </c>
      <c r="K85">
        <v>1461</v>
      </c>
      <c r="L85">
        <v>125</v>
      </c>
      <c r="M85">
        <v>15</v>
      </c>
      <c r="N85">
        <v>861</v>
      </c>
      <c r="O85">
        <v>84</v>
      </c>
      <c r="P85">
        <f t="shared" si="9"/>
        <v>1855000</v>
      </c>
      <c r="Q85">
        <v>1637000</v>
      </c>
      <c r="R85">
        <v>218000</v>
      </c>
      <c r="S85">
        <v>252000</v>
      </c>
      <c r="T85" s="101">
        <f t="shared" si="6"/>
        <v>3949065</v>
      </c>
      <c r="U85" s="101">
        <f t="shared" si="10"/>
        <v>1391065</v>
      </c>
      <c r="V85" s="101">
        <f t="shared" si="7"/>
        <v>1391065</v>
      </c>
      <c r="W85" s="101">
        <v>29607</v>
      </c>
      <c r="X85" s="149">
        <f t="shared" si="11"/>
        <v>4.6984328030533318E-2</v>
      </c>
      <c r="Y85" s="184"/>
      <c r="AE85" s="101"/>
      <c r="AF85" s="101"/>
      <c r="AG85" s="101"/>
    </row>
    <row r="86" spans="1:33" x14ac:dyDescent="0.25">
      <c r="A86" t="s">
        <v>515</v>
      </c>
      <c r="B86" t="s">
        <v>719</v>
      </c>
      <c r="C86">
        <f t="shared" si="8"/>
        <v>17391</v>
      </c>
      <c r="D86">
        <v>7132</v>
      </c>
      <c r="E86">
        <v>10259</v>
      </c>
      <c r="F86">
        <v>2</v>
      </c>
      <c r="G86">
        <v>0</v>
      </c>
      <c r="H86">
        <v>214</v>
      </c>
      <c r="I86">
        <v>140</v>
      </c>
      <c r="J86">
        <v>5420</v>
      </c>
      <c r="K86">
        <v>5383</v>
      </c>
      <c r="L86">
        <v>518</v>
      </c>
      <c r="M86">
        <v>286</v>
      </c>
      <c r="N86">
        <v>2614</v>
      </c>
      <c r="O86">
        <v>200</v>
      </c>
      <c r="P86">
        <f t="shared" si="9"/>
        <v>4818000</v>
      </c>
      <c r="Q86">
        <v>3606000</v>
      </c>
      <c r="R86">
        <v>1212000</v>
      </c>
      <c r="S86">
        <v>244000</v>
      </c>
      <c r="T86" s="101">
        <f t="shared" si="6"/>
        <v>11487150</v>
      </c>
      <c r="U86" s="101">
        <f t="shared" si="10"/>
        <v>-5903850</v>
      </c>
      <c r="V86" s="101">
        <f t="shared" si="7"/>
        <v>0</v>
      </c>
      <c r="W86" s="101">
        <v>319987</v>
      </c>
      <c r="X86" s="149">
        <f t="shared" si="11"/>
        <v>-1.8450280792657203E-2</v>
      </c>
      <c r="Y86" s="184"/>
      <c r="AE86" s="101"/>
      <c r="AF86" s="101"/>
      <c r="AG86" s="101"/>
    </row>
    <row r="87" spans="1:33" x14ac:dyDescent="0.25">
      <c r="A87" t="s">
        <v>520</v>
      </c>
      <c r="B87" t="s">
        <v>358</v>
      </c>
      <c r="C87">
        <f t="shared" si="8"/>
        <v>4082</v>
      </c>
      <c r="D87">
        <v>2616</v>
      </c>
      <c r="E87">
        <v>1466</v>
      </c>
      <c r="F87">
        <v>6</v>
      </c>
      <c r="G87">
        <v>26</v>
      </c>
      <c r="H87">
        <v>450</v>
      </c>
      <c r="I87">
        <v>115</v>
      </c>
      <c r="J87">
        <v>2205</v>
      </c>
      <c r="K87">
        <v>1224</v>
      </c>
      <c r="L87">
        <v>168</v>
      </c>
      <c r="M87">
        <v>0</v>
      </c>
      <c r="N87">
        <v>708</v>
      </c>
      <c r="O87">
        <v>162</v>
      </c>
      <c r="P87">
        <f t="shared" si="9"/>
        <v>3414000</v>
      </c>
      <c r="Q87">
        <v>2913000</v>
      </c>
      <c r="R87">
        <v>501000</v>
      </c>
      <c r="S87">
        <v>322000</v>
      </c>
      <c r="T87" s="101">
        <f t="shared" si="6"/>
        <v>7458075</v>
      </c>
      <c r="U87" s="101">
        <f t="shared" si="10"/>
        <v>3376075</v>
      </c>
      <c r="V87" s="101">
        <f t="shared" si="7"/>
        <v>3376075</v>
      </c>
      <c r="W87" s="101">
        <v>50221</v>
      </c>
      <c r="X87" s="149">
        <f t="shared" si="11"/>
        <v>6.7224368292148701E-2</v>
      </c>
      <c r="Y87" s="184"/>
      <c r="AE87" s="101"/>
      <c r="AF87" s="101"/>
      <c r="AG87" s="101"/>
    </row>
    <row r="88" spans="1:33" x14ac:dyDescent="0.25">
      <c r="A88" s="123" t="s">
        <v>521</v>
      </c>
      <c r="B88" s="123" t="s">
        <v>402</v>
      </c>
      <c r="C88">
        <f t="shared" si="8"/>
        <v>5503</v>
      </c>
      <c r="D88">
        <v>4448</v>
      </c>
      <c r="E88">
        <v>1055</v>
      </c>
      <c r="F88">
        <v>0</v>
      </c>
      <c r="G88">
        <v>5</v>
      </c>
      <c r="H88">
        <v>639</v>
      </c>
      <c r="I88">
        <v>225</v>
      </c>
      <c r="J88">
        <v>3412</v>
      </c>
      <c r="K88">
        <v>3108</v>
      </c>
      <c r="L88">
        <v>276</v>
      </c>
      <c r="M88">
        <v>115</v>
      </c>
      <c r="N88">
        <v>558</v>
      </c>
      <c r="O88">
        <v>36</v>
      </c>
      <c r="P88">
        <f t="shared" si="9"/>
        <v>3786000</v>
      </c>
      <c r="Q88">
        <v>3403000</v>
      </c>
      <c r="R88">
        <v>383000</v>
      </c>
      <c r="S88" s="102">
        <f>SUM(S85:S87)/3</f>
        <v>272666.66666666669</v>
      </c>
      <c r="T88" s="101">
        <f>0.1905*SUM(Q88,R88,R88)*10</f>
        <v>7941945</v>
      </c>
      <c r="U88" s="101">
        <f t="shared" si="10"/>
        <v>2438945</v>
      </c>
      <c r="V88" s="101">
        <f>IF(U88&gt;0,U88,0)</f>
        <v>2438945</v>
      </c>
      <c r="W88" s="101">
        <v>60668</v>
      </c>
      <c r="X88" s="149">
        <f t="shared" si="11"/>
        <v>4.0201506560295378E-2</v>
      </c>
      <c r="Y88" s="184"/>
      <c r="AE88" s="101"/>
      <c r="AF88" s="101"/>
      <c r="AG88" s="101"/>
    </row>
    <row r="89" spans="1:33" x14ac:dyDescent="0.25">
      <c r="A89" t="s">
        <v>513</v>
      </c>
      <c r="B89" t="s">
        <v>359</v>
      </c>
      <c r="C89">
        <f t="shared" si="8"/>
        <v>82774</v>
      </c>
      <c r="D89">
        <v>39189</v>
      </c>
      <c r="E89">
        <v>43585</v>
      </c>
      <c r="F89">
        <v>16370</v>
      </c>
      <c r="G89">
        <v>1095</v>
      </c>
      <c r="H89">
        <v>2557</v>
      </c>
      <c r="I89">
        <v>1989</v>
      </c>
      <c r="J89">
        <v>21854</v>
      </c>
      <c r="K89">
        <v>28557</v>
      </c>
      <c r="L89">
        <v>2837</v>
      </c>
      <c r="M89">
        <v>648</v>
      </c>
      <c r="N89">
        <v>7105</v>
      </c>
      <c r="O89">
        <v>1426</v>
      </c>
      <c r="P89">
        <f t="shared" si="9"/>
        <v>41779000</v>
      </c>
      <c r="Q89">
        <v>33351000</v>
      </c>
      <c r="R89">
        <v>8428000</v>
      </c>
      <c r="S89">
        <v>295000</v>
      </c>
      <c r="T89" s="101">
        <f t="shared" si="6"/>
        <v>95644335</v>
      </c>
      <c r="U89" s="101">
        <f t="shared" si="10"/>
        <v>12870335</v>
      </c>
      <c r="V89" s="101">
        <f t="shared" si="7"/>
        <v>12870335</v>
      </c>
      <c r="W89" s="101">
        <v>965740</v>
      </c>
      <c r="X89" s="149">
        <f t="shared" si="11"/>
        <v>1.3326915111727794E-2</v>
      </c>
      <c r="Y89" s="184"/>
      <c r="AE89" s="101"/>
      <c r="AF89" s="101"/>
      <c r="AG89" s="101"/>
    </row>
    <row r="90" spans="1:33" x14ac:dyDescent="0.25">
      <c r="A90" t="s">
        <v>522</v>
      </c>
      <c r="B90" t="s">
        <v>178</v>
      </c>
      <c r="C90">
        <f t="shared" si="8"/>
        <v>4368</v>
      </c>
      <c r="D90">
        <v>2863</v>
      </c>
      <c r="E90">
        <v>1505</v>
      </c>
      <c r="F90">
        <v>36</v>
      </c>
      <c r="G90">
        <v>39</v>
      </c>
      <c r="H90">
        <v>274</v>
      </c>
      <c r="I90">
        <v>98</v>
      </c>
      <c r="J90">
        <v>2298</v>
      </c>
      <c r="K90">
        <v>2272</v>
      </c>
      <c r="L90">
        <v>323</v>
      </c>
      <c r="M90">
        <v>543</v>
      </c>
      <c r="N90">
        <v>563</v>
      </c>
      <c r="O90">
        <v>332</v>
      </c>
      <c r="P90">
        <f t="shared" si="9"/>
        <v>3214000</v>
      </c>
      <c r="Q90">
        <v>2728000</v>
      </c>
      <c r="R90">
        <v>486000</v>
      </c>
      <c r="S90">
        <v>245000</v>
      </c>
      <c r="T90" s="101">
        <f t="shared" si="6"/>
        <v>7048500</v>
      </c>
      <c r="U90" s="101">
        <f t="shared" si="10"/>
        <v>2680500</v>
      </c>
      <c r="V90" s="101">
        <f t="shared" si="7"/>
        <v>2680500</v>
      </c>
      <c r="W90" s="101">
        <v>54754</v>
      </c>
      <c r="X90" s="149">
        <f t="shared" si="11"/>
        <v>4.8955327464660116E-2</v>
      </c>
      <c r="Y90" s="184"/>
      <c r="AE90" s="101"/>
      <c r="AF90" s="101"/>
      <c r="AG90" s="101"/>
    </row>
    <row r="91" spans="1:33" x14ac:dyDescent="0.25">
      <c r="A91" t="s">
        <v>513</v>
      </c>
      <c r="B91" t="s">
        <v>108</v>
      </c>
      <c r="C91">
        <f t="shared" si="8"/>
        <v>28063</v>
      </c>
      <c r="D91">
        <v>16670</v>
      </c>
      <c r="E91">
        <v>11393</v>
      </c>
      <c r="F91">
        <v>4543</v>
      </c>
      <c r="G91">
        <v>27</v>
      </c>
      <c r="H91">
        <v>602</v>
      </c>
      <c r="I91">
        <v>298</v>
      </c>
      <c r="J91">
        <v>10437</v>
      </c>
      <c r="K91">
        <v>13967</v>
      </c>
      <c r="L91">
        <v>833</v>
      </c>
      <c r="M91">
        <v>762</v>
      </c>
      <c r="N91">
        <v>3276</v>
      </c>
      <c r="O91">
        <v>285</v>
      </c>
      <c r="P91">
        <f t="shared" si="9"/>
        <v>10987000</v>
      </c>
      <c r="Q91">
        <v>9101000</v>
      </c>
      <c r="R91">
        <v>1886000</v>
      </c>
      <c r="S91">
        <v>226000</v>
      </c>
      <c r="T91" s="101">
        <f t="shared" si="6"/>
        <v>24523065</v>
      </c>
      <c r="U91" s="101">
        <f t="shared" si="10"/>
        <v>-3539935</v>
      </c>
      <c r="V91" s="101">
        <f t="shared" si="7"/>
        <v>0</v>
      </c>
      <c r="W91" s="101">
        <v>420335</v>
      </c>
      <c r="X91" s="149">
        <f t="shared" si="11"/>
        <v>-8.4216993588447312E-3</v>
      </c>
      <c r="Y91" s="184"/>
      <c r="AE91" s="101"/>
      <c r="AF91" s="101"/>
      <c r="AG91" s="101"/>
    </row>
    <row r="92" spans="1:33" x14ac:dyDescent="0.25">
      <c r="A92" t="s">
        <v>515</v>
      </c>
      <c r="B92" t="s">
        <v>249</v>
      </c>
      <c r="C92">
        <f t="shared" si="8"/>
        <v>4721</v>
      </c>
      <c r="D92">
        <v>2252</v>
      </c>
      <c r="E92">
        <v>2469</v>
      </c>
      <c r="F92">
        <v>155</v>
      </c>
      <c r="G92">
        <v>56</v>
      </c>
      <c r="H92">
        <v>472</v>
      </c>
      <c r="I92">
        <v>101</v>
      </c>
      <c r="J92">
        <v>1802</v>
      </c>
      <c r="K92">
        <v>3328</v>
      </c>
      <c r="L92">
        <v>217</v>
      </c>
      <c r="M92">
        <v>207</v>
      </c>
      <c r="N92">
        <v>462</v>
      </c>
      <c r="O92">
        <v>841</v>
      </c>
      <c r="P92">
        <f t="shared" si="9"/>
        <v>2492000</v>
      </c>
      <c r="Q92">
        <v>2111000</v>
      </c>
      <c r="R92">
        <v>381000</v>
      </c>
      <c r="S92">
        <v>234000</v>
      </c>
      <c r="T92" s="101">
        <f t="shared" si="6"/>
        <v>5473065</v>
      </c>
      <c r="U92" s="101">
        <f t="shared" si="10"/>
        <v>752065</v>
      </c>
      <c r="V92" s="101">
        <f t="shared" si="7"/>
        <v>752065</v>
      </c>
      <c r="W92" s="101">
        <v>56659</v>
      </c>
      <c r="X92" s="149">
        <f t="shared" si="11"/>
        <v>1.3273531124799237E-2</v>
      </c>
      <c r="Y92" s="184"/>
      <c r="AE92" s="101"/>
      <c r="AF92" s="101"/>
      <c r="AG92" s="101"/>
    </row>
    <row r="93" spans="1:33" x14ac:dyDescent="0.25">
      <c r="A93" t="s">
        <v>512</v>
      </c>
      <c r="B93" t="s">
        <v>144</v>
      </c>
      <c r="C93">
        <f t="shared" si="8"/>
        <v>52248</v>
      </c>
      <c r="D93">
        <v>22909</v>
      </c>
      <c r="E93">
        <v>29339</v>
      </c>
      <c r="F93">
        <v>13860</v>
      </c>
      <c r="G93">
        <v>315</v>
      </c>
      <c r="H93">
        <v>600</v>
      </c>
      <c r="I93">
        <v>1067</v>
      </c>
      <c r="J93">
        <v>20830</v>
      </c>
      <c r="K93">
        <v>19277</v>
      </c>
      <c r="L93">
        <v>1871</v>
      </c>
      <c r="M93">
        <v>561</v>
      </c>
      <c r="N93">
        <v>4571</v>
      </c>
      <c r="O93">
        <v>408</v>
      </c>
      <c r="P93">
        <f t="shared" si="9"/>
        <v>19279000</v>
      </c>
      <c r="Q93">
        <v>15751000</v>
      </c>
      <c r="R93">
        <v>3528000</v>
      </c>
      <c r="S93">
        <v>150000</v>
      </c>
      <c r="T93" s="101">
        <f t="shared" si="6"/>
        <v>43447335</v>
      </c>
      <c r="U93" s="101">
        <f t="shared" si="10"/>
        <v>-8800665</v>
      </c>
      <c r="V93" s="101">
        <f t="shared" si="7"/>
        <v>0</v>
      </c>
      <c r="W93" s="101">
        <v>728839</v>
      </c>
      <c r="X93" s="149">
        <f t="shared" si="11"/>
        <v>-1.207490954792485E-2</v>
      </c>
      <c r="Y93" s="184"/>
      <c r="AE93" s="101"/>
      <c r="AF93" s="101"/>
      <c r="AG93" s="101"/>
    </row>
    <row r="94" spans="1:33" x14ac:dyDescent="0.25">
      <c r="A94" t="s">
        <v>514</v>
      </c>
      <c r="B94" t="s">
        <v>179</v>
      </c>
      <c r="C94">
        <f t="shared" si="8"/>
        <v>6253</v>
      </c>
      <c r="D94">
        <v>4597</v>
      </c>
      <c r="E94">
        <v>1656</v>
      </c>
      <c r="F94">
        <v>0</v>
      </c>
      <c r="G94">
        <v>99</v>
      </c>
      <c r="H94">
        <v>794</v>
      </c>
      <c r="I94">
        <v>348</v>
      </c>
      <c r="J94">
        <v>2931</v>
      </c>
      <c r="K94">
        <v>4212</v>
      </c>
      <c r="L94">
        <v>399</v>
      </c>
      <c r="M94">
        <v>799</v>
      </c>
      <c r="N94">
        <v>735</v>
      </c>
      <c r="O94">
        <v>108</v>
      </c>
      <c r="P94">
        <f t="shared" si="9"/>
        <v>5398000</v>
      </c>
      <c r="Q94">
        <v>4722000</v>
      </c>
      <c r="R94">
        <v>676000</v>
      </c>
      <c r="S94">
        <v>189000</v>
      </c>
      <c r="T94" s="101">
        <f t="shared" si="6"/>
        <v>11570970</v>
      </c>
      <c r="U94" s="101">
        <f t="shared" si="10"/>
        <v>5317970</v>
      </c>
      <c r="V94" s="101">
        <f t="shared" si="7"/>
        <v>5317970</v>
      </c>
      <c r="W94" s="101">
        <v>82445</v>
      </c>
      <c r="X94" s="149">
        <f t="shared" si="11"/>
        <v>6.4503244587300626E-2</v>
      </c>
      <c r="Y94" s="184"/>
      <c r="AE94" s="101"/>
      <c r="AF94" s="101"/>
      <c r="AG94" s="101"/>
    </row>
    <row r="95" spans="1:33" x14ac:dyDescent="0.25">
      <c r="A95" t="s">
        <v>518</v>
      </c>
      <c r="B95" t="s">
        <v>180</v>
      </c>
      <c r="C95">
        <f t="shared" si="8"/>
        <v>9905</v>
      </c>
      <c r="D95">
        <v>6224</v>
      </c>
      <c r="E95">
        <v>3681</v>
      </c>
      <c r="F95">
        <v>0</v>
      </c>
      <c r="G95">
        <v>0</v>
      </c>
      <c r="H95">
        <v>580</v>
      </c>
      <c r="I95">
        <v>1446</v>
      </c>
      <c r="J95">
        <v>2925</v>
      </c>
      <c r="K95">
        <v>2379</v>
      </c>
      <c r="L95">
        <v>474</v>
      </c>
      <c r="M95">
        <v>398</v>
      </c>
      <c r="N95">
        <v>736</v>
      </c>
      <c r="O95">
        <v>54</v>
      </c>
      <c r="P95">
        <f t="shared" si="9"/>
        <v>4468000</v>
      </c>
      <c r="Q95">
        <v>3754000</v>
      </c>
      <c r="R95">
        <v>714000</v>
      </c>
      <c r="S95">
        <v>167000</v>
      </c>
      <c r="T95" s="101">
        <f t="shared" si="6"/>
        <v>9871710</v>
      </c>
      <c r="U95" s="101">
        <f t="shared" si="10"/>
        <v>-33290</v>
      </c>
      <c r="V95" s="101">
        <f t="shared" si="7"/>
        <v>0</v>
      </c>
      <c r="W95" s="101">
        <v>79770</v>
      </c>
      <c r="X95" s="149">
        <f t="shared" si="11"/>
        <v>-4.1732480882537295E-4</v>
      </c>
      <c r="Y95" s="184"/>
      <c r="AE95" s="101"/>
      <c r="AF95" s="101"/>
      <c r="AG95" s="101"/>
    </row>
    <row r="96" spans="1:33" x14ac:dyDescent="0.25">
      <c r="A96" t="s">
        <v>515</v>
      </c>
      <c r="B96" t="s">
        <v>360</v>
      </c>
      <c r="C96">
        <f t="shared" si="8"/>
        <v>8923</v>
      </c>
      <c r="D96">
        <v>5259</v>
      </c>
      <c r="E96">
        <v>3664</v>
      </c>
      <c r="F96">
        <v>3064</v>
      </c>
      <c r="G96">
        <v>47</v>
      </c>
      <c r="H96">
        <v>0</v>
      </c>
      <c r="I96">
        <v>240</v>
      </c>
      <c r="J96">
        <v>4236</v>
      </c>
      <c r="K96">
        <v>5629</v>
      </c>
      <c r="L96">
        <v>504</v>
      </c>
      <c r="M96">
        <v>90</v>
      </c>
      <c r="N96">
        <v>714</v>
      </c>
      <c r="O96">
        <v>672</v>
      </c>
      <c r="P96">
        <f t="shared" si="9"/>
        <v>6560000</v>
      </c>
      <c r="Q96">
        <v>5438000</v>
      </c>
      <c r="R96">
        <v>1122000</v>
      </c>
      <c r="S96">
        <v>275000</v>
      </c>
      <c r="T96" s="101">
        <f t="shared" si="6"/>
        <v>14634210</v>
      </c>
      <c r="U96" s="101">
        <f t="shared" si="10"/>
        <v>5711210</v>
      </c>
      <c r="V96" s="101">
        <f t="shared" si="7"/>
        <v>5711210</v>
      </c>
      <c r="W96" s="101">
        <v>135361</v>
      </c>
      <c r="X96" s="149">
        <f t="shared" si="11"/>
        <v>4.2192433566536888E-2</v>
      </c>
      <c r="Y96" s="184"/>
      <c r="AE96" s="101"/>
      <c r="AF96" s="101"/>
      <c r="AG96" s="101"/>
    </row>
    <row r="97" spans="1:33" x14ac:dyDescent="0.25">
      <c r="A97" t="s">
        <v>515</v>
      </c>
      <c r="B97" t="s">
        <v>361</v>
      </c>
      <c r="C97">
        <f t="shared" si="8"/>
        <v>6908</v>
      </c>
      <c r="D97">
        <v>3008</v>
      </c>
      <c r="E97">
        <v>3900</v>
      </c>
      <c r="F97">
        <v>9</v>
      </c>
      <c r="G97">
        <v>13</v>
      </c>
      <c r="H97">
        <v>38</v>
      </c>
      <c r="I97">
        <v>91</v>
      </c>
      <c r="J97">
        <v>2192</v>
      </c>
      <c r="K97">
        <v>2285</v>
      </c>
      <c r="L97">
        <v>177</v>
      </c>
      <c r="M97">
        <v>48</v>
      </c>
      <c r="N97">
        <v>476</v>
      </c>
      <c r="O97">
        <v>89</v>
      </c>
      <c r="P97">
        <f t="shared" si="9"/>
        <v>3310000</v>
      </c>
      <c r="Q97">
        <v>2571000</v>
      </c>
      <c r="R97">
        <v>739000</v>
      </c>
      <c r="S97">
        <v>282000</v>
      </c>
      <c r="T97" s="101">
        <f t="shared" si="6"/>
        <v>7713345</v>
      </c>
      <c r="U97" s="101">
        <f t="shared" si="10"/>
        <v>805345</v>
      </c>
      <c r="V97" s="101">
        <f t="shared" si="7"/>
        <v>805345</v>
      </c>
      <c r="W97" s="101">
        <v>59039</v>
      </c>
      <c r="X97" s="149">
        <f t="shared" si="11"/>
        <v>1.364089838920036E-2</v>
      </c>
      <c r="Y97" s="184"/>
      <c r="AE97" s="101"/>
      <c r="AF97" s="101"/>
      <c r="AG97" s="101"/>
    </row>
    <row r="98" spans="1:33" x14ac:dyDescent="0.25">
      <c r="A98" t="s">
        <v>513</v>
      </c>
      <c r="B98" t="s">
        <v>362</v>
      </c>
      <c r="C98">
        <f t="shared" si="8"/>
        <v>6128</v>
      </c>
      <c r="D98">
        <v>4221</v>
      </c>
      <c r="E98">
        <v>1907</v>
      </c>
      <c r="F98">
        <v>423</v>
      </c>
      <c r="G98">
        <v>0</v>
      </c>
      <c r="H98">
        <v>545</v>
      </c>
      <c r="I98">
        <v>317</v>
      </c>
      <c r="J98">
        <v>4204</v>
      </c>
      <c r="K98">
        <v>4408</v>
      </c>
      <c r="L98">
        <v>517</v>
      </c>
      <c r="M98">
        <v>0</v>
      </c>
      <c r="N98">
        <v>836</v>
      </c>
      <c r="O98">
        <v>70</v>
      </c>
      <c r="P98">
        <f t="shared" si="9"/>
        <v>5911000</v>
      </c>
      <c r="Q98">
        <v>5299000</v>
      </c>
      <c r="R98">
        <v>612000</v>
      </c>
      <c r="S98">
        <v>239000</v>
      </c>
      <c r="T98" s="101">
        <f t="shared" si="6"/>
        <v>12426315</v>
      </c>
      <c r="U98" s="101">
        <f t="shared" si="10"/>
        <v>6298315</v>
      </c>
      <c r="V98" s="101">
        <f t="shared" si="7"/>
        <v>6298315</v>
      </c>
      <c r="W98" s="101">
        <v>112676</v>
      </c>
      <c r="X98" s="149">
        <f t="shared" si="11"/>
        <v>5.5897573573786788E-2</v>
      </c>
      <c r="Y98" s="184"/>
      <c r="AE98" s="101"/>
      <c r="AF98" s="101"/>
      <c r="AG98" s="101"/>
    </row>
    <row r="99" spans="1:33" x14ac:dyDescent="0.25">
      <c r="A99" t="s">
        <v>513</v>
      </c>
      <c r="B99" t="s">
        <v>363</v>
      </c>
      <c r="C99">
        <f t="shared" si="8"/>
        <v>9081</v>
      </c>
      <c r="D99">
        <v>5944</v>
      </c>
      <c r="E99">
        <v>3137</v>
      </c>
      <c r="F99">
        <v>4</v>
      </c>
      <c r="G99">
        <v>0</v>
      </c>
      <c r="H99">
        <v>153</v>
      </c>
      <c r="I99">
        <v>239</v>
      </c>
      <c r="J99">
        <v>2626</v>
      </c>
      <c r="K99">
        <v>3211</v>
      </c>
      <c r="L99">
        <v>313</v>
      </c>
      <c r="M99">
        <v>42</v>
      </c>
      <c r="N99">
        <v>1317</v>
      </c>
      <c r="O99">
        <v>93</v>
      </c>
      <c r="P99">
        <f t="shared" si="9"/>
        <v>4430000</v>
      </c>
      <c r="Q99">
        <v>3776000</v>
      </c>
      <c r="R99">
        <v>654000</v>
      </c>
      <c r="S99">
        <v>214000</v>
      </c>
      <c r="T99" s="101">
        <f t="shared" si="6"/>
        <v>9685020</v>
      </c>
      <c r="U99" s="101">
        <f t="shared" si="10"/>
        <v>604020</v>
      </c>
      <c r="V99" s="101">
        <f t="shared" si="7"/>
        <v>604020</v>
      </c>
      <c r="W99" s="101">
        <v>83596</v>
      </c>
      <c r="X99" s="149">
        <f t="shared" si="11"/>
        <v>7.2254653332695347E-3</v>
      </c>
      <c r="Y99" s="184"/>
      <c r="AE99" s="101"/>
      <c r="AF99" s="101"/>
      <c r="AG99" s="101"/>
    </row>
    <row r="100" spans="1:33" x14ac:dyDescent="0.25">
      <c r="A100" t="s">
        <v>513</v>
      </c>
      <c r="B100" t="s">
        <v>403</v>
      </c>
      <c r="C100">
        <f t="shared" si="8"/>
        <v>3456</v>
      </c>
      <c r="D100">
        <v>2292</v>
      </c>
      <c r="E100">
        <v>1164</v>
      </c>
      <c r="F100">
        <v>5</v>
      </c>
      <c r="G100">
        <v>0</v>
      </c>
      <c r="H100">
        <v>1843</v>
      </c>
      <c r="I100">
        <v>103</v>
      </c>
      <c r="J100">
        <v>1950</v>
      </c>
      <c r="K100">
        <v>1594</v>
      </c>
      <c r="L100">
        <v>168</v>
      </c>
      <c r="M100">
        <v>46</v>
      </c>
      <c r="N100">
        <v>369</v>
      </c>
      <c r="O100">
        <v>65</v>
      </c>
      <c r="P100">
        <f t="shared" si="9"/>
        <v>2406000</v>
      </c>
      <c r="Q100">
        <v>2069000</v>
      </c>
      <c r="R100">
        <v>337000</v>
      </c>
      <c r="S100">
        <v>241000</v>
      </c>
      <c r="T100" s="101">
        <f t="shared" si="6"/>
        <v>5225415</v>
      </c>
      <c r="U100" s="101">
        <f t="shared" si="10"/>
        <v>1769415</v>
      </c>
      <c r="V100" s="101">
        <f t="shared" si="7"/>
        <v>1769415</v>
      </c>
      <c r="W100" s="101">
        <v>48938</v>
      </c>
      <c r="X100" s="149">
        <f t="shared" si="11"/>
        <v>3.6156258939883119E-2</v>
      </c>
      <c r="Y100" s="184"/>
      <c r="AE100" s="101"/>
      <c r="AF100" s="101"/>
      <c r="AG100" s="101"/>
    </row>
    <row r="101" spans="1:33" x14ac:dyDescent="0.25">
      <c r="A101" t="s">
        <v>513</v>
      </c>
      <c r="B101" t="s">
        <v>364</v>
      </c>
      <c r="C101">
        <f t="shared" si="8"/>
        <v>7811</v>
      </c>
      <c r="D101">
        <v>3595</v>
      </c>
      <c r="E101">
        <v>4216</v>
      </c>
      <c r="F101">
        <v>0</v>
      </c>
      <c r="G101">
        <v>0</v>
      </c>
      <c r="H101">
        <v>390</v>
      </c>
      <c r="I101">
        <v>119</v>
      </c>
      <c r="J101">
        <v>1332</v>
      </c>
      <c r="K101">
        <v>2256</v>
      </c>
      <c r="L101">
        <v>207</v>
      </c>
      <c r="M101">
        <v>0</v>
      </c>
      <c r="N101">
        <v>601</v>
      </c>
      <c r="O101">
        <v>91</v>
      </c>
      <c r="P101">
        <f t="shared" si="9"/>
        <v>4020000</v>
      </c>
      <c r="Q101">
        <v>3124000</v>
      </c>
      <c r="R101">
        <v>896000</v>
      </c>
      <c r="S101">
        <v>250000</v>
      </c>
      <c r="T101" s="101">
        <f t="shared" si="6"/>
        <v>9364980</v>
      </c>
      <c r="U101" s="101">
        <f t="shared" si="10"/>
        <v>1553980</v>
      </c>
      <c r="V101" s="101">
        <f t="shared" si="7"/>
        <v>1553980</v>
      </c>
      <c r="W101" s="101">
        <v>76771</v>
      </c>
      <c r="X101" s="149">
        <f t="shared" si="11"/>
        <v>2.0241757955477981E-2</v>
      </c>
      <c r="Y101" s="184"/>
      <c r="AE101" s="101"/>
      <c r="AF101" s="101"/>
      <c r="AG101" s="101"/>
    </row>
    <row r="102" spans="1:33" x14ac:dyDescent="0.25">
      <c r="A102" t="s">
        <v>522</v>
      </c>
      <c r="B102" t="s">
        <v>290</v>
      </c>
      <c r="C102">
        <f t="shared" si="8"/>
        <v>9951</v>
      </c>
      <c r="D102">
        <v>7531</v>
      </c>
      <c r="E102">
        <v>2420</v>
      </c>
      <c r="F102">
        <v>12</v>
      </c>
      <c r="G102">
        <v>16</v>
      </c>
      <c r="H102">
        <v>2507</v>
      </c>
      <c r="I102">
        <v>1478</v>
      </c>
      <c r="J102">
        <v>5972</v>
      </c>
      <c r="K102">
        <v>6130</v>
      </c>
      <c r="L102">
        <v>459</v>
      </c>
      <c r="M102">
        <v>997</v>
      </c>
      <c r="N102">
        <v>1778</v>
      </c>
      <c r="O102">
        <v>335</v>
      </c>
      <c r="P102">
        <f t="shared" si="9"/>
        <v>7661000</v>
      </c>
      <c r="Q102">
        <v>6517000</v>
      </c>
      <c r="R102">
        <v>1144000</v>
      </c>
      <c r="S102">
        <v>221000</v>
      </c>
      <c r="T102" s="101">
        <f t="shared" si="6"/>
        <v>16773525</v>
      </c>
      <c r="U102" s="101">
        <f t="shared" si="10"/>
        <v>6822525</v>
      </c>
      <c r="V102" s="101">
        <f t="shared" si="7"/>
        <v>6822525</v>
      </c>
      <c r="W102" s="101">
        <v>135294</v>
      </c>
      <c r="X102" s="149">
        <f t="shared" si="11"/>
        <v>5.0427402545567428E-2</v>
      </c>
      <c r="Y102" s="184"/>
      <c r="AE102" s="101"/>
      <c r="AF102" s="101"/>
      <c r="AG102" s="101"/>
    </row>
    <row r="103" spans="1:33" x14ac:dyDescent="0.25">
      <c r="A103" t="s">
        <v>513</v>
      </c>
      <c r="B103" t="s">
        <v>329</v>
      </c>
      <c r="C103">
        <f t="shared" si="8"/>
        <v>11267</v>
      </c>
      <c r="D103">
        <v>6452</v>
      </c>
      <c r="E103">
        <v>4815</v>
      </c>
      <c r="F103">
        <v>4026</v>
      </c>
      <c r="G103">
        <v>16</v>
      </c>
      <c r="H103">
        <v>317</v>
      </c>
      <c r="I103">
        <v>503</v>
      </c>
      <c r="J103">
        <v>4245</v>
      </c>
      <c r="K103">
        <v>4436</v>
      </c>
      <c r="L103">
        <v>772</v>
      </c>
      <c r="M103">
        <v>453</v>
      </c>
      <c r="N103">
        <v>1536</v>
      </c>
      <c r="O103">
        <v>354</v>
      </c>
      <c r="P103">
        <f t="shared" si="9"/>
        <v>5562000</v>
      </c>
      <c r="Q103">
        <v>4403000</v>
      </c>
      <c r="R103">
        <v>1159000</v>
      </c>
      <c r="S103">
        <v>237000</v>
      </c>
      <c r="T103" s="101">
        <f t="shared" si="6"/>
        <v>12803505</v>
      </c>
      <c r="U103" s="101">
        <f t="shared" si="10"/>
        <v>1536505</v>
      </c>
      <c r="V103" s="101">
        <f t="shared" si="7"/>
        <v>1536505</v>
      </c>
      <c r="W103" s="101">
        <v>140487</v>
      </c>
      <c r="X103" s="149">
        <f t="shared" si="11"/>
        <v>1.0936990611230933E-2</v>
      </c>
      <c r="Y103" s="184"/>
      <c r="AE103" s="101"/>
      <c r="AF103" s="101"/>
      <c r="AG103" s="101"/>
    </row>
    <row r="104" spans="1:33" x14ac:dyDescent="0.25">
      <c r="A104" t="s">
        <v>517</v>
      </c>
      <c r="B104" t="s">
        <v>365</v>
      </c>
      <c r="C104">
        <f t="shared" si="8"/>
        <v>6527</v>
      </c>
      <c r="D104">
        <v>4527</v>
      </c>
      <c r="E104">
        <v>2000</v>
      </c>
      <c r="F104">
        <v>64</v>
      </c>
      <c r="G104">
        <v>16</v>
      </c>
      <c r="H104">
        <v>75</v>
      </c>
      <c r="I104">
        <v>285</v>
      </c>
      <c r="J104">
        <v>1950</v>
      </c>
      <c r="K104">
        <v>2330</v>
      </c>
      <c r="L104">
        <v>256</v>
      </c>
      <c r="M104">
        <v>0</v>
      </c>
      <c r="N104">
        <v>995</v>
      </c>
      <c r="O104">
        <v>190</v>
      </c>
      <c r="P104">
        <f t="shared" si="9"/>
        <v>3669000</v>
      </c>
      <c r="Q104">
        <v>3310000</v>
      </c>
      <c r="R104">
        <v>359000</v>
      </c>
      <c r="S104">
        <v>217000</v>
      </c>
      <c r="T104" s="101">
        <f t="shared" si="6"/>
        <v>7673340</v>
      </c>
      <c r="U104" s="101">
        <f t="shared" si="10"/>
        <v>1146340</v>
      </c>
      <c r="V104" s="101">
        <f t="shared" si="7"/>
        <v>1146340</v>
      </c>
      <c r="W104" s="101">
        <v>61167</v>
      </c>
      <c r="X104" s="149">
        <f t="shared" si="11"/>
        <v>1.8741151274379975E-2</v>
      </c>
      <c r="Y104" s="184"/>
      <c r="AE104" s="101"/>
      <c r="AF104" s="101"/>
      <c r="AG104" s="101"/>
    </row>
    <row r="105" spans="1:33" x14ac:dyDescent="0.25">
      <c r="A105" t="s">
        <v>524</v>
      </c>
      <c r="B105" t="s">
        <v>486</v>
      </c>
      <c r="C105">
        <f t="shared" si="8"/>
        <v>11245</v>
      </c>
      <c r="D105">
        <v>8838</v>
      </c>
      <c r="E105">
        <v>2407</v>
      </c>
      <c r="F105">
        <v>2745</v>
      </c>
      <c r="G105">
        <v>40</v>
      </c>
      <c r="H105">
        <v>311</v>
      </c>
      <c r="I105">
        <v>208</v>
      </c>
      <c r="J105">
        <v>5868</v>
      </c>
      <c r="K105">
        <v>7916</v>
      </c>
      <c r="L105">
        <v>663</v>
      </c>
      <c r="M105">
        <v>680</v>
      </c>
      <c r="N105">
        <v>2335</v>
      </c>
      <c r="O105">
        <v>186</v>
      </c>
      <c r="P105">
        <f t="shared" si="9"/>
        <v>13547000</v>
      </c>
      <c r="Q105">
        <v>12498000</v>
      </c>
      <c r="R105">
        <v>1049000</v>
      </c>
      <c r="S105">
        <v>209000</v>
      </c>
      <c r="T105" s="101">
        <f t="shared" si="6"/>
        <v>27805380</v>
      </c>
      <c r="U105" s="101">
        <f t="shared" si="10"/>
        <v>16560380</v>
      </c>
      <c r="V105" s="101">
        <f t="shared" si="7"/>
        <v>16560380</v>
      </c>
      <c r="W105" s="101">
        <v>141685</v>
      </c>
      <c r="X105" s="149">
        <f t="shared" si="11"/>
        <v>0.11688167413628825</v>
      </c>
      <c r="Y105" s="184"/>
      <c r="AE105" s="101"/>
      <c r="AF105" s="101"/>
      <c r="AG105" s="101"/>
    </row>
    <row r="106" spans="1:33" x14ac:dyDescent="0.25">
      <c r="A106" t="s">
        <v>513</v>
      </c>
      <c r="B106" t="s">
        <v>291</v>
      </c>
      <c r="C106">
        <f t="shared" si="8"/>
        <v>10140</v>
      </c>
      <c r="D106">
        <v>4832</v>
      </c>
      <c r="E106">
        <v>5308</v>
      </c>
      <c r="F106">
        <v>2421</v>
      </c>
      <c r="G106">
        <v>155</v>
      </c>
      <c r="H106">
        <v>0</v>
      </c>
      <c r="I106">
        <v>324</v>
      </c>
      <c r="J106">
        <v>3854</v>
      </c>
      <c r="K106">
        <v>5339</v>
      </c>
      <c r="L106">
        <v>490</v>
      </c>
      <c r="M106">
        <v>223</v>
      </c>
      <c r="N106">
        <v>1076</v>
      </c>
      <c r="O106">
        <v>1471</v>
      </c>
      <c r="P106">
        <f t="shared" si="9"/>
        <v>5131000</v>
      </c>
      <c r="Q106">
        <v>4159000</v>
      </c>
      <c r="R106">
        <v>972000</v>
      </c>
      <c r="S106">
        <v>261000</v>
      </c>
      <c r="T106" s="101">
        <f t="shared" si="6"/>
        <v>11626215</v>
      </c>
      <c r="U106" s="101">
        <f t="shared" si="10"/>
        <v>1486215</v>
      </c>
      <c r="V106" s="101">
        <f t="shared" si="7"/>
        <v>1486215</v>
      </c>
      <c r="W106" s="101">
        <v>143735</v>
      </c>
      <c r="X106" s="149">
        <f t="shared" si="11"/>
        <v>1.0339965909486206E-2</v>
      </c>
      <c r="Y106" s="184"/>
      <c r="AE106" s="101"/>
      <c r="AF106" s="101"/>
      <c r="AG106" s="101"/>
    </row>
    <row r="107" spans="1:33" x14ac:dyDescent="0.25">
      <c r="A107" t="s">
        <v>514</v>
      </c>
      <c r="B107" t="s">
        <v>292</v>
      </c>
      <c r="C107">
        <f t="shared" si="8"/>
        <v>17239</v>
      </c>
      <c r="D107">
        <v>8742</v>
      </c>
      <c r="E107">
        <v>8497</v>
      </c>
      <c r="F107">
        <v>4046</v>
      </c>
      <c r="G107">
        <v>220</v>
      </c>
      <c r="H107">
        <v>145</v>
      </c>
      <c r="I107">
        <v>269</v>
      </c>
      <c r="J107">
        <v>18920</v>
      </c>
      <c r="K107">
        <v>10531</v>
      </c>
      <c r="L107">
        <v>1007</v>
      </c>
      <c r="M107">
        <v>0</v>
      </c>
      <c r="N107">
        <v>2284</v>
      </c>
      <c r="O107">
        <v>276</v>
      </c>
      <c r="P107">
        <f t="shared" si="9"/>
        <v>9674000</v>
      </c>
      <c r="Q107">
        <v>8202000</v>
      </c>
      <c r="R107">
        <v>1472000</v>
      </c>
      <c r="S107">
        <v>368000</v>
      </c>
      <c r="T107" s="101">
        <f t="shared" si="6"/>
        <v>21233130</v>
      </c>
      <c r="U107" s="101">
        <f t="shared" si="10"/>
        <v>3994130</v>
      </c>
      <c r="V107" s="101">
        <f t="shared" si="7"/>
        <v>3994130</v>
      </c>
      <c r="W107" s="101">
        <v>284017</v>
      </c>
      <c r="X107" s="149">
        <f t="shared" si="11"/>
        <v>1.4062996229098963E-2</v>
      </c>
      <c r="Y107" s="184"/>
      <c r="AE107" s="101"/>
      <c r="AF107" s="101"/>
      <c r="AG107" s="101"/>
    </row>
    <row r="108" spans="1:33" x14ac:dyDescent="0.25">
      <c r="A108" t="s">
        <v>517</v>
      </c>
      <c r="B108" t="s">
        <v>721</v>
      </c>
      <c r="C108">
        <f t="shared" si="8"/>
        <v>97941</v>
      </c>
      <c r="D108">
        <v>49647</v>
      </c>
      <c r="E108">
        <v>48294</v>
      </c>
      <c r="F108">
        <v>23008</v>
      </c>
      <c r="G108">
        <v>1199</v>
      </c>
      <c r="H108">
        <v>2276</v>
      </c>
      <c r="I108">
        <v>132</v>
      </c>
      <c r="J108">
        <v>18509</v>
      </c>
      <c r="K108">
        <v>34166</v>
      </c>
      <c r="L108">
        <v>2281</v>
      </c>
      <c r="M108">
        <v>1624</v>
      </c>
      <c r="N108">
        <v>16146</v>
      </c>
      <c r="O108">
        <v>2328</v>
      </c>
      <c r="P108">
        <f t="shared" si="9"/>
        <v>32618000</v>
      </c>
      <c r="Q108">
        <v>27121000</v>
      </c>
      <c r="R108">
        <v>5497000</v>
      </c>
      <c r="S108">
        <v>200000</v>
      </c>
      <c r="T108" s="101">
        <f t="shared" si="6"/>
        <v>72609075</v>
      </c>
      <c r="U108" s="101">
        <f t="shared" si="10"/>
        <v>-25331925</v>
      </c>
      <c r="V108" s="101">
        <f t="shared" si="7"/>
        <v>0</v>
      </c>
      <c r="W108" s="101">
        <v>1082150</v>
      </c>
      <c r="X108" s="149">
        <f t="shared" si="11"/>
        <v>-2.3408885089867392E-2</v>
      </c>
      <c r="Y108" s="184"/>
      <c r="AE108" s="101"/>
      <c r="AF108" s="101"/>
      <c r="AG108" s="101"/>
    </row>
    <row r="109" spans="1:33" x14ac:dyDescent="0.25">
      <c r="A109" t="s">
        <v>517</v>
      </c>
      <c r="B109" t="s">
        <v>404</v>
      </c>
      <c r="C109">
        <f t="shared" si="8"/>
        <v>4149</v>
      </c>
      <c r="D109">
        <v>2840</v>
      </c>
      <c r="E109">
        <v>1309</v>
      </c>
      <c r="F109">
        <v>9</v>
      </c>
      <c r="G109">
        <v>0</v>
      </c>
      <c r="H109">
        <v>1457</v>
      </c>
      <c r="I109">
        <v>116</v>
      </c>
      <c r="J109">
        <v>2131</v>
      </c>
      <c r="K109">
        <v>1828</v>
      </c>
      <c r="L109">
        <v>200</v>
      </c>
      <c r="M109">
        <v>20</v>
      </c>
      <c r="N109">
        <v>230</v>
      </c>
      <c r="O109">
        <v>43</v>
      </c>
      <c r="P109">
        <f t="shared" si="9"/>
        <v>2070000</v>
      </c>
      <c r="Q109">
        <v>1859000</v>
      </c>
      <c r="R109">
        <v>211000</v>
      </c>
      <c r="S109">
        <v>188000</v>
      </c>
      <c r="T109" s="101">
        <f t="shared" si="6"/>
        <v>4345305</v>
      </c>
      <c r="U109" s="101">
        <f t="shared" si="10"/>
        <v>196305</v>
      </c>
      <c r="V109" s="101">
        <f t="shared" si="7"/>
        <v>196305</v>
      </c>
      <c r="W109" s="101">
        <v>38478</v>
      </c>
      <c r="X109" s="149">
        <f t="shared" si="11"/>
        <v>5.1017464525183222E-3</v>
      </c>
      <c r="Y109" s="184"/>
      <c r="AE109" s="101"/>
      <c r="AF109" s="101"/>
      <c r="AG109" s="101"/>
    </row>
    <row r="110" spans="1:33" x14ac:dyDescent="0.25">
      <c r="A110" t="s">
        <v>513</v>
      </c>
      <c r="B110" t="s">
        <v>145</v>
      </c>
      <c r="C110">
        <f t="shared" si="8"/>
        <v>7038</v>
      </c>
      <c r="D110">
        <v>4070</v>
      </c>
      <c r="E110">
        <v>2968</v>
      </c>
      <c r="F110">
        <v>0</v>
      </c>
      <c r="G110">
        <v>0</v>
      </c>
      <c r="H110">
        <v>110</v>
      </c>
      <c r="I110">
        <v>371</v>
      </c>
      <c r="J110">
        <v>3687</v>
      </c>
      <c r="K110">
        <v>2442</v>
      </c>
      <c r="L110">
        <v>293</v>
      </c>
      <c r="M110">
        <v>46</v>
      </c>
      <c r="N110">
        <v>905</v>
      </c>
      <c r="O110">
        <v>26</v>
      </c>
      <c r="P110">
        <f t="shared" si="9"/>
        <v>3270000</v>
      </c>
      <c r="Q110">
        <v>2743000</v>
      </c>
      <c r="R110">
        <v>527000</v>
      </c>
      <c r="S110">
        <v>210000</v>
      </c>
      <c r="T110" s="101">
        <f t="shared" si="6"/>
        <v>7233285</v>
      </c>
      <c r="U110" s="101">
        <f t="shared" si="10"/>
        <v>195285</v>
      </c>
      <c r="V110" s="101">
        <f t="shared" si="7"/>
        <v>195285</v>
      </c>
      <c r="W110" s="101">
        <v>63222</v>
      </c>
      <c r="X110" s="149">
        <f t="shared" si="11"/>
        <v>3.0888772895511056E-3</v>
      </c>
      <c r="Y110" s="184"/>
      <c r="AE110" s="101"/>
      <c r="AF110" s="101"/>
      <c r="AG110" s="101"/>
    </row>
    <row r="111" spans="1:33" x14ac:dyDescent="0.25">
      <c r="A111" t="s">
        <v>521</v>
      </c>
      <c r="B111" t="s">
        <v>250</v>
      </c>
      <c r="C111">
        <f t="shared" si="8"/>
        <v>45703</v>
      </c>
      <c r="D111">
        <v>25517</v>
      </c>
      <c r="E111">
        <v>20186</v>
      </c>
      <c r="F111">
        <v>23972</v>
      </c>
      <c r="G111">
        <v>1073</v>
      </c>
      <c r="H111">
        <v>2590</v>
      </c>
      <c r="I111">
        <v>1694</v>
      </c>
      <c r="J111">
        <v>12548</v>
      </c>
      <c r="K111">
        <v>26370</v>
      </c>
      <c r="L111">
        <v>2477</v>
      </c>
      <c r="M111">
        <v>996</v>
      </c>
      <c r="N111">
        <v>6053</v>
      </c>
      <c r="O111">
        <v>1212</v>
      </c>
      <c r="P111">
        <f t="shared" si="9"/>
        <v>33435000</v>
      </c>
      <c r="Q111">
        <v>29585000</v>
      </c>
      <c r="R111">
        <v>3850000</v>
      </c>
      <c r="S111" s="102">
        <v>175000</v>
      </c>
      <c r="T111" s="101">
        <f t="shared" si="6"/>
        <v>71027925</v>
      </c>
      <c r="U111" s="101">
        <f t="shared" si="10"/>
        <v>25324925</v>
      </c>
      <c r="V111" s="101">
        <f t="shared" si="7"/>
        <v>25324925</v>
      </c>
      <c r="W111" s="101">
        <v>582245</v>
      </c>
      <c r="X111" s="149">
        <f t="shared" si="11"/>
        <v>4.349530695841098E-2</v>
      </c>
      <c r="Y111" s="184"/>
      <c r="AE111" s="101"/>
    </row>
    <row r="112" spans="1:33" x14ac:dyDescent="0.25">
      <c r="A112" t="s">
        <v>522</v>
      </c>
      <c r="B112" t="s">
        <v>251</v>
      </c>
      <c r="C112">
        <f t="shared" si="8"/>
        <v>81680</v>
      </c>
      <c r="D112">
        <v>19543</v>
      </c>
      <c r="E112">
        <v>62137</v>
      </c>
      <c r="F112">
        <v>3617</v>
      </c>
      <c r="G112">
        <v>107</v>
      </c>
      <c r="H112">
        <v>12781</v>
      </c>
      <c r="I112">
        <v>1636</v>
      </c>
      <c r="J112">
        <v>10441</v>
      </c>
      <c r="K112">
        <v>19817</v>
      </c>
      <c r="L112">
        <v>2442</v>
      </c>
      <c r="M112">
        <v>774</v>
      </c>
      <c r="N112">
        <v>10245</v>
      </c>
      <c r="O112">
        <v>622</v>
      </c>
      <c r="P112">
        <f t="shared" si="9"/>
        <v>34413000</v>
      </c>
      <c r="Q112">
        <v>24041000</v>
      </c>
      <c r="R112">
        <v>10372000</v>
      </c>
      <c r="S112">
        <v>214000</v>
      </c>
      <c r="T112" s="101">
        <f t="shared" si="6"/>
        <v>85315425</v>
      </c>
      <c r="U112" s="101">
        <f t="shared" si="10"/>
        <v>3635425</v>
      </c>
      <c r="V112" s="101">
        <f t="shared" si="7"/>
        <v>3635425</v>
      </c>
      <c r="W112" s="101">
        <v>498653</v>
      </c>
      <c r="X112" s="149">
        <f t="shared" si="11"/>
        <v>7.2904905816269031E-3</v>
      </c>
      <c r="Y112" s="184"/>
      <c r="AE112" s="101"/>
      <c r="AF112" s="101"/>
      <c r="AG112" s="101"/>
    </row>
    <row r="113" spans="1:33" x14ac:dyDescent="0.25">
      <c r="A113" t="s">
        <v>518</v>
      </c>
      <c r="B113" t="s">
        <v>368</v>
      </c>
      <c r="C113">
        <f t="shared" si="8"/>
        <v>7677</v>
      </c>
      <c r="D113">
        <v>3971</v>
      </c>
      <c r="E113">
        <v>3706</v>
      </c>
      <c r="F113">
        <v>11</v>
      </c>
      <c r="G113">
        <v>0</v>
      </c>
      <c r="H113">
        <v>534</v>
      </c>
      <c r="I113">
        <v>0</v>
      </c>
      <c r="J113">
        <v>3039</v>
      </c>
      <c r="K113">
        <v>4107</v>
      </c>
      <c r="L113">
        <v>314</v>
      </c>
      <c r="M113">
        <v>30</v>
      </c>
      <c r="N113">
        <v>689</v>
      </c>
      <c r="O113">
        <v>69</v>
      </c>
      <c r="P113">
        <f t="shared" si="9"/>
        <v>4607000</v>
      </c>
      <c r="Q113">
        <v>3722000</v>
      </c>
      <c r="R113">
        <v>885000</v>
      </c>
      <c r="S113">
        <v>221000</v>
      </c>
      <c r="T113" s="101">
        <f t="shared" si="6"/>
        <v>10462260</v>
      </c>
      <c r="U113" s="101">
        <f t="shared" si="10"/>
        <v>2785260</v>
      </c>
      <c r="V113" s="101">
        <f t="shared" si="7"/>
        <v>2785260</v>
      </c>
      <c r="W113" s="101">
        <v>90225</v>
      </c>
      <c r="X113" s="149">
        <f t="shared" si="11"/>
        <v>3.0870157938487117E-2</v>
      </c>
      <c r="Y113" s="184"/>
      <c r="AE113" s="101"/>
      <c r="AF113" s="101"/>
      <c r="AG113" s="101"/>
    </row>
    <row r="114" spans="1:33" x14ac:dyDescent="0.25">
      <c r="A114" t="s">
        <v>514</v>
      </c>
      <c r="B114" t="s">
        <v>146</v>
      </c>
      <c r="C114">
        <f t="shared" si="8"/>
        <v>15037</v>
      </c>
      <c r="D114">
        <v>6552</v>
      </c>
      <c r="E114">
        <v>8485</v>
      </c>
      <c r="F114">
        <v>1470</v>
      </c>
      <c r="G114">
        <v>0</v>
      </c>
      <c r="H114">
        <v>1382</v>
      </c>
      <c r="I114">
        <v>780</v>
      </c>
      <c r="J114">
        <v>7442</v>
      </c>
      <c r="K114">
        <v>5740</v>
      </c>
      <c r="L114">
        <v>661</v>
      </c>
      <c r="M114">
        <v>505</v>
      </c>
      <c r="N114">
        <v>1795</v>
      </c>
      <c r="O114">
        <v>156</v>
      </c>
      <c r="P114">
        <f t="shared" si="9"/>
        <v>7289000</v>
      </c>
      <c r="Q114">
        <v>5799000</v>
      </c>
      <c r="R114">
        <v>1490000</v>
      </c>
      <c r="S114">
        <v>286000</v>
      </c>
      <c r="T114" s="101">
        <f t="shared" si="6"/>
        <v>16723995</v>
      </c>
      <c r="U114" s="101">
        <f t="shared" si="10"/>
        <v>1686995</v>
      </c>
      <c r="V114" s="101">
        <f t="shared" si="7"/>
        <v>1686995</v>
      </c>
      <c r="W114" s="101">
        <v>188678</v>
      </c>
      <c r="X114" s="149">
        <f t="shared" si="11"/>
        <v>8.9411325114745754E-3</v>
      </c>
      <c r="Y114" s="184"/>
      <c r="AE114" s="101"/>
      <c r="AF114" s="101"/>
      <c r="AG114" s="101"/>
    </row>
    <row r="115" spans="1:33" x14ac:dyDescent="0.25">
      <c r="A115" t="s">
        <v>514</v>
      </c>
      <c r="B115" t="s">
        <v>181</v>
      </c>
      <c r="C115">
        <f t="shared" si="8"/>
        <v>11466</v>
      </c>
      <c r="D115">
        <v>6779</v>
      </c>
      <c r="E115">
        <v>4687</v>
      </c>
      <c r="F115">
        <v>2259</v>
      </c>
      <c r="G115">
        <v>164</v>
      </c>
      <c r="H115">
        <v>325</v>
      </c>
      <c r="I115">
        <v>490</v>
      </c>
      <c r="J115">
        <v>3515</v>
      </c>
      <c r="K115">
        <v>4907</v>
      </c>
      <c r="L115">
        <v>723</v>
      </c>
      <c r="M115">
        <v>905</v>
      </c>
      <c r="N115">
        <v>1091</v>
      </c>
      <c r="O115">
        <v>388</v>
      </c>
      <c r="P115">
        <f t="shared" si="9"/>
        <v>6980000</v>
      </c>
      <c r="Q115">
        <v>5982000</v>
      </c>
      <c r="R115">
        <v>998000</v>
      </c>
      <c r="S115" s="102">
        <v>272000</v>
      </c>
      <c r="T115" s="101">
        <f t="shared" si="6"/>
        <v>15198090</v>
      </c>
      <c r="U115" s="101">
        <f t="shared" si="10"/>
        <v>3732090</v>
      </c>
      <c r="V115" s="101">
        <f t="shared" si="7"/>
        <v>3732090</v>
      </c>
      <c r="W115" s="101">
        <v>178980</v>
      </c>
      <c r="X115" s="149">
        <f t="shared" si="11"/>
        <v>2.0851994636272211E-2</v>
      </c>
      <c r="Y115" s="184"/>
      <c r="AE115" s="101"/>
    </row>
    <row r="116" spans="1:33" x14ac:dyDescent="0.25">
      <c r="A116" t="s">
        <v>513</v>
      </c>
      <c r="B116" t="s">
        <v>293</v>
      </c>
      <c r="C116">
        <f t="shared" si="8"/>
        <v>3777</v>
      </c>
      <c r="D116">
        <v>2281</v>
      </c>
      <c r="E116">
        <v>1496</v>
      </c>
      <c r="F116">
        <v>0</v>
      </c>
      <c r="G116">
        <v>101</v>
      </c>
      <c r="H116">
        <v>0</v>
      </c>
      <c r="I116">
        <v>145</v>
      </c>
      <c r="J116">
        <v>1821</v>
      </c>
      <c r="K116">
        <v>2086</v>
      </c>
      <c r="L116">
        <v>236</v>
      </c>
      <c r="M116">
        <v>382</v>
      </c>
      <c r="N116">
        <v>784</v>
      </c>
      <c r="O116">
        <v>102</v>
      </c>
      <c r="P116">
        <f t="shared" si="9"/>
        <v>2390000</v>
      </c>
      <c r="Q116">
        <v>1981000</v>
      </c>
      <c r="R116">
        <v>409000</v>
      </c>
      <c r="S116">
        <v>237000</v>
      </c>
      <c r="T116" s="101">
        <f t="shared" si="6"/>
        <v>5332095</v>
      </c>
      <c r="U116" s="101">
        <f t="shared" si="10"/>
        <v>1555095</v>
      </c>
      <c r="V116" s="101">
        <f t="shared" si="7"/>
        <v>1555095</v>
      </c>
      <c r="W116" s="101">
        <v>48036</v>
      </c>
      <c r="X116" s="149">
        <f t="shared" si="11"/>
        <v>3.237353235073695E-2</v>
      </c>
      <c r="Y116" s="184"/>
      <c r="AE116" s="101"/>
      <c r="AF116" s="101"/>
      <c r="AG116" s="101"/>
    </row>
    <row r="117" spans="1:33" x14ac:dyDescent="0.25">
      <c r="A117" t="s">
        <v>518</v>
      </c>
      <c r="B117" t="s">
        <v>128</v>
      </c>
      <c r="C117">
        <f t="shared" si="8"/>
        <v>3913</v>
      </c>
      <c r="D117">
        <v>1728</v>
      </c>
      <c r="E117">
        <v>2185</v>
      </c>
      <c r="F117">
        <v>5318</v>
      </c>
      <c r="G117">
        <v>124</v>
      </c>
      <c r="H117">
        <v>202</v>
      </c>
      <c r="I117">
        <v>54</v>
      </c>
      <c r="J117">
        <v>1509</v>
      </c>
      <c r="K117">
        <v>1870</v>
      </c>
      <c r="L117">
        <v>156</v>
      </c>
      <c r="M117">
        <v>30</v>
      </c>
      <c r="N117">
        <v>249</v>
      </c>
      <c r="O117">
        <v>389</v>
      </c>
      <c r="P117">
        <f t="shared" si="9"/>
        <v>1829000</v>
      </c>
      <c r="Q117">
        <v>1422000</v>
      </c>
      <c r="R117">
        <v>407000</v>
      </c>
      <c r="S117">
        <v>208000</v>
      </c>
      <c r="T117" s="101">
        <f t="shared" si="6"/>
        <v>4259580</v>
      </c>
      <c r="U117" s="101">
        <f t="shared" si="10"/>
        <v>346580</v>
      </c>
      <c r="V117" s="101">
        <f t="shared" si="7"/>
        <v>346580</v>
      </c>
      <c r="W117" s="101">
        <v>60444</v>
      </c>
      <c r="X117" s="149">
        <f t="shared" si="11"/>
        <v>5.7339024551651113E-3</v>
      </c>
      <c r="Y117" s="184"/>
      <c r="AE117" s="101"/>
      <c r="AF117" s="101"/>
      <c r="AG117" s="101"/>
    </row>
    <row r="118" spans="1:33" x14ac:dyDescent="0.25">
      <c r="A118" t="s">
        <v>515</v>
      </c>
      <c r="B118" t="s">
        <v>182</v>
      </c>
      <c r="C118">
        <f t="shared" si="8"/>
        <v>3176</v>
      </c>
      <c r="D118">
        <v>2449</v>
      </c>
      <c r="E118">
        <v>727</v>
      </c>
      <c r="F118">
        <v>0</v>
      </c>
      <c r="G118">
        <v>12</v>
      </c>
      <c r="H118">
        <v>297</v>
      </c>
      <c r="I118">
        <v>61</v>
      </c>
      <c r="J118">
        <v>1205</v>
      </c>
      <c r="K118">
        <v>1265</v>
      </c>
      <c r="L118">
        <v>166</v>
      </c>
      <c r="M118">
        <v>272</v>
      </c>
      <c r="N118">
        <v>1308</v>
      </c>
      <c r="O118">
        <v>17</v>
      </c>
      <c r="P118">
        <f t="shared" si="9"/>
        <v>1816000</v>
      </c>
      <c r="Q118">
        <v>1679000</v>
      </c>
      <c r="R118">
        <v>137000</v>
      </c>
      <c r="S118">
        <v>245000</v>
      </c>
      <c r="T118" s="101">
        <f t="shared" si="6"/>
        <v>3720465</v>
      </c>
      <c r="U118" s="101">
        <f t="shared" si="10"/>
        <v>544465</v>
      </c>
      <c r="V118" s="101">
        <f t="shared" si="7"/>
        <v>544465</v>
      </c>
      <c r="W118" s="101">
        <v>29567</v>
      </c>
      <c r="X118" s="149">
        <f t="shared" si="11"/>
        <v>1.8414617648053574E-2</v>
      </c>
      <c r="Y118" s="184"/>
      <c r="AE118" s="101"/>
      <c r="AF118" s="101"/>
      <c r="AG118" s="101"/>
    </row>
    <row r="119" spans="1:33" x14ac:dyDescent="0.25">
      <c r="A119" t="s">
        <v>517</v>
      </c>
      <c r="B119" t="s">
        <v>252</v>
      </c>
      <c r="C119">
        <f t="shared" si="8"/>
        <v>6166</v>
      </c>
      <c r="D119">
        <v>4779</v>
      </c>
      <c r="E119">
        <v>1387</v>
      </c>
      <c r="F119">
        <v>0</v>
      </c>
      <c r="G119">
        <v>41</v>
      </c>
      <c r="H119">
        <v>106</v>
      </c>
      <c r="I119">
        <v>358</v>
      </c>
      <c r="J119">
        <v>3411</v>
      </c>
      <c r="K119">
        <v>5982</v>
      </c>
      <c r="L119">
        <v>524</v>
      </c>
      <c r="M119">
        <v>229</v>
      </c>
      <c r="N119">
        <v>549</v>
      </c>
      <c r="O119">
        <v>491</v>
      </c>
      <c r="P119">
        <f t="shared" si="9"/>
        <v>5865000</v>
      </c>
      <c r="Q119">
        <v>5383000</v>
      </c>
      <c r="R119">
        <v>482000</v>
      </c>
      <c r="S119">
        <v>228000</v>
      </c>
      <c r="T119" s="101">
        <f t="shared" si="6"/>
        <v>12091035</v>
      </c>
      <c r="U119" s="101">
        <f t="shared" si="10"/>
        <v>5925035</v>
      </c>
      <c r="V119" s="101">
        <f t="shared" si="7"/>
        <v>5925035</v>
      </c>
      <c r="W119" s="101">
        <v>104197</v>
      </c>
      <c r="X119" s="149">
        <f t="shared" si="11"/>
        <v>5.6863777268059544E-2</v>
      </c>
      <c r="Y119" s="184"/>
      <c r="AE119" s="101"/>
      <c r="AF119" s="101"/>
      <c r="AG119" s="101"/>
    </row>
    <row r="120" spans="1:33" x14ac:dyDescent="0.25">
      <c r="A120" t="s">
        <v>516</v>
      </c>
      <c r="B120" t="s">
        <v>253</v>
      </c>
      <c r="C120">
        <f t="shared" si="8"/>
        <v>6794</v>
      </c>
      <c r="D120">
        <v>5358</v>
      </c>
      <c r="E120">
        <v>1436</v>
      </c>
      <c r="F120">
        <v>734</v>
      </c>
      <c r="G120">
        <v>94</v>
      </c>
      <c r="H120">
        <v>0</v>
      </c>
      <c r="I120">
        <v>6</v>
      </c>
      <c r="J120">
        <v>3242</v>
      </c>
      <c r="K120">
        <v>4372</v>
      </c>
      <c r="L120">
        <v>370</v>
      </c>
      <c r="M120">
        <v>592</v>
      </c>
      <c r="N120">
        <v>118</v>
      </c>
      <c r="O120">
        <v>63</v>
      </c>
      <c r="P120">
        <f t="shared" si="9"/>
        <v>7373000</v>
      </c>
      <c r="Q120">
        <v>6997000</v>
      </c>
      <c r="R120">
        <v>376000</v>
      </c>
      <c r="S120">
        <v>156000</v>
      </c>
      <c r="T120" s="101">
        <f t="shared" si="6"/>
        <v>14761845</v>
      </c>
      <c r="U120" s="101">
        <f t="shared" si="10"/>
        <v>7967845</v>
      </c>
      <c r="V120" s="101">
        <f t="shared" si="7"/>
        <v>7967845</v>
      </c>
      <c r="W120" s="101">
        <v>63993</v>
      </c>
      <c r="X120" s="149">
        <f t="shared" si="11"/>
        <v>0.12451119653712124</v>
      </c>
      <c r="Y120" s="184"/>
      <c r="AE120" s="101"/>
      <c r="AF120" s="101"/>
      <c r="AG120" s="101"/>
    </row>
    <row r="121" spans="1:33" x14ac:dyDescent="0.25">
      <c r="A121" t="s">
        <v>518</v>
      </c>
      <c r="B121" t="s">
        <v>183</v>
      </c>
      <c r="C121">
        <f t="shared" si="8"/>
        <v>5001</v>
      </c>
      <c r="D121">
        <v>3596</v>
      </c>
      <c r="E121">
        <v>1405</v>
      </c>
      <c r="F121">
        <v>0</v>
      </c>
      <c r="G121">
        <v>0</v>
      </c>
      <c r="H121">
        <v>270</v>
      </c>
      <c r="I121">
        <v>0</v>
      </c>
      <c r="J121">
        <v>1480</v>
      </c>
      <c r="K121">
        <v>1973</v>
      </c>
      <c r="L121">
        <v>234</v>
      </c>
      <c r="M121">
        <v>236</v>
      </c>
      <c r="N121">
        <v>713</v>
      </c>
      <c r="O121">
        <v>91</v>
      </c>
      <c r="P121">
        <f t="shared" si="9"/>
        <v>2748000</v>
      </c>
      <c r="Q121">
        <v>2470000</v>
      </c>
      <c r="R121">
        <v>278000</v>
      </c>
      <c r="S121">
        <v>262000</v>
      </c>
      <c r="T121" s="101">
        <f t="shared" si="6"/>
        <v>5764530</v>
      </c>
      <c r="U121" s="101">
        <f t="shared" si="10"/>
        <v>763530</v>
      </c>
      <c r="V121" s="101">
        <f t="shared" si="7"/>
        <v>763530</v>
      </c>
      <c r="W121" s="101">
        <v>46654</v>
      </c>
      <c r="X121" s="149">
        <f t="shared" si="11"/>
        <v>1.6365799288378273E-2</v>
      </c>
      <c r="Y121" s="184"/>
      <c r="AE121" s="101"/>
      <c r="AF121" s="101"/>
      <c r="AG121" s="101"/>
    </row>
    <row r="122" spans="1:33" x14ac:dyDescent="0.25">
      <c r="A122" t="s">
        <v>514</v>
      </c>
      <c r="B122" t="s">
        <v>129</v>
      </c>
      <c r="C122">
        <f t="shared" si="8"/>
        <v>14994</v>
      </c>
      <c r="D122">
        <v>7306</v>
      </c>
      <c r="E122">
        <v>7688</v>
      </c>
      <c r="F122">
        <v>3219</v>
      </c>
      <c r="G122">
        <v>41</v>
      </c>
      <c r="H122">
        <v>240</v>
      </c>
      <c r="I122">
        <v>172</v>
      </c>
      <c r="J122">
        <v>6219</v>
      </c>
      <c r="K122">
        <v>6471</v>
      </c>
      <c r="L122">
        <v>573</v>
      </c>
      <c r="M122">
        <v>265</v>
      </c>
      <c r="N122">
        <v>1941</v>
      </c>
      <c r="O122">
        <v>211</v>
      </c>
      <c r="P122">
        <f t="shared" si="9"/>
        <v>6817000</v>
      </c>
      <c r="Q122">
        <v>5601000</v>
      </c>
      <c r="R122">
        <v>1216000</v>
      </c>
      <c r="S122">
        <v>233000</v>
      </c>
      <c r="T122" s="101">
        <f t="shared" si="6"/>
        <v>15302865</v>
      </c>
      <c r="U122" s="101">
        <f t="shared" si="10"/>
        <v>308865</v>
      </c>
      <c r="V122" s="101">
        <f t="shared" si="7"/>
        <v>308865</v>
      </c>
      <c r="W122" s="101">
        <v>178427</v>
      </c>
      <c r="X122" s="149">
        <f t="shared" si="11"/>
        <v>1.7310440684425563E-3</v>
      </c>
      <c r="Y122" s="184"/>
      <c r="AE122" s="101"/>
      <c r="AF122" s="101"/>
      <c r="AG122" s="101"/>
    </row>
    <row r="123" spans="1:33" x14ac:dyDescent="0.25">
      <c r="A123" t="s">
        <v>514</v>
      </c>
      <c r="B123" t="s">
        <v>405</v>
      </c>
      <c r="C123">
        <f t="shared" si="8"/>
        <v>26342</v>
      </c>
      <c r="D123">
        <v>14158</v>
      </c>
      <c r="E123">
        <v>12184</v>
      </c>
      <c r="F123">
        <v>2300</v>
      </c>
      <c r="G123">
        <v>0</v>
      </c>
      <c r="H123">
        <v>317</v>
      </c>
      <c r="I123">
        <v>886</v>
      </c>
      <c r="J123">
        <v>8948</v>
      </c>
      <c r="K123">
        <v>12148</v>
      </c>
      <c r="L123">
        <v>1057</v>
      </c>
      <c r="M123">
        <v>427</v>
      </c>
      <c r="N123">
        <v>1511</v>
      </c>
      <c r="O123">
        <v>190</v>
      </c>
      <c r="P123">
        <f t="shared" si="9"/>
        <v>9355000</v>
      </c>
      <c r="Q123">
        <v>7321000</v>
      </c>
      <c r="R123">
        <v>2034000</v>
      </c>
      <c r="S123">
        <v>453000</v>
      </c>
      <c r="T123" s="101">
        <f t="shared" si="6"/>
        <v>21696045</v>
      </c>
      <c r="U123" s="101">
        <f t="shared" si="10"/>
        <v>-4645955</v>
      </c>
      <c r="V123" s="101">
        <f t="shared" si="7"/>
        <v>0</v>
      </c>
      <c r="W123" s="101">
        <v>424894</v>
      </c>
      <c r="X123" s="149">
        <f t="shared" si="11"/>
        <v>-1.0934385988034662E-2</v>
      </c>
      <c r="Y123" s="184"/>
      <c r="AE123" s="101"/>
      <c r="AF123" s="101"/>
      <c r="AG123" s="101"/>
    </row>
    <row r="124" spans="1:33" x14ac:dyDescent="0.25">
      <c r="A124" t="s">
        <v>515</v>
      </c>
      <c r="B124" t="s">
        <v>369</v>
      </c>
      <c r="C124">
        <f t="shared" si="8"/>
        <v>3986</v>
      </c>
      <c r="D124">
        <v>2776</v>
      </c>
      <c r="E124">
        <v>1210</v>
      </c>
      <c r="F124">
        <v>0</v>
      </c>
      <c r="G124">
        <v>0</v>
      </c>
      <c r="H124">
        <v>178</v>
      </c>
      <c r="I124">
        <v>0</v>
      </c>
      <c r="J124">
        <v>2155</v>
      </c>
      <c r="K124">
        <v>1585</v>
      </c>
      <c r="L124">
        <v>163</v>
      </c>
      <c r="M124">
        <v>2</v>
      </c>
      <c r="N124">
        <v>518</v>
      </c>
      <c r="O124">
        <v>16</v>
      </c>
      <c r="P124">
        <f t="shared" si="9"/>
        <v>2985000</v>
      </c>
      <c r="Q124">
        <v>2585000</v>
      </c>
      <c r="R124">
        <v>400000</v>
      </c>
      <c r="S124">
        <v>260000</v>
      </c>
      <c r="T124" s="101">
        <f t="shared" si="6"/>
        <v>6448425</v>
      </c>
      <c r="U124" s="101">
        <f t="shared" si="10"/>
        <v>2462425</v>
      </c>
      <c r="V124" s="101">
        <f t="shared" si="7"/>
        <v>2462425</v>
      </c>
      <c r="W124" s="101">
        <v>35841</v>
      </c>
      <c r="X124" s="149">
        <f t="shared" si="11"/>
        <v>6.8704137719371672E-2</v>
      </c>
      <c r="Y124" s="184"/>
      <c r="AE124" s="101"/>
      <c r="AF124" s="101"/>
      <c r="AG124" s="101"/>
    </row>
    <row r="125" spans="1:33" x14ac:dyDescent="0.25">
      <c r="A125" t="s">
        <v>516</v>
      </c>
      <c r="B125" t="s">
        <v>255</v>
      </c>
      <c r="C125">
        <f t="shared" si="8"/>
        <v>5038</v>
      </c>
      <c r="D125">
        <v>3994</v>
      </c>
      <c r="E125">
        <v>1044</v>
      </c>
      <c r="F125">
        <v>0</v>
      </c>
      <c r="G125">
        <v>0</v>
      </c>
      <c r="H125">
        <v>80</v>
      </c>
      <c r="I125">
        <v>19</v>
      </c>
      <c r="J125">
        <v>2135</v>
      </c>
      <c r="K125">
        <v>3274</v>
      </c>
      <c r="L125">
        <v>222</v>
      </c>
      <c r="M125">
        <v>151</v>
      </c>
      <c r="N125">
        <v>827</v>
      </c>
      <c r="O125">
        <v>87</v>
      </c>
      <c r="P125">
        <f t="shared" si="9"/>
        <v>4642000</v>
      </c>
      <c r="Q125">
        <v>4285000</v>
      </c>
      <c r="R125">
        <v>357000</v>
      </c>
      <c r="S125">
        <v>200000</v>
      </c>
      <c r="T125" s="101">
        <f t="shared" si="6"/>
        <v>9523095</v>
      </c>
      <c r="U125" s="101">
        <f t="shared" si="10"/>
        <v>4485095</v>
      </c>
      <c r="V125" s="101">
        <f t="shared" si="7"/>
        <v>4485095</v>
      </c>
      <c r="W125" s="101">
        <v>57643</v>
      </c>
      <c r="X125" s="149">
        <f t="shared" si="11"/>
        <v>7.7808146696042885E-2</v>
      </c>
      <c r="Y125" s="184"/>
      <c r="AE125" s="101"/>
      <c r="AF125" s="101"/>
      <c r="AG125" s="101"/>
    </row>
    <row r="126" spans="1:33" x14ac:dyDescent="0.25">
      <c r="A126" t="s">
        <v>514</v>
      </c>
      <c r="B126" t="s">
        <v>147</v>
      </c>
      <c r="C126">
        <f t="shared" si="8"/>
        <v>9976</v>
      </c>
      <c r="D126">
        <v>6282</v>
      </c>
      <c r="E126">
        <v>3694</v>
      </c>
      <c r="F126">
        <v>80</v>
      </c>
      <c r="G126">
        <v>0</v>
      </c>
      <c r="H126">
        <v>533</v>
      </c>
      <c r="I126">
        <v>96</v>
      </c>
      <c r="J126">
        <v>4198</v>
      </c>
      <c r="K126">
        <v>3938</v>
      </c>
      <c r="L126">
        <v>329</v>
      </c>
      <c r="M126">
        <v>429</v>
      </c>
      <c r="N126">
        <v>822</v>
      </c>
      <c r="O126">
        <v>166</v>
      </c>
      <c r="P126">
        <f t="shared" si="9"/>
        <v>4848000</v>
      </c>
      <c r="Q126">
        <v>4179000</v>
      </c>
      <c r="R126">
        <v>669000</v>
      </c>
      <c r="S126">
        <v>211000</v>
      </c>
      <c r="T126" s="101">
        <f t="shared" si="6"/>
        <v>10509885</v>
      </c>
      <c r="U126" s="101">
        <f t="shared" si="10"/>
        <v>533885</v>
      </c>
      <c r="V126" s="101">
        <f t="shared" si="7"/>
        <v>533885</v>
      </c>
      <c r="W126" s="101">
        <v>97997</v>
      </c>
      <c r="X126" s="149">
        <f t="shared" si="11"/>
        <v>5.4479728971295041E-3</v>
      </c>
      <c r="Y126" s="184"/>
      <c r="AE126" s="101"/>
      <c r="AF126" s="101"/>
      <c r="AG126" s="101"/>
    </row>
    <row r="127" spans="1:33" x14ac:dyDescent="0.25">
      <c r="A127" t="s">
        <v>513</v>
      </c>
      <c r="B127" t="s">
        <v>370</v>
      </c>
      <c r="C127">
        <f t="shared" si="8"/>
        <v>23513</v>
      </c>
      <c r="D127">
        <v>14813</v>
      </c>
      <c r="E127">
        <v>8700</v>
      </c>
      <c r="F127">
        <v>3722</v>
      </c>
      <c r="G127">
        <v>305</v>
      </c>
      <c r="H127">
        <v>102</v>
      </c>
      <c r="I127">
        <v>749</v>
      </c>
      <c r="J127">
        <v>8796</v>
      </c>
      <c r="K127">
        <v>11189</v>
      </c>
      <c r="L127">
        <v>1238</v>
      </c>
      <c r="M127">
        <v>0</v>
      </c>
      <c r="N127">
        <v>3135</v>
      </c>
      <c r="O127">
        <v>220</v>
      </c>
      <c r="P127">
        <f t="shared" si="9"/>
        <v>12352000</v>
      </c>
      <c r="Q127">
        <v>10210000</v>
      </c>
      <c r="R127">
        <v>2142000</v>
      </c>
      <c r="S127">
        <v>323000</v>
      </c>
      <c r="T127" s="101">
        <f t="shared" ref="T127:T188" si="12">0.1905*SUM(Q127,R127,R127)*10</f>
        <v>27611070</v>
      </c>
      <c r="U127" s="101">
        <f t="shared" si="10"/>
        <v>4098070</v>
      </c>
      <c r="V127" s="101">
        <f t="shared" ref="V127:V188" si="13">IF(U127&gt;0,U127,0)</f>
        <v>4098070</v>
      </c>
      <c r="W127" s="101">
        <v>380028</v>
      </c>
      <c r="X127" s="149">
        <f t="shared" si="11"/>
        <v>1.0783600155777995E-2</v>
      </c>
      <c r="Y127" s="184"/>
      <c r="AE127" s="101"/>
      <c r="AF127" s="101"/>
      <c r="AG127" s="101"/>
    </row>
    <row r="128" spans="1:33" x14ac:dyDescent="0.25">
      <c r="A128" t="s">
        <v>514</v>
      </c>
      <c r="B128" t="s">
        <v>295</v>
      </c>
      <c r="C128">
        <f t="shared" si="8"/>
        <v>5786</v>
      </c>
      <c r="D128">
        <v>4147</v>
      </c>
      <c r="E128">
        <v>1639</v>
      </c>
      <c r="F128">
        <v>0</v>
      </c>
      <c r="G128">
        <v>0</v>
      </c>
      <c r="H128">
        <v>0</v>
      </c>
      <c r="I128">
        <v>195</v>
      </c>
      <c r="J128">
        <v>2408</v>
      </c>
      <c r="K128">
        <v>4251</v>
      </c>
      <c r="L128">
        <v>299</v>
      </c>
      <c r="M128">
        <v>313</v>
      </c>
      <c r="N128">
        <v>736</v>
      </c>
      <c r="O128">
        <v>139</v>
      </c>
      <c r="P128">
        <f t="shared" si="9"/>
        <v>4191000</v>
      </c>
      <c r="Q128">
        <v>3827000</v>
      </c>
      <c r="R128">
        <v>364000</v>
      </c>
      <c r="S128">
        <v>305000</v>
      </c>
      <c r="T128" s="101">
        <f t="shared" si="12"/>
        <v>8677275</v>
      </c>
      <c r="U128" s="101">
        <f t="shared" si="10"/>
        <v>2891275</v>
      </c>
      <c r="V128" s="101">
        <f t="shared" si="13"/>
        <v>2891275</v>
      </c>
      <c r="W128" s="101">
        <v>95497</v>
      </c>
      <c r="X128" s="149">
        <f t="shared" si="11"/>
        <v>3.0276081971161398E-2</v>
      </c>
      <c r="Y128" s="184"/>
      <c r="AE128" s="101"/>
      <c r="AF128" s="101"/>
      <c r="AG128" s="101"/>
    </row>
    <row r="129" spans="1:33" x14ac:dyDescent="0.25">
      <c r="A129" t="s">
        <v>518</v>
      </c>
      <c r="B129" t="s">
        <v>722</v>
      </c>
      <c r="C129">
        <f t="shared" ref="C129:C192" si="14">SUM(D129:E129)</f>
        <v>25880</v>
      </c>
      <c r="D129">
        <v>11940</v>
      </c>
      <c r="E129">
        <v>13940</v>
      </c>
      <c r="F129">
        <v>1812</v>
      </c>
      <c r="G129">
        <v>322</v>
      </c>
      <c r="H129">
        <v>148</v>
      </c>
      <c r="I129">
        <v>799</v>
      </c>
      <c r="J129">
        <v>10407</v>
      </c>
      <c r="K129">
        <v>8415</v>
      </c>
      <c r="L129">
        <v>931</v>
      </c>
      <c r="M129">
        <v>539</v>
      </c>
      <c r="N129">
        <v>1959</v>
      </c>
      <c r="O129">
        <v>1465</v>
      </c>
      <c r="P129">
        <f t="shared" ref="P129:P192" si="15">SUM(Q129:R129)</f>
        <v>10502000</v>
      </c>
      <c r="Q129">
        <v>8515000</v>
      </c>
      <c r="R129">
        <v>1987000</v>
      </c>
      <c r="S129">
        <v>229000</v>
      </c>
      <c r="T129" s="101">
        <f t="shared" si="12"/>
        <v>23791545</v>
      </c>
      <c r="U129" s="101">
        <f t="shared" ref="U129:U192" si="16">SUM(T129,-C129*1000)</f>
        <v>-2088455</v>
      </c>
      <c r="V129" s="101">
        <f t="shared" si="13"/>
        <v>0</v>
      </c>
      <c r="W129" s="101">
        <v>312919</v>
      </c>
      <c r="X129" s="149">
        <f t="shared" ref="X129:X192" si="17">U129/(W129*1000)</f>
        <v>-6.6741073568559279E-3</v>
      </c>
      <c r="Y129" s="184"/>
      <c r="AE129" s="101"/>
      <c r="AF129" s="101"/>
      <c r="AG129" s="101"/>
    </row>
    <row r="130" spans="1:33" x14ac:dyDescent="0.25">
      <c r="A130" t="s">
        <v>517</v>
      </c>
      <c r="B130" t="s">
        <v>593</v>
      </c>
      <c r="C130">
        <f t="shared" si="14"/>
        <v>26087</v>
      </c>
      <c r="D130">
        <v>7658</v>
      </c>
      <c r="E130">
        <v>18429</v>
      </c>
      <c r="F130">
        <v>0</v>
      </c>
      <c r="G130">
        <v>0</v>
      </c>
      <c r="H130">
        <v>361</v>
      </c>
      <c r="I130">
        <v>225</v>
      </c>
      <c r="J130">
        <v>4840</v>
      </c>
      <c r="K130">
        <v>5929</v>
      </c>
      <c r="L130">
        <v>703</v>
      </c>
      <c r="M130">
        <v>737</v>
      </c>
      <c r="N130">
        <v>1612</v>
      </c>
      <c r="O130">
        <v>29</v>
      </c>
      <c r="P130">
        <f t="shared" si="15"/>
        <v>6113000</v>
      </c>
      <c r="Q130">
        <v>4050000</v>
      </c>
      <c r="R130">
        <v>2063000</v>
      </c>
      <c r="S130">
        <v>203000</v>
      </c>
      <c r="T130" s="101">
        <f t="shared" si="12"/>
        <v>15575280</v>
      </c>
      <c r="U130" s="101">
        <f t="shared" si="16"/>
        <v>-10511720</v>
      </c>
      <c r="V130" s="101">
        <f t="shared" si="13"/>
        <v>0</v>
      </c>
      <c r="W130" s="101">
        <v>173277</v>
      </c>
      <c r="X130" s="149">
        <f t="shared" si="17"/>
        <v>-6.0664254344200329E-2</v>
      </c>
      <c r="Y130" s="184"/>
      <c r="AE130" s="101"/>
      <c r="AF130" s="101"/>
      <c r="AG130" s="101"/>
    </row>
    <row r="131" spans="1:33" x14ac:dyDescent="0.25">
      <c r="A131" t="s">
        <v>513</v>
      </c>
      <c r="B131" t="s">
        <v>184</v>
      </c>
      <c r="C131">
        <f t="shared" si="14"/>
        <v>4796</v>
      </c>
      <c r="D131">
        <v>3512</v>
      </c>
      <c r="E131">
        <v>1284</v>
      </c>
      <c r="F131">
        <v>1</v>
      </c>
      <c r="G131">
        <v>0</v>
      </c>
      <c r="H131">
        <v>0</v>
      </c>
      <c r="I131">
        <v>206</v>
      </c>
      <c r="J131">
        <v>1253</v>
      </c>
      <c r="K131">
        <v>1545</v>
      </c>
      <c r="L131">
        <v>260</v>
      </c>
      <c r="M131">
        <v>82</v>
      </c>
      <c r="N131">
        <v>459</v>
      </c>
      <c r="O131">
        <v>48</v>
      </c>
      <c r="P131">
        <f t="shared" si="15"/>
        <v>2477000</v>
      </c>
      <c r="Q131">
        <v>2256000</v>
      </c>
      <c r="R131">
        <v>221000</v>
      </c>
      <c r="S131">
        <v>205000</v>
      </c>
      <c r="T131" s="101">
        <f t="shared" si="12"/>
        <v>5139690</v>
      </c>
      <c r="U131" s="101">
        <f t="shared" si="16"/>
        <v>343690</v>
      </c>
      <c r="V131" s="101">
        <f t="shared" si="13"/>
        <v>343690</v>
      </c>
      <c r="W131" s="101">
        <v>41253</v>
      </c>
      <c r="X131" s="149">
        <f t="shared" si="17"/>
        <v>8.3312728771240876E-3</v>
      </c>
      <c r="Y131" s="184"/>
      <c r="AE131" s="101"/>
      <c r="AF131" s="101"/>
      <c r="AG131" s="101"/>
    </row>
    <row r="132" spans="1:33" x14ac:dyDescent="0.25">
      <c r="A132" t="s">
        <v>517</v>
      </c>
      <c r="B132" t="s">
        <v>371</v>
      </c>
      <c r="C132">
        <f t="shared" si="14"/>
        <v>9388</v>
      </c>
      <c r="D132">
        <v>6595</v>
      </c>
      <c r="E132">
        <v>2793</v>
      </c>
      <c r="F132">
        <v>83</v>
      </c>
      <c r="G132">
        <v>0</v>
      </c>
      <c r="H132">
        <v>91</v>
      </c>
      <c r="I132">
        <v>306</v>
      </c>
      <c r="J132">
        <v>4667</v>
      </c>
      <c r="K132">
        <v>3318</v>
      </c>
      <c r="L132">
        <v>422</v>
      </c>
      <c r="M132">
        <v>160</v>
      </c>
      <c r="N132">
        <v>1052</v>
      </c>
      <c r="O132">
        <v>52</v>
      </c>
      <c r="P132">
        <f t="shared" si="15"/>
        <v>6729000</v>
      </c>
      <c r="Q132">
        <v>5926000</v>
      </c>
      <c r="R132">
        <v>803000</v>
      </c>
      <c r="S132">
        <v>234000</v>
      </c>
      <c r="T132" s="101">
        <f t="shared" si="12"/>
        <v>14348460</v>
      </c>
      <c r="U132" s="101">
        <f t="shared" si="16"/>
        <v>4960460</v>
      </c>
      <c r="V132" s="101">
        <f t="shared" si="13"/>
        <v>4960460</v>
      </c>
      <c r="W132" s="101">
        <v>122464</v>
      </c>
      <c r="X132" s="149">
        <f t="shared" si="17"/>
        <v>4.0505454664227857E-2</v>
      </c>
      <c r="Y132" s="184"/>
      <c r="AE132" s="101"/>
      <c r="AF132" s="101"/>
      <c r="AG132" s="101"/>
    </row>
    <row r="133" spans="1:33" x14ac:dyDescent="0.25">
      <c r="A133" t="s">
        <v>518</v>
      </c>
      <c r="B133" t="s">
        <v>296</v>
      </c>
      <c r="C133">
        <f t="shared" si="14"/>
        <v>4881</v>
      </c>
      <c r="D133">
        <v>3597</v>
      </c>
      <c r="E133">
        <v>1284</v>
      </c>
      <c r="F133">
        <v>3</v>
      </c>
      <c r="G133">
        <v>16</v>
      </c>
      <c r="H133">
        <v>0</v>
      </c>
      <c r="I133">
        <v>0</v>
      </c>
      <c r="J133">
        <v>2524</v>
      </c>
      <c r="K133">
        <v>3167</v>
      </c>
      <c r="L133">
        <v>293</v>
      </c>
      <c r="M133">
        <v>81</v>
      </c>
      <c r="N133">
        <v>512</v>
      </c>
      <c r="O133">
        <v>74</v>
      </c>
      <c r="P133">
        <f t="shared" si="15"/>
        <v>3557000</v>
      </c>
      <c r="Q133">
        <v>3195000</v>
      </c>
      <c r="R133">
        <v>362000</v>
      </c>
      <c r="S133">
        <v>175000</v>
      </c>
      <c r="T133" s="101">
        <f t="shared" si="12"/>
        <v>7465695</v>
      </c>
      <c r="U133" s="101">
        <f t="shared" si="16"/>
        <v>2584695</v>
      </c>
      <c r="V133" s="101">
        <f t="shared" si="13"/>
        <v>2584695</v>
      </c>
      <c r="W133" s="101">
        <v>56368</v>
      </c>
      <c r="X133" s="149">
        <f t="shared" si="17"/>
        <v>4.5853941952881068E-2</v>
      </c>
      <c r="Y133" s="184"/>
      <c r="AE133" s="101"/>
      <c r="AF133" s="101"/>
      <c r="AG133" s="101"/>
    </row>
    <row r="134" spans="1:33" x14ac:dyDescent="0.25">
      <c r="A134" t="s">
        <v>521</v>
      </c>
      <c r="B134" t="s">
        <v>372</v>
      </c>
      <c r="C134">
        <f t="shared" si="14"/>
        <v>3932</v>
      </c>
      <c r="D134">
        <v>2660</v>
      </c>
      <c r="E134">
        <v>1272</v>
      </c>
      <c r="F134">
        <v>6</v>
      </c>
      <c r="G134">
        <v>10</v>
      </c>
      <c r="H134">
        <v>1228</v>
      </c>
      <c r="I134">
        <v>195</v>
      </c>
      <c r="J134">
        <v>1478</v>
      </c>
      <c r="K134">
        <v>1193</v>
      </c>
      <c r="L134">
        <v>186</v>
      </c>
      <c r="M134">
        <v>0</v>
      </c>
      <c r="N134">
        <v>1234</v>
      </c>
      <c r="O134">
        <v>344</v>
      </c>
      <c r="P134">
        <f t="shared" si="15"/>
        <v>2723000</v>
      </c>
      <c r="Q134">
        <v>2295000</v>
      </c>
      <c r="R134">
        <v>428000</v>
      </c>
      <c r="S134">
        <v>159500</v>
      </c>
      <c r="T134" s="101">
        <f t="shared" si="12"/>
        <v>6002655</v>
      </c>
      <c r="U134" s="101">
        <f t="shared" si="16"/>
        <v>2070655</v>
      </c>
      <c r="V134" s="101">
        <f t="shared" si="13"/>
        <v>2070655</v>
      </c>
      <c r="W134" s="101">
        <v>39187</v>
      </c>
      <c r="X134" s="149">
        <f t="shared" si="17"/>
        <v>5.2840355219843316E-2</v>
      </c>
      <c r="Y134" s="184"/>
      <c r="AE134" s="101"/>
      <c r="AF134" s="101"/>
      <c r="AG134" s="101"/>
    </row>
    <row r="135" spans="1:33" x14ac:dyDescent="0.25">
      <c r="A135" t="s">
        <v>515</v>
      </c>
      <c r="B135" t="s">
        <v>256</v>
      </c>
      <c r="C135">
        <f t="shared" si="14"/>
        <v>22243</v>
      </c>
      <c r="D135">
        <v>11974</v>
      </c>
      <c r="E135">
        <v>10269</v>
      </c>
      <c r="F135">
        <v>5878</v>
      </c>
      <c r="G135">
        <v>312</v>
      </c>
      <c r="H135">
        <v>0</v>
      </c>
      <c r="I135">
        <v>510</v>
      </c>
      <c r="J135">
        <v>8359</v>
      </c>
      <c r="K135">
        <v>12380</v>
      </c>
      <c r="L135">
        <v>1127</v>
      </c>
      <c r="M135">
        <v>0</v>
      </c>
      <c r="N135">
        <v>3162</v>
      </c>
      <c r="O135">
        <v>547</v>
      </c>
      <c r="P135">
        <f t="shared" si="15"/>
        <v>17813000</v>
      </c>
      <c r="Q135">
        <v>15377000</v>
      </c>
      <c r="R135">
        <v>2436000</v>
      </c>
      <c r="S135">
        <v>269000</v>
      </c>
      <c r="T135" s="101">
        <f t="shared" si="12"/>
        <v>38574345</v>
      </c>
      <c r="U135" s="101">
        <f t="shared" si="16"/>
        <v>16331345</v>
      </c>
      <c r="V135" s="101">
        <f t="shared" si="13"/>
        <v>16331345</v>
      </c>
      <c r="W135" s="101">
        <v>285904</v>
      </c>
      <c r="X135" s="149">
        <f t="shared" si="17"/>
        <v>5.7121778638983718E-2</v>
      </c>
      <c r="Y135" s="184"/>
      <c r="AE135" s="101"/>
      <c r="AF135" s="101"/>
      <c r="AG135" s="101"/>
    </row>
    <row r="136" spans="1:33" x14ac:dyDescent="0.25">
      <c r="A136" t="s">
        <v>513</v>
      </c>
      <c r="B136" t="s">
        <v>594</v>
      </c>
      <c r="C136">
        <f t="shared" si="14"/>
        <v>17569</v>
      </c>
      <c r="D136">
        <v>10121</v>
      </c>
      <c r="E136">
        <v>7448</v>
      </c>
      <c r="F136">
        <v>24</v>
      </c>
      <c r="G136">
        <v>0</v>
      </c>
      <c r="H136">
        <v>122</v>
      </c>
      <c r="I136">
        <v>869</v>
      </c>
      <c r="J136">
        <v>8388</v>
      </c>
      <c r="K136">
        <v>8506</v>
      </c>
      <c r="L136">
        <v>999</v>
      </c>
      <c r="M136">
        <v>1282</v>
      </c>
      <c r="N136">
        <v>3442</v>
      </c>
      <c r="O136">
        <v>291</v>
      </c>
      <c r="P136">
        <f t="shared" si="15"/>
        <v>12618000</v>
      </c>
      <c r="Q136">
        <v>10794000</v>
      </c>
      <c r="R136">
        <v>1824000</v>
      </c>
      <c r="S136">
        <v>265000</v>
      </c>
      <c r="T136" s="101">
        <f t="shared" si="12"/>
        <v>27512010</v>
      </c>
      <c r="U136" s="101">
        <f t="shared" si="16"/>
        <v>9943010</v>
      </c>
      <c r="V136" s="101">
        <f t="shared" si="13"/>
        <v>9943010</v>
      </c>
      <c r="W136" s="101">
        <v>193788</v>
      </c>
      <c r="X136" s="149">
        <f t="shared" si="17"/>
        <v>5.1308698165005058E-2</v>
      </c>
      <c r="Y136" s="184"/>
      <c r="AE136" s="101"/>
      <c r="AF136" s="101"/>
      <c r="AG136" s="101"/>
    </row>
    <row r="137" spans="1:33" x14ac:dyDescent="0.25">
      <c r="A137" t="s">
        <v>517</v>
      </c>
      <c r="B137" t="s">
        <v>148</v>
      </c>
      <c r="C137">
        <f t="shared" si="14"/>
        <v>8883</v>
      </c>
      <c r="D137">
        <v>5358</v>
      </c>
      <c r="E137">
        <v>3525</v>
      </c>
      <c r="F137">
        <v>16</v>
      </c>
      <c r="G137">
        <v>0</v>
      </c>
      <c r="H137">
        <v>408</v>
      </c>
      <c r="I137">
        <v>124</v>
      </c>
      <c r="J137">
        <v>4754</v>
      </c>
      <c r="K137">
        <v>3235</v>
      </c>
      <c r="L137">
        <v>335</v>
      </c>
      <c r="M137">
        <v>234</v>
      </c>
      <c r="N137">
        <v>1039</v>
      </c>
      <c r="O137">
        <v>212</v>
      </c>
      <c r="P137">
        <f t="shared" si="15"/>
        <v>4565000</v>
      </c>
      <c r="Q137">
        <v>3730000</v>
      </c>
      <c r="R137">
        <v>835000</v>
      </c>
      <c r="S137">
        <v>239000</v>
      </c>
      <c r="T137" s="101">
        <f t="shared" si="12"/>
        <v>10287000</v>
      </c>
      <c r="U137" s="101">
        <f t="shared" si="16"/>
        <v>1404000</v>
      </c>
      <c r="V137" s="101">
        <f t="shared" si="13"/>
        <v>1404000</v>
      </c>
      <c r="W137" s="101">
        <v>85566</v>
      </c>
      <c r="X137" s="149">
        <f t="shared" si="17"/>
        <v>1.6408386508659983E-2</v>
      </c>
      <c r="Y137" s="184"/>
      <c r="AE137" s="101"/>
      <c r="AF137" s="101"/>
      <c r="AG137" s="101"/>
    </row>
    <row r="138" spans="1:33" x14ac:dyDescent="0.25">
      <c r="A138" t="s">
        <v>513</v>
      </c>
      <c r="B138" t="s">
        <v>257</v>
      </c>
      <c r="C138">
        <f t="shared" si="14"/>
        <v>11533</v>
      </c>
      <c r="D138">
        <v>5878</v>
      </c>
      <c r="E138">
        <v>5655</v>
      </c>
      <c r="F138">
        <v>0</v>
      </c>
      <c r="G138">
        <v>0</v>
      </c>
      <c r="H138">
        <v>134</v>
      </c>
      <c r="I138">
        <v>204</v>
      </c>
      <c r="J138">
        <v>3950</v>
      </c>
      <c r="K138">
        <v>6261</v>
      </c>
      <c r="L138">
        <v>559</v>
      </c>
      <c r="M138">
        <v>406</v>
      </c>
      <c r="N138">
        <v>1218</v>
      </c>
      <c r="O138">
        <v>271</v>
      </c>
      <c r="P138">
        <f t="shared" si="15"/>
        <v>7007000</v>
      </c>
      <c r="Q138">
        <v>5025000</v>
      </c>
      <c r="R138">
        <v>1982000</v>
      </c>
      <c r="S138">
        <v>296000</v>
      </c>
      <c r="T138" s="101">
        <f t="shared" si="12"/>
        <v>17124045</v>
      </c>
      <c r="U138" s="101">
        <f t="shared" si="16"/>
        <v>5591045</v>
      </c>
      <c r="V138" s="101">
        <f t="shared" si="13"/>
        <v>5591045</v>
      </c>
      <c r="W138" s="101">
        <v>118411</v>
      </c>
      <c r="X138" s="149">
        <f t="shared" si="17"/>
        <v>4.721727711107921E-2</v>
      </c>
      <c r="Y138" s="184"/>
      <c r="AE138" s="101"/>
      <c r="AF138" s="101"/>
      <c r="AG138" s="101"/>
    </row>
    <row r="139" spans="1:33" x14ac:dyDescent="0.25">
      <c r="A139" t="s">
        <v>514</v>
      </c>
      <c r="B139" t="s">
        <v>109</v>
      </c>
      <c r="C139">
        <f t="shared" si="14"/>
        <v>15445</v>
      </c>
      <c r="D139">
        <v>9172</v>
      </c>
      <c r="E139">
        <v>6273</v>
      </c>
      <c r="F139">
        <v>2618</v>
      </c>
      <c r="G139">
        <v>87</v>
      </c>
      <c r="H139">
        <v>102</v>
      </c>
      <c r="I139">
        <v>278</v>
      </c>
      <c r="J139">
        <v>4550</v>
      </c>
      <c r="K139">
        <v>6392</v>
      </c>
      <c r="L139">
        <v>646</v>
      </c>
      <c r="M139">
        <v>910</v>
      </c>
      <c r="N139">
        <v>945</v>
      </c>
      <c r="O139">
        <v>116</v>
      </c>
      <c r="P139">
        <f t="shared" si="15"/>
        <v>6065000</v>
      </c>
      <c r="Q139">
        <v>4960000</v>
      </c>
      <c r="R139">
        <v>1105000</v>
      </c>
      <c r="S139">
        <v>276000</v>
      </c>
      <c r="T139" s="101">
        <f t="shared" si="12"/>
        <v>13658850</v>
      </c>
      <c r="U139" s="101">
        <f t="shared" si="16"/>
        <v>-1786150</v>
      </c>
      <c r="V139" s="101">
        <f t="shared" si="13"/>
        <v>0</v>
      </c>
      <c r="W139" s="101">
        <v>195785</v>
      </c>
      <c r="X139" s="149">
        <f t="shared" si="17"/>
        <v>-9.123017595832162E-3</v>
      </c>
      <c r="Y139" s="184"/>
      <c r="AE139" s="101"/>
      <c r="AF139" s="101"/>
      <c r="AG139" s="101"/>
    </row>
    <row r="140" spans="1:33" x14ac:dyDescent="0.25">
      <c r="A140" t="s">
        <v>517</v>
      </c>
      <c r="B140" t="s">
        <v>258</v>
      </c>
      <c r="C140">
        <f t="shared" si="14"/>
        <v>14622</v>
      </c>
      <c r="D140">
        <v>9671</v>
      </c>
      <c r="E140">
        <v>4951</v>
      </c>
      <c r="F140">
        <v>4400</v>
      </c>
      <c r="G140">
        <v>315</v>
      </c>
      <c r="H140">
        <v>440</v>
      </c>
      <c r="I140">
        <v>1237</v>
      </c>
      <c r="J140">
        <v>5882</v>
      </c>
      <c r="K140">
        <v>10276</v>
      </c>
      <c r="L140">
        <v>928</v>
      </c>
      <c r="M140">
        <v>275</v>
      </c>
      <c r="N140">
        <v>1013</v>
      </c>
      <c r="O140">
        <v>277</v>
      </c>
      <c r="P140">
        <f t="shared" si="15"/>
        <v>10020000</v>
      </c>
      <c r="Q140">
        <v>8568000</v>
      </c>
      <c r="R140">
        <v>1452000</v>
      </c>
      <c r="S140">
        <v>231000</v>
      </c>
      <c r="T140" s="101">
        <f t="shared" si="12"/>
        <v>21854160</v>
      </c>
      <c r="U140" s="101">
        <f t="shared" si="16"/>
        <v>7232160</v>
      </c>
      <c r="V140" s="101">
        <f t="shared" si="13"/>
        <v>7232160</v>
      </c>
      <c r="W140" s="101">
        <v>260171</v>
      </c>
      <c r="X140" s="149">
        <f t="shared" si="17"/>
        <v>2.7797717654926953E-2</v>
      </c>
      <c r="Y140" s="184"/>
      <c r="AE140" s="101"/>
      <c r="AF140" s="101"/>
      <c r="AG140" s="101"/>
    </row>
    <row r="141" spans="1:33" x14ac:dyDescent="0.25">
      <c r="A141" t="s">
        <v>518</v>
      </c>
      <c r="B141" t="s">
        <v>406</v>
      </c>
      <c r="C141">
        <f t="shared" si="14"/>
        <v>12565</v>
      </c>
      <c r="D141">
        <v>7641</v>
      </c>
      <c r="E141">
        <v>4924</v>
      </c>
      <c r="F141">
        <v>1</v>
      </c>
      <c r="G141">
        <v>25</v>
      </c>
      <c r="H141">
        <v>3276</v>
      </c>
      <c r="I141">
        <v>89</v>
      </c>
      <c r="J141">
        <v>4165</v>
      </c>
      <c r="K141">
        <v>3558</v>
      </c>
      <c r="L141">
        <v>402</v>
      </c>
      <c r="M141">
        <v>15</v>
      </c>
      <c r="N141">
        <v>2193</v>
      </c>
      <c r="O141">
        <v>96</v>
      </c>
      <c r="P141">
        <f t="shared" si="15"/>
        <v>6040000</v>
      </c>
      <c r="Q141">
        <v>4985000</v>
      </c>
      <c r="R141">
        <v>1055000</v>
      </c>
      <c r="S141">
        <v>232000</v>
      </c>
      <c r="T141" s="101">
        <f t="shared" si="12"/>
        <v>13515975</v>
      </c>
      <c r="U141" s="101">
        <f t="shared" si="16"/>
        <v>950975</v>
      </c>
      <c r="V141" s="101">
        <f t="shared" si="13"/>
        <v>950975</v>
      </c>
      <c r="W141" s="101">
        <v>116794</v>
      </c>
      <c r="X141" s="149">
        <f t="shared" si="17"/>
        <v>8.1423275168244942E-3</v>
      </c>
      <c r="Y141" s="184"/>
      <c r="AE141" s="101"/>
      <c r="AF141" s="101"/>
      <c r="AG141" s="101"/>
    </row>
    <row r="142" spans="1:33" x14ac:dyDescent="0.25">
      <c r="A142" t="s">
        <v>514</v>
      </c>
      <c r="B142" t="s">
        <v>219</v>
      </c>
      <c r="C142">
        <f t="shared" si="14"/>
        <v>13189</v>
      </c>
      <c r="D142">
        <v>8144</v>
      </c>
      <c r="E142">
        <v>5045</v>
      </c>
      <c r="F142">
        <v>16</v>
      </c>
      <c r="G142">
        <v>0</v>
      </c>
      <c r="H142">
        <v>220</v>
      </c>
      <c r="I142">
        <v>169</v>
      </c>
      <c r="J142">
        <v>3278</v>
      </c>
      <c r="K142">
        <v>5748</v>
      </c>
      <c r="L142">
        <v>623</v>
      </c>
      <c r="M142">
        <v>169</v>
      </c>
      <c r="N142">
        <v>839</v>
      </c>
      <c r="O142">
        <v>394</v>
      </c>
      <c r="P142">
        <f t="shared" si="15"/>
        <v>8697000</v>
      </c>
      <c r="Q142">
        <v>7701000</v>
      </c>
      <c r="R142">
        <v>996000</v>
      </c>
      <c r="S142">
        <v>205000</v>
      </c>
      <c r="T142" s="101">
        <f t="shared" si="12"/>
        <v>18465165</v>
      </c>
      <c r="U142" s="101">
        <f t="shared" si="16"/>
        <v>5276165</v>
      </c>
      <c r="V142" s="101">
        <f t="shared" si="13"/>
        <v>5276165</v>
      </c>
      <c r="W142" s="101">
        <v>139586</v>
      </c>
      <c r="X142" s="149">
        <f t="shared" si="17"/>
        <v>3.7798668920951961E-2</v>
      </c>
      <c r="Y142" s="184"/>
      <c r="AE142" s="101"/>
      <c r="AF142" s="101"/>
      <c r="AG142" s="101"/>
    </row>
    <row r="143" spans="1:33" x14ac:dyDescent="0.25">
      <c r="A143" t="s">
        <v>512</v>
      </c>
      <c r="B143" t="s">
        <v>259</v>
      </c>
      <c r="C143">
        <f t="shared" si="14"/>
        <v>5445</v>
      </c>
      <c r="D143">
        <v>3880</v>
      </c>
      <c r="E143">
        <v>1565</v>
      </c>
      <c r="F143">
        <v>6</v>
      </c>
      <c r="G143">
        <v>173</v>
      </c>
      <c r="H143">
        <v>60</v>
      </c>
      <c r="I143">
        <v>121</v>
      </c>
      <c r="J143">
        <v>4479</v>
      </c>
      <c r="K143">
        <v>6369</v>
      </c>
      <c r="L143">
        <v>577</v>
      </c>
      <c r="M143">
        <v>352</v>
      </c>
      <c r="N143">
        <v>376</v>
      </c>
      <c r="O143">
        <v>114</v>
      </c>
      <c r="P143">
        <f t="shared" si="15"/>
        <v>7355000</v>
      </c>
      <c r="Q143">
        <v>6809000</v>
      </c>
      <c r="R143">
        <v>546000</v>
      </c>
      <c r="S143">
        <v>168000</v>
      </c>
      <c r="T143" s="101">
        <f t="shared" si="12"/>
        <v>15051405</v>
      </c>
      <c r="U143" s="101">
        <f t="shared" si="16"/>
        <v>9606405</v>
      </c>
      <c r="V143" s="101">
        <f t="shared" si="13"/>
        <v>9606405</v>
      </c>
      <c r="W143" s="101">
        <v>100407</v>
      </c>
      <c r="X143" s="149">
        <f t="shared" si="17"/>
        <v>9.5674654157578656E-2</v>
      </c>
      <c r="Y143" s="184"/>
      <c r="AE143" s="101"/>
      <c r="AF143" s="101"/>
      <c r="AG143" s="101"/>
    </row>
    <row r="144" spans="1:33" x14ac:dyDescent="0.25">
      <c r="A144" t="s">
        <v>514</v>
      </c>
      <c r="B144" t="s">
        <v>330</v>
      </c>
      <c r="C144">
        <f t="shared" si="14"/>
        <v>5199</v>
      </c>
      <c r="D144">
        <v>3455</v>
      </c>
      <c r="E144">
        <v>1744</v>
      </c>
      <c r="F144">
        <v>655</v>
      </c>
      <c r="G144">
        <v>20</v>
      </c>
      <c r="H144">
        <v>110</v>
      </c>
      <c r="I144">
        <v>545</v>
      </c>
      <c r="J144">
        <v>3544</v>
      </c>
      <c r="K144">
        <v>3619</v>
      </c>
      <c r="L144">
        <v>258</v>
      </c>
      <c r="M144">
        <v>115</v>
      </c>
      <c r="N144">
        <v>853</v>
      </c>
      <c r="O144">
        <v>72</v>
      </c>
      <c r="P144">
        <f t="shared" si="15"/>
        <v>3396000</v>
      </c>
      <c r="Q144">
        <v>2914000</v>
      </c>
      <c r="R144">
        <v>482000</v>
      </c>
      <c r="S144">
        <v>194000</v>
      </c>
      <c r="T144" s="101">
        <f t="shared" si="12"/>
        <v>7387590</v>
      </c>
      <c r="U144" s="101">
        <f t="shared" si="16"/>
        <v>2188590</v>
      </c>
      <c r="V144" s="101">
        <f t="shared" si="13"/>
        <v>2188590</v>
      </c>
      <c r="W144" s="101">
        <v>74540</v>
      </c>
      <c r="X144" s="149">
        <f t="shared" si="17"/>
        <v>2.9361282532868259E-2</v>
      </c>
      <c r="Y144" s="184"/>
      <c r="AE144" s="101"/>
      <c r="AF144" s="101"/>
      <c r="AG144" s="101"/>
    </row>
    <row r="145" spans="1:33" x14ac:dyDescent="0.25">
      <c r="A145" t="s">
        <v>522</v>
      </c>
      <c r="B145" t="s">
        <v>220</v>
      </c>
      <c r="C145">
        <f t="shared" si="14"/>
        <v>5189</v>
      </c>
      <c r="D145">
        <v>3880</v>
      </c>
      <c r="E145">
        <v>1309</v>
      </c>
      <c r="F145">
        <v>1457</v>
      </c>
      <c r="G145">
        <v>0</v>
      </c>
      <c r="H145">
        <v>25</v>
      </c>
      <c r="I145">
        <v>232</v>
      </c>
      <c r="J145">
        <v>3888</v>
      </c>
      <c r="K145">
        <v>4850</v>
      </c>
      <c r="L145">
        <v>378</v>
      </c>
      <c r="M145">
        <v>275</v>
      </c>
      <c r="N145">
        <v>712</v>
      </c>
      <c r="O145">
        <v>116</v>
      </c>
      <c r="P145">
        <f t="shared" si="15"/>
        <v>4919000</v>
      </c>
      <c r="Q145">
        <v>4467000</v>
      </c>
      <c r="R145">
        <v>452000</v>
      </c>
      <c r="S145">
        <v>242000</v>
      </c>
      <c r="T145" s="101">
        <f t="shared" si="12"/>
        <v>10231755</v>
      </c>
      <c r="U145" s="101">
        <f t="shared" si="16"/>
        <v>5042755</v>
      </c>
      <c r="V145" s="101">
        <f t="shared" si="13"/>
        <v>5042755</v>
      </c>
      <c r="W145" s="101">
        <v>83590</v>
      </c>
      <c r="X145" s="149">
        <f t="shared" si="17"/>
        <v>6.0327252063643977E-2</v>
      </c>
      <c r="Y145" s="184"/>
      <c r="AE145" s="101"/>
      <c r="AF145" s="101"/>
      <c r="AG145" s="101"/>
    </row>
    <row r="146" spans="1:33" x14ac:dyDescent="0.25">
      <c r="A146" t="s">
        <v>520</v>
      </c>
      <c r="B146" t="s">
        <v>297</v>
      </c>
      <c r="C146">
        <f t="shared" si="14"/>
        <v>5754</v>
      </c>
      <c r="D146">
        <v>4415</v>
      </c>
      <c r="E146">
        <v>1339</v>
      </c>
      <c r="F146">
        <v>0</v>
      </c>
      <c r="G146">
        <v>0</v>
      </c>
      <c r="H146">
        <v>0</v>
      </c>
      <c r="I146">
        <v>346</v>
      </c>
      <c r="J146">
        <v>3842</v>
      </c>
      <c r="K146">
        <v>4066</v>
      </c>
      <c r="L146">
        <v>302</v>
      </c>
      <c r="M146">
        <v>63</v>
      </c>
      <c r="N146">
        <v>1318</v>
      </c>
      <c r="O146">
        <v>226</v>
      </c>
      <c r="P146">
        <f t="shared" si="15"/>
        <v>4708000</v>
      </c>
      <c r="Q146">
        <v>4200000</v>
      </c>
      <c r="R146">
        <v>508000</v>
      </c>
      <c r="S146">
        <v>301000</v>
      </c>
      <c r="T146" s="101">
        <f t="shared" si="12"/>
        <v>9936480</v>
      </c>
      <c r="U146" s="101">
        <f t="shared" si="16"/>
        <v>4182480</v>
      </c>
      <c r="V146" s="101">
        <f t="shared" si="13"/>
        <v>4182480</v>
      </c>
      <c r="W146" s="101">
        <v>61104</v>
      </c>
      <c r="X146" s="149">
        <f t="shared" si="17"/>
        <v>6.8448546739984295E-2</v>
      </c>
      <c r="Y146" s="184"/>
      <c r="AE146" s="101"/>
      <c r="AF146" s="101"/>
      <c r="AG146" s="101"/>
    </row>
    <row r="147" spans="1:33" x14ac:dyDescent="0.25">
      <c r="A147" t="s">
        <v>514</v>
      </c>
      <c r="B147" t="s">
        <v>149</v>
      </c>
      <c r="C147">
        <f t="shared" si="14"/>
        <v>12695</v>
      </c>
      <c r="D147">
        <v>7350</v>
      </c>
      <c r="E147">
        <v>5345</v>
      </c>
      <c r="F147">
        <v>1950</v>
      </c>
      <c r="G147">
        <v>148</v>
      </c>
      <c r="H147">
        <v>77</v>
      </c>
      <c r="I147">
        <v>463</v>
      </c>
      <c r="J147">
        <v>3263</v>
      </c>
      <c r="K147">
        <v>5023</v>
      </c>
      <c r="L147">
        <v>686</v>
      </c>
      <c r="M147">
        <v>684</v>
      </c>
      <c r="N147">
        <v>1248</v>
      </c>
      <c r="O147">
        <v>607</v>
      </c>
      <c r="P147">
        <f t="shared" si="15"/>
        <v>6709000</v>
      </c>
      <c r="Q147">
        <v>5548000</v>
      </c>
      <c r="R147">
        <v>1161000</v>
      </c>
      <c r="S147">
        <v>284000</v>
      </c>
      <c r="T147" s="101">
        <f t="shared" si="12"/>
        <v>14992350</v>
      </c>
      <c r="U147" s="101">
        <f t="shared" si="16"/>
        <v>2297350</v>
      </c>
      <c r="V147" s="101">
        <f t="shared" si="13"/>
        <v>2297350</v>
      </c>
      <c r="W147" s="101">
        <v>158870</v>
      </c>
      <c r="X147" s="149">
        <f t="shared" si="17"/>
        <v>1.4460565242021779E-2</v>
      </c>
      <c r="Y147" s="184"/>
      <c r="AE147" s="101"/>
      <c r="AF147" s="101"/>
      <c r="AG147" s="101"/>
    </row>
    <row r="148" spans="1:33" x14ac:dyDescent="0.25">
      <c r="A148" t="s">
        <v>524</v>
      </c>
      <c r="B148" t="s">
        <v>331</v>
      </c>
      <c r="C148">
        <f t="shared" si="14"/>
        <v>2588</v>
      </c>
      <c r="D148">
        <v>1512</v>
      </c>
      <c r="E148">
        <v>1076</v>
      </c>
      <c r="F148">
        <v>0</v>
      </c>
      <c r="G148">
        <v>0</v>
      </c>
      <c r="H148">
        <v>175</v>
      </c>
      <c r="I148">
        <v>143</v>
      </c>
      <c r="J148">
        <v>1572</v>
      </c>
      <c r="K148">
        <v>1489</v>
      </c>
      <c r="L148">
        <v>150</v>
      </c>
      <c r="M148">
        <v>229</v>
      </c>
      <c r="N148">
        <v>503</v>
      </c>
      <c r="O148">
        <v>29</v>
      </c>
      <c r="P148">
        <f t="shared" si="15"/>
        <v>1709000</v>
      </c>
      <c r="Q148">
        <v>1455000</v>
      </c>
      <c r="R148">
        <v>254000</v>
      </c>
      <c r="S148">
        <v>193000</v>
      </c>
      <c r="T148" s="101">
        <f t="shared" si="12"/>
        <v>3739515</v>
      </c>
      <c r="U148" s="101">
        <f t="shared" si="16"/>
        <v>1151515</v>
      </c>
      <c r="V148" s="101">
        <f t="shared" si="13"/>
        <v>1151515</v>
      </c>
      <c r="W148" s="101">
        <v>34162</v>
      </c>
      <c r="X148" s="149">
        <f t="shared" si="17"/>
        <v>3.3707481997541131E-2</v>
      </c>
      <c r="Y148" s="184"/>
      <c r="AE148" s="101"/>
      <c r="AF148" s="101"/>
      <c r="AG148" s="101"/>
    </row>
    <row r="149" spans="1:33" x14ac:dyDescent="0.25">
      <c r="A149" t="s">
        <v>520</v>
      </c>
      <c r="B149" t="s">
        <v>298</v>
      </c>
      <c r="C149">
        <f t="shared" si="14"/>
        <v>15432</v>
      </c>
      <c r="D149">
        <v>9782</v>
      </c>
      <c r="E149">
        <v>5650</v>
      </c>
      <c r="F149">
        <v>4207</v>
      </c>
      <c r="G149">
        <v>91</v>
      </c>
      <c r="H149">
        <v>563</v>
      </c>
      <c r="I149">
        <v>475</v>
      </c>
      <c r="J149">
        <v>4415</v>
      </c>
      <c r="K149">
        <v>8512</v>
      </c>
      <c r="L149">
        <v>1180</v>
      </c>
      <c r="M149">
        <v>309</v>
      </c>
      <c r="N149">
        <v>1967</v>
      </c>
      <c r="O149">
        <v>268</v>
      </c>
      <c r="P149">
        <f t="shared" si="15"/>
        <v>10347000</v>
      </c>
      <c r="Q149">
        <v>9152000</v>
      </c>
      <c r="R149">
        <v>1195000</v>
      </c>
      <c r="S149">
        <v>249000</v>
      </c>
      <c r="T149" s="101">
        <f t="shared" si="12"/>
        <v>21987510</v>
      </c>
      <c r="U149" s="101">
        <f t="shared" si="16"/>
        <v>6555510</v>
      </c>
      <c r="V149" s="101">
        <f t="shared" si="13"/>
        <v>6555510</v>
      </c>
      <c r="W149" s="101">
        <v>173339</v>
      </c>
      <c r="X149" s="149">
        <f t="shared" si="17"/>
        <v>3.781901360917047E-2</v>
      </c>
      <c r="Y149" s="184"/>
      <c r="AE149" s="101"/>
      <c r="AF149" s="101"/>
      <c r="AG149" s="101"/>
    </row>
    <row r="150" spans="1:33" x14ac:dyDescent="0.25">
      <c r="A150" t="s">
        <v>517</v>
      </c>
      <c r="B150" t="s">
        <v>407</v>
      </c>
      <c r="C150">
        <f t="shared" si="14"/>
        <v>13528</v>
      </c>
      <c r="D150">
        <v>7733</v>
      </c>
      <c r="E150">
        <v>5795</v>
      </c>
      <c r="F150">
        <v>674</v>
      </c>
      <c r="G150">
        <v>83</v>
      </c>
      <c r="H150">
        <v>171</v>
      </c>
      <c r="I150">
        <v>497</v>
      </c>
      <c r="J150">
        <v>5377</v>
      </c>
      <c r="K150">
        <v>6140</v>
      </c>
      <c r="L150">
        <v>443</v>
      </c>
      <c r="M150">
        <v>45</v>
      </c>
      <c r="N150">
        <v>337</v>
      </c>
      <c r="O150">
        <v>301</v>
      </c>
      <c r="P150">
        <f t="shared" si="15"/>
        <v>4597000</v>
      </c>
      <c r="Q150">
        <v>3880000</v>
      </c>
      <c r="R150">
        <v>717000</v>
      </c>
      <c r="S150">
        <v>263000</v>
      </c>
      <c r="T150" s="101">
        <f t="shared" si="12"/>
        <v>10123170</v>
      </c>
      <c r="U150" s="101">
        <f t="shared" si="16"/>
        <v>-3404830</v>
      </c>
      <c r="V150" s="101">
        <f t="shared" si="13"/>
        <v>0</v>
      </c>
      <c r="W150" s="101">
        <v>181147</v>
      </c>
      <c r="X150" s="149">
        <f t="shared" si="17"/>
        <v>-1.8795950250349164E-2</v>
      </c>
      <c r="Y150" s="184"/>
      <c r="AE150" s="101"/>
      <c r="AF150" s="101"/>
      <c r="AG150" s="101"/>
    </row>
    <row r="151" spans="1:33" x14ac:dyDescent="0.25">
      <c r="A151" t="s">
        <v>518</v>
      </c>
      <c r="B151" t="s">
        <v>260</v>
      </c>
      <c r="C151">
        <f t="shared" si="14"/>
        <v>3592</v>
      </c>
      <c r="D151">
        <v>2461</v>
      </c>
      <c r="E151">
        <v>1131</v>
      </c>
      <c r="F151">
        <v>0</v>
      </c>
      <c r="G151">
        <v>0</v>
      </c>
      <c r="H151">
        <v>118</v>
      </c>
      <c r="I151">
        <v>160</v>
      </c>
      <c r="J151">
        <v>1100</v>
      </c>
      <c r="K151">
        <v>3404</v>
      </c>
      <c r="L151">
        <v>175</v>
      </c>
      <c r="M151">
        <v>35</v>
      </c>
      <c r="N151">
        <v>521</v>
      </c>
      <c r="O151">
        <v>25</v>
      </c>
      <c r="P151">
        <f t="shared" si="15"/>
        <v>3232000</v>
      </c>
      <c r="Q151">
        <v>2778000</v>
      </c>
      <c r="R151">
        <v>454000</v>
      </c>
      <c r="S151">
        <v>202000</v>
      </c>
      <c r="T151" s="101">
        <f t="shared" si="12"/>
        <v>7021830</v>
      </c>
      <c r="U151" s="101">
        <f t="shared" si="16"/>
        <v>3429830</v>
      </c>
      <c r="V151" s="101">
        <f t="shared" si="13"/>
        <v>3429830</v>
      </c>
      <c r="W151" s="101">
        <v>66249</v>
      </c>
      <c r="X151" s="149">
        <f t="shared" si="17"/>
        <v>5.1771800329061569E-2</v>
      </c>
      <c r="Y151" s="184"/>
      <c r="AE151" s="101"/>
      <c r="AF151" s="101"/>
      <c r="AG151" s="101"/>
    </row>
    <row r="152" spans="1:33" x14ac:dyDescent="0.25">
      <c r="A152" t="s">
        <v>524</v>
      </c>
      <c r="B152" t="s">
        <v>299</v>
      </c>
      <c r="C152">
        <f t="shared" si="14"/>
        <v>6007</v>
      </c>
      <c r="D152">
        <v>3796</v>
      </c>
      <c r="E152">
        <v>2211</v>
      </c>
      <c r="F152">
        <v>13</v>
      </c>
      <c r="G152">
        <v>0</v>
      </c>
      <c r="H152">
        <v>0</v>
      </c>
      <c r="I152">
        <v>0</v>
      </c>
      <c r="J152">
        <v>3647</v>
      </c>
      <c r="K152">
        <v>4808</v>
      </c>
      <c r="L152">
        <v>286</v>
      </c>
      <c r="M152">
        <v>539</v>
      </c>
      <c r="N152">
        <v>740</v>
      </c>
      <c r="O152">
        <v>135</v>
      </c>
      <c r="P152">
        <f t="shared" si="15"/>
        <v>4098000</v>
      </c>
      <c r="Q152">
        <v>3625000</v>
      </c>
      <c r="R152">
        <v>473000</v>
      </c>
      <c r="S152">
        <v>231000</v>
      </c>
      <c r="T152" s="101">
        <f t="shared" si="12"/>
        <v>8707755</v>
      </c>
      <c r="U152" s="101">
        <f t="shared" si="16"/>
        <v>2700755</v>
      </c>
      <c r="V152" s="101">
        <f t="shared" si="13"/>
        <v>2700755</v>
      </c>
      <c r="W152" s="101">
        <v>76477</v>
      </c>
      <c r="X152" s="149">
        <f t="shared" si="17"/>
        <v>3.5314604390862613E-2</v>
      </c>
      <c r="Y152" s="184"/>
      <c r="AE152" s="101"/>
      <c r="AF152" s="101"/>
      <c r="AG152" s="101"/>
    </row>
    <row r="153" spans="1:33" x14ac:dyDescent="0.25">
      <c r="A153" t="s">
        <v>517</v>
      </c>
      <c r="B153" t="s">
        <v>474</v>
      </c>
      <c r="C153">
        <f t="shared" si="14"/>
        <v>12068</v>
      </c>
      <c r="D153">
        <v>7631</v>
      </c>
      <c r="E153">
        <v>4437</v>
      </c>
      <c r="F153">
        <v>0</v>
      </c>
      <c r="G153">
        <v>0</v>
      </c>
      <c r="H153">
        <v>264</v>
      </c>
      <c r="I153">
        <v>57</v>
      </c>
      <c r="J153">
        <v>6089</v>
      </c>
      <c r="K153">
        <v>6500</v>
      </c>
      <c r="L153">
        <v>625</v>
      </c>
      <c r="M153">
        <v>1013</v>
      </c>
      <c r="N153">
        <v>2015</v>
      </c>
      <c r="O153">
        <v>367</v>
      </c>
      <c r="P153">
        <f t="shared" si="15"/>
        <v>8070000</v>
      </c>
      <c r="Q153">
        <v>7020000</v>
      </c>
      <c r="R153">
        <v>1050000</v>
      </c>
      <c r="S153">
        <v>265000</v>
      </c>
      <c r="T153" s="101">
        <f t="shared" si="12"/>
        <v>17373600</v>
      </c>
      <c r="U153" s="101">
        <f t="shared" si="16"/>
        <v>5305600</v>
      </c>
      <c r="V153" s="101">
        <f t="shared" si="13"/>
        <v>5305600</v>
      </c>
      <c r="W153" s="101">
        <v>143315</v>
      </c>
      <c r="X153" s="149">
        <f t="shared" si="17"/>
        <v>3.7020549140006277E-2</v>
      </c>
      <c r="Y153" s="184"/>
      <c r="AE153" s="101"/>
      <c r="AF153" s="101"/>
      <c r="AG153" s="101"/>
    </row>
    <row r="154" spans="1:33" x14ac:dyDescent="0.25">
      <c r="A154" t="s">
        <v>522</v>
      </c>
      <c r="B154" t="s">
        <v>373</v>
      </c>
      <c r="C154">
        <f t="shared" si="14"/>
        <v>5733</v>
      </c>
      <c r="D154">
        <v>3646</v>
      </c>
      <c r="E154">
        <v>2087</v>
      </c>
      <c r="F154">
        <v>0</v>
      </c>
      <c r="G154">
        <v>0</v>
      </c>
      <c r="H154">
        <v>0</v>
      </c>
      <c r="I154">
        <v>27</v>
      </c>
      <c r="J154">
        <v>2231</v>
      </c>
      <c r="K154">
        <v>2087</v>
      </c>
      <c r="L154">
        <v>217</v>
      </c>
      <c r="M154">
        <v>0</v>
      </c>
      <c r="N154">
        <v>936</v>
      </c>
      <c r="O154">
        <v>51</v>
      </c>
      <c r="P154">
        <f t="shared" si="15"/>
        <v>3396000</v>
      </c>
      <c r="Q154">
        <v>2902000</v>
      </c>
      <c r="R154">
        <v>494000</v>
      </c>
      <c r="S154">
        <v>135000</v>
      </c>
      <c r="T154" s="101">
        <f t="shared" si="12"/>
        <v>7410450</v>
      </c>
      <c r="U154" s="101">
        <f t="shared" si="16"/>
        <v>1677450</v>
      </c>
      <c r="V154" s="101">
        <f t="shared" si="13"/>
        <v>1677450</v>
      </c>
      <c r="W154" s="101">
        <v>60827</v>
      </c>
      <c r="X154" s="149">
        <f t="shared" si="17"/>
        <v>2.7577391618853468E-2</v>
      </c>
      <c r="Y154" s="184"/>
      <c r="AE154" s="101"/>
      <c r="AF154" s="101"/>
      <c r="AG154" s="101"/>
    </row>
    <row r="155" spans="1:33" s="164" customFormat="1" x14ac:dyDescent="0.25">
      <c r="A155" s="164" t="s">
        <v>514</v>
      </c>
      <c r="B155" s="164" t="s">
        <v>975</v>
      </c>
      <c r="C155">
        <f t="shared" si="14"/>
        <v>23045</v>
      </c>
      <c r="D155" s="164">
        <v>16757</v>
      </c>
      <c r="E155" s="164">
        <v>6288</v>
      </c>
      <c r="F155" s="164">
        <v>30</v>
      </c>
      <c r="G155" s="164">
        <v>0</v>
      </c>
      <c r="H155" s="164">
        <v>776</v>
      </c>
      <c r="I155" s="164">
        <v>359</v>
      </c>
      <c r="J155" s="164">
        <v>8633</v>
      </c>
      <c r="K155" s="164">
        <v>6498</v>
      </c>
      <c r="L155" s="164">
        <v>1126</v>
      </c>
      <c r="M155" s="164">
        <v>315</v>
      </c>
      <c r="N155" s="164">
        <v>3230</v>
      </c>
      <c r="O155" s="164">
        <v>1089</v>
      </c>
      <c r="P155">
        <f t="shared" si="15"/>
        <v>12435000</v>
      </c>
      <c r="Q155" s="164">
        <v>10221000</v>
      </c>
      <c r="R155" s="164">
        <v>2214000</v>
      </c>
      <c r="S155" s="164">
        <v>242000</v>
      </c>
      <c r="T155" s="187">
        <f t="shared" si="12"/>
        <v>27906345</v>
      </c>
      <c r="U155" s="101">
        <f t="shared" si="16"/>
        <v>4861345</v>
      </c>
      <c r="V155" s="187">
        <f t="shared" si="13"/>
        <v>4861345</v>
      </c>
      <c r="W155" s="187">
        <v>242548</v>
      </c>
      <c r="X155" s="243">
        <f t="shared" si="17"/>
        <v>2.0042816267295545E-2</v>
      </c>
      <c r="Y155" s="219"/>
      <c r="AE155" s="187"/>
      <c r="AF155" s="187"/>
      <c r="AG155" s="187"/>
    </row>
    <row r="156" spans="1:33" x14ac:dyDescent="0.25">
      <c r="A156" t="s">
        <v>517</v>
      </c>
      <c r="B156" t="s">
        <v>408</v>
      </c>
      <c r="C156">
        <f t="shared" si="14"/>
        <v>7769</v>
      </c>
      <c r="D156">
        <v>5760</v>
      </c>
      <c r="E156">
        <v>2009</v>
      </c>
      <c r="F156">
        <v>17</v>
      </c>
      <c r="G156">
        <v>29</v>
      </c>
      <c r="H156">
        <v>108</v>
      </c>
      <c r="I156">
        <v>406</v>
      </c>
      <c r="J156">
        <v>4956</v>
      </c>
      <c r="K156">
        <v>4625</v>
      </c>
      <c r="L156">
        <v>340</v>
      </c>
      <c r="M156">
        <v>20</v>
      </c>
      <c r="N156">
        <v>283</v>
      </c>
      <c r="O156">
        <v>44</v>
      </c>
      <c r="P156">
        <f t="shared" si="15"/>
        <v>3941000</v>
      </c>
      <c r="Q156">
        <v>3559000</v>
      </c>
      <c r="R156">
        <v>382000</v>
      </c>
      <c r="S156">
        <v>228000</v>
      </c>
      <c r="T156" s="101">
        <f t="shared" si="12"/>
        <v>8235315</v>
      </c>
      <c r="U156" s="101">
        <f t="shared" si="16"/>
        <v>466315</v>
      </c>
      <c r="V156" s="101">
        <f t="shared" si="13"/>
        <v>466315</v>
      </c>
      <c r="W156" s="101">
        <v>121312</v>
      </c>
      <c r="X156" s="149">
        <f t="shared" si="17"/>
        <v>3.8439313505671327E-3</v>
      </c>
      <c r="Y156" s="184"/>
      <c r="AE156" s="101"/>
      <c r="AF156" s="101"/>
      <c r="AG156" s="101"/>
    </row>
    <row r="157" spans="1:33" x14ac:dyDescent="0.25">
      <c r="A157" t="s">
        <v>517</v>
      </c>
      <c r="B157" t="s">
        <v>261</v>
      </c>
      <c r="C157">
        <f t="shared" si="14"/>
        <v>3089</v>
      </c>
      <c r="D157">
        <v>1880</v>
      </c>
      <c r="E157">
        <v>1209</v>
      </c>
      <c r="F157">
        <v>0</v>
      </c>
      <c r="G157">
        <v>9</v>
      </c>
      <c r="H157">
        <v>71</v>
      </c>
      <c r="I157">
        <v>3</v>
      </c>
      <c r="J157">
        <v>1172</v>
      </c>
      <c r="K157">
        <v>1863</v>
      </c>
      <c r="L157">
        <v>151</v>
      </c>
      <c r="M157">
        <v>151</v>
      </c>
      <c r="N157">
        <v>385</v>
      </c>
      <c r="O157">
        <v>117</v>
      </c>
      <c r="P157">
        <f t="shared" si="15"/>
        <v>2332000</v>
      </c>
      <c r="Q157">
        <v>2198000</v>
      </c>
      <c r="R157">
        <v>134000</v>
      </c>
      <c r="S157">
        <v>242000</v>
      </c>
      <c r="T157" s="101">
        <f t="shared" si="12"/>
        <v>4697730</v>
      </c>
      <c r="U157" s="101">
        <f t="shared" si="16"/>
        <v>1608730</v>
      </c>
      <c r="V157" s="101">
        <f t="shared" si="13"/>
        <v>1608730</v>
      </c>
      <c r="W157" s="101">
        <v>25924</v>
      </c>
      <c r="X157" s="149">
        <f t="shared" si="17"/>
        <v>6.205562413207838E-2</v>
      </c>
      <c r="Y157" s="184"/>
      <c r="AE157" s="101"/>
      <c r="AF157" s="101"/>
      <c r="AG157" s="101"/>
    </row>
    <row r="158" spans="1:33" x14ac:dyDescent="0.25">
      <c r="A158" t="s">
        <v>513</v>
      </c>
      <c r="B158" t="s">
        <v>300</v>
      </c>
      <c r="C158">
        <f t="shared" si="14"/>
        <v>17037</v>
      </c>
      <c r="D158">
        <v>8954</v>
      </c>
      <c r="E158">
        <v>8083</v>
      </c>
      <c r="F158">
        <v>0</v>
      </c>
      <c r="G158">
        <v>45</v>
      </c>
      <c r="H158">
        <v>0</v>
      </c>
      <c r="I158">
        <v>404</v>
      </c>
      <c r="J158">
        <v>6825</v>
      </c>
      <c r="K158">
        <v>7175</v>
      </c>
      <c r="L158">
        <v>722</v>
      </c>
      <c r="M158">
        <v>50</v>
      </c>
      <c r="N158">
        <v>2465</v>
      </c>
      <c r="O158">
        <v>214</v>
      </c>
      <c r="P158">
        <f t="shared" si="15"/>
        <v>11134000</v>
      </c>
      <c r="Q158">
        <v>9242000</v>
      </c>
      <c r="R158">
        <v>1892000</v>
      </c>
      <c r="S158">
        <v>250000</v>
      </c>
      <c r="T158" s="101">
        <f t="shared" si="12"/>
        <v>24814530</v>
      </c>
      <c r="U158" s="101">
        <f t="shared" si="16"/>
        <v>7777530</v>
      </c>
      <c r="V158" s="101">
        <f t="shared" si="13"/>
        <v>7777530</v>
      </c>
      <c r="W158" s="101">
        <v>178485</v>
      </c>
      <c r="X158" s="149">
        <f t="shared" si="17"/>
        <v>4.3575258425077736E-2</v>
      </c>
      <c r="Y158" s="184"/>
      <c r="AE158" s="101"/>
      <c r="AF158" s="101"/>
      <c r="AG158" s="101"/>
    </row>
    <row r="159" spans="1:33" x14ac:dyDescent="0.25">
      <c r="A159" t="s">
        <v>513</v>
      </c>
      <c r="B159" t="s">
        <v>724</v>
      </c>
      <c r="C159">
        <f t="shared" si="14"/>
        <v>4853</v>
      </c>
      <c r="D159">
        <v>3986</v>
      </c>
      <c r="E159">
        <v>867</v>
      </c>
      <c r="F159">
        <v>9</v>
      </c>
      <c r="G159">
        <v>0</v>
      </c>
      <c r="H159">
        <v>0</v>
      </c>
      <c r="I159">
        <v>74</v>
      </c>
      <c r="J159">
        <v>1085</v>
      </c>
      <c r="K159">
        <v>1557</v>
      </c>
      <c r="L159">
        <v>145</v>
      </c>
      <c r="M159">
        <v>153</v>
      </c>
      <c r="N159">
        <v>742</v>
      </c>
      <c r="O159">
        <v>117</v>
      </c>
      <c r="P159">
        <f t="shared" si="15"/>
        <v>4170000</v>
      </c>
      <c r="Q159">
        <v>3896000</v>
      </c>
      <c r="R159">
        <v>274000</v>
      </c>
      <c r="S159">
        <v>288000</v>
      </c>
      <c r="T159" s="101">
        <f t="shared" si="12"/>
        <v>8465820</v>
      </c>
      <c r="U159" s="101">
        <f t="shared" si="16"/>
        <v>3612820</v>
      </c>
      <c r="V159" s="101">
        <f t="shared" si="13"/>
        <v>3612820</v>
      </c>
      <c r="W159" s="101">
        <v>26018</v>
      </c>
      <c r="X159" s="149">
        <f t="shared" si="17"/>
        <v>0.13885848258897687</v>
      </c>
      <c r="Y159" s="184"/>
      <c r="AE159" s="101"/>
      <c r="AF159" s="101"/>
      <c r="AG159" s="101"/>
    </row>
    <row r="160" spans="1:33" x14ac:dyDescent="0.25">
      <c r="A160" t="s">
        <v>522</v>
      </c>
      <c r="B160" t="s">
        <v>130</v>
      </c>
      <c r="C160">
        <f t="shared" si="14"/>
        <v>35063</v>
      </c>
      <c r="D160">
        <v>15636</v>
      </c>
      <c r="E160">
        <v>19427</v>
      </c>
      <c r="F160">
        <v>3515</v>
      </c>
      <c r="G160">
        <v>282</v>
      </c>
      <c r="H160">
        <v>707</v>
      </c>
      <c r="I160">
        <v>567</v>
      </c>
      <c r="J160">
        <v>12354</v>
      </c>
      <c r="K160">
        <v>18373</v>
      </c>
      <c r="L160">
        <v>1608</v>
      </c>
      <c r="M160">
        <v>312</v>
      </c>
      <c r="N160">
        <v>4191</v>
      </c>
      <c r="O160">
        <v>663</v>
      </c>
      <c r="P160">
        <f t="shared" si="15"/>
        <v>14242000</v>
      </c>
      <c r="Q160">
        <v>11461000</v>
      </c>
      <c r="R160">
        <v>2781000</v>
      </c>
      <c r="S160">
        <v>161000</v>
      </c>
      <c r="T160" s="101">
        <f t="shared" si="12"/>
        <v>32428815</v>
      </c>
      <c r="U160" s="101">
        <f t="shared" si="16"/>
        <v>-2634185</v>
      </c>
      <c r="V160" s="101">
        <f t="shared" si="13"/>
        <v>0</v>
      </c>
      <c r="W160" s="101">
        <v>584924</v>
      </c>
      <c r="X160" s="149">
        <f t="shared" si="17"/>
        <v>-4.5034654074717403E-3</v>
      </c>
      <c r="Y160" s="184"/>
      <c r="AE160" s="101"/>
      <c r="AF160" s="101"/>
      <c r="AG160" s="101"/>
    </row>
    <row r="161" spans="1:33" x14ac:dyDescent="0.25">
      <c r="A161" t="s">
        <v>514</v>
      </c>
      <c r="B161" t="s">
        <v>301</v>
      </c>
      <c r="C161">
        <f t="shared" si="14"/>
        <v>58764</v>
      </c>
      <c r="D161">
        <v>25039</v>
      </c>
      <c r="E161">
        <v>33725</v>
      </c>
      <c r="F161">
        <v>15105</v>
      </c>
      <c r="G161">
        <v>762</v>
      </c>
      <c r="H161">
        <v>1177</v>
      </c>
      <c r="I161">
        <v>0</v>
      </c>
      <c r="J161">
        <v>11109</v>
      </c>
      <c r="K161">
        <v>18807</v>
      </c>
      <c r="L161">
        <v>1503</v>
      </c>
      <c r="M161">
        <v>0</v>
      </c>
      <c r="N161">
        <v>3556</v>
      </c>
      <c r="O161">
        <v>1416</v>
      </c>
      <c r="P161">
        <f t="shared" si="15"/>
        <v>22370000</v>
      </c>
      <c r="Q161">
        <v>19065000</v>
      </c>
      <c r="R161">
        <v>3305000</v>
      </c>
      <c r="S161">
        <v>351000</v>
      </c>
      <c r="T161" s="101">
        <f t="shared" si="12"/>
        <v>48910875</v>
      </c>
      <c r="U161" s="101">
        <f t="shared" si="16"/>
        <v>-9853125</v>
      </c>
      <c r="V161" s="101">
        <f t="shared" si="13"/>
        <v>0</v>
      </c>
      <c r="W161" s="101">
        <v>526416</v>
      </c>
      <c r="X161" s="149">
        <f t="shared" si="17"/>
        <v>-1.8717373712045227E-2</v>
      </c>
      <c r="Y161" s="184"/>
      <c r="AE161" s="101"/>
      <c r="AF161" s="101"/>
      <c r="AG161" s="101"/>
    </row>
    <row r="162" spans="1:33" x14ac:dyDescent="0.25">
      <c r="A162" t="s">
        <v>514</v>
      </c>
      <c r="B162" t="s">
        <v>302</v>
      </c>
      <c r="C162">
        <f t="shared" si="14"/>
        <v>7667</v>
      </c>
      <c r="D162">
        <v>5456</v>
      </c>
      <c r="E162">
        <v>2211</v>
      </c>
      <c r="F162">
        <v>22</v>
      </c>
      <c r="G162">
        <v>24</v>
      </c>
      <c r="H162">
        <v>70</v>
      </c>
      <c r="I162">
        <v>0</v>
      </c>
      <c r="J162">
        <v>1835</v>
      </c>
      <c r="K162">
        <v>4952</v>
      </c>
      <c r="L162">
        <v>282</v>
      </c>
      <c r="M162">
        <v>291</v>
      </c>
      <c r="N162">
        <v>293</v>
      </c>
      <c r="O162">
        <v>29</v>
      </c>
      <c r="P162">
        <f t="shared" si="15"/>
        <v>4591000</v>
      </c>
      <c r="Q162">
        <v>4158000</v>
      </c>
      <c r="R162">
        <v>433000</v>
      </c>
      <c r="S162">
        <v>253000</v>
      </c>
      <c r="T162" s="101">
        <f t="shared" si="12"/>
        <v>9570720</v>
      </c>
      <c r="U162" s="101">
        <f t="shared" si="16"/>
        <v>1903720</v>
      </c>
      <c r="V162" s="101">
        <f t="shared" si="13"/>
        <v>1903720</v>
      </c>
      <c r="W162" s="101">
        <v>67258</v>
      </c>
      <c r="X162" s="149">
        <f t="shared" si="17"/>
        <v>2.8304736982961133E-2</v>
      </c>
      <c r="Y162" s="184"/>
      <c r="AE162" s="101"/>
      <c r="AF162" s="101"/>
      <c r="AG162" s="101"/>
    </row>
    <row r="163" spans="1:33" x14ac:dyDescent="0.25">
      <c r="A163" t="s">
        <v>517</v>
      </c>
      <c r="B163" t="s">
        <v>303</v>
      </c>
      <c r="C163">
        <f t="shared" si="14"/>
        <v>14255</v>
      </c>
      <c r="D163">
        <v>9171</v>
      </c>
      <c r="E163">
        <v>5084</v>
      </c>
      <c r="F163">
        <v>308</v>
      </c>
      <c r="G163">
        <v>0</v>
      </c>
      <c r="H163">
        <v>379</v>
      </c>
      <c r="I163">
        <v>530</v>
      </c>
      <c r="J163">
        <v>7247</v>
      </c>
      <c r="K163">
        <v>12797</v>
      </c>
      <c r="L163">
        <v>1162</v>
      </c>
      <c r="M163">
        <v>897</v>
      </c>
      <c r="N163">
        <v>2092</v>
      </c>
      <c r="O163">
        <v>239</v>
      </c>
      <c r="P163">
        <f t="shared" si="15"/>
        <v>12935000</v>
      </c>
      <c r="Q163">
        <v>11791000</v>
      </c>
      <c r="R163">
        <v>1144000</v>
      </c>
      <c r="S163">
        <v>287000</v>
      </c>
      <c r="T163" s="101">
        <f t="shared" si="12"/>
        <v>26820495</v>
      </c>
      <c r="U163" s="101">
        <f t="shared" si="16"/>
        <v>12565495</v>
      </c>
      <c r="V163" s="101">
        <f t="shared" si="13"/>
        <v>12565495</v>
      </c>
      <c r="W163" s="101">
        <v>229929</v>
      </c>
      <c r="X163" s="149">
        <f t="shared" si="17"/>
        <v>5.4649457006293249E-2</v>
      </c>
      <c r="Y163" s="184"/>
      <c r="AE163" s="101"/>
      <c r="AF163" s="101"/>
      <c r="AG163" s="101"/>
    </row>
    <row r="164" spans="1:33" x14ac:dyDescent="0.25">
      <c r="A164" t="s">
        <v>514</v>
      </c>
      <c r="B164" t="s">
        <v>429</v>
      </c>
      <c r="C164">
        <f t="shared" si="14"/>
        <v>26551</v>
      </c>
      <c r="D164">
        <v>12131</v>
      </c>
      <c r="E164">
        <v>14420</v>
      </c>
      <c r="F164">
        <v>2250</v>
      </c>
      <c r="G164">
        <v>0</v>
      </c>
      <c r="H164">
        <v>300</v>
      </c>
      <c r="I164">
        <v>460</v>
      </c>
      <c r="J164">
        <v>6651</v>
      </c>
      <c r="K164">
        <v>8967</v>
      </c>
      <c r="L164">
        <v>963</v>
      </c>
      <c r="M164">
        <v>349</v>
      </c>
      <c r="N164">
        <v>1500</v>
      </c>
      <c r="O164">
        <v>323</v>
      </c>
      <c r="P164">
        <f t="shared" si="15"/>
        <v>9527000</v>
      </c>
      <c r="Q164">
        <v>7620000</v>
      </c>
      <c r="R164">
        <v>1907000</v>
      </c>
      <c r="T164" s="101">
        <f t="shared" si="12"/>
        <v>21781770</v>
      </c>
      <c r="U164" s="101">
        <f t="shared" si="16"/>
        <v>-4769230</v>
      </c>
      <c r="V164" s="101">
        <f t="shared" si="13"/>
        <v>0</v>
      </c>
      <c r="W164" s="101">
        <v>291483</v>
      </c>
      <c r="X164" s="149">
        <f t="shared" si="17"/>
        <v>-1.6361949067355559E-2</v>
      </c>
      <c r="Y164" s="184"/>
      <c r="AE164" s="101"/>
      <c r="AF164" s="101"/>
      <c r="AG164" s="101"/>
    </row>
    <row r="165" spans="1:33" x14ac:dyDescent="0.25">
      <c r="A165" t="s">
        <v>516</v>
      </c>
      <c r="B165" t="s">
        <v>409</v>
      </c>
      <c r="C165">
        <f t="shared" si="14"/>
        <v>6757</v>
      </c>
      <c r="D165">
        <v>4967</v>
      </c>
      <c r="E165">
        <v>1790</v>
      </c>
      <c r="F165">
        <v>0</v>
      </c>
      <c r="G165">
        <v>0</v>
      </c>
      <c r="H165">
        <v>975</v>
      </c>
      <c r="I165">
        <v>306</v>
      </c>
      <c r="J165">
        <v>4794</v>
      </c>
      <c r="K165">
        <v>3545</v>
      </c>
      <c r="L165">
        <v>274</v>
      </c>
      <c r="M165">
        <v>7</v>
      </c>
      <c r="N165">
        <v>743</v>
      </c>
      <c r="O165">
        <v>23</v>
      </c>
      <c r="P165">
        <f t="shared" si="15"/>
        <v>4923000</v>
      </c>
      <c r="Q165">
        <v>4195000</v>
      </c>
      <c r="R165">
        <v>728000</v>
      </c>
      <c r="S165">
        <v>143000</v>
      </c>
      <c r="T165" s="101">
        <f t="shared" si="12"/>
        <v>10765155</v>
      </c>
      <c r="U165" s="101">
        <f t="shared" si="16"/>
        <v>4008155</v>
      </c>
      <c r="V165" s="101">
        <f t="shared" si="13"/>
        <v>4008155</v>
      </c>
      <c r="W165" s="101">
        <v>82817</v>
      </c>
      <c r="X165" s="149">
        <f t="shared" si="17"/>
        <v>4.8397732349638359E-2</v>
      </c>
      <c r="Y165" s="184"/>
      <c r="AE165" s="101"/>
      <c r="AF165" s="101"/>
      <c r="AG165" s="101"/>
    </row>
    <row r="166" spans="1:33" x14ac:dyDescent="0.25">
      <c r="A166" t="s">
        <v>517</v>
      </c>
      <c r="B166" t="s">
        <v>221</v>
      </c>
      <c r="C166">
        <f t="shared" si="14"/>
        <v>8518</v>
      </c>
      <c r="D166">
        <v>5084</v>
      </c>
      <c r="E166">
        <v>3434</v>
      </c>
      <c r="F166">
        <v>11</v>
      </c>
      <c r="G166">
        <v>30</v>
      </c>
      <c r="H166">
        <v>143</v>
      </c>
      <c r="I166">
        <v>0</v>
      </c>
      <c r="J166">
        <v>1944</v>
      </c>
      <c r="K166">
        <v>3063</v>
      </c>
      <c r="L166">
        <v>321</v>
      </c>
      <c r="M166">
        <v>36</v>
      </c>
      <c r="N166">
        <v>484</v>
      </c>
      <c r="O166">
        <v>71</v>
      </c>
      <c r="P166">
        <f t="shared" si="15"/>
        <v>5346000</v>
      </c>
      <c r="Q166">
        <v>4740000</v>
      </c>
      <c r="R166">
        <v>606000</v>
      </c>
      <c r="S166">
        <v>234000</v>
      </c>
      <c r="T166" s="101">
        <f t="shared" si="12"/>
        <v>11338560</v>
      </c>
      <c r="U166" s="101">
        <f t="shared" si="16"/>
        <v>2820560</v>
      </c>
      <c r="V166" s="101">
        <f t="shared" si="13"/>
        <v>2820560</v>
      </c>
      <c r="W166" s="101">
        <v>62212</v>
      </c>
      <c r="X166" s="149">
        <f t="shared" si="17"/>
        <v>4.5337876936925349E-2</v>
      </c>
      <c r="Y166" s="184"/>
      <c r="AE166" s="101"/>
      <c r="AF166" s="101"/>
      <c r="AG166" s="101"/>
    </row>
    <row r="167" spans="1:33" x14ac:dyDescent="0.25">
      <c r="A167" t="s">
        <v>517</v>
      </c>
      <c r="B167" t="s">
        <v>185</v>
      </c>
      <c r="C167">
        <f t="shared" si="14"/>
        <v>12740</v>
      </c>
      <c r="D167">
        <v>9511</v>
      </c>
      <c r="E167">
        <v>3229</v>
      </c>
      <c r="F167">
        <v>0</v>
      </c>
      <c r="G167">
        <v>0</v>
      </c>
      <c r="H167">
        <v>93</v>
      </c>
      <c r="I167">
        <v>411</v>
      </c>
      <c r="J167">
        <v>4885</v>
      </c>
      <c r="K167">
        <v>4859</v>
      </c>
      <c r="L167">
        <v>558</v>
      </c>
      <c r="M167">
        <v>200</v>
      </c>
      <c r="N167">
        <v>1157</v>
      </c>
      <c r="O167">
        <v>258</v>
      </c>
      <c r="P167">
        <f t="shared" si="15"/>
        <v>6480000</v>
      </c>
      <c r="Q167">
        <v>5851000</v>
      </c>
      <c r="R167">
        <v>629000</v>
      </c>
      <c r="S167">
        <v>258000</v>
      </c>
      <c r="T167" s="101">
        <f t="shared" si="12"/>
        <v>13542645</v>
      </c>
      <c r="U167" s="101">
        <f t="shared" si="16"/>
        <v>802645</v>
      </c>
      <c r="V167" s="101">
        <f t="shared" si="13"/>
        <v>802645</v>
      </c>
      <c r="W167" s="101">
        <v>113331</v>
      </c>
      <c r="X167" s="149">
        <f t="shared" si="17"/>
        <v>7.0823075769207017E-3</v>
      </c>
      <c r="Y167" s="184"/>
      <c r="AE167" s="101"/>
      <c r="AF167" s="101"/>
      <c r="AG167" s="101"/>
    </row>
    <row r="168" spans="1:33" x14ac:dyDescent="0.25">
      <c r="A168" t="s">
        <v>517</v>
      </c>
      <c r="B168" t="s">
        <v>304</v>
      </c>
      <c r="C168">
        <f t="shared" si="14"/>
        <v>6686</v>
      </c>
      <c r="D168">
        <v>3820</v>
      </c>
      <c r="E168">
        <v>2866</v>
      </c>
      <c r="F168">
        <v>7</v>
      </c>
      <c r="G168">
        <v>10</v>
      </c>
      <c r="H168">
        <v>125</v>
      </c>
      <c r="I168">
        <v>106</v>
      </c>
      <c r="J168">
        <v>2130</v>
      </c>
      <c r="K168">
        <v>3887</v>
      </c>
      <c r="L168">
        <v>283</v>
      </c>
      <c r="M168">
        <v>0</v>
      </c>
      <c r="N168">
        <v>773</v>
      </c>
      <c r="O168">
        <v>65</v>
      </c>
      <c r="P168">
        <f t="shared" si="15"/>
        <v>3980000</v>
      </c>
      <c r="Q168">
        <v>3410000</v>
      </c>
      <c r="R168">
        <v>570000</v>
      </c>
      <c r="S168">
        <v>248000</v>
      </c>
      <c r="T168" s="101">
        <f t="shared" si="12"/>
        <v>8667750</v>
      </c>
      <c r="U168" s="101">
        <f t="shared" si="16"/>
        <v>1981750</v>
      </c>
      <c r="V168" s="101">
        <f t="shared" si="13"/>
        <v>1981750</v>
      </c>
      <c r="W168" s="101">
        <v>53414</v>
      </c>
      <c r="X168" s="149">
        <f t="shared" si="17"/>
        <v>3.7101696184520909E-2</v>
      </c>
      <c r="Y168" s="184"/>
      <c r="AE168" s="101"/>
      <c r="AF168" s="101"/>
      <c r="AG168" s="101"/>
    </row>
    <row r="169" spans="1:33" x14ac:dyDescent="0.25">
      <c r="A169" t="s">
        <v>519</v>
      </c>
      <c r="B169" t="s">
        <v>186</v>
      </c>
      <c r="C169">
        <f t="shared" si="14"/>
        <v>5884</v>
      </c>
      <c r="D169">
        <v>4265</v>
      </c>
      <c r="E169">
        <v>1619</v>
      </c>
      <c r="F169">
        <v>16</v>
      </c>
      <c r="G169">
        <v>0</v>
      </c>
      <c r="H169">
        <v>736</v>
      </c>
      <c r="I169">
        <v>230</v>
      </c>
      <c r="J169">
        <v>5678</v>
      </c>
      <c r="K169">
        <v>3950</v>
      </c>
      <c r="L169">
        <v>379</v>
      </c>
      <c r="M169">
        <v>374</v>
      </c>
      <c r="N169">
        <v>759</v>
      </c>
      <c r="O169">
        <v>359</v>
      </c>
      <c r="P169">
        <f t="shared" si="15"/>
        <v>5878000</v>
      </c>
      <c r="Q169">
        <v>5123000</v>
      </c>
      <c r="R169">
        <v>755000</v>
      </c>
      <c r="S169">
        <v>169000</v>
      </c>
      <c r="T169" s="101">
        <f t="shared" si="12"/>
        <v>12635865</v>
      </c>
      <c r="U169" s="101">
        <f t="shared" si="16"/>
        <v>6751865</v>
      </c>
      <c r="V169" s="101">
        <f t="shared" si="13"/>
        <v>6751865</v>
      </c>
      <c r="W169" s="101">
        <v>81453</v>
      </c>
      <c r="X169" s="149">
        <f t="shared" si="17"/>
        <v>8.2892772519121458E-2</v>
      </c>
      <c r="Y169" s="184"/>
      <c r="AE169" s="101"/>
      <c r="AF169" s="101"/>
      <c r="AG169" s="101"/>
    </row>
    <row r="170" spans="1:33" x14ac:dyDescent="0.25">
      <c r="A170" t="s">
        <v>522</v>
      </c>
      <c r="B170" t="s">
        <v>375</v>
      </c>
      <c r="C170">
        <f t="shared" si="14"/>
        <v>6194</v>
      </c>
      <c r="D170">
        <v>3941</v>
      </c>
      <c r="E170">
        <v>2253</v>
      </c>
      <c r="F170">
        <v>0</v>
      </c>
      <c r="G170">
        <v>0</v>
      </c>
      <c r="H170">
        <v>2578</v>
      </c>
      <c r="I170">
        <v>290</v>
      </c>
      <c r="J170">
        <v>2383</v>
      </c>
      <c r="K170">
        <v>2866</v>
      </c>
      <c r="L170">
        <v>371</v>
      </c>
      <c r="M170">
        <v>0</v>
      </c>
      <c r="N170">
        <v>226</v>
      </c>
      <c r="O170">
        <v>15</v>
      </c>
      <c r="P170">
        <f t="shared" si="15"/>
        <v>3509000</v>
      </c>
      <c r="Q170">
        <v>2937000</v>
      </c>
      <c r="R170">
        <v>572000</v>
      </c>
      <c r="S170">
        <v>221000</v>
      </c>
      <c r="T170" s="101">
        <f t="shared" si="12"/>
        <v>7774305</v>
      </c>
      <c r="U170" s="101">
        <f t="shared" si="16"/>
        <v>1580305</v>
      </c>
      <c r="V170" s="101">
        <f t="shared" si="13"/>
        <v>1580305</v>
      </c>
      <c r="W170" s="101">
        <v>59738</v>
      </c>
      <c r="X170" s="149">
        <f t="shared" si="17"/>
        <v>2.6453932170477753E-2</v>
      </c>
      <c r="Y170" s="184"/>
      <c r="AE170" s="101"/>
      <c r="AF170" s="101"/>
      <c r="AG170" s="101"/>
    </row>
    <row r="171" spans="1:33" x14ac:dyDescent="0.25">
      <c r="A171" t="s">
        <v>520</v>
      </c>
      <c r="B171" t="s">
        <v>222</v>
      </c>
      <c r="C171">
        <f t="shared" si="14"/>
        <v>3450</v>
      </c>
      <c r="D171">
        <v>2785</v>
      </c>
      <c r="E171">
        <v>665</v>
      </c>
      <c r="F171">
        <v>0</v>
      </c>
      <c r="G171">
        <v>14</v>
      </c>
      <c r="H171">
        <v>51</v>
      </c>
      <c r="I171">
        <v>77</v>
      </c>
      <c r="J171">
        <v>1814</v>
      </c>
      <c r="K171">
        <v>1788</v>
      </c>
      <c r="L171">
        <v>204</v>
      </c>
      <c r="M171">
        <v>85</v>
      </c>
      <c r="N171">
        <v>457</v>
      </c>
      <c r="O171">
        <v>8</v>
      </c>
      <c r="P171">
        <f t="shared" si="15"/>
        <v>2197000</v>
      </c>
      <c r="Q171">
        <v>1902000</v>
      </c>
      <c r="R171">
        <v>295000</v>
      </c>
      <c r="S171">
        <v>292000</v>
      </c>
      <c r="T171" s="101">
        <f t="shared" si="12"/>
        <v>4747260</v>
      </c>
      <c r="U171" s="101">
        <f t="shared" si="16"/>
        <v>1297260</v>
      </c>
      <c r="V171" s="101">
        <f t="shared" si="13"/>
        <v>1297260</v>
      </c>
      <c r="W171" s="101">
        <v>32010</v>
      </c>
      <c r="X171" s="149">
        <f t="shared" si="17"/>
        <v>4.0526710402999065E-2</v>
      </c>
      <c r="Y171" s="184"/>
      <c r="AE171" s="101"/>
      <c r="AF171" s="101"/>
      <c r="AG171" s="101"/>
    </row>
    <row r="172" spans="1:33" x14ac:dyDescent="0.25">
      <c r="A172" t="s">
        <v>515</v>
      </c>
      <c r="B172" t="s">
        <v>150</v>
      </c>
      <c r="C172">
        <f t="shared" si="14"/>
        <v>5140</v>
      </c>
      <c r="D172">
        <v>3630</v>
      </c>
      <c r="E172">
        <v>1510</v>
      </c>
      <c r="F172">
        <v>0</v>
      </c>
      <c r="G172">
        <v>0</v>
      </c>
      <c r="H172">
        <v>425</v>
      </c>
      <c r="I172">
        <v>124</v>
      </c>
      <c r="J172">
        <v>3226</v>
      </c>
      <c r="K172">
        <v>2162</v>
      </c>
      <c r="L172">
        <v>256</v>
      </c>
      <c r="M172">
        <v>1</v>
      </c>
      <c r="N172">
        <v>410</v>
      </c>
      <c r="O172">
        <v>45</v>
      </c>
      <c r="P172">
        <f t="shared" si="15"/>
        <v>2912000</v>
      </c>
      <c r="Q172">
        <v>2522000</v>
      </c>
      <c r="R172">
        <v>390000</v>
      </c>
      <c r="S172">
        <v>240000</v>
      </c>
      <c r="T172" s="101">
        <f t="shared" si="12"/>
        <v>6290310</v>
      </c>
      <c r="U172" s="101">
        <f t="shared" si="16"/>
        <v>1150310</v>
      </c>
      <c r="V172" s="101">
        <f t="shared" si="13"/>
        <v>1150310</v>
      </c>
      <c r="W172" s="101">
        <v>65135</v>
      </c>
      <c r="X172" s="149">
        <f t="shared" si="17"/>
        <v>1.7660397635679743E-2</v>
      </c>
      <c r="Y172" s="184"/>
      <c r="AE172" s="101"/>
      <c r="AF172" s="101"/>
      <c r="AG172" s="101"/>
    </row>
    <row r="173" spans="1:33" x14ac:dyDescent="0.25">
      <c r="A173" t="s">
        <v>514</v>
      </c>
      <c r="B173" t="s">
        <v>187</v>
      </c>
      <c r="C173">
        <f t="shared" si="14"/>
        <v>5475</v>
      </c>
      <c r="D173">
        <v>3234</v>
      </c>
      <c r="E173">
        <v>2241</v>
      </c>
      <c r="F173">
        <v>0</v>
      </c>
      <c r="G173">
        <v>0</v>
      </c>
      <c r="H173">
        <v>233</v>
      </c>
      <c r="I173">
        <v>77</v>
      </c>
      <c r="J173">
        <v>2816</v>
      </c>
      <c r="K173">
        <v>0</v>
      </c>
      <c r="L173">
        <v>227</v>
      </c>
      <c r="M173">
        <v>63</v>
      </c>
      <c r="N173">
        <v>938</v>
      </c>
      <c r="O173">
        <v>155</v>
      </c>
      <c r="P173">
        <f t="shared" si="15"/>
        <v>3508000</v>
      </c>
      <c r="Q173">
        <v>2950000</v>
      </c>
      <c r="R173">
        <v>558000</v>
      </c>
      <c r="S173">
        <v>258000</v>
      </c>
      <c r="T173" s="101">
        <f t="shared" si="12"/>
        <v>7745730</v>
      </c>
      <c r="U173" s="101">
        <f t="shared" si="16"/>
        <v>2270730</v>
      </c>
      <c r="V173" s="101">
        <f t="shared" si="13"/>
        <v>2270730</v>
      </c>
      <c r="W173" s="101">
        <v>59786</v>
      </c>
      <c r="X173" s="149">
        <f t="shared" si="17"/>
        <v>3.7980965443414845E-2</v>
      </c>
      <c r="Y173" s="184"/>
      <c r="AE173" s="101"/>
      <c r="AF173" s="101"/>
      <c r="AG173" s="101"/>
    </row>
    <row r="174" spans="1:33" x14ac:dyDescent="0.25">
      <c r="A174" t="s">
        <v>515</v>
      </c>
      <c r="B174" t="s">
        <v>410</v>
      </c>
      <c r="C174">
        <f t="shared" si="14"/>
        <v>4473</v>
      </c>
      <c r="D174">
        <v>2805</v>
      </c>
      <c r="E174">
        <v>1668</v>
      </c>
      <c r="F174">
        <v>90</v>
      </c>
      <c r="G174">
        <v>0</v>
      </c>
      <c r="H174">
        <v>464</v>
      </c>
      <c r="I174">
        <v>289</v>
      </c>
      <c r="J174">
        <v>2969</v>
      </c>
      <c r="K174">
        <v>2651</v>
      </c>
      <c r="L174">
        <v>237</v>
      </c>
      <c r="M174">
        <v>83</v>
      </c>
      <c r="N174">
        <v>303</v>
      </c>
      <c r="O174">
        <v>79</v>
      </c>
      <c r="P174">
        <f t="shared" si="15"/>
        <v>3277000</v>
      </c>
      <c r="Q174">
        <v>2785000</v>
      </c>
      <c r="R174">
        <v>492000</v>
      </c>
      <c r="S174">
        <v>283000</v>
      </c>
      <c r="T174" s="101">
        <f t="shared" si="12"/>
        <v>7179945</v>
      </c>
      <c r="U174" s="101">
        <f t="shared" si="16"/>
        <v>2706945</v>
      </c>
      <c r="V174" s="101">
        <f t="shared" si="13"/>
        <v>2706945</v>
      </c>
      <c r="W174" s="101">
        <v>59797</v>
      </c>
      <c r="X174" s="149">
        <f t="shared" si="17"/>
        <v>4.5268909811529007E-2</v>
      </c>
      <c r="Y174" s="184"/>
      <c r="AE174" s="101"/>
      <c r="AF174" s="101"/>
      <c r="AG174" s="101"/>
    </row>
    <row r="175" spans="1:33" s="164" customFormat="1" x14ac:dyDescent="0.25">
      <c r="A175" s="164" t="s">
        <v>513</v>
      </c>
      <c r="B175" s="164" t="s">
        <v>774</v>
      </c>
      <c r="C175">
        <f t="shared" si="14"/>
        <v>13569</v>
      </c>
      <c r="D175" s="164">
        <v>6876</v>
      </c>
      <c r="E175" s="164">
        <v>6693</v>
      </c>
      <c r="F175" s="164">
        <v>2395</v>
      </c>
      <c r="G175" s="164">
        <v>0</v>
      </c>
      <c r="H175" s="164">
        <v>391</v>
      </c>
      <c r="I175" s="164">
        <v>197</v>
      </c>
      <c r="J175" s="164">
        <v>5565</v>
      </c>
      <c r="K175" s="164">
        <v>6096</v>
      </c>
      <c r="L175" s="164">
        <v>756</v>
      </c>
      <c r="M175" s="164">
        <v>165</v>
      </c>
      <c r="N175" s="164">
        <v>1819</v>
      </c>
      <c r="O175" s="164">
        <v>585</v>
      </c>
      <c r="P175">
        <f t="shared" si="15"/>
        <v>9087000</v>
      </c>
      <c r="Q175" s="164">
        <v>7505000</v>
      </c>
      <c r="R175" s="164">
        <v>1582000</v>
      </c>
      <c r="S175" s="164">
        <v>247000</v>
      </c>
      <c r="T175" s="187">
        <f t="shared" si="12"/>
        <v>20324445</v>
      </c>
      <c r="U175" s="101">
        <f t="shared" si="16"/>
        <v>6755445</v>
      </c>
      <c r="V175" s="187">
        <f t="shared" si="13"/>
        <v>6755445</v>
      </c>
      <c r="W175" s="187">
        <v>149664</v>
      </c>
      <c r="X175" s="243">
        <f t="shared" si="17"/>
        <v>4.5137407793457346E-2</v>
      </c>
      <c r="Y175" s="219"/>
      <c r="AE175" s="187"/>
      <c r="AF175" s="187"/>
      <c r="AG175" s="187"/>
    </row>
    <row r="176" spans="1:33" x14ac:dyDescent="0.25">
      <c r="A176" t="s">
        <v>515</v>
      </c>
      <c r="B176" t="s">
        <v>305</v>
      </c>
      <c r="C176">
        <f t="shared" si="14"/>
        <v>7174</v>
      </c>
      <c r="D176">
        <v>5072</v>
      </c>
      <c r="E176">
        <v>2102</v>
      </c>
      <c r="F176">
        <v>0</v>
      </c>
      <c r="G176">
        <v>45</v>
      </c>
      <c r="H176">
        <v>51</v>
      </c>
      <c r="I176">
        <v>40</v>
      </c>
      <c r="J176">
        <v>3036</v>
      </c>
      <c r="K176">
        <v>6199</v>
      </c>
      <c r="L176">
        <v>585</v>
      </c>
      <c r="M176">
        <v>583</v>
      </c>
      <c r="N176">
        <v>541</v>
      </c>
      <c r="O176">
        <v>255</v>
      </c>
      <c r="P176">
        <f t="shared" si="15"/>
        <v>4118000</v>
      </c>
      <c r="Q176">
        <v>3667000</v>
      </c>
      <c r="R176">
        <v>451000</v>
      </c>
      <c r="S176">
        <v>274000</v>
      </c>
      <c r="T176" s="101">
        <f t="shared" si="12"/>
        <v>8703945</v>
      </c>
      <c r="U176" s="101">
        <f t="shared" si="16"/>
        <v>1529945</v>
      </c>
      <c r="V176" s="101">
        <f t="shared" si="13"/>
        <v>1529945</v>
      </c>
      <c r="W176" s="101">
        <v>104154</v>
      </c>
      <c r="X176" s="149">
        <f t="shared" si="17"/>
        <v>1.4689258213798798E-2</v>
      </c>
      <c r="Y176" s="184"/>
      <c r="AE176" s="101"/>
      <c r="AF176" s="101"/>
      <c r="AG176" s="101"/>
    </row>
    <row r="177" spans="1:33" x14ac:dyDescent="0.25">
      <c r="A177" t="s">
        <v>518</v>
      </c>
      <c r="B177" t="s">
        <v>411</v>
      </c>
      <c r="C177">
        <f t="shared" si="14"/>
        <v>36146</v>
      </c>
      <c r="D177">
        <v>17224</v>
      </c>
      <c r="E177">
        <v>18922</v>
      </c>
      <c r="F177">
        <v>12559</v>
      </c>
      <c r="G177">
        <v>916</v>
      </c>
      <c r="H177">
        <v>5531</v>
      </c>
      <c r="I177">
        <v>2054</v>
      </c>
      <c r="J177">
        <v>14532</v>
      </c>
      <c r="K177">
        <v>19184</v>
      </c>
      <c r="L177">
        <v>2015</v>
      </c>
      <c r="M177">
        <v>483</v>
      </c>
      <c r="N177">
        <v>5223</v>
      </c>
      <c r="O177">
        <v>1403</v>
      </c>
      <c r="P177">
        <f t="shared" si="15"/>
        <v>18466000</v>
      </c>
      <c r="Q177">
        <v>15018000</v>
      </c>
      <c r="R177">
        <v>3448000</v>
      </c>
      <c r="S177">
        <v>216000</v>
      </c>
      <c r="T177" s="101">
        <f t="shared" si="12"/>
        <v>41746170</v>
      </c>
      <c r="U177" s="101">
        <f t="shared" si="16"/>
        <v>5600170</v>
      </c>
      <c r="V177" s="101">
        <f t="shared" si="13"/>
        <v>5600170</v>
      </c>
      <c r="W177" s="101">
        <v>529732</v>
      </c>
      <c r="X177" s="149">
        <f t="shared" si="17"/>
        <v>1.0571704182492279E-2</v>
      </c>
      <c r="Y177" s="184"/>
      <c r="AE177" s="101"/>
      <c r="AF177" s="101"/>
      <c r="AG177" s="101"/>
    </row>
    <row r="178" spans="1:33" x14ac:dyDescent="0.25">
      <c r="A178" t="s">
        <v>515</v>
      </c>
      <c r="B178" t="s">
        <v>264</v>
      </c>
      <c r="C178">
        <f t="shared" si="14"/>
        <v>8878</v>
      </c>
      <c r="D178">
        <v>5457</v>
      </c>
      <c r="E178">
        <v>3421</v>
      </c>
      <c r="F178">
        <v>0</v>
      </c>
      <c r="G178">
        <v>0</v>
      </c>
      <c r="H178">
        <v>1174</v>
      </c>
      <c r="I178">
        <v>471</v>
      </c>
      <c r="J178">
        <v>4492</v>
      </c>
      <c r="K178">
        <v>6519</v>
      </c>
      <c r="L178">
        <v>540</v>
      </c>
      <c r="M178">
        <v>217</v>
      </c>
      <c r="N178">
        <v>1351</v>
      </c>
      <c r="O178">
        <v>377</v>
      </c>
      <c r="P178">
        <f t="shared" si="15"/>
        <v>6498000</v>
      </c>
      <c r="Q178">
        <v>5431000</v>
      </c>
      <c r="R178">
        <v>1067000</v>
      </c>
      <c r="S178">
        <v>260000</v>
      </c>
      <c r="T178" s="101">
        <f t="shared" si="12"/>
        <v>14411325</v>
      </c>
      <c r="U178" s="101">
        <f t="shared" si="16"/>
        <v>5533325</v>
      </c>
      <c r="V178" s="101">
        <f t="shared" si="13"/>
        <v>5533325</v>
      </c>
      <c r="W178" s="101">
        <v>122555</v>
      </c>
      <c r="X178" s="149">
        <f t="shared" si="17"/>
        <v>4.5149728693239771E-2</v>
      </c>
      <c r="Y178" s="184"/>
      <c r="AE178" s="101"/>
      <c r="AF178" s="101"/>
      <c r="AG178" s="101"/>
    </row>
    <row r="179" spans="1:33" x14ac:dyDescent="0.25">
      <c r="A179" t="s">
        <v>522</v>
      </c>
      <c r="B179" t="s">
        <v>412</v>
      </c>
      <c r="C179">
        <f t="shared" si="14"/>
        <v>5234</v>
      </c>
      <c r="D179">
        <v>4286</v>
      </c>
      <c r="E179">
        <v>948</v>
      </c>
      <c r="F179">
        <v>291</v>
      </c>
      <c r="G179">
        <v>0</v>
      </c>
      <c r="H179">
        <v>115</v>
      </c>
      <c r="I179">
        <v>141</v>
      </c>
      <c r="J179">
        <v>3009</v>
      </c>
      <c r="K179">
        <v>2285</v>
      </c>
      <c r="L179">
        <v>120</v>
      </c>
      <c r="M179">
        <v>148</v>
      </c>
      <c r="N179">
        <v>378</v>
      </c>
      <c r="O179">
        <v>17</v>
      </c>
      <c r="P179">
        <f t="shared" si="15"/>
        <v>2613000</v>
      </c>
      <c r="Q179">
        <v>2423000</v>
      </c>
      <c r="R179">
        <v>190000</v>
      </c>
      <c r="S179">
        <v>207000</v>
      </c>
      <c r="T179" s="101">
        <f t="shared" si="12"/>
        <v>5339715</v>
      </c>
      <c r="U179" s="101">
        <f t="shared" si="16"/>
        <v>105715</v>
      </c>
      <c r="V179" s="101">
        <f t="shared" si="13"/>
        <v>105715</v>
      </c>
      <c r="W179" s="101">
        <v>49840</v>
      </c>
      <c r="X179" s="149">
        <f t="shared" si="17"/>
        <v>2.1210874799357945E-3</v>
      </c>
      <c r="Y179" s="184"/>
      <c r="AE179" s="101"/>
      <c r="AF179" s="101"/>
      <c r="AG179" s="101"/>
    </row>
    <row r="180" spans="1:33" x14ac:dyDescent="0.25">
      <c r="A180" t="s">
        <v>517</v>
      </c>
      <c r="B180" t="s">
        <v>581</v>
      </c>
      <c r="C180">
        <f t="shared" si="14"/>
        <v>20437</v>
      </c>
      <c r="D180">
        <v>11591</v>
      </c>
      <c r="E180">
        <v>8846</v>
      </c>
      <c r="F180">
        <v>47</v>
      </c>
      <c r="G180">
        <v>0</v>
      </c>
      <c r="H180">
        <v>187</v>
      </c>
      <c r="I180">
        <v>300</v>
      </c>
      <c r="J180">
        <v>7128</v>
      </c>
      <c r="K180">
        <v>7967</v>
      </c>
      <c r="L180">
        <v>1058</v>
      </c>
      <c r="M180">
        <v>125</v>
      </c>
      <c r="N180">
        <v>3014</v>
      </c>
      <c r="O180">
        <v>424</v>
      </c>
      <c r="P180">
        <f t="shared" si="15"/>
        <v>12932000</v>
      </c>
      <c r="Q180">
        <v>10447000</v>
      </c>
      <c r="R180">
        <v>2485000</v>
      </c>
      <c r="S180">
        <v>198000</v>
      </c>
      <c r="T180" s="101">
        <f t="shared" si="12"/>
        <v>29369385</v>
      </c>
      <c r="U180" s="101">
        <f t="shared" si="16"/>
        <v>8932385</v>
      </c>
      <c r="V180" s="101">
        <f t="shared" si="13"/>
        <v>8932385</v>
      </c>
      <c r="W180" s="101">
        <v>236098</v>
      </c>
      <c r="X180" s="149">
        <f t="shared" si="17"/>
        <v>3.7833378512312686E-2</v>
      </c>
      <c r="Y180" s="184"/>
      <c r="AE180" s="101"/>
      <c r="AF180" s="101"/>
      <c r="AG180" s="101"/>
    </row>
    <row r="181" spans="1:33" x14ac:dyDescent="0.25">
      <c r="A181" t="s">
        <v>522</v>
      </c>
      <c r="B181" t="s">
        <v>110</v>
      </c>
      <c r="C181">
        <f t="shared" si="14"/>
        <v>9691</v>
      </c>
      <c r="D181">
        <v>4825</v>
      </c>
      <c r="E181">
        <v>4866</v>
      </c>
      <c r="F181">
        <v>1790</v>
      </c>
      <c r="G181">
        <v>64</v>
      </c>
      <c r="H181">
        <v>0</v>
      </c>
      <c r="I181">
        <v>188</v>
      </c>
      <c r="J181">
        <v>2930</v>
      </c>
      <c r="K181">
        <v>3341</v>
      </c>
      <c r="L181">
        <v>349</v>
      </c>
      <c r="M181">
        <v>297</v>
      </c>
      <c r="N181">
        <v>863</v>
      </c>
      <c r="O181">
        <v>411</v>
      </c>
      <c r="P181">
        <f t="shared" si="15"/>
        <v>4394000</v>
      </c>
      <c r="Q181">
        <v>3603000</v>
      </c>
      <c r="R181">
        <v>791000</v>
      </c>
      <c r="S181">
        <v>196000</v>
      </c>
      <c r="T181" s="101">
        <f t="shared" si="12"/>
        <v>9877425</v>
      </c>
      <c r="U181" s="101">
        <f t="shared" si="16"/>
        <v>186425</v>
      </c>
      <c r="V181" s="101">
        <f t="shared" si="13"/>
        <v>186425</v>
      </c>
      <c r="W181" s="101">
        <v>115315</v>
      </c>
      <c r="X181" s="149">
        <f t="shared" si="17"/>
        <v>1.6166587174261805E-3</v>
      </c>
      <c r="Y181" s="184"/>
      <c r="AE181" s="101"/>
      <c r="AF181" s="101"/>
      <c r="AG181" s="101"/>
    </row>
    <row r="182" spans="1:33" x14ac:dyDescent="0.25">
      <c r="A182" t="s">
        <v>514</v>
      </c>
      <c r="B182" t="s">
        <v>725</v>
      </c>
      <c r="C182">
        <f t="shared" si="14"/>
        <v>14126</v>
      </c>
      <c r="D182">
        <v>7430</v>
      </c>
      <c r="E182">
        <v>6696</v>
      </c>
      <c r="F182">
        <v>6169</v>
      </c>
      <c r="G182">
        <v>222</v>
      </c>
      <c r="H182">
        <v>1089</v>
      </c>
      <c r="I182">
        <v>659</v>
      </c>
      <c r="J182">
        <v>5744</v>
      </c>
      <c r="K182">
        <v>6761</v>
      </c>
      <c r="L182">
        <v>514</v>
      </c>
      <c r="M182">
        <v>2004</v>
      </c>
      <c r="N182">
        <v>977</v>
      </c>
      <c r="O182">
        <v>525</v>
      </c>
      <c r="P182">
        <f t="shared" si="15"/>
        <v>6256000</v>
      </c>
      <c r="Q182">
        <v>5186000</v>
      </c>
      <c r="R182">
        <v>1070000</v>
      </c>
      <c r="S182">
        <v>221000</v>
      </c>
      <c r="T182" s="101">
        <f t="shared" si="12"/>
        <v>13956030</v>
      </c>
      <c r="U182" s="101">
        <f t="shared" si="16"/>
        <v>-169970</v>
      </c>
      <c r="V182" s="101">
        <f t="shared" si="13"/>
        <v>0</v>
      </c>
      <c r="W182" s="101">
        <v>179431</v>
      </c>
      <c r="X182" s="149">
        <f t="shared" si="17"/>
        <v>-9.4727221048759695E-4</v>
      </c>
      <c r="Y182" s="184"/>
      <c r="AE182" s="101"/>
      <c r="AF182" s="101"/>
      <c r="AG182" s="101"/>
    </row>
    <row r="183" spans="1:33" x14ac:dyDescent="0.25">
      <c r="A183" t="s">
        <v>522</v>
      </c>
      <c r="B183" t="s">
        <v>306</v>
      </c>
      <c r="C183">
        <f t="shared" si="14"/>
        <v>5761</v>
      </c>
      <c r="D183">
        <v>3786</v>
      </c>
      <c r="E183">
        <v>1975</v>
      </c>
      <c r="F183">
        <v>0</v>
      </c>
      <c r="G183">
        <v>0</v>
      </c>
      <c r="H183">
        <v>0</v>
      </c>
      <c r="I183">
        <v>0</v>
      </c>
      <c r="J183">
        <v>1722</v>
      </c>
      <c r="K183">
        <v>2692</v>
      </c>
      <c r="L183">
        <v>222</v>
      </c>
      <c r="M183">
        <v>63</v>
      </c>
      <c r="N183">
        <v>1009</v>
      </c>
      <c r="O183">
        <v>39</v>
      </c>
      <c r="P183">
        <f t="shared" si="15"/>
        <v>3539000</v>
      </c>
      <c r="Q183">
        <v>3039000</v>
      </c>
      <c r="R183">
        <v>500000</v>
      </c>
      <c r="S183">
        <v>238000</v>
      </c>
      <c r="T183" s="101">
        <f t="shared" si="12"/>
        <v>7694295</v>
      </c>
      <c r="U183" s="101">
        <f t="shared" si="16"/>
        <v>1933295</v>
      </c>
      <c r="V183" s="101">
        <f t="shared" si="13"/>
        <v>1933295</v>
      </c>
      <c r="W183" s="101">
        <v>47801</v>
      </c>
      <c r="X183" s="149">
        <f t="shared" si="17"/>
        <v>4.0444655969540388E-2</v>
      </c>
      <c r="Y183" s="184"/>
      <c r="AE183" s="101"/>
      <c r="AF183" s="101"/>
      <c r="AG183" s="101"/>
    </row>
    <row r="184" spans="1:33" s="164" customFormat="1" x14ac:dyDescent="0.25">
      <c r="A184" s="164" t="s">
        <v>513</v>
      </c>
      <c r="B184" s="164" t="s">
        <v>111</v>
      </c>
      <c r="C184">
        <f t="shared" si="14"/>
        <v>6415</v>
      </c>
      <c r="D184" s="164">
        <v>3717</v>
      </c>
      <c r="E184" s="164">
        <v>2698</v>
      </c>
      <c r="F184" s="164">
        <v>0</v>
      </c>
      <c r="G184" s="164">
        <v>33</v>
      </c>
      <c r="H184" s="164">
        <v>1161</v>
      </c>
      <c r="I184" s="164">
        <v>0</v>
      </c>
      <c r="J184" s="164">
        <v>3961</v>
      </c>
      <c r="K184" s="164">
        <v>2927</v>
      </c>
      <c r="L184" s="164">
        <v>377</v>
      </c>
      <c r="M184" s="164">
        <v>400</v>
      </c>
      <c r="N184" s="164">
        <v>713</v>
      </c>
      <c r="O184" s="164">
        <v>83</v>
      </c>
      <c r="P184">
        <f t="shared" si="15"/>
        <v>4329000</v>
      </c>
      <c r="Q184" s="164">
        <v>3520000</v>
      </c>
      <c r="R184" s="164">
        <v>809000</v>
      </c>
      <c r="S184" s="164">
        <v>260000</v>
      </c>
      <c r="T184" s="187">
        <f t="shared" si="12"/>
        <v>9787890</v>
      </c>
      <c r="U184" s="101">
        <f t="shared" si="16"/>
        <v>3372890</v>
      </c>
      <c r="V184" s="187">
        <f t="shared" si="13"/>
        <v>3372890</v>
      </c>
      <c r="W184" s="187">
        <v>82394</v>
      </c>
      <c r="X184" s="243">
        <f t="shared" si="17"/>
        <v>4.0936111852804817E-2</v>
      </c>
      <c r="Y184" s="219"/>
      <c r="AE184" s="187"/>
      <c r="AF184" s="187"/>
      <c r="AG184" s="187"/>
    </row>
    <row r="185" spans="1:33" x14ac:dyDescent="0.25">
      <c r="A185" t="s">
        <v>512</v>
      </c>
      <c r="B185" t="s">
        <v>595</v>
      </c>
      <c r="C185">
        <f t="shared" si="14"/>
        <v>20649</v>
      </c>
      <c r="D185">
        <v>11741</v>
      </c>
      <c r="E185">
        <v>8908</v>
      </c>
      <c r="F185">
        <v>140</v>
      </c>
      <c r="G185">
        <v>0</v>
      </c>
      <c r="H185">
        <v>300</v>
      </c>
      <c r="I185">
        <v>0</v>
      </c>
      <c r="J185">
        <v>5605</v>
      </c>
      <c r="K185">
        <v>6397</v>
      </c>
      <c r="L185">
        <v>691</v>
      </c>
      <c r="M185">
        <v>210</v>
      </c>
      <c r="N185">
        <v>1366</v>
      </c>
      <c r="O185">
        <v>67</v>
      </c>
      <c r="P185">
        <f t="shared" si="15"/>
        <v>6365000</v>
      </c>
      <c r="Q185">
        <v>5205000</v>
      </c>
      <c r="R185">
        <v>1160000</v>
      </c>
      <c r="S185">
        <v>190000</v>
      </c>
      <c r="T185" s="101">
        <f t="shared" si="12"/>
        <v>14335125</v>
      </c>
      <c r="U185" s="101">
        <f t="shared" si="16"/>
        <v>-6313875</v>
      </c>
      <c r="V185" s="101">
        <f t="shared" si="13"/>
        <v>0</v>
      </c>
      <c r="W185" s="101">
        <v>242669</v>
      </c>
      <c r="X185" s="149">
        <f t="shared" si="17"/>
        <v>-2.6018465481787951E-2</v>
      </c>
      <c r="Y185" s="184"/>
      <c r="AE185" s="101"/>
      <c r="AF185" s="101"/>
      <c r="AG185" s="101"/>
    </row>
    <row r="186" spans="1:33" x14ac:dyDescent="0.25">
      <c r="A186" t="s">
        <v>524</v>
      </c>
      <c r="B186" t="s">
        <v>377</v>
      </c>
      <c r="C186">
        <f t="shared" si="14"/>
        <v>18780</v>
      </c>
      <c r="D186">
        <v>3652</v>
      </c>
      <c r="E186">
        <v>15128</v>
      </c>
      <c r="F186">
        <v>6</v>
      </c>
      <c r="G186">
        <v>0</v>
      </c>
      <c r="H186">
        <v>192</v>
      </c>
      <c r="I186">
        <v>64</v>
      </c>
      <c r="J186">
        <v>5774</v>
      </c>
      <c r="K186">
        <v>5141</v>
      </c>
      <c r="L186">
        <v>398</v>
      </c>
      <c r="M186">
        <v>143</v>
      </c>
      <c r="N186">
        <v>1600</v>
      </c>
      <c r="O186">
        <v>218</v>
      </c>
      <c r="P186">
        <f t="shared" si="15"/>
        <v>6880000</v>
      </c>
      <c r="Q186">
        <v>4234000</v>
      </c>
      <c r="R186">
        <v>2646000</v>
      </c>
      <c r="S186">
        <v>181000</v>
      </c>
      <c r="T186" s="101">
        <f t="shared" si="12"/>
        <v>18147030</v>
      </c>
      <c r="U186" s="101">
        <f t="shared" si="16"/>
        <v>-632970</v>
      </c>
      <c r="V186" s="101">
        <f t="shared" si="13"/>
        <v>0</v>
      </c>
      <c r="W186" s="101">
        <v>108476</v>
      </c>
      <c r="X186" s="149">
        <f t="shared" si="17"/>
        <v>-5.835115601607729E-3</v>
      </c>
      <c r="Y186" s="184"/>
      <c r="AE186" s="101"/>
      <c r="AF186" s="101"/>
      <c r="AG186" s="101"/>
    </row>
    <row r="187" spans="1:33" x14ac:dyDescent="0.25">
      <c r="A187" t="s">
        <v>512</v>
      </c>
      <c r="B187" t="s">
        <v>596</v>
      </c>
      <c r="C187">
        <f t="shared" si="14"/>
        <v>8280</v>
      </c>
      <c r="D187">
        <v>5347</v>
      </c>
      <c r="E187">
        <v>2933</v>
      </c>
      <c r="F187">
        <v>0</v>
      </c>
      <c r="G187">
        <v>0</v>
      </c>
      <c r="H187">
        <v>100</v>
      </c>
      <c r="I187">
        <v>1</v>
      </c>
      <c r="J187">
        <v>4049</v>
      </c>
      <c r="K187">
        <v>5436</v>
      </c>
      <c r="L187">
        <v>444</v>
      </c>
      <c r="M187">
        <v>332</v>
      </c>
      <c r="N187">
        <v>2196</v>
      </c>
      <c r="O187">
        <v>214</v>
      </c>
      <c r="P187">
        <f t="shared" si="15"/>
        <v>6245000</v>
      </c>
      <c r="Q187">
        <v>5291000</v>
      </c>
      <c r="R187">
        <v>954000</v>
      </c>
      <c r="S187">
        <v>304000</v>
      </c>
      <c r="T187" s="101">
        <f t="shared" si="12"/>
        <v>13714095</v>
      </c>
      <c r="U187" s="101">
        <f t="shared" si="16"/>
        <v>5434095</v>
      </c>
      <c r="V187" s="101">
        <f t="shared" si="13"/>
        <v>5434095</v>
      </c>
      <c r="W187" s="101">
        <v>105714</v>
      </c>
      <c r="X187" s="149">
        <f t="shared" si="17"/>
        <v>5.1403740280379133E-2</v>
      </c>
      <c r="Y187" s="184"/>
      <c r="AE187" s="101"/>
      <c r="AF187" s="101"/>
      <c r="AG187" s="101"/>
    </row>
    <row r="188" spans="1:33" x14ac:dyDescent="0.25">
      <c r="A188" t="s">
        <v>517</v>
      </c>
      <c r="B188" t="s">
        <v>188</v>
      </c>
      <c r="C188">
        <f t="shared" si="14"/>
        <v>7675</v>
      </c>
      <c r="D188">
        <v>5149</v>
      </c>
      <c r="E188">
        <v>2526</v>
      </c>
      <c r="F188">
        <v>0</v>
      </c>
      <c r="G188">
        <v>0</v>
      </c>
      <c r="H188">
        <v>410</v>
      </c>
      <c r="I188">
        <v>317</v>
      </c>
      <c r="J188">
        <v>4496</v>
      </c>
      <c r="K188">
        <v>3409</v>
      </c>
      <c r="L188">
        <v>499</v>
      </c>
      <c r="M188">
        <v>112</v>
      </c>
      <c r="N188">
        <v>1182</v>
      </c>
      <c r="O188">
        <v>73</v>
      </c>
      <c r="P188">
        <f t="shared" si="15"/>
        <v>4270000</v>
      </c>
      <c r="Q188">
        <v>3679000</v>
      </c>
      <c r="R188">
        <v>591000</v>
      </c>
      <c r="S188">
        <v>201000</v>
      </c>
      <c r="T188" s="101">
        <f t="shared" si="12"/>
        <v>9260205</v>
      </c>
      <c r="U188" s="101">
        <f t="shared" si="16"/>
        <v>1585205</v>
      </c>
      <c r="V188" s="101">
        <f t="shared" si="13"/>
        <v>1585205</v>
      </c>
      <c r="W188" s="101">
        <v>91821</v>
      </c>
      <c r="X188" s="149">
        <f t="shared" si="17"/>
        <v>1.7264079023317107E-2</v>
      </c>
      <c r="Y188" s="184"/>
      <c r="AE188" s="101"/>
      <c r="AF188" s="101"/>
      <c r="AG188" s="101"/>
    </row>
    <row r="189" spans="1:33" x14ac:dyDescent="0.25">
      <c r="A189" t="s">
        <v>521</v>
      </c>
      <c r="B189" t="s">
        <v>436</v>
      </c>
      <c r="C189">
        <f t="shared" si="14"/>
        <v>4056</v>
      </c>
      <c r="D189">
        <v>2535</v>
      </c>
      <c r="E189">
        <v>1521</v>
      </c>
      <c r="F189">
        <v>0</v>
      </c>
      <c r="G189">
        <v>0</v>
      </c>
      <c r="H189">
        <v>0</v>
      </c>
      <c r="I189">
        <v>0</v>
      </c>
      <c r="J189">
        <v>1576</v>
      </c>
      <c r="K189">
        <v>2016</v>
      </c>
      <c r="L189">
        <v>249</v>
      </c>
      <c r="M189">
        <v>87</v>
      </c>
      <c r="N189">
        <v>388</v>
      </c>
      <c r="O189">
        <v>27</v>
      </c>
      <c r="P189">
        <f t="shared" si="15"/>
        <v>2130000</v>
      </c>
      <c r="Q189">
        <v>1856000</v>
      </c>
      <c r="R189">
        <v>274000</v>
      </c>
      <c r="S189">
        <v>153000</v>
      </c>
      <c r="T189" s="101">
        <f t="shared" ref="T189:T252" si="18">0.1905*SUM(Q189,R189,R189)*10</f>
        <v>4579620</v>
      </c>
      <c r="U189" s="101">
        <f t="shared" si="16"/>
        <v>523620</v>
      </c>
      <c r="V189" s="101">
        <f t="shared" ref="V189:V252" si="19">IF(U189&gt;0,U189,0)</f>
        <v>523620</v>
      </c>
      <c r="W189" s="101">
        <v>29748</v>
      </c>
      <c r="X189" s="149">
        <f t="shared" si="17"/>
        <v>1.7601855586930212E-2</v>
      </c>
      <c r="Y189" s="184"/>
      <c r="AE189" s="101"/>
      <c r="AF189" s="101"/>
      <c r="AG189" s="101"/>
    </row>
    <row r="190" spans="1:33" x14ac:dyDescent="0.25">
      <c r="A190" t="s">
        <v>522</v>
      </c>
      <c r="B190" t="s">
        <v>413</v>
      </c>
      <c r="C190">
        <f t="shared" si="14"/>
        <v>2127</v>
      </c>
      <c r="D190">
        <v>1677</v>
      </c>
      <c r="E190">
        <v>450</v>
      </c>
      <c r="F190">
        <v>0</v>
      </c>
      <c r="G190">
        <v>0</v>
      </c>
      <c r="H190">
        <v>79</v>
      </c>
      <c r="I190">
        <v>91</v>
      </c>
      <c r="J190">
        <v>518</v>
      </c>
      <c r="K190">
        <v>806</v>
      </c>
      <c r="L190">
        <v>90</v>
      </c>
      <c r="M190">
        <v>0</v>
      </c>
      <c r="N190">
        <v>102</v>
      </c>
      <c r="O190">
        <v>29</v>
      </c>
      <c r="P190">
        <f t="shared" si="15"/>
        <v>1269000</v>
      </c>
      <c r="Q190">
        <v>1182000</v>
      </c>
      <c r="R190">
        <v>87000</v>
      </c>
      <c r="S190">
        <v>249000</v>
      </c>
      <c r="T190" s="101">
        <f t="shared" si="18"/>
        <v>2583180</v>
      </c>
      <c r="U190" s="101">
        <f t="shared" si="16"/>
        <v>456180</v>
      </c>
      <c r="V190" s="101">
        <f t="shared" si="19"/>
        <v>456180</v>
      </c>
      <c r="W190" s="101">
        <v>17653</v>
      </c>
      <c r="X190" s="149">
        <f t="shared" si="17"/>
        <v>2.5841500028323798E-2</v>
      </c>
      <c r="Y190" s="184"/>
      <c r="AE190" s="101"/>
      <c r="AF190" s="101"/>
      <c r="AG190" s="101"/>
    </row>
    <row r="191" spans="1:33" x14ac:dyDescent="0.25">
      <c r="A191" t="s">
        <v>513</v>
      </c>
      <c r="B191" t="s">
        <v>189</v>
      </c>
      <c r="C191">
        <f t="shared" si="14"/>
        <v>5151</v>
      </c>
      <c r="D191">
        <v>3556</v>
      </c>
      <c r="E191">
        <v>1595</v>
      </c>
      <c r="F191">
        <v>0</v>
      </c>
      <c r="G191">
        <v>0</v>
      </c>
      <c r="H191">
        <v>53</v>
      </c>
      <c r="I191">
        <v>149</v>
      </c>
      <c r="J191">
        <v>2299</v>
      </c>
      <c r="K191">
        <v>0</v>
      </c>
      <c r="L191">
        <v>336</v>
      </c>
      <c r="M191">
        <v>278</v>
      </c>
      <c r="N191">
        <v>1393</v>
      </c>
      <c r="O191">
        <v>418</v>
      </c>
      <c r="P191">
        <f t="shared" si="15"/>
        <v>2964000</v>
      </c>
      <c r="Q191">
        <v>2506000</v>
      </c>
      <c r="R191">
        <v>458000</v>
      </c>
      <c r="S191">
        <v>219000</v>
      </c>
      <c r="T191" s="101">
        <f t="shared" si="18"/>
        <v>6518910</v>
      </c>
      <c r="U191" s="101">
        <f t="shared" si="16"/>
        <v>1367910</v>
      </c>
      <c r="V191" s="101">
        <f t="shared" si="19"/>
        <v>1367910</v>
      </c>
      <c r="W191" s="101">
        <v>59441</v>
      </c>
      <c r="X191" s="149">
        <f t="shared" si="17"/>
        <v>2.3012903551420737E-2</v>
      </c>
      <c r="Y191" s="184"/>
      <c r="AE191" s="101"/>
      <c r="AF191" s="101"/>
      <c r="AG191" s="101"/>
    </row>
    <row r="192" spans="1:33" x14ac:dyDescent="0.25">
      <c r="A192" t="s">
        <v>517</v>
      </c>
      <c r="B192" t="s">
        <v>414</v>
      </c>
      <c r="C192">
        <f t="shared" si="14"/>
        <v>4619</v>
      </c>
      <c r="D192">
        <v>2727</v>
      </c>
      <c r="E192">
        <v>1892</v>
      </c>
      <c r="F192">
        <v>0</v>
      </c>
      <c r="G192">
        <v>0</v>
      </c>
      <c r="H192">
        <v>19</v>
      </c>
      <c r="I192">
        <v>55</v>
      </c>
      <c r="J192">
        <v>2340</v>
      </c>
      <c r="K192">
        <v>1598</v>
      </c>
      <c r="L192">
        <v>96</v>
      </c>
      <c r="M192">
        <v>20</v>
      </c>
      <c r="N192">
        <v>519</v>
      </c>
      <c r="O192">
        <v>22</v>
      </c>
      <c r="P192">
        <f t="shared" si="15"/>
        <v>2560000</v>
      </c>
      <c r="Q192">
        <v>2149000</v>
      </c>
      <c r="R192">
        <v>411000</v>
      </c>
      <c r="S192">
        <v>267500</v>
      </c>
      <c r="T192" s="101">
        <f t="shared" si="18"/>
        <v>5659755</v>
      </c>
      <c r="U192" s="101">
        <f t="shared" si="16"/>
        <v>1040755</v>
      </c>
      <c r="V192" s="101">
        <f t="shared" si="19"/>
        <v>1040755</v>
      </c>
      <c r="W192" s="101">
        <v>46271</v>
      </c>
      <c r="X192" s="149">
        <f t="shared" si="17"/>
        <v>2.2492597955522897E-2</v>
      </c>
      <c r="Y192" s="184"/>
      <c r="AE192" s="101"/>
    </row>
    <row r="193" spans="1:33" x14ac:dyDescent="0.25">
      <c r="A193" t="s">
        <v>515</v>
      </c>
      <c r="B193" t="s">
        <v>223</v>
      </c>
      <c r="C193">
        <f t="shared" ref="C193:C256" si="20">SUM(D193:E193)</f>
        <v>18073</v>
      </c>
      <c r="D193">
        <v>7280</v>
      </c>
      <c r="E193">
        <v>10793</v>
      </c>
      <c r="F193">
        <v>5566</v>
      </c>
      <c r="G193">
        <v>137</v>
      </c>
      <c r="H193">
        <v>56</v>
      </c>
      <c r="I193">
        <v>10</v>
      </c>
      <c r="J193">
        <v>5216</v>
      </c>
      <c r="K193">
        <v>8772</v>
      </c>
      <c r="L193">
        <v>980</v>
      </c>
      <c r="M193">
        <v>432</v>
      </c>
      <c r="N193">
        <v>2287</v>
      </c>
      <c r="O193">
        <v>214</v>
      </c>
      <c r="P193">
        <f t="shared" ref="P193:P256" si="21">SUM(Q193:R193)</f>
        <v>9841000</v>
      </c>
      <c r="Q193">
        <v>7892000</v>
      </c>
      <c r="R193">
        <v>1949000</v>
      </c>
      <c r="S193">
        <v>202000</v>
      </c>
      <c r="T193" s="101">
        <f t="shared" si="18"/>
        <v>22459950</v>
      </c>
      <c r="U193" s="101">
        <f t="shared" ref="U193:U256" si="22">SUM(T193,-C193*1000)</f>
        <v>4386950</v>
      </c>
      <c r="V193" s="101">
        <f t="shared" si="19"/>
        <v>4386950</v>
      </c>
      <c r="W193" s="101">
        <v>229749</v>
      </c>
      <c r="X193" s="149">
        <f t="shared" ref="X193:X256" si="23">U193/(W193*1000)</f>
        <v>1.909453359971099E-2</v>
      </c>
      <c r="Y193" s="184"/>
      <c r="AE193" s="101"/>
      <c r="AF193" s="101"/>
      <c r="AG193" s="101"/>
    </row>
    <row r="194" spans="1:33" x14ac:dyDescent="0.25">
      <c r="A194" t="s">
        <v>520</v>
      </c>
      <c r="B194" t="s">
        <v>307</v>
      </c>
      <c r="C194">
        <f t="shared" si="20"/>
        <v>8363</v>
      </c>
      <c r="D194">
        <v>5148</v>
      </c>
      <c r="E194">
        <v>3215</v>
      </c>
      <c r="F194">
        <v>0</v>
      </c>
      <c r="G194">
        <v>0</v>
      </c>
      <c r="H194">
        <v>0</v>
      </c>
      <c r="I194">
        <v>186</v>
      </c>
      <c r="J194">
        <v>2766</v>
      </c>
      <c r="K194">
        <v>3901</v>
      </c>
      <c r="L194">
        <v>230</v>
      </c>
      <c r="M194">
        <v>171</v>
      </c>
      <c r="N194">
        <v>1326</v>
      </c>
      <c r="O194">
        <v>433</v>
      </c>
      <c r="P194">
        <f t="shared" si="21"/>
        <v>4631000</v>
      </c>
      <c r="Q194">
        <v>4046000</v>
      </c>
      <c r="R194">
        <v>585000</v>
      </c>
      <c r="S194">
        <v>272000</v>
      </c>
      <c r="T194" s="101">
        <f t="shared" si="18"/>
        <v>9936480</v>
      </c>
      <c r="U194" s="101">
        <f t="shared" si="22"/>
        <v>1573480</v>
      </c>
      <c r="V194" s="101">
        <f t="shared" si="19"/>
        <v>1573480</v>
      </c>
      <c r="W194" s="101">
        <v>75030</v>
      </c>
      <c r="X194" s="149">
        <f t="shared" si="23"/>
        <v>2.0971344795415167E-2</v>
      </c>
      <c r="Y194" s="184"/>
      <c r="AE194" s="101"/>
      <c r="AF194" s="101"/>
      <c r="AG194" s="101"/>
    </row>
    <row r="195" spans="1:33" x14ac:dyDescent="0.25">
      <c r="A195" t="s">
        <v>522</v>
      </c>
      <c r="B195" t="s">
        <v>190</v>
      </c>
      <c r="C195">
        <f t="shared" si="20"/>
        <v>10208</v>
      </c>
      <c r="D195">
        <v>5952</v>
      </c>
      <c r="E195">
        <v>4256</v>
      </c>
      <c r="F195">
        <v>455</v>
      </c>
      <c r="G195">
        <v>0</v>
      </c>
      <c r="H195">
        <v>267</v>
      </c>
      <c r="I195">
        <v>210</v>
      </c>
      <c r="J195">
        <v>2204</v>
      </c>
      <c r="K195">
        <v>3207</v>
      </c>
      <c r="L195">
        <v>486</v>
      </c>
      <c r="M195">
        <v>594</v>
      </c>
      <c r="N195">
        <v>1447</v>
      </c>
      <c r="O195">
        <v>335</v>
      </c>
      <c r="P195">
        <f t="shared" si="21"/>
        <v>7352000</v>
      </c>
      <c r="Q195">
        <v>6201000</v>
      </c>
      <c r="R195">
        <v>1151000</v>
      </c>
      <c r="S195">
        <v>277000</v>
      </c>
      <c r="T195" s="101">
        <f t="shared" si="18"/>
        <v>16198215</v>
      </c>
      <c r="U195" s="101">
        <f t="shared" si="22"/>
        <v>5990215</v>
      </c>
      <c r="V195" s="101">
        <f t="shared" si="19"/>
        <v>5990215</v>
      </c>
      <c r="W195" s="101">
        <v>102386</v>
      </c>
      <c r="X195" s="149">
        <f t="shared" si="23"/>
        <v>5.8506192252847068E-2</v>
      </c>
      <c r="Y195" s="184"/>
      <c r="AE195" s="101"/>
      <c r="AF195" s="101"/>
      <c r="AG195" s="101"/>
    </row>
    <row r="196" spans="1:33" x14ac:dyDescent="0.25">
      <c r="A196" t="s">
        <v>515</v>
      </c>
      <c r="B196" t="s">
        <v>191</v>
      </c>
      <c r="C196">
        <f t="shared" si="20"/>
        <v>91822</v>
      </c>
      <c r="D196">
        <v>49570</v>
      </c>
      <c r="E196">
        <v>42252</v>
      </c>
      <c r="F196">
        <v>18378</v>
      </c>
      <c r="G196">
        <v>538</v>
      </c>
      <c r="H196">
        <v>824</v>
      </c>
      <c r="I196">
        <v>1375</v>
      </c>
      <c r="J196">
        <v>16240</v>
      </c>
      <c r="K196">
        <v>3699</v>
      </c>
      <c r="L196">
        <v>2121</v>
      </c>
      <c r="M196">
        <v>0</v>
      </c>
      <c r="N196">
        <v>6081</v>
      </c>
      <c r="O196">
        <v>2145</v>
      </c>
      <c r="P196">
        <f t="shared" si="21"/>
        <v>27058000</v>
      </c>
      <c r="Q196">
        <v>22539000</v>
      </c>
      <c r="R196">
        <v>4519000</v>
      </c>
      <c r="S196">
        <v>232000</v>
      </c>
      <c r="T196" s="101">
        <f t="shared" si="18"/>
        <v>60154185</v>
      </c>
      <c r="U196" s="101">
        <f t="shared" si="22"/>
        <v>-31667815</v>
      </c>
      <c r="V196" s="101">
        <f t="shared" si="19"/>
        <v>0</v>
      </c>
      <c r="W196" s="101">
        <v>811173</v>
      </c>
      <c r="X196" s="149">
        <f t="shared" si="23"/>
        <v>-3.9039532873998521E-2</v>
      </c>
      <c r="Y196" s="184"/>
      <c r="AE196" s="101"/>
      <c r="AF196" s="101"/>
      <c r="AG196" s="101"/>
    </row>
    <row r="197" spans="1:33" x14ac:dyDescent="0.25">
      <c r="A197" t="s">
        <v>522</v>
      </c>
      <c r="B197" t="s">
        <v>475</v>
      </c>
      <c r="C197">
        <f t="shared" si="20"/>
        <v>17285</v>
      </c>
      <c r="D197">
        <v>10790</v>
      </c>
      <c r="E197">
        <v>6495</v>
      </c>
      <c r="F197">
        <v>3113</v>
      </c>
      <c r="G197">
        <v>42</v>
      </c>
      <c r="H197">
        <v>150</v>
      </c>
      <c r="I197">
        <v>1246</v>
      </c>
      <c r="J197">
        <v>6181</v>
      </c>
      <c r="K197">
        <v>13431</v>
      </c>
      <c r="L197">
        <v>890</v>
      </c>
      <c r="M197">
        <v>456</v>
      </c>
      <c r="N197">
        <v>527</v>
      </c>
      <c r="O197">
        <v>172</v>
      </c>
      <c r="P197">
        <f t="shared" si="21"/>
        <v>9748000</v>
      </c>
      <c r="Q197">
        <v>8552000</v>
      </c>
      <c r="R197">
        <v>1196000</v>
      </c>
      <c r="S197">
        <v>247000</v>
      </c>
      <c r="T197" s="101">
        <f t="shared" si="18"/>
        <v>20848320</v>
      </c>
      <c r="U197" s="101">
        <f t="shared" si="22"/>
        <v>3563320</v>
      </c>
      <c r="V197" s="101">
        <f t="shared" si="19"/>
        <v>3563320</v>
      </c>
      <c r="W197" s="101">
        <v>310996</v>
      </c>
      <c r="X197" s="149">
        <f t="shared" si="23"/>
        <v>1.1457767945568431E-2</v>
      </c>
      <c r="Y197" s="184"/>
      <c r="AE197" s="101"/>
      <c r="AF197" s="101"/>
      <c r="AG197" s="101"/>
    </row>
    <row r="198" spans="1:33" x14ac:dyDescent="0.25">
      <c r="A198" t="s">
        <v>520</v>
      </c>
      <c r="B198" t="s">
        <v>597</v>
      </c>
      <c r="C198">
        <f t="shared" si="20"/>
        <v>9709</v>
      </c>
      <c r="D198">
        <v>6220</v>
      </c>
      <c r="E198">
        <v>3489</v>
      </c>
      <c r="F198">
        <v>388</v>
      </c>
      <c r="G198">
        <v>0</v>
      </c>
      <c r="H198">
        <v>560</v>
      </c>
      <c r="I198">
        <v>255</v>
      </c>
      <c r="J198">
        <v>5022</v>
      </c>
      <c r="K198">
        <v>5354</v>
      </c>
      <c r="L198">
        <v>449</v>
      </c>
      <c r="M198">
        <v>327</v>
      </c>
      <c r="N198">
        <v>1366</v>
      </c>
      <c r="O198">
        <v>245</v>
      </c>
      <c r="P198">
        <f t="shared" si="21"/>
        <v>4725000</v>
      </c>
      <c r="Q198">
        <v>3811000</v>
      </c>
      <c r="R198">
        <v>914000</v>
      </c>
      <c r="S198">
        <v>214000</v>
      </c>
      <c r="T198" s="101">
        <f t="shared" si="18"/>
        <v>10742295</v>
      </c>
      <c r="U198" s="101">
        <f t="shared" si="22"/>
        <v>1033295</v>
      </c>
      <c r="V198" s="101">
        <f t="shared" si="19"/>
        <v>1033295</v>
      </c>
      <c r="W198" s="101">
        <v>160636</v>
      </c>
      <c r="X198" s="149">
        <f t="shared" si="23"/>
        <v>6.432524465250629E-3</v>
      </c>
      <c r="Y198" s="184"/>
      <c r="AE198" s="101"/>
      <c r="AF198" s="101"/>
      <c r="AG198" s="101"/>
    </row>
    <row r="199" spans="1:33" x14ac:dyDescent="0.25">
      <c r="A199" t="s">
        <v>520</v>
      </c>
      <c r="B199" t="s">
        <v>333</v>
      </c>
      <c r="C199">
        <f t="shared" si="20"/>
        <v>2399</v>
      </c>
      <c r="D199">
        <v>1729</v>
      </c>
      <c r="E199">
        <v>670</v>
      </c>
      <c r="F199">
        <v>717</v>
      </c>
      <c r="G199">
        <v>5</v>
      </c>
      <c r="H199">
        <v>1937</v>
      </c>
      <c r="I199">
        <v>972</v>
      </c>
      <c r="J199">
        <v>1070</v>
      </c>
      <c r="K199">
        <v>1286</v>
      </c>
      <c r="L199">
        <v>120</v>
      </c>
      <c r="M199">
        <v>68</v>
      </c>
      <c r="N199">
        <v>200</v>
      </c>
      <c r="O199">
        <v>247</v>
      </c>
      <c r="P199">
        <f t="shared" si="21"/>
        <v>1734000</v>
      </c>
      <c r="Q199">
        <v>1456000</v>
      </c>
      <c r="R199">
        <v>278000</v>
      </c>
      <c r="S199">
        <v>282000</v>
      </c>
      <c r="T199" s="101">
        <f t="shared" si="18"/>
        <v>3832860</v>
      </c>
      <c r="U199" s="101">
        <f t="shared" si="22"/>
        <v>1433860</v>
      </c>
      <c r="V199" s="101">
        <f t="shared" si="19"/>
        <v>1433860</v>
      </c>
      <c r="W199" s="101">
        <v>27944</v>
      </c>
      <c r="X199" s="149">
        <f t="shared" si="23"/>
        <v>5.1311909533352421E-2</v>
      </c>
      <c r="Y199" s="184"/>
      <c r="AE199" s="101"/>
      <c r="AF199" s="101"/>
      <c r="AG199" s="101"/>
    </row>
    <row r="200" spans="1:33" x14ac:dyDescent="0.25">
      <c r="A200" t="s">
        <v>515</v>
      </c>
      <c r="B200" t="s">
        <v>112</v>
      </c>
      <c r="C200">
        <f t="shared" si="20"/>
        <v>6361</v>
      </c>
      <c r="D200">
        <v>4365</v>
      </c>
      <c r="E200">
        <v>1996</v>
      </c>
      <c r="F200">
        <v>0</v>
      </c>
      <c r="G200">
        <v>0</v>
      </c>
      <c r="H200">
        <v>289</v>
      </c>
      <c r="I200">
        <v>495</v>
      </c>
      <c r="J200">
        <v>4018</v>
      </c>
      <c r="K200">
        <v>2988</v>
      </c>
      <c r="L200">
        <v>287</v>
      </c>
      <c r="M200">
        <v>168</v>
      </c>
      <c r="N200">
        <v>530</v>
      </c>
      <c r="O200">
        <v>50</v>
      </c>
      <c r="P200">
        <f t="shared" si="21"/>
        <v>4727000</v>
      </c>
      <c r="Q200">
        <v>3923000</v>
      </c>
      <c r="R200">
        <v>804000</v>
      </c>
      <c r="S200">
        <v>285000</v>
      </c>
      <c r="T200" s="101">
        <f t="shared" si="18"/>
        <v>10536555</v>
      </c>
      <c r="U200" s="101">
        <f t="shared" si="22"/>
        <v>4175555</v>
      </c>
      <c r="V200" s="101">
        <f t="shared" si="19"/>
        <v>4175555</v>
      </c>
      <c r="W200" s="101">
        <v>101474</v>
      </c>
      <c r="X200" s="149">
        <f t="shared" si="23"/>
        <v>4.1149013540414295E-2</v>
      </c>
      <c r="Y200" s="184"/>
      <c r="AE200" s="101"/>
      <c r="AF200" s="101"/>
      <c r="AG200" s="101"/>
    </row>
    <row r="201" spans="1:33" x14ac:dyDescent="0.25">
      <c r="A201" t="s">
        <v>515</v>
      </c>
      <c r="B201" t="s">
        <v>430</v>
      </c>
      <c r="C201">
        <f t="shared" si="20"/>
        <v>12391</v>
      </c>
      <c r="D201">
        <v>6049</v>
      </c>
      <c r="E201">
        <v>6342</v>
      </c>
      <c r="F201">
        <v>0</v>
      </c>
      <c r="G201">
        <v>0</v>
      </c>
      <c r="H201">
        <v>406</v>
      </c>
      <c r="I201">
        <v>80</v>
      </c>
      <c r="J201">
        <v>3278</v>
      </c>
      <c r="K201">
        <v>5764</v>
      </c>
      <c r="L201">
        <v>473</v>
      </c>
      <c r="M201">
        <v>510</v>
      </c>
      <c r="N201">
        <v>1056</v>
      </c>
      <c r="O201">
        <v>221</v>
      </c>
      <c r="P201">
        <f t="shared" si="21"/>
        <v>6049000</v>
      </c>
      <c r="Q201">
        <v>4213000</v>
      </c>
      <c r="R201">
        <v>1836000</v>
      </c>
      <c r="S201">
        <v>205000</v>
      </c>
      <c r="T201" s="101">
        <f t="shared" si="18"/>
        <v>15020925</v>
      </c>
      <c r="U201" s="101">
        <f t="shared" si="22"/>
        <v>2629925</v>
      </c>
      <c r="V201" s="101">
        <f t="shared" si="19"/>
        <v>2629925</v>
      </c>
      <c r="W201" s="101">
        <v>143634</v>
      </c>
      <c r="X201" s="149">
        <f t="shared" si="23"/>
        <v>1.8309905732625979E-2</v>
      </c>
      <c r="Y201" s="184"/>
      <c r="AE201" s="101"/>
      <c r="AF201" s="101"/>
      <c r="AG201" s="101"/>
    </row>
    <row r="202" spans="1:33" x14ac:dyDescent="0.25">
      <c r="A202" t="s">
        <v>517</v>
      </c>
      <c r="B202" t="s">
        <v>308</v>
      </c>
      <c r="C202">
        <f t="shared" si="20"/>
        <v>13501</v>
      </c>
      <c r="D202">
        <v>9484</v>
      </c>
      <c r="E202">
        <v>4017</v>
      </c>
      <c r="F202">
        <v>4434</v>
      </c>
      <c r="G202">
        <v>208</v>
      </c>
      <c r="H202">
        <v>3326</v>
      </c>
      <c r="I202">
        <v>1611</v>
      </c>
      <c r="J202">
        <v>4693</v>
      </c>
      <c r="K202">
        <v>6765</v>
      </c>
      <c r="L202">
        <v>516</v>
      </c>
      <c r="M202">
        <v>203</v>
      </c>
      <c r="N202">
        <v>2584</v>
      </c>
      <c r="O202">
        <v>392</v>
      </c>
      <c r="P202">
        <f t="shared" si="21"/>
        <v>9546000</v>
      </c>
      <c r="Q202">
        <v>8264000</v>
      </c>
      <c r="R202">
        <v>1282000</v>
      </c>
      <c r="S202">
        <v>173000</v>
      </c>
      <c r="T202" s="101">
        <f t="shared" si="18"/>
        <v>20627340</v>
      </c>
      <c r="U202" s="101">
        <f t="shared" si="22"/>
        <v>7126340</v>
      </c>
      <c r="V202" s="101">
        <f t="shared" si="19"/>
        <v>7126340</v>
      </c>
      <c r="W202" s="101">
        <v>139670</v>
      </c>
      <c r="X202" s="149">
        <f t="shared" si="23"/>
        <v>5.102269635569557E-2</v>
      </c>
      <c r="Y202" s="184"/>
      <c r="AE202" s="101"/>
      <c r="AF202" s="101"/>
      <c r="AG202" s="101"/>
    </row>
    <row r="203" spans="1:33" x14ac:dyDescent="0.25">
      <c r="A203" t="s">
        <v>516</v>
      </c>
      <c r="B203" t="s">
        <v>433</v>
      </c>
      <c r="C203">
        <f t="shared" si="20"/>
        <v>6390</v>
      </c>
      <c r="D203">
        <v>5014</v>
      </c>
      <c r="E203">
        <v>1376</v>
      </c>
      <c r="F203">
        <v>0</v>
      </c>
      <c r="G203">
        <v>0</v>
      </c>
      <c r="H203">
        <v>24</v>
      </c>
      <c r="I203">
        <v>75</v>
      </c>
      <c r="J203">
        <v>2000</v>
      </c>
      <c r="K203">
        <v>2584</v>
      </c>
      <c r="L203">
        <v>340</v>
      </c>
      <c r="M203">
        <v>93</v>
      </c>
      <c r="N203">
        <v>784</v>
      </c>
      <c r="O203">
        <v>46</v>
      </c>
      <c r="P203">
        <f t="shared" si="21"/>
        <v>4168000</v>
      </c>
      <c r="Q203">
        <v>3816000</v>
      </c>
      <c r="R203">
        <v>352000</v>
      </c>
      <c r="S203" s="102">
        <v>158333.33333333334</v>
      </c>
      <c r="T203" s="101">
        <f t="shared" si="18"/>
        <v>8610600</v>
      </c>
      <c r="U203" s="101">
        <f t="shared" si="22"/>
        <v>2220600</v>
      </c>
      <c r="V203" s="101">
        <f t="shared" si="19"/>
        <v>2220600</v>
      </c>
      <c r="W203" s="101">
        <v>55260</v>
      </c>
      <c r="X203" s="149">
        <f t="shared" si="23"/>
        <v>4.0184581976112924E-2</v>
      </c>
      <c r="Y203" s="184"/>
      <c r="AE203" s="101"/>
      <c r="AF203" s="101"/>
      <c r="AG203" s="101"/>
    </row>
    <row r="204" spans="1:33" x14ac:dyDescent="0.25">
      <c r="A204" t="s">
        <v>524</v>
      </c>
      <c r="B204" t="s">
        <v>192</v>
      </c>
      <c r="C204">
        <f t="shared" si="20"/>
        <v>5938</v>
      </c>
      <c r="D204">
        <v>4316</v>
      </c>
      <c r="E204">
        <v>1622</v>
      </c>
      <c r="F204">
        <v>0</v>
      </c>
      <c r="G204">
        <v>0</v>
      </c>
      <c r="H204">
        <v>817</v>
      </c>
      <c r="I204">
        <v>752</v>
      </c>
      <c r="J204">
        <v>1795</v>
      </c>
      <c r="K204">
        <v>2317</v>
      </c>
      <c r="L204">
        <v>525</v>
      </c>
      <c r="M204">
        <v>313</v>
      </c>
      <c r="N204">
        <v>1005</v>
      </c>
      <c r="O204">
        <v>106</v>
      </c>
      <c r="P204">
        <f t="shared" si="21"/>
        <v>4290000</v>
      </c>
      <c r="Q204">
        <v>3757000</v>
      </c>
      <c r="R204">
        <v>533000</v>
      </c>
      <c r="S204">
        <v>201000</v>
      </c>
      <c r="T204" s="101">
        <f t="shared" si="18"/>
        <v>9187815</v>
      </c>
      <c r="U204" s="101">
        <f t="shared" si="22"/>
        <v>3249815</v>
      </c>
      <c r="V204" s="101">
        <f t="shared" si="19"/>
        <v>3249815</v>
      </c>
      <c r="W204" s="101">
        <v>66254</v>
      </c>
      <c r="X204" s="149">
        <f t="shared" si="23"/>
        <v>4.9050849760014489E-2</v>
      </c>
      <c r="Y204" s="184"/>
      <c r="AE204" s="101"/>
      <c r="AF204" s="101"/>
      <c r="AG204" s="101"/>
    </row>
    <row r="205" spans="1:33" x14ac:dyDescent="0.25">
      <c r="A205" t="s">
        <v>512</v>
      </c>
      <c r="B205" t="s">
        <v>309</v>
      </c>
      <c r="C205">
        <f t="shared" si="20"/>
        <v>8933</v>
      </c>
      <c r="D205">
        <v>5634</v>
      </c>
      <c r="E205">
        <v>3299</v>
      </c>
      <c r="F205">
        <v>0</v>
      </c>
      <c r="G205">
        <v>9</v>
      </c>
      <c r="H205">
        <v>382</v>
      </c>
      <c r="I205">
        <v>135</v>
      </c>
      <c r="J205">
        <v>2504</v>
      </c>
      <c r="K205">
        <v>4133</v>
      </c>
      <c r="L205">
        <v>182</v>
      </c>
      <c r="M205">
        <v>0</v>
      </c>
      <c r="N205">
        <v>1367</v>
      </c>
      <c r="O205">
        <v>73</v>
      </c>
      <c r="P205">
        <f t="shared" si="21"/>
        <v>5604000</v>
      </c>
      <c r="Q205">
        <v>5098000</v>
      </c>
      <c r="R205">
        <v>506000</v>
      </c>
      <c r="S205">
        <v>225000</v>
      </c>
      <c r="T205" s="101">
        <f t="shared" si="18"/>
        <v>11639550</v>
      </c>
      <c r="U205" s="101">
        <f t="shared" si="22"/>
        <v>2706550</v>
      </c>
      <c r="V205" s="101">
        <f t="shared" si="19"/>
        <v>2706550</v>
      </c>
      <c r="W205" s="101">
        <v>59324</v>
      </c>
      <c r="X205" s="149">
        <f t="shared" si="23"/>
        <v>4.5623187917200457E-2</v>
      </c>
      <c r="Y205" s="184"/>
      <c r="AE205" s="101"/>
      <c r="AF205" s="101"/>
      <c r="AG205" s="101"/>
    </row>
    <row r="206" spans="1:33" x14ac:dyDescent="0.25">
      <c r="A206" t="s">
        <v>519</v>
      </c>
      <c r="B206" t="s">
        <v>378</v>
      </c>
      <c r="C206">
        <f t="shared" si="20"/>
        <v>7223</v>
      </c>
      <c r="D206">
        <v>3682</v>
      </c>
      <c r="E206">
        <v>3541</v>
      </c>
      <c r="F206">
        <v>0</v>
      </c>
      <c r="G206">
        <v>0</v>
      </c>
      <c r="H206">
        <v>363</v>
      </c>
      <c r="I206">
        <v>102</v>
      </c>
      <c r="J206">
        <v>1662</v>
      </c>
      <c r="K206">
        <v>1620</v>
      </c>
      <c r="L206">
        <v>178</v>
      </c>
      <c r="M206">
        <v>0</v>
      </c>
      <c r="N206">
        <v>480</v>
      </c>
      <c r="O206">
        <v>84</v>
      </c>
      <c r="P206">
        <f t="shared" si="21"/>
        <v>3690000</v>
      </c>
      <c r="Q206">
        <v>2907000</v>
      </c>
      <c r="R206">
        <v>783000</v>
      </c>
      <c r="S206">
        <v>186000</v>
      </c>
      <c r="T206" s="101">
        <f t="shared" si="18"/>
        <v>8521065</v>
      </c>
      <c r="U206" s="101">
        <f t="shared" si="22"/>
        <v>1298065</v>
      </c>
      <c r="V206" s="101">
        <f t="shared" si="19"/>
        <v>1298065</v>
      </c>
      <c r="W206" s="101">
        <v>39933</v>
      </c>
      <c r="X206" s="149">
        <f t="shared" si="23"/>
        <v>3.2506072671725138E-2</v>
      </c>
      <c r="Y206" s="184"/>
      <c r="AE206" s="101"/>
      <c r="AF206" s="101"/>
      <c r="AG206" s="101"/>
    </row>
    <row r="207" spans="1:33" x14ac:dyDescent="0.25">
      <c r="A207" t="s">
        <v>517</v>
      </c>
      <c r="B207" t="s">
        <v>379</v>
      </c>
      <c r="C207">
        <f t="shared" si="20"/>
        <v>8576</v>
      </c>
      <c r="D207">
        <v>5936</v>
      </c>
      <c r="E207">
        <v>2640</v>
      </c>
      <c r="F207">
        <v>1175</v>
      </c>
      <c r="G207">
        <v>174</v>
      </c>
      <c r="H207">
        <v>991</v>
      </c>
      <c r="I207">
        <v>129</v>
      </c>
      <c r="J207">
        <v>3264</v>
      </c>
      <c r="K207">
        <v>2842</v>
      </c>
      <c r="L207">
        <v>451</v>
      </c>
      <c r="M207">
        <v>0</v>
      </c>
      <c r="N207">
        <v>960</v>
      </c>
      <c r="O207">
        <v>280</v>
      </c>
      <c r="P207">
        <f t="shared" si="21"/>
        <v>5901000</v>
      </c>
      <c r="Q207">
        <v>5202000</v>
      </c>
      <c r="R207">
        <v>699000</v>
      </c>
      <c r="S207" s="102">
        <v>309500</v>
      </c>
      <c r="T207" s="101">
        <f t="shared" si="18"/>
        <v>12573000</v>
      </c>
      <c r="U207" s="101">
        <f t="shared" si="22"/>
        <v>3997000</v>
      </c>
      <c r="V207" s="101">
        <f t="shared" si="19"/>
        <v>3997000</v>
      </c>
      <c r="W207" s="101">
        <v>88044</v>
      </c>
      <c r="X207" s="149">
        <f t="shared" si="23"/>
        <v>4.5397755667620734E-2</v>
      </c>
      <c r="Y207" s="184"/>
      <c r="AE207" s="101"/>
    </row>
    <row r="208" spans="1:33" x14ac:dyDescent="0.25">
      <c r="A208" t="s">
        <v>513</v>
      </c>
      <c r="B208" t="s">
        <v>121</v>
      </c>
      <c r="C208">
        <f t="shared" si="20"/>
        <v>14047</v>
      </c>
      <c r="D208">
        <v>7222</v>
      </c>
      <c r="E208">
        <v>6825</v>
      </c>
      <c r="F208">
        <v>3</v>
      </c>
      <c r="G208">
        <v>19</v>
      </c>
      <c r="H208">
        <v>81</v>
      </c>
      <c r="I208">
        <v>111</v>
      </c>
      <c r="J208">
        <v>4585</v>
      </c>
      <c r="K208">
        <v>4232</v>
      </c>
      <c r="L208">
        <v>524</v>
      </c>
      <c r="M208">
        <v>155</v>
      </c>
      <c r="N208">
        <v>865</v>
      </c>
      <c r="O208">
        <v>53</v>
      </c>
      <c r="P208">
        <f t="shared" si="21"/>
        <v>3869000</v>
      </c>
      <c r="Q208">
        <v>3099000</v>
      </c>
      <c r="R208">
        <v>770000</v>
      </c>
      <c r="S208">
        <v>302000</v>
      </c>
      <c r="T208" s="101">
        <f t="shared" si="18"/>
        <v>8837295</v>
      </c>
      <c r="U208" s="101">
        <f t="shared" si="22"/>
        <v>-5209705</v>
      </c>
      <c r="V208" s="101">
        <f t="shared" si="19"/>
        <v>0</v>
      </c>
      <c r="W208" s="101">
        <v>151781</v>
      </c>
      <c r="X208" s="149">
        <f t="shared" si="23"/>
        <v>-3.4323828410670637E-2</v>
      </c>
      <c r="Y208" s="184"/>
      <c r="AE208" s="101"/>
      <c r="AF208" s="101"/>
      <c r="AG208" s="101"/>
    </row>
    <row r="209" spans="1:33" x14ac:dyDescent="0.25">
      <c r="A209" t="s">
        <v>515</v>
      </c>
      <c r="B209" t="s">
        <v>193</v>
      </c>
      <c r="C209">
        <f t="shared" si="20"/>
        <v>5496</v>
      </c>
      <c r="D209">
        <v>3479</v>
      </c>
      <c r="E209">
        <v>2017</v>
      </c>
      <c r="F209">
        <v>0</v>
      </c>
      <c r="G209">
        <v>21</v>
      </c>
      <c r="H209">
        <v>696</v>
      </c>
      <c r="I209">
        <v>63</v>
      </c>
      <c r="J209">
        <v>1575</v>
      </c>
      <c r="K209">
        <v>2890</v>
      </c>
      <c r="L209">
        <v>241</v>
      </c>
      <c r="M209">
        <v>557</v>
      </c>
      <c r="N209">
        <v>1083</v>
      </c>
      <c r="O209">
        <v>117</v>
      </c>
      <c r="P209">
        <f t="shared" si="21"/>
        <v>3292000</v>
      </c>
      <c r="Q209">
        <v>2846000</v>
      </c>
      <c r="R209">
        <v>446000</v>
      </c>
      <c r="S209">
        <v>270000</v>
      </c>
      <c r="T209" s="101">
        <f t="shared" si="18"/>
        <v>7120890</v>
      </c>
      <c r="U209" s="101">
        <f t="shared" si="22"/>
        <v>1624890</v>
      </c>
      <c r="V209" s="101">
        <f t="shared" si="19"/>
        <v>1624890</v>
      </c>
      <c r="W209" s="101">
        <v>71094</v>
      </c>
      <c r="X209" s="149">
        <f t="shared" si="23"/>
        <v>2.2855515233353024E-2</v>
      </c>
      <c r="Y209" s="184"/>
      <c r="AE209" s="101"/>
      <c r="AF209" s="101"/>
      <c r="AG209" s="101"/>
    </row>
    <row r="210" spans="1:33" x14ac:dyDescent="0.25">
      <c r="A210" t="s">
        <v>517</v>
      </c>
      <c r="B210" t="s">
        <v>151</v>
      </c>
      <c r="C210">
        <f t="shared" si="20"/>
        <v>8582</v>
      </c>
      <c r="D210">
        <v>4418</v>
      </c>
      <c r="E210">
        <v>4164</v>
      </c>
      <c r="F210">
        <v>783</v>
      </c>
      <c r="G210">
        <v>22</v>
      </c>
      <c r="H210">
        <v>96</v>
      </c>
      <c r="I210">
        <v>224</v>
      </c>
      <c r="J210">
        <v>3120</v>
      </c>
      <c r="K210">
        <v>4210</v>
      </c>
      <c r="L210">
        <v>449</v>
      </c>
      <c r="M210">
        <v>202</v>
      </c>
      <c r="N210">
        <v>719</v>
      </c>
      <c r="O210">
        <v>108</v>
      </c>
      <c r="P210">
        <f t="shared" si="21"/>
        <v>4432000</v>
      </c>
      <c r="Q210">
        <v>3670000</v>
      </c>
      <c r="R210">
        <v>762000</v>
      </c>
      <c r="S210">
        <v>351000</v>
      </c>
      <c r="T210" s="101">
        <f t="shared" si="18"/>
        <v>9894570</v>
      </c>
      <c r="U210" s="101">
        <f t="shared" si="22"/>
        <v>1312570</v>
      </c>
      <c r="V210" s="101">
        <f t="shared" si="19"/>
        <v>1312570</v>
      </c>
      <c r="W210" s="101">
        <v>96089</v>
      </c>
      <c r="X210" s="149">
        <f t="shared" si="23"/>
        <v>1.3659940263713848E-2</v>
      </c>
      <c r="Y210" s="184"/>
      <c r="AE210" s="101"/>
      <c r="AF210" s="101"/>
      <c r="AG210" s="101"/>
    </row>
    <row r="211" spans="1:33" x14ac:dyDescent="0.25">
      <c r="A211" t="s">
        <v>513</v>
      </c>
      <c r="B211" t="s">
        <v>152</v>
      </c>
      <c r="C211">
        <f t="shared" si="20"/>
        <v>4923</v>
      </c>
      <c r="D211">
        <v>3572</v>
      </c>
      <c r="E211">
        <v>1351</v>
      </c>
      <c r="F211">
        <v>0</v>
      </c>
      <c r="G211">
        <v>0</v>
      </c>
      <c r="H211">
        <v>141</v>
      </c>
      <c r="I211">
        <v>54</v>
      </c>
      <c r="J211">
        <v>1789</v>
      </c>
      <c r="K211">
        <v>1765</v>
      </c>
      <c r="L211">
        <v>176</v>
      </c>
      <c r="M211">
        <v>58</v>
      </c>
      <c r="N211">
        <v>285</v>
      </c>
      <c r="O211">
        <v>60</v>
      </c>
      <c r="P211">
        <f t="shared" si="21"/>
        <v>2459000</v>
      </c>
      <c r="Q211">
        <v>2160000</v>
      </c>
      <c r="R211">
        <v>299000</v>
      </c>
      <c r="S211">
        <v>318000</v>
      </c>
      <c r="T211" s="101">
        <f t="shared" si="18"/>
        <v>5253990</v>
      </c>
      <c r="U211" s="101">
        <f t="shared" si="22"/>
        <v>330990</v>
      </c>
      <c r="V211" s="101">
        <f t="shared" si="19"/>
        <v>330990</v>
      </c>
      <c r="W211" s="101">
        <v>47490</v>
      </c>
      <c r="X211" s="149">
        <f t="shared" si="23"/>
        <v>6.9696778269109283E-3</v>
      </c>
      <c r="Y211" s="184"/>
      <c r="AE211" s="101"/>
      <c r="AF211" s="101"/>
      <c r="AG211" s="101"/>
    </row>
    <row r="212" spans="1:33" x14ac:dyDescent="0.25">
      <c r="A212" t="s">
        <v>513</v>
      </c>
      <c r="B212" t="s">
        <v>153</v>
      </c>
      <c r="C212">
        <f t="shared" si="20"/>
        <v>4201</v>
      </c>
      <c r="D212" s="102">
        <v>2365</v>
      </c>
      <c r="E212" s="102">
        <v>1836</v>
      </c>
      <c r="F212" s="102">
        <v>0</v>
      </c>
      <c r="G212" s="102">
        <v>34</v>
      </c>
      <c r="H212" s="102">
        <v>770</v>
      </c>
      <c r="I212" s="102">
        <v>837</v>
      </c>
      <c r="J212" s="102">
        <v>1934</v>
      </c>
      <c r="K212" s="102">
        <v>1587</v>
      </c>
      <c r="L212" s="102">
        <v>194</v>
      </c>
      <c r="M212" s="102">
        <v>259</v>
      </c>
      <c r="N212" s="102">
        <v>557</v>
      </c>
      <c r="O212" s="102">
        <v>51</v>
      </c>
      <c r="P212">
        <f t="shared" si="21"/>
        <v>2728000</v>
      </c>
      <c r="Q212" s="102">
        <v>2170000</v>
      </c>
      <c r="R212" s="102">
        <v>558000</v>
      </c>
      <c r="S212">
        <v>314000</v>
      </c>
      <c r="T212" s="101">
        <f>0.1905*SUM(Q212,R212,R212)*10</f>
        <v>6259830</v>
      </c>
      <c r="U212" s="101">
        <f t="shared" si="22"/>
        <v>2058830</v>
      </c>
      <c r="V212" s="101">
        <f>IF(U212&gt;0,U212,0)</f>
        <v>2058830</v>
      </c>
      <c r="W212" s="101">
        <v>53492</v>
      </c>
      <c r="X212" s="149">
        <f t="shared" si="23"/>
        <v>3.8488559036865329E-2</v>
      </c>
      <c r="Y212" s="184"/>
      <c r="AA212" s="102"/>
      <c r="AB212" s="102"/>
      <c r="AC212" s="102"/>
      <c r="AD212" s="102"/>
      <c r="AE212" s="101"/>
      <c r="AF212" s="101"/>
      <c r="AG212" s="101"/>
    </row>
    <row r="213" spans="1:33" x14ac:dyDescent="0.25">
      <c r="A213" t="s">
        <v>521</v>
      </c>
      <c r="B213" t="s">
        <v>194</v>
      </c>
      <c r="C213">
        <f t="shared" si="20"/>
        <v>6772</v>
      </c>
      <c r="D213">
        <v>4381</v>
      </c>
      <c r="E213">
        <v>2391</v>
      </c>
      <c r="F213">
        <v>0</v>
      </c>
      <c r="G213">
        <v>16</v>
      </c>
      <c r="H213">
        <v>680</v>
      </c>
      <c r="I213">
        <v>174</v>
      </c>
      <c r="J213">
        <v>2791</v>
      </c>
      <c r="K213">
        <v>2640</v>
      </c>
      <c r="L213">
        <v>249</v>
      </c>
      <c r="M213">
        <v>0</v>
      </c>
      <c r="N213">
        <v>769</v>
      </c>
      <c r="O213">
        <v>100</v>
      </c>
      <c r="P213">
        <f t="shared" si="21"/>
        <v>3852000</v>
      </c>
      <c r="Q213">
        <v>3031000</v>
      </c>
      <c r="R213">
        <v>821000</v>
      </c>
      <c r="S213">
        <v>134000</v>
      </c>
      <c r="T213" s="101">
        <f t="shared" si="18"/>
        <v>8902065</v>
      </c>
      <c r="U213" s="101">
        <f t="shared" si="22"/>
        <v>2130065</v>
      </c>
      <c r="V213" s="101">
        <f t="shared" si="19"/>
        <v>2130065</v>
      </c>
      <c r="W213" s="101">
        <v>74521</v>
      </c>
      <c r="X213" s="149">
        <f t="shared" si="23"/>
        <v>2.8583419438815903E-2</v>
      </c>
      <c r="Y213" s="184"/>
      <c r="AE213" s="101"/>
      <c r="AF213" s="101"/>
      <c r="AG213" s="101"/>
    </row>
    <row r="214" spans="1:33" x14ac:dyDescent="0.25">
      <c r="A214" t="s">
        <v>515</v>
      </c>
      <c r="B214" t="s">
        <v>380</v>
      </c>
      <c r="C214">
        <f t="shared" si="20"/>
        <v>12056</v>
      </c>
      <c r="D214">
        <v>6581</v>
      </c>
      <c r="E214">
        <v>5475</v>
      </c>
      <c r="F214">
        <v>1882</v>
      </c>
      <c r="G214">
        <v>91</v>
      </c>
      <c r="H214">
        <v>400</v>
      </c>
      <c r="I214">
        <v>305</v>
      </c>
      <c r="J214">
        <v>5441</v>
      </c>
      <c r="K214">
        <v>6586</v>
      </c>
      <c r="L214">
        <v>938</v>
      </c>
      <c r="M214">
        <v>0</v>
      </c>
      <c r="N214">
        <v>1813</v>
      </c>
      <c r="O214">
        <v>254</v>
      </c>
      <c r="P214">
        <f t="shared" si="21"/>
        <v>8789000</v>
      </c>
      <c r="Q214">
        <v>7171000</v>
      </c>
      <c r="R214">
        <v>1618000</v>
      </c>
      <c r="S214">
        <v>246000</v>
      </c>
      <c r="T214" s="101">
        <f t="shared" si="18"/>
        <v>19825335</v>
      </c>
      <c r="U214" s="101">
        <f t="shared" si="22"/>
        <v>7769335</v>
      </c>
      <c r="V214" s="101">
        <f t="shared" si="19"/>
        <v>7769335</v>
      </c>
      <c r="W214" s="101">
        <v>163559</v>
      </c>
      <c r="X214" s="149">
        <f t="shared" si="23"/>
        <v>4.7501727205473257E-2</v>
      </c>
      <c r="Y214" s="184"/>
      <c r="AE214" s="101"/>
      <c r="AF214" s="101"/>
      <c r="AG214" s="101"/>
    </row>
    <row r="215" spans="1:33" x14ac:dyDescent="0.25">
      <c r="A215" t="s">
        <v>518</v>
      </c>
      <c r="B215" t="s">
        <v>131</v>
      </c>
      <c r="C215">
        <f t="shared" si="20"/>
        <v>3155</v>
      </c>
      <c r="D215">
        <v>2461</v>
      </c>
      <c r="E215">
        <v>694</v>
      </c>
      <c r="F215">
        <v>0</v>
      </c>
      <c r="G215">
        <v>0</v>
      </c>
      <c r="H215">
        <v>319</v>
      </c>
      <c r="I215">
        <v>188</v>
      </c>
      <c r="J215">
        <v>2826</v>
      </c>
      <c r="K215">
        <v>2630</v>
      </c>
      <c r="L215">
        <v>280</v>
      </c>
      <c r="M215">
        <v>0</v>
      </c>
      <c r="N215">
        <v>530</v>
      </c>
      <c r="O215">
        <v>32</v>
      </c>
      <c r="P215">
        <f t="shared" si="21"/>
        <v>3082000</v>
      </c>
      <c r="Q215">
        <v>2624000</v>
      </c>
      <c r="R215">
        <v>458000</v>
      </c>
      <c r="S215">
        <v>216000</v>
      </c>
      <c r="T215" s="101">
        <f t="shared" si="18"/>
        <v>6743700</v>
      </c>
      <c r="U215" s="101">
        <f t="shared" si="22"/>
        <v>3588700</v>
      </c>
      <c r="V215" s="101">
        <f t="shared" si="19"/>
        <v>3588700</v>
      </c>
      <c r="W215" s="101">
        <v>77041</v>
      </c>
      <c r="X215" s="149">
        <f t="shared" si="23"/>
        <v>4.65816902688179E-2</v>
      </c>
      <c r="Y215" s="184"/>
      <c r="AE215" s="101"/>
      <c r="AF215" s="101"/>
      <c r="AG215" s="101"/>
    </row>
    <row r="216" spans="1:33" x14ac:dyDescent="0.25">
      <c r="A216" t="s">
        <v>518</v>
      </c>
      <c r="B216" t="s">
        <v>265</v>
      </c>
      <c r="C216">
        <f t="shared" si="20"/>
        <v>2542</v>
      </c>
      <c r="D216">
        <v>1835</v>
      </c>
      <c r="E216">
        <v>707</v>
      </c>
      <c r="F216">
        <v>0</v>
      </c>
      <c r="G216">
        <v>0</v>
      </c>
      <c r="H216">
        <v>292</v>
      </c>
      <c r="I216">
        <v>39</v>
      </c>
      <c r="J216">
        <v>1469</v>
      </c>
      <c r="K216">
        <v>1294</v>
      </c>
      <c r="L216">
        <v>143</v>
      </c>
      <c r="M216">
        <v>125</v>
      </c>
      <c r="N216">
        <v>430</v>
      </c>
      <c r="O216">
        <v>43</v>
      </c>
      <c r="P216">
        <f t="shared" si="21"/>
        <v>1773000</v>
      </c>
      <c r="Q216">
        <v>1597000</v>
      </c>
      <c r="R216">
        <v>176000</v>
      </c>
      <c r="S216">
        <v>229000</v>
      </c>
      <c r="T216" s="101">
        <f t="shared" si="18"/>
        <v>3712845</v>
      </c>
      <c r="U216" s="101">
        <f t="shared" si="22"/>
        <v>1170845</v>
      </c>
      <c r="V216" s="101">
        <f t="shared" si="19"/>
        <v>1170845</v>
      </c>
      <c r="W216" s="101">
        <v>23043</v>
      </c>
      <c r="X216" s="149">
        <f t="shared" si="23"/>
        <v>5.0811309291324915E-2</v>
      </c>
      <c r="Y216" s="184"/>
      <c r="AE216" s="101"/>
      <c r="AF216" s="101"/>
      <c r="AG216" s="101"/>
    </row>
    <row r="217" spans="1:33" x14ac:dyDescent="0.25">
      <c r="A217" t="s">
        <v>518</v>
      </c>
      <c r="B217" t="s">
        <v>266</v>
      </c>
      <c r="C217">
        <f t="shared" si="20"/>
        <v>2919</v>
      </c>
      <c r="D217">
        <v>2054</v>
      </c>
      <c r="E217">
        <v>865</v>
      </c>
      <c r="F217">
        <v>0</v>
      </c>
      <c r="G217">
        <v>0</v>
      </c>
      <c r="H217">
        <v>12</v>
      </c>
      <c r="I217">
        <v>127</v>
      </c>
      <c r="J217">
        <v>1133</v>
      </c>
      <c r="K217">
        <v>1780</v>
      </c>
      <c r="L217">
        <v>107</v>
      </c>
      <c r="M217">
        <v>17</v>
      </c>
      <c r="N217">
        <v>170</v>
      </c>
      <c r="O217">
        <v>37</v>
      </c>
      <c r="P217">
        <f t="shared" si="21"/>
        <v>1681000</v>
      </c>
      <c r="Q217">
        <v>1422000</v>
      </c>
      <c r="R217">
        <v>259000</v>
      </c>
      <c r="S217">
        <v>242000</v>
      </c>
      <c r="T217" s="101">
        <f t="shared" si="18"/>
        <v>3695700</v>
      </c>
      <c r="U217" s="101">
        <f t="shared" si="22"/>
        <v>776700</v>
      </c>
      <c r="V217" s="101">
        <f t="shared" si="19"/>
        <v>776700</v>
      </c>
      <c r="W217" s="101">
        <v>38550</v>
      </c>
      <c r="X217" s="149">
        <f t="shared" si="23"/>
        <v>2.014785992217899E-2</v>
      </c>
      <c r="Y217" s="184"/>
      <c r="AE217" s="101"/>
      <c r="AF217" s="101"/>
      <c r="AG217" s="101"/>
    </row>
    <row r="218" spans="1:33" x14ac:dyDescent="0.25">
      <c r="A218" t="s">
        <v>515</v>
      </c>
      <c r="B218" t="s">
        <v>132</v>
      </c>
      <c r="C218">
        <f t="shared" si="20"/>
        <v>4710</v>
      </c>
      <c r="D218">
        <v>3190</v>
      </c>
      <c r="E218">
        <v>1520</v>
      </c>
      <c r="F218">
        <v>0</v>
      </c>
      <c r="G218">
        <v>0</v>
      </c>
      <c r="H218">
        <v>178</v>
      </c>
      <c r="I218">
        <v>40</v>
      </c>
      <c r="J218">
        <v>2896</v>
      </c>
      <c r="K218">
        <v>3278</v>
      </c>
      <c r="L218">
        <v>255</v>
      </c>
      <c r="M218">
        <v>150</v>
      </c>
      <c r="N218">
        <v>716</v>
      </c>
      <c r="O218">
        <v>28</v>
      </c>
      <c r="P218">
        <f t="shared" si="21"/>
        <v>3663000</v>
      </c>
      <c r="Q218">
        <v>3124000</v>
      </c>
      <c r="R218">
        <v>539000</v>
      </c>
      <c r="S218">
        <v>204000</v>
      </c>
      <c r="T218" s="101">
        <f t="shared" si="18"/>
        <v>8004810</v>
      </c>
      <c r="U218" s="101">
        <f t="shared" si="22"/>
        <v>3294810</v>
      </c>
      <c r="V218" s="101">
        <f t="shared" si="19"/>
        <v>3294810</v>
      </c>
      <c r="W218" s="101">
        <v>81198</v>
      </c>
      <c r="X218" s="149">
        <f t="shared" si="23"/>
        <v>4.0577477277765464E-2</v>
      </c>
      <c r="Y218" s="184"/>
      <c r="AE218" s="101"/>
      <c r="AF218" s="101"/>
      <c r="AG218" s="101"/>
    </row>
    <row r="219" spans="1:33" x14ac:dyDescent="0.25">
      <c r="A219" t="s">
        <v>513</v>
      </c>
      <c r="B219" t="s">
        <v>381</v>
      </c>
      <c r="C219">
        <f t="shared" si="20"/>
        <v>21715</v>
      </c>
      <c r="D219">
        <v>12691</v>
      </c>
      <c r="E219">
        <v>9024</v>
      </c>
      <c r="F219">
        <v>2272</v>
      </c>
      <c r="G219">
        <v>68</v>
      </c>
      <c r="H219">
        <v>233</v>
      </c>
      <c r="I219">
        <v>745</v>
      </c>
      <c r="J219">
        <v>8465</v>
      </c>
      <c r="K219">
        <v>12072</v>
      </c>
      <c r="L219">
        <v>1019</v>
      </c>
      <c r="M219">
        <v>240</v>
      </c>
      <c r="N219">
        <v>2863</v>
      </c>
      <c r="O219">
        <v>577</v>
      </c>
      <c r="P219">
        <f t="shared" si="21"/>
        <v>12435000</v>
      </c>
      <c r="Q219">
        <v>10502000</v>
      </c>
      <c r="R219">
        <v>1933000</v>
      </c>
      <c r="S219">
        <v>230000</v>
      </c>
      <c r="T219" s="101">
        <f t="shared" si="18"/>
        <v>27371040</v>
      </c>
      <c r="U219" s="101">
        <f t="shared" si="22"/>
        <v>5656040</v>
      </c>
      <c r="V219" s="101">
        <f t="shared" si="19"/>
        <v>5656040</v>
      </c>
      <c r="W219" s="101">
        <v>300514</v>
      </c>
      <c r="X219" s="149">
        <f t="shared" si="23"/>
        <v>1.8821219643677167E-2</v>
      </c>
      <c r="Y219" s="184"/>
      <c r="AE219" s="101"/>
      <c r="AF219" s="101"/>
      <c r="AG219" s="101"/>
    </row>
    <row r="220" spans="1:33" x14ac:dyDescent="0.25">
      <c r="A220" t="s">
        <v>516</v>
      </c>
      <c r="B220" t="s">
        <v>195</v>
      </c>
      <c r="C220">
        <f t="shared" si="20"/>
        <v>8833</v>
      </c>
      <c r="D220">
        <v>6197</v>
      </c>
      <c r="E220">
        <v>2636</v>
      </c>
      <c r="F220">
        <v>0</v>
      </c>
      <c r="G220">
        <v>6</v>
      </c>
      <c r="H220">
        <v>211</v>
      </c>
      <c r="I220">
        <v>0</v>
      </c>
      <c r="J220">
        <v>4130</v>
      </c>
      <c r="K220">
        <v>3582</v>
      </c>
      <c r="L220">
        <v>345</v>
      </c>
      <c r="M220">
        <v>126</v>
      </c>
      <c r="N220">
        <v>430</v>
      </c>
      <c r="O220">
        <v>110</v>
      </c>
      <c r="P220">
        <f t="shared" si="21"/>
        <v>4828000</v>
      </c>
      <c r="Q220">
        <v>3993000</v>
      </c>
      <c r="R220">
        <v>835000</v>
      </c>
      <c r="S220">
        <v>191000</v>
      </c>
      <c r="T220" s="101">
        <f t="shared" si="18"/>
        <v>10788015</v>
      </c>
      <c r="U220" s="101">
        <f t="shared" si="22"/>
        <v>1955015</v>
      </c>
      <c r="V220" s="101">
        <f t="shared" si="19"/>
        <v>1955015</v>
      </c>
      <c r="W220" s="101">
        <v>107641</v>
      </c>
      <c r="X220" s="149">
        <f t="shared" si="23"/>
        <v>1.8162363783316766E-2</v>
      </c>
      <c r="Y220" s="184"/>
      <c r="AE220" s="101"/>
      <c r="AF220" s="101"/>
      <c r="AG220" s="101"/>
    </row>
    <row r="221" spans="1:33" x14ac:dyDescent="0.25">
      <c r="A221" t="s">
        <v>514</v>
      </c>
      <c r="B221" t="s">
        <v>267</v>
      </c>
      <c r="C221">
        <f t="shared" si="20"/>
        <v>5528</v>
      </c>
      <c r="D221">
        <v>2200</v>
      </c>
      <c r="E221">
        <v>3328</v>
      </c>
      <c r="F221">
        <v>767</v>
      </c>
      <c r="G221">
        <v>0</v>
      </c>
      <c r="H221">
        <v>344</v>
      </c>
      <c r="I221">
        <v>118</v>
      </c>
      <c r="J221">
        <v>1798</v>
      </c>
      <c r="K221">
        <v>1976</v>
      </c>
      <c r="L221">
        <v>210</v>
      </c>
      <c r="M221">
        <v>204</v>
      </c>
      <c r="N221">
        <v>1140</v>
      </c>
      <c r="O221">
        <v>16</v>
      </c>
      <c r="P221">
        <f t="shared" si="21"/>
        <v>3684000</v>
      </c>
      <c r="Q221">
        <v>2935000</v>
      </c>
      <c r="R221">
        <v>749000</v>
      </c>
      <c r="S221">
        <v>284000</v>
      </c>
      <c r="T221" s="101">
        <f t="shared" si="18"/>
        <v>8444865</v>
      </c>
      <c r="U221" s="101">
        <f t="shared" si="22"/>
        <v>2916865</v>
      </c>
      <c r="V221" s="101">
        <f t="shared" si="19"/>
        <v>2916865</v>
      </c>
      <c r="W221" s="101">
        <v>37781</v>
      </c>
      <c r="X221" s="149">
        <f t="shared" si="23"/>
        <v>7.7204547259204365E-2</v>
      </c>
      <c r="Y221" s="184"/>
      <c r="AE221" s="101"/>
      <c r="AF221" s="101"/>
      <c r="AG221" s="101"/>
    </row>
    <row r="222" spans="1:33" x14ac:dyDescent="0.25">
      <c r="A222" t="s">
        <v>514</v>
      </c>
      <c r="B222" t="s">
        <v>224</v>
      </c>
      <c r="C222">
        <f t="shared" si="20"/>
        <v>2787</v>
      </c>
      <c r="D222">
        <v>1905</v>
      </c>
      <c r="E222">
        <v>882</v>
      </c>
      <c r="F222">
        <v>0</v>
      </c>
      <c r="G222">
        <v>12</v>
      </c>
      <c r="H222">
        <v>13</v>
      </c>
      <c r="I222">
        <v>58</v>
      </c>
      <c r="J222">
        <v>1730</v>
      </c>
      <c r="K222">
        <v>1264</v>
      </c>
      <c r="L222">
        <v>166</v>
      </c>
      <c r="M222">
        <v>6</v>
      </c>
      <c r="N222">
        <v>355</v>
      </c>
      <c r="O222">
        <v>75</v>
      </c>
      <c r="P222">
        <f t="shared" si="21"/>
        <v>1628000</v>
      </c>
      <c r="Q222">
        <v>1440000</v>
      </c>
      <c r="R222">
        <v>188000</v>
      </c>
      <c r="S222">
        <v>239000</v>
      </c>
      <c r="T222" s="101">
        <f t="shared" si="18"/>
        <v>3459480</v>
      </c>
      <c r="U222" s="101">
        <f t="shared" si="22"/>
        <v>672480</v>
      </c>
      <c r="V222" s="101">
        <f t="shared" si="19"/>
        <v>672480</v>
      </c>
      <c r="W222" s="101">
        <v>24950</v>
      </c>
      <c r="X222" s="149">
        <f t="shared" si="23"/>
        <v>2.695310621242485E-2</v>
      </c>
      <c r="Y222" s="184"/>
      <c r="AE222" s="101"/>
      <c r="AF222" s="101"/>
      <c r="AG222" s="101"/>
    </row>
    <row r="223" spans="1:33" x14ac:dyDescent="0.25">
      <c r="A223" t="s">
        <v>516</v>
      </c>
      <c r="B223" t="s">
        <v>196</v>
      </c>
      <c r="C223">
        <f t="shared" si="20"/>
        <v>8648</v>
      </c>
      <c r="D223">
        <v>5893</v>
      </c>
      <c r="E223">
        <v>2755</v>
      </c>
      <c r="F223">
        <v>0</v>
      </c>
      <c r="G223">
        <v>35</v>
      </c>
      <c r="H223">
        <v>0</v>
      </c>
      <c r="I223">
        <v>592</v>
      </c>
      <c r="J223">
        <v>1938</v>
      </c>
      <c r="K223">
        <v>6118</v>
      </c>
      <c r="L223">
        <v>497</v>
      </c>
      <c r="M223">
        <v>80</v>
      </c>
      <c r="N223">
        <v>1696</v>
      </c>
      <c r="O223">
        <v>152</v>
      </c>
      <c r="P223">
        <f t="shared" si="21"/>
        <v>6630000</v>
      </c>
      <c r="Q223">
        <v>5655000</v>
      </c>
      <c r="R223">
        <v>975000</v>
      </c>
      <c r="S223">
        <v>212000</v>
      </c>
      <c r="T223" s="101">
        <f t="shared" si="18"/>
        <v>14487525</v>
      </c>
      <c r="U223" s="101">
        <f t="shared" si="22"/>
        <v>5839525</v>
      </c>
      <c r="V223" s="101">
        <f t="shared" si="19"/>
        <v>5839525</v>
      </c>
      <c r="W223" s="101">
        <v>113661</v>
      </c>
      <c r="X223" s="149">
        <f t="shared" si="23"/>
        <v>5.1376681535443114E-2</v>
      </c>
      <c r="Y223" s="184"/>
      <c r="AE223" s="101"/>
      <c r="AF223" s="101"/>
      <c r="AG223" s="101"/>
    </row>
    <row r="224" spans="1:33" x14ac:dyDescent="0.25">
      <c r="A224" t="s">
        <v>513</v>
      </c>
      <c r="B224" t="s">
        <v>310</v>
      </c>
      <c r="C224">
        <f t="shared" si="20"/>
        <v>8001</v>
      </c>
      <c r="D224">
        <v>5105</v>
      </c>
      <c r="E224">
        <v>2896</v>
      </c>
      <c r="F224">
        <v>579</v>
      </c>
      <c r="G224">
        <v>0</v>
      </c>
      <c r="H224">
        <v>56</v>
      </c>
      <c r="I224">
        <v>280</v>
      </c>
      <c r="J224">
        <v>2411</v>
      </c>
      <c r="K224">
        <v>4922</v>
      </c>
      <c r="L224">
        <v>342</v>
      </c>
      <c r="M224">
        <v>408</v>
      </c>
      <c r="N224">
        <v>467</v>
      </c>
      <c r="O224">
        <v>30</v>
      </c>
      <c r="P224">
        <f t="shared" si="21"/>
        <v>4316000</v>
      </c>
      <c r="Q224">
        <v>3732000</v>
      </c>
      <c r="R224">
        <v>584000</v>
      </c>
      <c r="S224">
        <v>218000</v>
      </c>
      <c r="T224" s="101">
        <f t="shared" si="18"/>
        <v>9334500</v>
      </c>
      <c r="U224" s="101">
        <f t="shared" si="22"/>
        <v>1333500</v>
      </c>
      <c r="V224" s="101">
        <f t="shared" si="19"/>
        <v>1333500</v>
      </c>
      <c r="W224" s="101">
        <v>88301</v>
      </c>
      <c r="X224" s="149">
        <f t="shared" si="23"/>
        <v>1.5101754227018947E-2</v>
      </c>
      <c r="Y224" s="184"/>
      <c r="AE224" s="101"/>
      <c r="AF224" s="101"/>
      <c r="AG224" s="101"/>
    </row>
    <row r="225" spans="1:33" x14ac:dyDescent="0.25">
      <c r="A225" t="s">
        <v>515</v>
      </c>
      <c r="B225" t="s">
        <v>415</v>
      </c>
      <c r="C225">
        <f t="shared" si="20"/>
        <v>8471</v>
      </c>
      <c r="D225">
        <v>4941</v>
      </c>
      <c r="E225">
        <v>3530</v>
      </c>
      <c r="F225">
        <v>0</v>
      </c>
      <c r="G225">
        <v>0</v>
      </c>
      <c r="H225">
        <v>930</v>
      </c>
      <c r="I225">
        <v>18</v>
      </c>
      <c r="J225">
        <v>5566</v>
      </c>
      <c r="K225">
        <v>3803</v>
      </c>
      <c r="L225">
        <v>596</v>
      </c>
      <c r="M225">
        <v>43</v>
      </c>
      <c r="N225">
        <v>962</v>
      </c>
      <c r="O225">
        <v>26</v>
      </c>
      <c r="P225">
        <f t="shared" si="21"/>
        <v>6136000</v>
      </c>
      <c r="Q225">
        <v>5149000</v>
      </c>
      <c r="R225">
        <v>987000</v>
      </c>
      <c r="S225">
        <v>198000</v>
      </c>
      <c r="T225" s="101">
        <f t="shared" si="18"/>
        <v>13569315</v>
      </c>
      <c r="U225" s="101">
        <f t="shared" si="22"/>
        <v>5098315</v>
      </c>
      <c r="V225" s="101">
        <f t="shared" si="19"/>
        <v>5098315</v>
      </c>
      <c r="W225" s="101">
        <v>102350</v>
      </c>
      <c r="X225" s="149">
        <f t="shared" si="23"/>
        <v>4.9812554958475821E-2</v>
      </c>
      <c r="Y225" s="184"/>
      <c r="AE225" s="101"/>
      <c r="AF225" s="101"/>
      <c r="AG225" s="101"/>
    </row>
    <row r="226" spans="1:33" x14ac:dyDescent="0.25">
      <c r="A226" t="s">
        <v>514</v>
      </c>
      <c r="B226" t="s">
        <v>122</v>
      </c>
      <c r="C226">
        <f t="shared" si="20"/>
        <v>3141</v>
      </c>
      <c r="D226">
        <v>2048</v>
      </c>
      <c r="E226">
        <v>1093</v>
      </c>
      <c r="F226">
        <v>0</v>
      </c>
      <c r="G226">
        <v>0</v>
      </c>
      <c r="H226">
        <v>0</v>
      </c>
      <c r="I226">
        <v>125</v>
      </c>
      <c r="J226">
        <v>1106</v>
      </c>
      <c r="K226">
        <v>1577</v>
      </c>
      <c r="L226">
        <v>135</v>
      </c>
      <c r="M226">
        <v>62</v>
      </c>
      <c r="N226">
        <v>148</v>
      </c>
      <c r="O226">
        <v>12</v>
      </c>
      <c r="P226">
        <f t="shared" si="21"/>
        <v>929000</v>
      </c>
      <c r="Q226">
        <v>801000</v>
      </c>
      <c r="R226">
        <v>128000</v>
      </c>
      <c r="S226">
        <v>358000</v>
      </c>
      <c r="T226" s="101">
        <f t="shared" si="18"/>
        <v>2013585</v>
      </c>
      <c r="U226" s="101">
        <f t="shared" si="22"/>
        <v>-1127415</v>
      </c>
      <c r="V226" s="101">
        <f t="shared" si="19"/>
        <v>0</v>
      </c>
      <c r="W226" s="101">
        <v>47401</v>
      </c>
      <c r="X226" s="149">
        <f t="shared" si="23"/>
        <v>-2.3784624796945212E-2</v>
      </c>
      <c r="Y226" s="184"/>
      <c r="AE226" s="101"/>
      <c r="AF226" s="101"/>
      <c r="AG226" s="101"/>
    </row>
    <row r="227" spans="1:33" x14ac:dyDescent="0.25">
      <c r="A227" t="s">
        <v>520</v>
      </c>
      <c r="B227" t="s">
        <v>311</v>
      </c>
      <c r="C227">
        <f t="shared" si="20"/>
        <v>10619</v>
      </c>
      <c r="D227">
        <v>7260</v>
      </c>
      <c r="E227">
        <v>3359</v>
      </c>
      <c r="F227">
        <v>10</v>
      </c>
      <c r="G227">
        <v>0</v>
      </c>
      <c r="H227">
        <v>208</v>
      </c>
      <c r="I227">
        <v>140</v>
      </c>
      <c r="J227">
        <v>5322</v>
      </c>
      <c r="K227">
        <v>7660</v>
      </c>
      <c r="L227">
        <v>756</v>
      </c>
      <c r="M227">
        <v>0</v>
      </c>
      <c r="N227">
        <v>2499</v>
      </c>
      <c r="O227">
        <v>126</v>
      </c>
      <c r="P227">
        <f t="shared" si="21"/>
        <v>8804000</v>
      </c>
      <c r="Q227">
        <v>7858000</v>
      </c>
      <c r="R227">
        <v>946000</v>
      </c>
      <c r="S227">
        <v>287000</v>
      </c>
      <c r="T227" s="101">
        <f t="shared" si="18"/>
        <v>18573750</v>
      </c>
      <c r="U227" s="101">
        <f t="shared" si="22"/>
        <v>7954750</v>
      </c>
      <c r="V227" s="101">
        <f t="shared" si="19"/>
        <v>7954750</v>
      </c>
      <c r="W227" s="101">
        <v>162381</v>
      </c>
      <c r="X227" s="149">
        <f t="shared" si="23"/>
        <v>4.8988182114902606E-2</v>
      </c>
      <c r="Y227" s="184"/>
      <c r="AE227" s="101"/>
      <c r="AF227" s="101"/>
      <c r="AG227" s="101"/>
    </row>
    <row r="228" spans="1:33" x14ac:dyDescent="0.25">
      <c r="A228" t="s">
        <v>515</v>
      </c>
      <c r="B228" t="s">
        <v>268</v>
      </c>
      <c r="C228">
        <f t="shared" si="20"/>
        <v>17230</v>
      </c>
      <c r="D228">
        <v>11537</v>
      </c>
      <c r="E228">
        <v>5693</v>
      </c>
      <c r="F228">
        <v>3240</v>
      </c>
      <c r="G228">
        <v>239</v>
      </c>
      <c r="H228">
        <v>148</v>
      </c>
      <c r="I228">
        <v>726</v>
      </c>
      <c r="J228">
        <v>8713</v>
      </c>
      <c r="K228">
        <v>15722</v>
      </c>
      <c r="L228">
        <v>870</v>
      </c>
      <c r="M228">
        <v>438</v>
      </c>
      <c r="N228">
        <v>3275</v>
      </c>
      <c r="O228">
        <v>278</v>
      </c>
      <c r="P228">
        <f t="shared" si="21"/>
        <v>13871000</v>
      </c>
      <c r="Q228">
        <v>12257000</v>
      </c>
      <c r="R228">
        <v>1614000</v>
      </c>
      <c r="S228">
        <v>235000</v>
      </c>
      <c r="T228" s="101">
        <f t="shared" si="18"/>
        <v>29498925</v>
      </c>
      <c r="U228" s="101">
        <f t="shared" si="22"/>
        <v>12268925</v>
      </c>
      <c r="V228" s="101">
        <f t="shared" si="19"/>
        <v>12268925</v>
      </c>
      <c r="W228" s="101">
        <v>295002</v>
      </c>
      <c r="X228" s="149">
        <f t="shared" si="23"/>
        <v>4.1589294309869088E-2</v>
      </c>
      <c r="Y228" s="184"/>
      <c r="AE228" s="101"/>
      <c r="AF228" s="101"/>
      <c r="AG228" s="101"/>
    </row>
    <row r="229" spans="1:33" x14ac:dyDescent="0.25">
      <c r="A229" t="s">
        <v>517</v>
      </c>
      <c r="B229" t="s">
        <v>197</v>
      </c>
      <c r="C229">
        <f t="shared" si="20"/>
        <v>4319</v>
      </c>
      <c r="D229">
        <v>2893</v>
      </c>
      <c r="E229">
        <v>1426</v>
      </c>
      <c r="F229">
        <v>10</v>
      </c>
      <c r="G229">
        <v>0</v>
      </c>
      <c r="H229">
        <v>735</v>
      </c>
      <c r="I229">
        <v>503</v>
      </c>
      <c r="J229">
        <v>2576</v>
      </c>
      <c r="K229">
        <v>1644</v>
      </c>
      <c r="L229">
        <v>346</v>
      </c>
      <c r="M229">
        <v>416</v>
      </c>
      <c r="N229">
        <v>1038</v>
      </c>
      <c r="O229">
        <v>120</v>
      </c>
      <c r="P229">
        <f t="shared" si="21"/>
        <v>4155000</v>
      </c>
      <c r="Q229">
        <v>3668000</v>
      </c>
      <c r="R229">
        <v>487000</v>
      </c>
      <c r="S229">
        <v>204000</v>
      </c>
      <c r="T229" s="101">
        <f t="shared" si="18"/>
        <v>8843010</v>
      </c>
      <c r="U229" s="101">
        <f t="shared" si="22"/>
        <v>4524010</v>
      </c>
      <c r="V229" s="101">
        <f t="shared" si="19"/>
        <v>4524010</v>
      </c>
      <c r="W229" s="101">
        <v>57399</v>
      </c>
      <c r="X229" s="149">
        <f t="shared" si="23"/>
        <v>7.8816878342828273E-2</v>
      </c>
      <c r="Y229" s="184"/>
      <c r="AE229" s="101"/>
      <c r="AF229" s="101"/>
      <c r="AG229" s="101"/>
    </row>
    <row r="230" spans="1:33" x14ac:dyDescent="0.25">
      <c r="A230" t="s">
        <v>522</v>
      </c>
      <c r="B230" t="s">
        <v>154</v>
      </c>
      <c r="C230">
        <f t="shared" si="20"/>
        <v>8788</v>
      </c>
      <c r="D230">
        <v>5482</v>
      </c>
      <c r="E230">
        <v>3306</v>
      </c>
      <c r="F230">
        <v>4</v>
      </c>
      <c r="G230">
        <v>41</v>
      </c>
      <c r="H230">
        <v>285</v>
      </c>
      <c r="I230">
        <v>273</v>
      </c>
      <c r="J230">
        <v>3826</v>
      </c>
      <c r="K230">
        <v>3062</v>
      </c>
      <c r="L230">
        <v>328</v>
      </c>
      <c r="M230">
        <v>188</v>
      </c>
      <c r="N230">
        <v>925</v>
      </c>
      <c r="O230">
        <v>150</v>
      </c>
      <c r="P230">
        <f t="shared" si="21"/>
        <v>5341000</v>
      </c>
      <c r="Q230">
        <v>4480000</v>
      </c>
      <c r="R230">
        <v>861000</v>
      </c>
      <c r="S230">
        <v>234000</v>
      </c>
      <c r="T230" s="101">
        <f t="shared" si="18"/>
        <v>11814810</v>
      </c>
      <c r="U230" s="101">
        <f t="shared" si="22"/>
        <v>3026810</v>
      </c>
      <c r="V230" s="101">
        <f t="shared" si="19"/>
        <v>3026810</v>
      </c>
      <c r="W230" s="101">
        <v>98414</v>
      </c>
      <c r="X230" s="149">
        <f t="shared" si="23"/>
        <v>3.0755888389863231E-2</v>
      </c>
      <c r="Y230" s="184"/>
      <c r="AE230" s="101"/>
      <c r="AF230" s="101"/>
      <c r="AG230" s="101"/>
    </row>
    <row r="231" spans="1:33" x14ac:dyDescent="0.25">
      <c r="A231" t="s">
        <v>521</v>
      </c>
      <c r="B231" t="s">
        <v>334</v>
      </c>
      <c r="C231">
        <f t="shared" si="20"/>
        <v>4049</v>
      </c>
      <c r="D231">
        <v>2311</v>
      </c>
      <c r="E231">
        <v>1738</v>
      </c>
      <c r="F231">
        <v>0</v>
      </c>
      <c r="G231">
        <v>0</v>
      </c>
      <c r="H231">
        <v>30</v>
      </c>
      <c r="I231">
        <v>6</v>
      </c>
      <c r="J231">
        <v>2440</v>
      </c>
      <c r="K231">
        <v>2818</v>
      </c>
      <c r="L231">
        <v>244</v>
      </c>
      <c r="M231">
        <v>274</v>
      </c>
      <c r="N231">
        <v>720</v>
      </c>
      <c r="O231">
        <v>983</v>
      </c>
      <c r="P231">
        <f t="shared" si="21"/>
        <v>2533000</v>
      </c>
      <c r="Q231">
        <v>1990000</v>
      </c>
      <c r="R231">
        <v>543000</v>
      </c>
      <c r="S231">
        <v>127000</v>
      </c>
      <c r="T231" s="101">
        <f t="shared" si="18"/>
        <v>5859780</v>
      </c>
      <c r="U231" s="101">
        <f t="shared" si="22"/>
        <v>1810780</v>
      </c>
      <c r="V231" s="101">
        <f t="shared" si="19"/>
        <v>1810780</v>
      </c>
      <c r="W231" s="101">
        <v>53290</v>
      </c>
      <c r="X231" s="149">
        <f t="shared" si="23"/>
        <v>3.3979733533495968E-2</v>
      </c>
      <c r="Y231" s="184"/>
      <c r="AE231" s="101"/>
      <c r="AF231" s="101"/>
      <c r="AG231" s="101"/>
    </row>
    <row r="232" spans="1:33" x14ac:dyDescent="0.25">
      <c r="A232" t="s">
        <v>517</v>
      </c>
      <c r="B232" t="s">
        <v>198</v>
      </c>
      <c r="C232">
        <f t="shared" si="20"/>
        <v>8803</v>
      </c>
      <c r="D232">
        <v>6035</v>
      </c>
      <c r="E232">
        <v>2768</v>
      </c>
      <c r="F232">
        <v>27</v>
      </c>
      <c r="G232">
        <v>10</v>
      </c>
      <c r="H232">
        <v>484</v>
      </c>
      <c r="I232">
        <v>263</v>
      </c>
      <c r="J232">
        <v>4481</v>
      </c>
      <c r="K232">
        <v>4042</v>
      </c>
      <c r="L232">
        <v>345</v>
      </c>
      <c r="M232">
        <v>312</v>
      </c>
      <c r="N232">
        <v>572</v>
      </c>
      <c r="O232">
        <v>19</v>
      </c>
      <c r="P232">
        <f t="shared" si="21"/>
        <v>5096000</v>
      </c>
      <c r="Q232">
        <v>4614000</v>
      </c>
      <c r="R232">
        <v>482000</v>
      </c>
      <c r="S232">
        <v>290000</v>
      </c>
      <c r="T232" s="101">
        <f t="shared" si="18"/>
        <v>10626090</v>
      </c>
      <c r="U232" s="101">
        <f t="shared" si="22"/>
        <v>1823090</v>
      </c>
      <c r="V232" s="101">
        <f t="shared" si="19"/>
        <v>1823090</v>
      </c>
      <c r="W232" s="101">
        <v>84813</v>
      </c>
      <c r="X232" s="149">
        <f t="shared" si="23"/>
        <v>2.1495407543654865E-2</v>
      </c>
      <c r="Y232" s="184"/>
      <c r="AE232" s="101"/>
      <c r="AF232" s="101"/>
      <c r="AG232" s="101"/>
    </row>
    <row r="233" spans="1:33" x14ac:dyDescent="0.25">
      <c r="A233" t="s">
        <v>514</v>
      </c>
      <c r="B233" t="s">
        <v>225</v>
      </c>
      <c r="C233">
        <f t="shared" si="20"/>
        <v>1175</v>
      </c>
      <c r="D233">
        <v>636</v>
      </c>
      <c r="E233">
        <v>539</v>
      </c>
      <c r="F233">
        <v>0</v>
      </c>
      <c r="G233">
        <v>0</v>
      </c>
      <c r="H233">
        <v>51</v>
      </c>
      <c r="I233">
        <v>0</v>
      </c>
      <c r="J233">
        <v>612</v>
      </c>
      <c r="K233">
        <v>656</v>
      </c>
      <c r="L233">
        <v>68</v>
      </c>
      <c r="M233">
        <v>68</v>
      </c>
      <c r="N233">
        <v>232</v>
      </c>
      <c r="O233">
        <v>2</v>
      </c>
      <c r="P233">
        <f t="shared" si="21"/>
        <v>918000</v>
      </c>
      <c r="Q233">
        <v>737000</v>
      </c>
      <c r="R233">
        <v>181000</v>
      </c>
      <c r="S233">
        <v>209000</v>
      </c>
      <c r="T233" s="101">
        <f t="shared" si="18"/>
        <v>2093595</v>
      </c>
      <c r="U233" s="101">
        <f t="shared" si="22"/>
        <v>918595</v>
      </c>
      <c r="V233" s="101">
        <f t="shared" si="19"/>
        <v>918595</v>
      </c>
      <c r="W233" s="101">
        <v>13852</v>
      </c>
      <c r="X233" s="149">
        <f t="shared" si="23"/>
        <v>6.6314972567138322E-2</v>
      </c>
      <c r="Y233" s="184"/>
      <c r="AE233" s="101"/>
      <c r="AF233" s="101"/>
      <c r="AG233" s="101"/>
    </row>
    <row r="234" spans="1:33" x14ac:dyDescent="0.25">
      <c r="A234" t="s">
        <v>515</v>
      </c>
      <c r="B234" t="s">
        <v>382</v>
      </c>
      <c r="C234">
        <f t="shared" si="20"/>
        <v>2945</v>
      </c>
      <c r="D234">
        <v>1894</v>
      </c>
      <c r="E234">
        <v>1051</v>
      </c>
      <c r="F234">
        <v>0</v>
      </c>
      <c r="G234">
        <v>0</v>
      </c>
      <c r="H234">
        <v>184</v>
      </c>
      <c r="I234">
        <v>26</v>
      </c>
      <c r="J234">
        <v>1287</v>
      </c>
      <c r="K234">
        <v>785</v>
      </c>
      <c r="L234">
        <v>92</v>
      </c>
      <c r="M234">
        <v>0</v>
      </c>
      <c r="N234">
        <v>572</v>
      </c>
      <c r="O234">
        <v>158</v>
      </c>
      <c r="P234">
        <f t="shared" si="21"/>
        <v>1991000</v>
      </c>
      <c r="Q234">
        <v>1696000</v>
      </c>
      <c r="R234">
        <v>295000</v>
      </c>
      <c r="S234">
        <v>312000</v>
      </c>
      <c r="T234" s="101">
        <f t="shared" si="18"/>
        <v>4354830</v>
      </c>
      <c r="U234" s="101">
        <f t="shared" si="22"/>
        <v>1409830</v>
      </c>
      <c r="V234" s="101">
        <f t="shared" si="19"/>
        <v>1409830</v>
      </c>
      <c r="W234" s="101">
        <v>35400</v>
      </c>
      <c r="X234" s="149">
        <f t="shared" si="23"/>
        <v>3.9825706214689269E-2</v>
      </c>
      <c r="Y234" s="184"/>
      <c r="AE234" s="101"/>
      <c r="AF234" s="101"/>
      <c r="AG234" s="101"/>
    </row>
    <row r="235" spans="1:33" x14ac:dyDescent="0.25">
      <c r="A235" t="s">
        <v>518</v>
      </c>
      <c r="B235" t="s">
        <v>199</v>
      </c>
      <c r="C235">
        <f t="shared" si="20"/>
        <v>9113</v>
      </c>
      <c r="D235">
        <v>6778</v>
      </c>
      <c r="E235">
        <v>2335</v>
      </c>
      <c r="F235">
        <v>29</v>
      </c>
      <c r="G235">
        <v>0</v>
      </c>
      <c r="H235">
        <v>274</v>
      </c>
      <c r="I235">
        <v>388</v>
      </c>
      <c r="J235">
        <v>4572</v>
      </c>
      <c r="K235">
        <v>4544</v>
      </c>
      <c r="L235">
        <v>585</v>
      </c>
      <c r="M235">
        <v>504</v>
      </c>
      <c r="N235">
        <v>450</v>
      </c>
      <c r="O235">
        <v>81</v>
      </c>
      <c r="P235">
        <f t="shared" si="21"/>
        <v>5756000</v>
      </c>
      <c r="Q235">
        <v>5168000</v>
      </c>
      <c r="R235">
        <v>588000</v>
      </c>
      <c r="S235">
        <v>233000</v>
      </c>
      <c r="T235" s="101">
        <f t="shared" si="18"/>
        <v>12085320</v>
      </c>
      <c r="U235" s="101">
        <f t="shared" si="22"/>
        <v>2972320</v>
      </c>
      <c r="V235" s="101">
        <f t="shared" si="19"/>
        <v>2972320</v>
      </c>
      <c r="W235" s="101">
        <v>126298</v>
      </c>
      <c r="X235" s="149">
        <f t="shared" si="23"/>
        <v>2.3534181063833155E-2</v>
      </c>
      <c r="Y235" s="184"/>
      <c r="AE235" s="101"/>
      <c r="AF235" s="101"/>
      <c r="AG235" s="101"/>
    </row>
    <row r="236" spans="1:33" x14ac:dyDescent="0.25">
      <c r="A236" t="s">
        <v>524</v>
      </c>
      <c r="B236" t="s">
        <v>226</v>
      </c>
      <c r="C236">
        <f t="shared" si="20"/>
        <v>4784</v>
      </c>
      <c r="D236">
        <v>3281</v>
      </c>
      <c r="E236">
        <v>1503</v>
      </c>
      <c r="F236">
        <v>21</v>
      </c>
      <c r="G236">
        <v>26</v>
      </c>
      <c r="H236">
        <v>172</v>
      </c>
      <c r="I236">
        <v>224</v>
      </c>
      <c r="J236">
        <v>1565</v>
      </c>
      <c r="K236">
        <v>2595</v>
      </c>
      <c r="L236">
        <v>223</v>
      </c>
      <c r="M236">
        <v>496</v>
      </c>
      <c r="N236">
        <v>698</v>
      </c>
      <c r="O236">
        <v>66</v>
      </c>
      <c r="P236">
        <f t="shared" si="21"/>
        <v>3012000</v>
      </c>
      <c r="Q236">
        <v>2670000</v>
      </c>
      <c r="R236">
        <v>342000</v>
      </c>
      <c r="S236">
        <v>195000</v>
      </c>
      <c r="T236" s="101">
        <f t="shared" si="18"/>
        <v>6389370</v>
      </c>
      <c r="U236" s="101">
        <f t="shared" si="22"/>
        <v>1605370</v>
      </c>
      <c r="V236" s="101">
        <f t="shared" si="19"/>
        <v>1605370</v>
      </c>
      <c r="W236" s="101">
        <v>48856</v>
      </c>
      <c r="X236" s="149">
        <f t="shared" si="23"/>
        <v>3.285921892909776E-2</v>
      </c>
      <c r="Y236" s="184"/>
      <c r="AE236" s="101"/>
      <c r="AF236" s="101"/>
      <c r="AG236" s="101"/>
    </row>
    <row r="237" spans="1:33" x14ac:dyDescent="0.25">
      <c r="A237" t="s">
        <v>515</v>
      </c>
      <c r="B237" t="s">
        <v>312</v>
      </c>
      <c r="C237">
        <f t="shared" si="20"/>
        <v>12422</v>
      </c>
      <c r="D237">
        <v>6106</v>
      </c>
      <c r="E237">
        <v>6316</v>
      </c>
      <c r="F237">
        <v>407</v>
      </c>
      <c r="G237">
        <v>0</v>
      </c>
      <c r="H237">
        <v>0</v>
      </c>
      <c r="I237">
        <v>116</v>
      </c>
      <c r="J237">
        <v>4409</v>
      </c>
      <c r="K237">
        <v>6775</v>
      </c>
      <c r="L237">
        <v>527</v>
      </c>
      <c r="M237">
        <v>225</v>
      </c>
      <c r="N237">
        <v>987</v>
      </c>
      <c r="O237">
        <v>209</v>
      </c>
      <c r="P237">
        <f t="shared" si="21"/>
        <v>6786000</v>
      </c>
      <c r="Q237">
        <v>5450000</v>
      </c>
      <c r="R237">
        <v>1336000</v>
      </c>
      <c r="S237">
        <v>259000</v>
      </c>
      <c r="T237" s="101">
        <f t="shared" si="18"/>
        <v>15472410</v>
      </c>
      <c r="U237" s="101">
        <f t="shared" si="22"/>
        <v>3050410</v>
      </c>
      <c r="V237" s="101">
        <f t="shared" si="19"/>
        <v>3050410</v>
      </c>
      <c r="W237" s="101">
        <v>129794</v>
      </c>
      <c r="X237" s="149">
        <f t="shared" si="23"/>
        <v>2.3501933833613264E-2</v>
      </c>
      <c r="Y237" s="184"/>
      <c r="AE237" s="101"/>
      <c r="AF237" s="101"/>
      <c r="AG237" s="101"/>
    </row>
    <row r="238" spans="1:33" x14ac:dyDescent="0.25">
      <c r="A238" t="s">
        <v>520</v>
      </c>
      <c r="B238" t="s">
        <v>155</v>
      </c>
      <c r="C238">
        <f t="shared" si="20"/>
        <v>6987</v>
      </c>
      <c r="D238">
        <v>3869</v>
      </c>
      <c r="E238">
        <v>3118</v>
      </c>
      <c r="F238">
        <v>1</v>
      </c>
      <c r="G238">
        <v>15</v>
      </c>
      <c r="H238">
        <v>380</v>
      </c>
      <c r="I238">
        <v>350</v>
      </c>
      <c r="J238">
        <v>2801</v>
      </c>
      <c r="K238">
        <v>2979</v>
      </c>
      <c r="L238">
        <v>500</v>
      </c>
      <c r="M238">
        <v>559</v>
      </c>
      <c r="N238">
        <v>887</v>
      </c>
      <c r="O238">
        <v>76</v>
      </c>
      <c r="P238">
        <f t="shared" si="21"/>
        <v>4954000</v>
      </c>
      <c r="Q238">
        <v>4110000</v>
      </c>
      <c r="R238">
        <v>844000</v>
      </c>
      <c r="S238">
        <v>288000</v>
      </c>
      <c r="T238" s="101">
        <f t="shared" si="18"/>
        <v>11045190</v>
      </c>
      <c r="U238" s="101">
        <f t="shared" si="22"/>
        <v>4058190</v>
      </c>
      <c r="V238" s="101">
        <f t="shared" si="19"/>
        <v>4058190</v>
      </c>
      <c r="W238" s="101">
        <v>92071</v>
      </c>
      <c r="X238" s="149">
        <f t="shared" si="23"/>
        <v>4.4076745120613436E-2</v>
      </c>
      <c r="Y238" s="184"/>
      <c r="AE238" s="101"/>
      <c r="AF238" s="101"/>
      <c r="AG238" s="101"/>
    </row>
    <row r="239" spans="1:33" x14ac:dyDescent="0.25">
      <c r="A239" t="s">
        <v>513</v>
      </c>
      <c r="B239" t="s">
        <v>726</v>
      </c>
      <c r="C239">
        <f t="shared" si="20"/>
        <v>12624</v>
      </c>
      <c r="D239">
        <v>6672</v>
      </c>
      <c r="E239">
        <v>5952</v>
      </c>
      <c r="F239">
        <v>2643</v>
      </c>
      <c r="G239">
        <v>53</v>
      </c>
      <c r="H239">
        <v>330</v>
      </c>
      <c r="I239">
        <v>94</v>
      </c>
      <c r="J239">
        <v>5791</v>
      </c>
      <c r="K239">
        <v>10762</v>
      </c>
      <c r="L239">
        <v>636</v>
      </c>
      <c r="M239">
        <v>0</v>
      </c>
      <c r="N239">
        <v>2650</v>
      </c>
      <c r="O239">
        <v>108</v>
      </c>
      <c r="P239">
        <f t="shared" si="21"/>
        <v>8613000</v>
      </c>
      <c r="Q239">
        <v>7468000</v>
      </c>
      <c r="R239">
        <v>1145000</v>
      </c>
      <c r="S239">
        <v>271000</v>
      </c>
      <c r="T239" s="101">
        <f t="shared" si="18"/>
        <v>18588990</v>
      </c>
      <c r="U239" s="101">
        <f t="shared" si="22"/>
        <v>5964990</v>
      </c>
      <c r="V239" s="101">
        <f t="shared" si="19"/>
        <v>5964990</v>
      </c>
      <c r="W239" s="101">
        <v>207186</v>
      </c>
      <c r="X239" s="149">
        <f t="shared" si="23"/>
        <v>2.879050708059425E-2</v>
      </c>
      <c r="Y239" s="184"/>
      <c r="AE239" s="101"/>
      <c r="AF239" s="101"/>
      <c r="AG239" s="101"/>
    </row>
    <row r="240" spans="1:33" x14ac:dyDescent="0.25">
      <c r="A240" t="s">
        <v>515</v>
      </c>
      <c r="B240" t="s">
        <v>416</v>
      </c>
      <c r="C240">
        <f t="shared" si="20"/>
        <v>3443</v>
      </c>
      <c r="D240">
        <v>2710</v>
      </c>
      <c r="E240">
        <v>733</v>
      </c>
      <c r="F240">
        <v>0</v>
      </c>
      <c r="G240">
        <v>0</v>
      </c>
      <c r="H240">
        <v>471</v>
      </c>
      <c r="I240">
        <v>133</v>
      </c>
      <c r="J240">
        <v>2191</v>
      </c>
      <c r="K240">
        <v>2687</v>
      </c>
      <c r="L240">
        <v>393</v>
      </c>
      <c r="M240">
        <v>40</v>
      </c>
      <c r="N240">
        <v>434</v>
      </c>
      <c r="O240">
        <v>3</v>
      </c>
      <c r="P240">
        <f t="shared" si="21"/>
        <v>2589000</v>
      </c>
      <c r="Q240">
        <v>2343000</v>
      </c>
      <c r="R240">
        <v>246000</v>
      </c>
      <c r="S240">
        <v>210000</v>
      </c>
      <c r="T240" s="101">
        <f t="shared" si="18"/>
        <v>5400675</v>
      </c>
      <c r="U240" s="101">
        <f t="shared" si="22"/>
        <v>1957675</v>
      </c>
      <c r="V240" s="101">
        <f t="shared" si="19"/>
        <v>1957675</v>
      </c>
      <c r="W240" s="101">
        <v>57816</v>
      </c>
      <c r="X240" s="149">
        <f t="shared" si="23"/>
        <v>3.3860436557354365E-2</v>
      </c>
      <c r="Y240" s="184"/>
      <c r="AE240" s="101"/>
      <c r="AF240" s="101"/>
      <c r="AG240" s="101"/>
    </row>
    <row r="241" spans="1:33" x14ac:dyDescent="0.25">
      <c r="A241" t="s">
        <v>520</v>
      </c>
      <c r="B241" t="s">
        <v>417</v>
      </c>
      <c r="C241">
        <f t="shared" si="20"/>
        <v>16466</v>
      </c>
      <c r="D241">
        <v>8827</v>
      </c>
      <c r="E241">
        <v>7639</v>
      </c>
      <c r="F241">
        <v>3698</v>
      </c>
      <c r="G241">
        <v>337</v>
      </c>
      <c r="H241">
        <v>791</v>
      </c>
      <c r="I241">
        <v>1195</v>
      </c>
      <c r="J241">
        <v>5798</v>
      </c>
      <c r="K241">
        <v>8740</v>
      </c>
      <c r="L241">
        <v>586</v>
      </c>
      <c r="M241">
        <v>266</v>
      </c>
      <c r="N241">
        <v>1521</v>
      </c>
      <c r="O241">
        <v>736</v>
      </c>
      <c r="P241">
        <f t="shared" si="21"/>
        <v>8488000</v>
      </c>
      <c r="Q241">
        <v>6554000</v>
      </c>
      <c r="R241">
        <v>1934000</v>
      </c>
      <c r="S241">
        <v>265000</v>
      </c>
      <c r="T241" s="101">
        <f t="shared" si="18"/>
        <v>19853910</v>
      </c>
      <c r="U241" s="101">
        <f t="shared" si="22"/>
        <v>3387910</v>
      </c>
      <c r="V241" s="101">
        <f t="shared" si="19"/>
        <v>3387910</v>
      </c>
      <c r="W241" s="101">
        <v>205888</v>
      </c>
      <c r="X241" s="149">
        <f t="shared" si="23"/>
        <v>1.6455111516941248E-2</v>
      </c>
      <c r="Y241" s="184"/>
      <c r="AE241" s="101"/>
      <c r="AF241" s="101"/>
      <c r="AG241" s="101"/>
    </row>
    <row r="242" spans="1:33" x14ac:dyDescent="0.25">
      <c r="A242" t="s">
        <v>517</v>
      </c>
      <c r="B242" t="s">
        <v>383</v>
      </c>
      <c r="C242">
        <f t="shared" si="20"/>
        <v>13974</v>
      </c>
      <c r="D242">
        <v>8335</v>
      </c>
      <c r="E242">
        <v>5639</v>
      </c>
      <c r="F242">
        <v>1955</v>
      </c>
      <c r="G242">
        <v>114</v>
      </c>
      <c r="H242">
        <v>188</v>
      </c>
      <c r="I242">
        <v>618</v>
      </c>
      <c r="J242">
        <v>13042</v>
      </c>
      <c r="K242">
        <v>10054</v>
      </c>
      <c r="L242">
        <v>907</v>
      </c>
      <c r="M242">
        <v>0</v>
      </c>
      <c r="N242">
        <v>1401</v>
      </c>
      <c r="O242">
        <v>450</v>
      </c>
      <c r="P242">
        <f t="shared" si="21"/>
        <v>10329000</v>
      </c>
      <c r="Q242">
        <v>8336000</v>
      </c>
      <c r="R242">
        <v>1993000</v>
      </c>
      <c r="S242">
        <v>195000</v>
      </c>
      <c r="T242" s="101">
        <f t="shared" si="18"/>
        <v>23473410</v>
      </c>
      <c r="U242" s="101">
        <f t="shared" si="22"/>
        <v>9499410</v>
      </c>
      <c r="V242" s="101">
        <f t="shared" si="19"/>
        <v>9499410</v>
      </c>
      <c r="W242" s="101">
        <v>266077</v>
      </c>
      <c r="X242" s="149">
        <f t="shared" si="23"/>
        <v>3.5701732957001166E-2</v>
      </c>
      <c r="Y242" s="184"/>
      <c r="AE242" s="101"/>
      <c r="AF242" s="101"/>
      <c r="AG242" s="101"/>
    </row>
    <row r="243" spans="1:33" x14ac:dyDescent="0.25">
      <c r="A243" t="s">
        <v>518</v>
      </c>
      <c r="B243" t="s">
        <v>314</v>
      </c>
      <c r="C243">
        <f t="shared" si="20"/>
        <v>271450</v>
      </c>
      <c r="D243">
        <v>63584</v>
      </c>
      <c r="E243">
        <v>207866</v>
      </c>
      <c r="F243">
        <v>157670</v>
      </c>
      <c r="G243">
        <v>8052</v>
      </c>
      <c r="H243">
        <v>10731</v>
      </c>
      <c r="I243">
        <v>3666</v>
      </c>
      <c r="J243">
        <v>85584</v>
      </c>
      <c r="K243">
        <v>105904</v>
      </c>
      <c r="L243">
        <v>8627</v>
      </c>
      <c r="M243">
        <v>4736</v>
      </c>
      <c r="N243">
        <v>30227</v>
      </c>
      <c r="O243">
        <v>12473</v>
      </c>
      <c r="P243">
        <f t="shared" si="21"/>
        <v>113292000</v>
      </c>
      <c r="Q243">
        <v>79566000</v>
      </c>
      <c r="R243">
        <v>33726000</v>
      </c>
      <c r="S243">
        <v>228000</v>
      </c>
      <c r="T243" s="101">
        <f t="shared" si="18"/>
        <v>280069290</v>
      </c>
      <c r="U243" s="101">
        <f t="shared" si="22"/>
        <v>8619290</v>
      </c>
      <c r="V243" s="101">
        <f t="shared" si="19"/>
        <v>8619290</v>
      </c>
      <c r="W243" s="101">
        <v>3576929</v>
      </c>
      <c r="X243" s="149">
        <f t="shared" si="23"/>
        <v>2.4096899882552884E-3</v>
      </c>
      <c r="Y243" s="184"/>
      <c r="AE243" s="101"/>
      <c r="AF243" s="101"/>
      <c r="AG243" s="101"/>
    </row>
    <row r="244" spans="1:33" x14ac:dyDescent="0.25">
      <c r="A244" t="s">
        <v>517</v>
      </c>
      <c r="B244" t="s">
        <v>200</v>
      </c>
      <c r="C244">
        <f t="shared" si="20"/>
        <v>450</v>
      </c>
      <c r="D244">
        <v>391</v>
      </c>
      <c r="E244">
        <v>59</v>
      </c>
      <c r="F244">
        <v>0</v>
      </c>
      <c r="G244">
        <v>0</v>
      </c>
      <c r="H244">
        <v>0</v>
      </c>
      <c r="I244">
        <v>0</v>
      </c>
      <c r="J244">
        <v>160</v>
      </c>
      <c r="K244">
        <v>189</v>
      </c>
      <c r="L244">
        <v>26</v>
      </c>
      <c r="M244">
        <v>80</v>
      </c>
      <c r="N244">
        <v>50</v>
      </c>
      <c r="O244">
        <v>1</v>
      </c>
      <c r="P244">
        <f t="shared" si="21"/>
        <v>418000</v>
      </c>
      <c r="Q244">
        <v>391000</v>
      </c>
      <c r="R244">
        <v>27000</v>
      </c>
      <c r="S244">
        <v>201000</v>
      </c>
      <c r="T244" s="101">
        <f t="shared" si="18"/>
        <v>847725</v>
      </c>
      <c r="U244" s="101">
        <f t="shared" si="22"/>
        <v>397725</v>
      </c>
      <c r="V244" s="101">
        <f t="shared" si="19"/>
        <v>397725</v>
      </c>
      <c r="W244" s="101">
        <v>4262</v>
      </c>
      <c r="X244" s="149">
        <f t="shared" si="23"/>
        <v>9.3318864382918823E-2</v>
      </c>
      <c r="Y244" s="184"/>
      <c r="AE244" s="101"/>
      <c r="AF244" s="101"/>
      <c r="AG244" s="101"/>
    </row>
    <row r="245" spans="1:33" x14ac:dyDescent="0.25">
      <c r="A245" t="s">
        <v>522</v>
      </c>
      <c r="B245" t="s">
        <v>384</v>
      </c>
      <c r="C245">
        <f t="shared" si="20"/>
        <v>3927</v>
      </c>
      <c r="D245">
        <v>2822</v>
      </c>
      <c r="E245">
        <v>1105</v>
      </c>
      <c r="F245">
        <v>17</v>
      </c>
      <c r="G245">
        <v>0</v>
      </c>
      <c r="H245">
        <v>116</v>
      </c>
      <c r="I245">
        <v>18</v>
      </c>
      <c r="J245">
        <v>2345</v>
      </c>
      <c r="K245">
        <v>2811</v>
      </c>
      <c r="L245">
        <v>264</v>
      </c>
      <c r="M245">
        <v>26</v>
      </c>
      <c r="N245">
        <v>606</v>
      </c>
      <c r="O245">
        <v>22</v>
      </c>
      <c r="P245">
        <f t="shared" si="21"/>
        <v>3174000</v>
      </c>
      <c r="Q245">
        <v>2754000</v>
      </c>
      <c r="R245">
        <v>420000</v>
      </c>
      <c r="S245">
        <v>209000</v>
      </c>
      <c r="T245" s="101">
        <f t="shared" si="18"/>
        <v>6846570</v>
      </c>
      <c r="U245" s="101">
        <f t="shared" si="22"/>
        <v>2919570</v>
      </c>
      <c r="V245" s="101">
        <f t="shared" si="19"/>
        <v>2919570</v>
      </c>
      <c r="W245" s="101">
        <v>69827</v>
      </c>
      <c r="X245" s="149">
        <f t="shared" si="23"/>
        <v>4.1811476935855761E-2</v>
      </c>
      <c r="Y245" s="184"/>
      <c r="AE245" s="101"/>
      <c r="AF245" s="101"/>
      <c r="AG245" s="101"/>
    </row>
    <row r="246" spans="1:33" x14ac:dyDescent="0.25">
      <c r="A246" t="s">
        <v>522</v>
      </c>
      <c r="B246" t="s">
        <v>269</v>
      </c>
      <c r="C246">
        <f t="shared" si="20"/>
        <v>10793</v>
      </c>
      <c r="D246">
        <v>7339</v>
      </c>
      <c r="E246">
        <v>3454</v>
      </c>
      <c r="F246">
        <v>6</v>
      </c>
      <c r="G246">
        <v>124</v>
      </c>
      <c r="H246">
        <v>1465</v>
      </c>
      <c r="I246">
        <v>1911</v>
      </c>
      <c r="J246">
        <v>4978</v>
      </c>
      <c r="K246">
        <v>7142</v>
      </c>
      <c r="L246">
        <v>491</v>
      </c>
      <c r="M246">
        <v>288</v>
      </c>
      <c r="N246">
        <v>1200</v>
      </c>
      <c r="O246">
        <v>164</v>
      </c>
      <c r="P246">
        <f t="shared" si="21"/>
        <v>6759000</v>
      </c>
      <c r="Q246">
        <v>5857000</v>
      </c>
      <c r="R246">
        <v>902000</v>
      </c>
      <c r="S246">
        <v>185000</v>
      </c>
      <c r="T246" s="101">
        <f t="shared" si="18"/>
        <v>14594205</v>
      </c>
      <c r="U246" s="101">
        <f t="shared" si="22"/>
        <v>3801205</v>
      </c>
      <c r="V246" s="101">
        <f t="shared" si="19"/>
        <v>3801205</v>
      </c>
      <c r="W246" s="101">
        <v>118140</v>
      </c>
      <c r="X246" s="149">
        <f t="shared" si="23"/>
        <v>3.2175427458947012E-2</v>
      </c>
      <c r="Y246" s="184"/>
      <c r="AE246" s="101"/>
      <c r="AF246" s="101"/>
      <c r="AG246" s="101"/>
    </row>
    <row r="247" spans="1:33" x14ac:dyDescent="0.25">
      <c r="A247" t="s">
        <v>513</v>
      </c>
      <c r="B247" t="s">
        <v>201</v>
      </c>
      <c r="C247">
        <f t="shared" si="20"/>
        <v>2153</v>
      </c>
      <c r="D247">
        <v>1484</v>
      </c>
      <c r="E247">
        <v>669</v>
      </c>
      <c r="F247">
        <v>0</v>
      </c>
      <c r="G247">
        <v>0</v>
      </c>
      <c r="H247">
        <v>157</v>
      </c>
      <c r="I247">
        <v>43</v>
      </c>
      <c r="J247">
        <v>1244</v>
      </c>
      <c r="K247">
        <v>955</v>
      </c>
      <c r="L247">
        <v>159</v>
      </c>
      <c r="M247">
        <v>150</v>
      </c>
      <c r="N247">
        <v>419</v>
      </c>
      <c r="O247">
        <v>71</v>
      </c>
      <c r="P247">
        <f t="shared" si="21"/>
        <v>1440000</v>
      </c>
      <c r="Q247">
        <v>1259000</v>
      </c>
      <c r="R247">
        <v>181000</v>
      </c>
      <c r="S247">
        <v>207000</v>
      </c>
      <c r="T247" s="101">
        <f t="shared" si="18"/>
        <v>3088005</v>
      </c>
      <c r="U247" s="101">
        <f t="shared" si="22"/>
        <v>935005</v>
      </c>
      <c r="V247" s="101">
        <f t="shared" si="19"/>
        <v>935005</v>
      </c>
      <c r="W247" s="101">
        <v>23305</v>
      </c>
      <c r="X247" s="149">
        <f t="shared" si="23"/>
        <v>4.0120360437674321E-2</v>
      </c>
      <c r="Y247" s="184"/>
      <c r="AE247" s="101"/>
      <c r="AF247" s="101"/>
      <c r="AG247" s="101"/>
    </row>
    <row r="248" spans="1:33" x14ac:dyDescent="0.25">
      <c r="A248" t="s">
        <v>517</v>
      </c>
      <c r="B248" t="s">
        <v>315</v>
      </c>
      <c r="C248">
        <f t="shared" si="20"/>
        <v>15655</v>
      </c>
      <c r="D248">
        <v>7800</v>
      </c>
      <c r="E248">
        <v>7855</v>
      </c>
      <c r="F248">
        <v>3533</v>
      </c>
      <c r="G248">
        <v>154</v>
      </c>
      <c r="H248">
        <v>300</v>
      </c>
      <c r="I248">
        <v>196</v>
      </c>
      <c r="J248">
        <v>10416</v>
      </c>
      <c r="K248">
        <v>13217</v>
      </c>
      <c r="L248">
        <v>1006</v>
      </c>
      <c r="M248">
        <v>0</v>
      </c>
      <c r="N248">
        <v>2198</v>
      </c>
      <c r="O248">
        <v>1566</v>
      </c>
      <c r="P248">
        <f t="shared" si="21"/>
        <v>9927000</v>
      </c>
      <c r="Q248">
        <v>8299000</v>
      </c>
      <c r="R248">
        <v>1628000</v>
      </c>
      <c r="S248">
        <v>166000</v>
      </c>
      <c r="T248" s="101">
        <f t="shared" si="18"/>
        <v>22012275</v>
      </c>
      <c r="U248" s="101">
        <f t="shared" si="22"/>
        <v>6357275</v>
      </c>
      <c r="V248" s="101">
        <f t="shared" si="19"/>
        <v>6357275</v>
      </c>
      <c r="W248" s="101">
        <v>322326</v>
      </c>
      <c r="X248" s="149">
        <f t="shared" si="23"/>
        <v>1.9723121932453479E-2</v>
      </c>
      <c r="Y248" s="184"/>
      <c r="AE248" s="101"/>
      <c r="AF248" s="101"/>
      <c r="AG248" s="101"/>
    </row>
    <row r="249" spans="1:33" x14ac:dyDescent="0.25">
      <c r="A249" t="s">
        <v>515</v>
      </c>
      <c r="B249" t="s">
        <v>133</v>
      </c>
      <c r="C249">
        <f t="shared" si="20"/>
        <v>565</v>
      </c>
      <c r="D249">
        <v>371</v>
      </c>
      <c r="E249">
        <v>194</v>
      </c>
      <c r="F249">
        <v>0</v>
      </c>
      <c r="G249">
        <v>0</v>
      </c>
      <c r="H249">
        <v>1299</v>
      </c>
      <c r="I249">
        <v>282</v>
      </c>
      <c r="J249">
        <v>188</v>
      </c>
      <c r="K249">
        <v>373</v>
      </c>
      <c r="L249">
        <v>18</v>
      </c>
      <c r="M249">
        <v>29</v>
      </c>
      <c r="N249">
        <v>101</v>
      </c>
      <c r="O249">
        <v>69</v>
      </c>
      <c r="P249">
        <f t="shared" si="21"/>
        <v>432000</v>
      </c>
      <c r="Q249">
        <v>377000</v>
      </c>
      <c r="R249">
        <v>55000</v>
      </c>
      <c r="S249">
        <v>469000</v>
      </c>
      <c r="T249" s="101">
        <f t="shared" si="18"/>
        <v>927735</v>
      </c>
      <c r="U249" s="101">
        <f t="shared" si="22"/>
        <v>362735</v>
      </c>
      <c r="V249" s="101">
        <f t="shared" si="19"/>
        <v>362735</v>
      </c>
      <c r="W249" s="101">
        <v>8113</v>
      </c>
      <c r="X249" s="149">
        <f t="shared" si="23"/>
        <v>4.4710341427338839E-2</v>
      </c>
      <c r="Y249" s="184"/>
      <c r="AE249" s="101"/>
      <c r="AF249" s="101"/>
      <c r="AG249" s="101"/>
    </row>
    <row r="250" spans="1:33" x14ac:dyDescent="0.25">
      <c r="A250" t="s">
        <v>522</v>
      </c>
      <c r="B250" t="s">
        <v>335</v>
      </c>
      <c r="C250">
        <f t="shared" si="20"/>
        <v>10783</v>
      </c>
      <c r="D250">
        <v>7337</v>
      </c>
      <c r="E250">
        <v>3446</v>
      </c>
      <c r="F250">
        <v>1908</v>
      </c>
      <c r="G250">
        <v>241</v>
      </c>
      <c r="H250">
        <v>9383</v>
      </c>
      <c r="I250">
        <v>3434</v>
      </c>
      <c r="J250">
        <v>7025</v>
      </c>
      <c r="K250">
        <v>4860</v>
      </c>
      <c r="L250">
        <v>416</v>
      </c>
      <c r="M250">
        <v>516</v>
      </c>
      <c r="N250">
        <v>1877</v>
      </c>
      <c r="O250">
        <v>1194</v>
      </c>
      <c r="P250">
        <f t="shared" si="21"/>
        <v>6469000</v>
      </c>
      <c r="Q250">
        <v>5414000</v>
      </c>
      <c r="R250">
        <v>1055000</v>
      </c>
      <c r="S250">
        <v>244000</v>
      </c>
      <c r="T250" s="101">
        <f t="shared" si="18"/>
        <v>14333220</v>
      </c>
      <c r="U250" s="101">
        <f t="shared" si="22"/>
        <v>3550220</v>
      </c>
      <c r="V250" s="101">
        <f t="shared" si="19"/>
        <v>3550220</v>
      </c>
      <c r="W250" s="101">
        <v>121305</v>
      </c>
      <c r="X250" s="149">
        <f t="shared" si="23"/>
        <v>2.9266889246115164E-2</v>
      </c>
      <c r="Y250" s="184"/>
      <c r="AE250" s="101"/>
      <c r="AF250" s="101"/>
      <c r="AG250" s="101"/>
    </row>
    <row r="251" spans="1:33" x14ac:dyDescent="0.25">
      <c r="A251" t="s">
        <v>514</v>
      </c>
      <c r="B251" t="s">
        <v>441</v>
      </c>
      <c r="C251">
        <f t="shared" si="20"/>
        <v>112136</v>
      </c>
      <c r="D251">
        <v>41494</v>
      </c>
      <c r="E251">
        <v>70642</v>
      </c>
      <c r="F251">
        <v>79456</v>
      </c>
      <c r="G251">
        <v>140</v>
      </c>
      <c r="H251">
        <v>14241</v>
      </c>
      <c r="I251">
        <v>3137</v>
      </c>
      <c r="J251">
        <v>44403</v>
      </c>
      <c r="K251">
        <v>87151</v>
      </c>
      <c r="L251">
        <v>8120</v>
      </c>
      <c r="M251">
        <v>2156</v>
      </c>
      <c r="N251">
        <v>25444</v>
      </c>
      <c r="O251">
        <v>5143</v>
      </c>
      <c r="P251">
        <f t="shared" si="21"/>
        <v>91625000</v>
      </c>
      <c r="Q251">
        <v>77256000</v>
      </c>
      <c r="R251">
        <v>14369000</v>
      </c>
      <c r="S251">
        <v>231000</v>
      </c>
      <c r="T251" s="101">
        <f t="shared" si="18"/>
        <v>201918570</v>
      </c>
      <c r="U251" s="101">
        <f t="shared" si="22"/>
        <v>89782570</v>
      </c>
      <c r="V251" s="101">
        <f t="shared" si="19"/>
        <v>89782570</v>
      </c>
      <c r="W251" s="101">
        <v>2529529</v>
      </c>
      <c r="X251" s="149">
        <f t="shared" si="23"/>
        <v>3.549378955528875E-2</v>
      </c>
      <c r="Y251" s="184"/>
      <c r="AE251" s="101"/>
      <c r="AF251" s="101"/>
      <c r="AG251" s="101"/>
    </row>
    <row r="252" spans="1:33" x14ac:dyDescent="0.25">
      <c r="A252" t="s">
        <v>515</v>
      </c>
      <c r="B252" t="s">
        <v>476</v>
      </c>
      <c r="C252">
        <f t="shared" si="20"/>
        <v>44078</v>
      </c>
      <c r="D252">
        <v>18350</v>
      </c>
      <c r="E252">
        <v>25728</v>
      </c>
      <c r="F252">
        <v>21118</v>
      </c>
      <c r="G252">
        <v>592</v>
      </c>
      <c r="H252">
        <v>1366</v>
      </c>
      <c r="I252">
        <v>979</v>
      </c>
      <c r="J252">
        <v>11627</v>
      </c>
      <c r="K252">
        <v>16500</v>
      </c>
      <c r="L252">
        <v>2076</v>
      </c>
      <c r="M252">
        <v>134</v>
      </c>
      <c r="N252">
        <v>4296</v>
      </c>
      <c r="O252">
        <v>2301</v>
      </c>
      <c r="P252">
        <f t="shared" si="21"/>
        <v>27702000</v>
      </c>
      <c r="Q252">
        <v>22940000</v>
      </c>
      <c r="R252">
        <v>4762000</v>
      </c>
      <c r="S252">
        <v>260000</v>
      </c>
      <c r="T252" s="101">
        <f t="shared" si="18"/>
        <v>61843920</v>
      </c>
      <c r="U252" s="101">
        <f t="shared" si="22"/>
        <v>17765920</v>
      </c>
      <c r="V252" s="101">
        <f t="shared" si="19"/>
        <v>17765920</v>
      </c>
      <c r="W252" s="101">
        <v>695433</v>
      </c>
      <c r="X252" s="149">
        <f t="shared" si="23"/>
        <v>2.5546558762670164E-2</v>
      </c>
      <c r="Y252" s="184"/>
      <c r="AE252" s="101"/>
      <c r="AF252" s="101"/>
      <c r="AG252" s="101"/>
    </row>
    <row r="253" spans="1:33" x14ac:dyDescent="0.25">
      <c r="A253" t="s">
        <v>517</v>
      </c>
      <c r="B253" t="s">
        <v>418</v>
      </c>
      <c r="C253">
        <f t="shared" si="20"/>
        <v>2145</v>
      </c>
      <c r="D253">
        <v>1857</v>
      </c>
      <c r="E253">
        <v>288</v>
      </c>
      <c r="F253">
        <v>2</v>
      </c>
      <c r="G253">
        <v>0</v>
      </c>
      <c r="H253">
        <v>59</v>
      </c>
      <c r="I253">
        <v>79</v>
      </c>
      <c r="J253">
        <v>1214</v>
      </c>
      <c r="K253">
        <v>1254</v>
      </c>
      <c r="L253">
        <v>95</v>
      </c>
      <c r="M253">
        <v>30</v>
      </c>
      <c r="N253">
        <v>70</v>
      </c>
      <c r="O253">
        <v>9</v>
      </c>
      <c r="P253">
        <f t="shared" si="21"/>
        <v>1122000</v>
      </c>
      <c r="Q253">
        <v>1028000</v>
      </c>
      <c r="R253">
        <v>94000</v>
      </c>
      <c r="S253">
        <v>156000</v>
      </c>
      <c r="T253" s="101">
        <f t="shared" ref="T253:T316" si="24">0.1905*SUM(Q253,R253,R253)*10</f>
        <v>2316480</v>
      </c>
      <c r="U253" s="101">
        <f t="shared" si="22"/>
        <v>171480</v>
      </c>
      <c r="V253" s="101">
        <f t="shared" ref="V253:V316" si="25">IF(U253&gt;0,U253,0)</f>
        <v>171480</v>
      </c>
      <c r="W253" s="101">
        <v>26726</v>
      </c>
      <c r="X253" s="149">
        <f t="shared" si="23"/>
        <v>6.4162239018184537E-3</v>
      </c>
      <c r="Y253" s="184"/>
      <c r="AE253" s="101"/>
      <c r="AF253" s="101"/>
      <c r="AG253" s="101"/>
    </row>
    <row r="254" spans="1:33" x14ac:dyDescent="0.25">
      <c r="A254" t="s">
        <v>516</v>
      </c>
      <c r="B254" t="s">
        <v>385</v>
      </c>
      <c r="C254">
        <f t="shared" si="20"/>
        <v>7450</v>
      </c>
      <c r="D254">
        <v>6004</v>
      </c>
      <c r="E254">
        <v>1446</v>
      </c>
      <c r="F254">
        <v>0</v>
      </c>
      <c r="G254">
        <v>0</v>
      </c>
      <c r="H254">
        <v>144</v>
      </c>
      <c r="I254">
        <v>0</v>
      </c>
      <c r="J254">
        <v>1842</v>
      </c>
      <c r="K254">
        <v>3377</v>
      </c>
      <c r="L254">
        <v>426</v>
      </c>
      <c r="M254">
        <v>3</v>
      </c>
      <c r="N254">
        <v>537</v>
      </c>
      <c r="O254">
        <v>75</v>
      </c>
      <c r="P254">
        <f t="shared" si="21"/>
        <v>4651000</v>
      </c>
      <c r="Q254">
        <v>4279000</v>
      </c>
      <c r="R254">
        <v>372000</v>
      </c>
      <c r="S254">
        <v>247000</v>
      </c>
      <c r="T254" s="101">
        <f t="shared" si="24"/>
        <v>9568815</v>
      </c>
      <c r="U254" s="101">
        <f t="shared" si="22"/>
        <v>2118815</v>
      </c>
      <c r="V254" s="101">
        <f t="shared" si="25"/>
        <v>2118815</v>
      </c>
      <c r="W254" s="101">
        <v>66651</v>
      </c>
      <c r="X254" s="149">
        <f t="shared" si="23"/>
        <v>3.1789695578460939E-2</v>
      </c>
      <c r="Y254" s="184"/>
      <c r="AE254" s="101"/>
      <c r="AF254" s="101"/>
      <c r="AG254" s="101"/>
    </row>
    <row r="255" spans="1:33" x14ac:dyDescent="0.25">
      <c r="A255" t="s">
        <v>524</v>
      </c>
      <c r="B255" t="s">
        <v>419</v>
      </c>
      <c r="C255">
        <f t="shared" si="20"/>
        <v>55937</v>
      </c>
      <c r="D255">
        <v>19043</v>
      </c>
      <c r="E255">
        <v>36894</v>
      </c>
      <c r="F255">
        <v>5834</v>
      </c>
      <c r="G255">
        <v>67</v>
      </c>
      <c r="H255">
        <v>278</v>
      </c>
      <c r="I255">
        <v>677</v>
      </c>
      <c r="J255">
        <v>10222</v>
      </c>
      <c r="K255">
        <v>12962</v>
      </c>
      <c r="L255">
        <v>959</v>
      </c>
      <c r="M255">
        <v>471</v>
      </c>
      <c r="N255">
        <v>2152</v>
      </c>
      <c r="O255">
        <v>600</v>
      </c>
      <c r="P255">
        <f t="shared" si="21"/>
        <v>12563000</v>
      </c>
      <c r="Q255">
        <v>9440000</v>
      </c>
      <c r="R255">
        <v>3123000</v>
      </c>
      <c r="S255">
        <v>235000</v>
      </c>
      <c r="T255" s="101">
        <f t="shared" si="24"/>
        <v>29881830</v>
      </c>
      <c r="U255" s="101">
        <f t="shared" si="22"/>
        <v>-26055170</v>
      </c>
      <c r="V255" s="101">
        <f t="shared" si="25"/>
        <v>0</v>
      </c>
      <c r="W255" s="101">
        <v>367317</v>
      </c>
      <c r="X255" s="149">
        <f t="shared" si="23"/>
        <v>-7.0933743877903827E-2</v>
      </c>
      <c r="Y255" s="184"/>
      <c r="AE255" s="101"/>
      <c r="AF255" s="101"/>
      <c r="AG255" s="101"/>
    </row>
    <row r="256" spans="1:33" x14ac:dyDescent="0.25">
      <c r="A256" t="s">
        <v>517</v>
      </c>
      <c r="B256" t="s">
        <v>316</v>
      </c>
      <c r="C256">
        <f t="shared" si="20"/>
        <v>4108</v>
      </c>
      <c r="D256">
        <v>2251</v>
      </c>
      <c r="E256">
        <v>1857</v>
      </c>
      <c r="F256">
        <v>0</v>
      </c>
      <c r="G256">
        <v>43</v>
      </c>
      <c r="H256">
        <v>0</v>
      </c>
      <c r="I256">
        <v>270</v>
      </c>
      <c r="J256">
        <v>3372</v>
      </c>
      <c r="K256">
        <v>3474</v>
      </c>
      <c r="L256">
        <v>208</v>
      </c>
      <c r="M256">
        <v>482</v>
      </c>
      <c r="N256">
        <v>483</v>
      </c>
      <c r="O256">
        <v>202</v>
      </c>
      <c r="P256">
        <f t="shared" si="21"/>
        <v>3216000</v>
      </c>
      <c r="Q256">
        <v>2587000</v>
      </c>
      <c r="R256">
        <v>629000</v>
      </c>
      <c r="S256">
        <v>212000</v>
      </c>
      <c r="T256" s="101">
        <f t="shared" si="24"/>
        <v>7324725</v>
      </c>
      <c r="U256" s="101">
        <f t="shared" si="22"/>
        <v>3216725</v>
      </c>
      <c r="V256" s="101">
        <f t="shared" si="25"/>
        <v>3216725</v>
      </c>
      <c r="W256" s="101">
        <v>73174</v>
      </c>
      <c r="X256" s="149">
        <f t="shared" si="23"/>
        <v>4.3959944789132753E-2</v>
      </c>
      <c r="Y256" s="184"/>
      <c r="AE256" s="101"/>
      <c r="AF256" s="101"/>
      <c r="AG256" s="101"/>
    </row>
    <row r="257" spans="1:33" x14ac:dyDescent="0.25">
      <c r="A257" t="s">
        <v>513</v>
      </c>
      <c r="B257" t="s">
        <v>336</v>
      </c>
      <c r="C257">
        <f t="shared" ref="C257:C320" si="26">SUM(D257:E257)</f>
        <v>6638</v>
      </c>
      <c r="D257">
        <v>4165</v>
      </c>
      <c r="E257">
        <v>2473</v>
      </c>
      <c r="F257">
        <v>2225</v>
      </c>
      <c r="G257">
        <v>235</v>
      </c>
      <c r="H257">
        <v>4705</v>
      </c>
      <c r="I257">
        <v>3192</v>
      </c>
      <c r="J257">
        <v>4798</v>
      </c>
      <c r="K257">
        <v>3569</v>
      </c>
      <c r="L257">
        <v>526</v>
      </c>
      <c r="M257">
        <v>396</v>
      </c>
      <c r="N257">
        <v>1651</v>
      </c>
      <c r="O257">
        <v>102</v>
      </c>
      <c r="P257">
        <f t="shared" ref="P257:P320" si="27">SUM(Q257:R257)</f>
        <v>5278000</v>
      </c>
      <c r="Q257">
        <v>4585000</v>
      </c>
      <c r="R257">
        <v>693000</v>
      </c>
      <c r="S257">
        <v>256000</v>
      </c>
      <c r="T257" s="101">
        <f t="shared" si="24"/>
        <v>11374755</v>
      </c>
      <c r="U257" s="101">
        <f t="shared" ref="U257:U320" si="28">SUM(T257,-C257*1000)</f>
        <v>4736755</v>
      </c>
      <c r="V257" s="101">
        <f t="shared" si="25"/>
        <v>4736755</v>
      </c>
      <c r="W257" s="101">
        <v>77206</v>
      </c>
      <c r="X257" s="149">
        <f t="shared" ref="X257:X320" si="29">U257/(W257*1000)</f>
        <v>6.1352161749086857E-2</v>
      </c>
      <c r="Y257" s="184"/>
      <c r="AE257" s="101"/>
      <c r="AF257" s="101"/>
      <c r="AG257" s="101"/>
    </row>
    <row r="258" spans="1:33" x14ac:dyDescent="0.25">
      <c r="A258" t="s">
        <v>522</v>
      </c>
      <c r="B258" t="s">
        <v>134</v>
      </c>
      <c r="C258">
        <f t="shared" si="26"/>
        <v>15217</v>
      </c>
      <c r="D258">
        <v>7247</v>
      </c>
      <c r="E258">
        <v>7970</v>
      </c>
      <c r="F258">
        <v>3057</v>
      </c>
      <c r="G258">
        <v>0</v>
      </c>
      <c r="H258">
        <v>0</v>
      </c>
      <c r="I258">
        <v>394</v>
      </c>
      <c r="J258">
        <v>7793</v>
      </c>
      <c r="K258">
        <v>6556</v>
      </c>
      <c r="L258">
        <v>646</v>
      </c>
      <c r="M258">
        <v>441</v>
      </c>
      <c r="N258">
        <v>1175</v>
      </c>
      <c r="O258">
        <v>283</v>
      </c>
      <c r="P258">
        <f t="shared" si="27"/>
        <v>6640000</v>
      </c>
      <c r="Q258">
        <v>5363000</v>
      </c>
      <c r="R258">
        <v>1277000</v>
      </c>
      <c r="S258">
        <v>171000</v>
      </c>
      <c r="T258" s="101">
        <f t="shared" si="24"/>
        <v>15081885</v>
      </c>
      <c r="U258" s="101">
        <f t="shared" si="28"/>
        <v>-135115</v>
      </c>
      <c r="V258" s="101">
        <f t="shared" si="25"/>
        <v>0</v>
      </c>
      <c r="W258" s="101">
        <v>197127</v>
      </c>
      <c r="X258" s="149">
        <f t="shared" si="29"/>
        <v>-6.8542107372404593E-4</v>
      </c>
      <c r="Y258" s="184"/>
      <c r="AE258" s="101"/>
      <c r="AF258" s="101"/>
      <c r="AG258" s="101"/>
    </row>
    <row r="259" spans="1:33" x14ac:dyDescent="0.25">
      <c r="A259" t="s">
        <v>513</v>
      </c>
      <c r="B259" t="s">
        <v>227</v>
      </c>
      <c r="C259">
        <f t="shared" si="26"/>
        <v>9958</v>
      </c>
      <c r="D259">
        <v>6074</v>
      </c>
      <c r="E259">
        <v>3884</v>
      </c>
      <c r="F259">
        <v>11</v>
      </c>
      <c r="G259">
        <v>0</v>
      </c>
      <c r="H259">
        <v>0</v>
      </c>
      <c r="I259">
        <v>285</v>
      </c>
      <c r="J259">
        <v>4580</v>
      </c>
      <c r="K259">
        <v>5443</v>
      </c>
      <c r="L259">
        <v>465</v>
      </c>
      <c r="M259">
        <v>646</v>
      </c>
      <c r="N259">
        <v>1327</v>
      </c>
      <c r="O259">
        <v>124</v>
      </c>
      <c r="P259">
        <f t="shared" si="27"/>
        <v>8321000</v>
      </c>
      <c r="Q259">
        <v>7393000</v>
      </c>
      <c r="R259">
        <v>928000</v>
      </c>
      <c r="T259" s="101">
        <f t="shared" si="24"/>
        <v>17619345</v>
      </c>
      <c r="U259" s="101">
        <f t="shared" si="28"/>
        <v>7661345</v>
      </c>
      <c r="V259" s="101">
        <f t="shared" si="25"/>
        <v>7661345</v>
      </c>
      <c r="W259" s="101">
        <v>141152</v>
      </c>
      <c r="X259" s="149">
        <f t="shared" si="29"/>
        <v>5.4277268476535932E-2</v>
      </c>
      <c r="Y259" s="184"/>
      <c r="AE259" s="101"/>
      <c r="AF259" s="101"/>
      <c r="AG259" s="101"/>
    </row>
    <row r="260" spans="1:33" x14ac:dyDescent="0.25">
      <c r="A260" t="s">
        <v>513</v>
      </c>
      <c r="B260" t="s">
        <v>386</v>
      </c>
      <c r="C260">
        <f t="shared" si="26"/>
        <v>4410</v>
      </c>
      <c r="D260">
        <v>3012</v>
      </c>
      <c r="E260">
        <v>1398</v>
      </c>
      <c r="F260">
        <v>0</v>
      </c>
      <c r="G260">
        <v>0</v>
      </c>
      <c r="H260">
        <v>245</v>
      </c>
      <c r="I260">
        <v>96</v>
      </c>
      <c r="J260">
        <v>1687</v>
      </c>
      <c r="K260">
        <v>2164</v>
      </c>
      <c r="L260">
        <v>250</v>
      </c>
      <c r="M260">
        <v>0</v>
      </c>
      <c r="N260">
        <v>1023</v>
      </c>
      <c r="O260">
        <v>78</v>
      </c>
      <c r="P260">
        <f t="shared" si="27"/>
        <v>3035000</v>
      </c>
      <c r="Q260">
        <v>2532000</v>
      </c>
      <c r="R260">
        <v>503000</v>
      </c>
      <c r="S260">
        <v>299000</v>
      </c>
      <c r="T260" s="101">
        <f t="shared" si="24"/>
        <v>6739890</v>
      </c>
      <c r="U260" s="101">
        <f t="shared" si="28"/>
        <v>2329890</v>
      </c>
      <c r="V260" s="101">
        <f t="shared" si="25"/>
        <v>2329890</v>
      </c>
      <c r="W260" s="101">
        <v>49530</v>
      </c>
      <c r="X260" s="149">
        <f t="shared" si="29"/>
        <v>4.7039975772259233E-2</v>
      </c>
      <c r="Y260" s="184"/>
      <c r="AE260" s="101"/>
      <c r="AF260" s="101"/>
      <c r="AG260" s="101"/>
    </row>
    <row r="261" spans="1:33" x14ac:dyDescent="0.25">
      <c r="A261" t="s">
        <v>522</v>
      </c>
      <c r="B261" t="s">
        <v>387</v>
      </c>
      <c r="C261">
        <f t="shared" si="26"/>
        <v>4751</v>
      </c>
      <c r="D261">
        <v>2462</v>
      </c>
      <c r="E261">
        <v>2289</v>
      </c>
      <c r="F261">
        <v>0</v>
      </c>
      <c r="G261">
        <v>9</v>
      </c>
      <c r="H261">
        <v>0</v>
      </c>
      <c r="I261">
        <v>0</v>
      </c>
      <c r="J261">
        <v>1410</v>
      </c>
      <c r="K261">
        <v>2477</v>
      </c>
      <c r="L261">
        <v>220</v>
      </c>
      <c r="M261">
        <v>0</v>
      </c>
      <c r="N261">
        <v>741</v>
      </c>
      <c r="O261">
        <v>59</v>
      </c>
      <c r="P261">
        <f t="shared" si="27"/>
        <v>3425000</v>
      </c>
      <c r="Q261">
        <v>2739000</v>
      </c>
      <c r="R261">
        <v>686000</v>
      </c>
      <c r="S261">
        <v>165000</v>
      </c>
      <c r="T261" s="101">
        <f t="shared" si="24"/>
        <v>7831455</v>
      </c>
      <c r="U261" s="101">
        <f t="shared" si="28"/>
        <v>3080455</v>
      </c>
      <c r="V261" s="101">
        <f t="shared" si="25"/>
        <v>3080455</v>
      </c>
      <c r="W261" s="101">
        <v>42251</v>
      </c>
      <c r="X261" s="149">
        <f t="shared" si="29"/>
        <v>7.2908451870961635E-2</v>
      </c>
      <c r="Y261" s="184"/>
      <c r="AE261" s="101"/>
      <c r="AF261" s="101"/>
      <c r="AG261" s="101"/>
    </row>
    <row r="262" spans="1:33" x14ac:dyDescent="0.25">
      <c r="A262" t="s">
        <v>517</v>
      </c>
      <c r="B262" t="s">
        <v>123</v>
      </c>
      <c r="C262">
        <f t="shared" si="26"/>
        <v>8193</v>
      </c>
      <c r="D262">
        <v>5034</v>
      </c>
      <c r="E262">
        <v>3159</v>
      </c>
      <c r="F262">
        <v>0</v>
      </c>
      <c r="G262">
        <v>0</v>
      </c>
      <c r="H262">
        <v>173</v>
      </c>
      <c r="I262">
        <v>59</v>
      </c>
      <c r="J262">
        <v>2687</v>
      </c>
      <c r="K262">
        <v>3237</v>
      </c>
      <c r="L262">
        <v>301</v>
      </c>
      <c r="M262">
        <v>55</v>
      </c>
      <c r="N262">
        <v>450</v>
      </c>
      <c r="O262">
        <v>101</v>
      </c>
      <c r="P262">
        <f t="shared" si="27"/>
        <v>3113000</v>
      </c>
      <c r="Q262">
        <v>2635000</v>
      </c>
      <c r="R262">
        <v>478000</v>
      </c>
      <c r="S262">
        <v>187000</v>
      </c>
      <c r="T262" s="101">
        <f t="shared" si="24"/>
        <v>6840855</v>
      </c>
      <c r="U262" s="101">
        <f t="shared" si="28"/>
        <v>-1352145</v>
      </c>
      <c r="V262" s="101">
        <f t="shared" si="25"/>
        <v>0</v>
      </c>
      <c r="W262" s="101">
        <v>120376</v>
      </c>
      <c r="X262" s="149">
        <f t="shared" si="29"/>
        <v>-1.1232679271615604E-2</v>
      </c>
      <c r="Y262" s="184"/>
      <c r="AE262" s="101"/>
      <c r="AF262" s="101"/>
      <c r="AG262" s="101"/>
    </row>
    <row r="263" spans="1:33" x14ac:dyDescent="0.25">
      <c r="A263" t="s">
        <v>524</v>
      </c>
      <c r="B263" t="s">
        <v>156</v>
      </c>
      <c r="C263">
        <f t="shared" si="26"/>
        <v>4236</v>
      </c>
      <c r="D263">
        <v>2167</v>
      </c>
      <c r="E263">
        <v>2069</v>
      </c>
      <c r="F263">
        <v>0</v>
      </c>
      <c r="G263">
        <v>0</v>
      </c>
      <c r="H263">
        <v>95</v>
      </c>
      <c r="I263">
        <v>143</v>
      </c>
      <c r="J263">
        <v>1571</v>
      </c>
      <c r="K263">
        <v>1383</v>
      </c>
      <c r="L263">
        <v>199</v>
      </c>
      <c r="M263">
        <v>350</v>
      </c>
      <c r="N263">
        <v>733</v>
      </c>
      <c r="O263">
        <v>67</v>
      </c>
      <c r="P263">
        <f t="shared" si="27"/>
        <v>2166000</v>
      </c>
      <c r="Q263">
        <v>1657000</v>
      </c>
      <c r="R263">
        <v>509000</v>
      </c>
      <c r="S263">
        <v>195000</v>
      </c>
      <c r="T263" s="101">
        <f t="shared" si="24"/>
        <v>5095875</v>
      </c>
      <c r="U263" s="101">
        <f t="shared" si="28"/>
        <v>859875</v>
      </c>
      <c r="V263" s="101">
        <f t="shared" si="25"/>
        <v>859875</v>
      </c>
      <c r="W263" s="101">
        <v>41558</v>
      </c>
      <c r="X263" s="149">
        <f t="shared" si="29"/>
        <v>2.0690962028971558E-2</v>
      </c>
      <c r="Y263" s="184"/>
      <c r="AE263" s="101"/>
      <c r="AF263" s="101"/>
      <c r="AG263" s="101"/>
    </row>
    <row r="264" spans="1:33" x14ac:dyDescent="0.25">
      <c r="A264" t="s">
        <v>516</v>
      </c>
      <c r="B264" t="s">
        <v>270</v>
      </c>
      <c r="C264">
        <f t="shared" si="26"/>
        <v>4508</v>
      </c>
      <c r="D264">
        <v>3635</v>
      </c>
      <c r="E264">
        <v>873</v>
      </c>
      <c r="F264">
        <v>0</v>
      </c>
      <c r="G264">
        <v>0</v>
      </c>
      <c r="H264">
        <v>30</v>
      </c>
      <c r="I264">
        <v>138</v>
      </c>
      <c r="J264">
        <v>1658</v>
      </c>
      <c r="K264">
        <v>3308</v>
      </c>
      <c r="L264">
        <v>205</v>
      </c>
      <c r="M264">
        <v>9</v>
      </c>
      <c r="N264">
        <v>279</v>
      </c>
      <c r="O264">
        <v>43</v>
      </c>
      <c r="P264">
        <f t="shared" si="27"/>
        <v>2644000</v>
      </c>
      <c r="Q264">
        <v>2377000</v>
      </c>
      <c r="R264">
        <v>267000</v>
      </c>
      <c r="S264">
        <v>170000</v>
      </c>
      <c r="T264" s="101">
        <f t="shared" si="24"/>
        <v>5545455</v>
      </c>
      <c r="U264" s="101">
        <f t="shared" si="28"/>
        <v>1037455</v>
      </c>
      <c r="V264" s="101">
        <f t="shared" si="25"/>
        <v>1037455</v>
      </c>
      <c r="W264" s="101">
        <v>55053</v>
      </c>
      <c r="X264" s="149">
        <f t="shared" si="29"/>
        <v>1.8844658783354222E-2</v>
      </c>
      <c r="Y264" s="184"/>
      <c r="AE264" s="101"/>
      <c r="AF264" s="101"/>
      <c r="AG264" s="101"/>
    </row>
    <row r="265" spans="1:33" x14ac:dyDescent="0.25">
      <c r="A265" t="s">
        <v>520</v>
      </c>
      <c r="B265" t="s">
        <v>388</v>
      </c>
      <c r="C265">
        <f t="shared" si="26"/>
        <v>5102</v>
      </c>
      <c r="D265">
        <v>3004</v>
      </c>
      <c r="E265">
        <v>2098</v>
      </c>
      <c r="F265">
        <v>0</v>
      </c>
      <c r="G265">
        <v>0</v>
      </c>
      <c r="H265">
        <v>105</v>
      </c>
      <c r="I265">
        <v>92</v>
      </c>
      <c r="J265">
        <v>2002</v>
      </c>
      <c r="K265">
        <v>3816</v>
      </c>
      <c r="L265">
        <v>441</v>
      </c>
      <c r="M265">
        <v>33</v>
      </c>
      <c r="N265">
        <v>657</v>
      </c>
      <c r="O265">
        <v>64</v>
      </c>
      <c r="P265">
        <f t="shared" si="27"/>
        <v>3206000</v>
      </c>
      <c r="Q265">
        <v>2540000</v>
      </c>
      <c r="R265">
        <v>666000</v>
      </c>
      <c r="S265">
        <v>291000</v>
      </c>
      <c r="T265" s="101">
        <f t="shared" si="24"/>
        <v>7376160</v>
      </c>
      <c r="U265" s="101">
        <f t="shared" si="28"/>
        <v>2274160</v>
      </c>
      <c r="V265" s="101">
        <f t="shared" si="25"/>
        <v>2274160</v>
      </c>
      <c r="W265" s="101">
        <v>67689</v>
      </c>
      <c r="X265" s="149">
        <f t="shared" si="29"/>
        <v>3.3597187135280475E-2</v>
      </c>
      <c r="Y265" s="184"/>
      <c r="AE265" s="101"/>
      <c r="AF265" s="101"/>
      <c r="AG265" s="101"/>
    </row>
    <row r="266" spans="1:33" x14ac:dyDescent="0.25">
      <c r="A266" t="s">
        <v>513</v>
      </c>
      <c r="B266" t="s">
        <v>157</v>
      </c>
      <c r="C266">
        <f t="shared" si="26"/>
        <v>7971</v>
      </c>
      <c r="D266">
        <v>4761</v>
      </c>
      <c r="E266">
        <v>3210</v>
      </c>
      <c r="F266">
        <v>11</v>
      </c>
      <c r="G266">
        <v>0</v>
      </c>
      <c r="H266">
        <v>782</v>
      </c>
      <c r="I266">
        <v>853</v>
      </c>
      <c r="J266">
        <v>4661</v>
      </c>
      <c r="K266">
        <v>4199</v>
      </c>
      <c r="L266">
        <v>452</v>
      </c>
      <c r="M266">
        <v>593</v>
      </c>
      <c r="N266">
        <v>2015</v>
      </c>
      <c r="O266">
        <v>596</v>
      </c>
      <c r="P266">
        <f t="shared" si="27"/>
        <v>5774000</v>
      </c>
      <c r="Q266">
        <v>4835000</v>
      </c>
      <c r="R266">
        <v>939000</v>
      </c>
      <c r="T266" s="101">
        <f t="shared" si="24"/>
        <v>12788265</v>
      </c>
      <c r="U266" s="101">
        <f t="shared" si="28"/>
        <v>4817265</v>
      </c>
      <c r="V266" s="101">
        <f t="shared" si="25"/>
        <v>4817265</v>
      </c>
      <c r="W266" s="101">
        <v>134900</v>
      </c>
      <c r="X266" s="149">
        <f t="shared" si="29"/>
        <v>3.5709896219421791E-2</v>
      </c>
      <c r="Y266" s="184"/>
      <c r="AE266" s="101"/>
      <c r="AF266" s="101"/>
      <c r="AG266" s="101"/>
    </row>
    <row r="267" spans="1:33" x14ac:dyDescent="0.25">
      <c r="A267" t="s">
        <v>513</v>
      </c>
      <c r="B267" t="s">
        <v>727</v>
      </c>
      <c r="C267">
        <f t="shared" si="26"/>
        <v>5822</v>
      </c>
      <c r="D267">
        <v>3822</v>
      </c>
      <c r="E267">
        <v>2000</v>
      </c>
      <c r="F267">
        <v>12</v>
      </c>
      <c r="G267">
        <v>0</v>
      </c>
      <c r="H267">
        <v>169</v>
      </c>
      <c r="I267">
        <v>236</v>
      </c>
      <c r="J267">
        <v>2826</v>
      </c>
      <c r="K267">
        <v>3279</v>
      </c>
      <c r="L267">
        <v>317</v>
      </c>
      <c r="M267">
        <v>64</v>
      </c>
      <c r="N267">
        <v>237</v>
      </c>
      <c r="O267">
        <v>29</v>
      </c>
      <c r="P267">
        <f t="shared" si="27"/>
        <v>3075000</v>
      </c>
      <c r="Q267">
        <v>2733000</v>
      </c>
      <c r="R267">
        <v>342000</v>
      </c>
      <c r="S267">
        <v>303000</v>
      </c>
      <c r="T267" s="101">
        <f t="shared" si="24"/>
        <v>6509385</v>
      </c>
      <c r="U267" s="101">
        <f t="shared" si="28"/>
        <v>687385</v>
      </c>
      <c r="V267" s="101">
        <f t="shared" si="25"/>
        <v>687385</v>
      </c>
      <c r="W267" s="101">
        <v>63911</v>
      </c>
      <c r="X267" s="149">
        <f t="shared" si="29"/>
        <v>1.0755347279810987E-2</v>
      </c>
      <c r="Y267" s="184"/>
      <c r="AE267" s="101"/>
      <c r="AF267" s="101"/>
      <c r="AG267" s="101"/>
    </row>
    <row r="268" spans="1:33" x14ac:dyDescent="0.25">
      <c r="A268" t="s">
        <v>521</v>
      </c>
      <c r="B268" t="s">
        <v>228</v>
      </c>
      <c r="C268">
        <f t="shared" si="26"/>
        <v>13280</v>
      </c>
      <c r="D268">
        <v>9982</v>
      </c>
      <c r="E268">
        <v>3298</v>
      </c>
      <c r="F268">
        <v>57</v>
      </c>
      <c r="G268">
        <v>97</v>
      </c>
      <c r="H268">
        <v>298</v>
      </c>
      <c r="I268">
        <v>525</v>
      </c>
      <c r="J268">
        <v>7133</v>
      </c>
      <c r="K268">
        <v>7891</v>
      </c>
      <c r="L268">
        <v>835</v>
      </c>
      <c r="M268">
        <v>451</v>
      </c>
      <c r="N268">
        <v>1909</v>
      </c>
      <c r="O268">
        <v>239</v>
      </c>
      <c r="P268">
        <f t="shared" si="27"/>
        <v>11414000</v>
      </c>
      <c r="Q268">
        <v>10363000</v>
      </c>
      <c r="R268">
        <v>1051000</v>
      </c>
      <c r="S268">
        <v>149000</v>
      </c>
      <c r="T268" s="101">
        <f t="shared" si="24"/>
        <v>23745825</v>
      </c>
      <c r="U268" s="101">
        <f t="shared" si="28"/>
        <v>10465825</v>
      </c>
      <c r="V268" s="101">
        <f t="shared" si="25"/>
        <v>10465825</v>
      </c>
      <c r="W268" s="101">
        <v>145459</v>
      </c>
      <c r="X268" s="149">
        <f t="shared" si="29"/>
        <v>7.1950343395733501E-2</v>
      </c>
      <c r="Y268" s="184"/>
      <c r="AE268" s="101"/>
      <c r="AF268" s="101"/>
      <c r="AG268" s="101"/>
    </row>
    <row r="269" spans="1:33" x14ac:dyDescent="0.25">
      <c r="A269" t="s">
        <v>518</v>
      </c>
      <c r="B269" t="s">
        <v>438</v>
      </c>
      <c r="C269">
        <f t="shared" si="26"/>
        <v>22325</v>
      </c>
      <c r="D269">
        <v>12435</v>
      </c>
      <c r="E269">
        <v>9890</v>
      </c>
      <c r="F269">
        <v>2077</v>
      </c>
      <c r="G269">
        <v>105</v>
      </c>
      <c r="H269">
        <v>2272</v>
      </c>
      <c r="I269">
        <v>1989</v>
      </c>
      <c r="J269">
        <v>8477</v>
      </c>
      <c r="K269">
        <v>10783</v>
      </c>
      <c r="L269">
        <v>1318</v>
      </c>
      <c r="M269">
        <v>625</v>
      </c>
      <c r="N269">
        <v>2182</v>
      </c>
      <c r="O269">
        <v>1312</v>
      </c>
      <c r="P269">
        <f t="shared" si="27"/>
        <v>11338000</v>
      </c>
      <c r="Q269">
        <v>9376000</v>
      </c>
      <c r="R269">
        <v>1962000</v>
      </c>
      <c r="S269">
        <v>252000</v>
      </c>
      <c r="T269" s="101">
        <f t="shared" si="24"/>
        <v>25336500</v>
      </c>
      <c r="U269" s="101">
        <f t="shared" si="28"/>
        <v>3011500</v>
      </c>
      <c r="V269" s="101">
        <f t="shared" si="25"/>
        <v>3011500</v>
      </c>
      <c r="W269" s="101">
        <v>283890</v>
      </c>
      <c r="X269" s="149">
        <f t="shared" si="29"/>
        <v>1.0607981964845539E-2</v>
      </c>
      <c r="Y269" s="184"/>
      <c r="AE269" s="101"/>
      <c r="AF269" s="101"/>
      <c r="AG269" s="101"/>
    </row>
    <row r="270" spans="1:33" x14ac:dyDescent="0.25">
      <c r="A270" t="s">
        <v>514</v>
      </c>
      <c r="B270" t="s">
        <v>337</v>
      </c>
      <c r="C270">
        <f t="shared" si="26"/>
        <v>18584</v>
      </c>
      <c r="D270">
        <v>7543</v>
      </c>
      <c r="E270">
        <v>11041</v>
      </c>
      <c r="F270">
        <v>1143</v>
      </c>
      <c r="G270">
        <v>0</v>
      </c>
      <c r="H270">
        <v>441</v>
      </c>
      <c r="I270">
        <v>716</v>
      </c>
      <c r="J270">
        <v>5546</v>
      </c>
      <c r="K270">
        <v>8579</v>
      </c>
      <c r="L270">
        <v>601</v>
      </c>
      <c r="M270">
        <v>778</v>
      </c>
      <c r="N270">
        <v>1178</v>
      </c>
      <c r="O270">
        <v>183</v>
      </c>
      <c r="P270">
        <f t="shared" si="27"/>
        <v>7221000</v>
      </c>
      <c r="Q270">
        <v>5140000</v>
      </c>
      <c r="R270">
        <v>2081000</v>
      </c>
      <c r="S270">
        <v>206000</v>
      </c>
      <c r="T270" s="101">
        <f t="shared" si="24"/>
        <v>17720310</v>
      </c>
      <c r="U270" s="101">
        <f t="shared" si="28"/>
        <v>-863690</v>
      </c>
      <c r="V270" s="101">
        <f t="shared" si="25"/>
        <v>0</v>
      </c>
      <c r="W270" s="101">
        <v>175775</v>
      </c>
      <c r="X270" s="149">
        <f t="shared" si="29"/>
        <v>-4.9136111506186885E-3</v>
      </c>
      <c r="Y270" s="184"/>
      <c r="AE270" s="101"/>
      <c r="AF270" s="101"/>
      <c r="AG270" s="101"/>
    </row>
    <row r="271" spans="1:33" x14ac:dyDescent="0.25">
      <c r="A271" t="s">
        <v>513</v>
      </c>
      <c r="B271" t="s">
        <v>135</v>
      </c>
      <c r="C271">
        <f t="shared" si="26"/>
        <v>2120</v>
      </c>
      <c r="D271">
        <v>1228</v>
      </c>
      <c r="E271">
        <v>892</v>
      </c>
      <c r="F271">
        <v>0</v>
      </c>
      <c r="G271">
        <v>95</v>
      </c>
      <c r="H271">
        <v>3276</v>
      </c>
      <c r="I271">
        <v>817</v>
      </c>
      <c r="J271">
        <v>860</v>
      </c>
      <c r="K271">
        <v>847</v>
      </c>
      <c r="L271">
        <v>150</v>
      </c>
      <c r="M271">
        <v>7</v>
      </c>
      <c r="N271">
        <v>457</v>
      </c>
      <c r="O271">
        <v>277</v>
      </c>
      <c r="P271">
        <f t="shared" si="27"/>
        <v>1423000</v>
      </c>
      <c r="Q271">
        <v>1176000</v>
      </c>
      <c r="R271">
        <v>247000</v>
      </c>
      <c r="S271">
        <v>207000</v>
      </c>
      <c r="T271" s="101">
        <f t="shared" si="24"/>
        <v>3181350</v>
      </c>
      <c r="U271" s="101">
        <f t="shared" si="28"/>
        <v>1061350</v>
      </c>
      <c r="V271" s="101">
        <f t="shared" si="25"/>
        <v>1061350</v>
      </c>
      <c r="W271" s="101">
        <v>24365</v>
      </c>
      <c r="X271" s="149">
        <f t="shared" si="29"/>
        <v>4.3560435050277034E-2</v>
      </c>
      <c r="Y271" s="184"/>
      <c r="AE271" s="101"/>
      <c r="AF271" s="101"/>
      <c r="AG271" s="101"/>
    </row>
    <row r="272" spans="1:33" x14ac:dyDescent="0.25">
      <c r="A272" t="s">
        <v>518</v>
      </c>
      <c r="B272" t="s">
        <v>271</v>
      </c>
      <c r="C272">
        <f t="shared" si="26"/>
        <v>1955</v>
      </c>
      <c r="D272">
        <v>1168</v>
      </c>
      <c r="E272">
        <v>787</v>
      </c>
      <c r="F272">
        <v>4468</v>
      </c>
      <c r="G272">
        <v>181</v>
      </c>
      <c r="H272">
        <v>7956</v>
      </c>
      <c r="I272">
        <v>1395</v>
      </c>
      <c r="J272">
        <v>3560</v>
      </c>
      <c r="K272">
        <v>2116</v>
      </c>
      <c r="L272">
        <v>216</v>
      </c>
      <c r="M272">
        <v>65</v>
      </c>
      <c r="N272">
        <v>1088</v>
      </c>
      <c r="O272">
        <v>233</v>
      </c>
      <c r="P272">
        <f t="shared" si="27"/>
        <v>3695000</v>
      </c>
      <c r="Q272">
        <v>3016000</v>
      </c>
      <c r="R272">
        <v>679000</v>
      </c>
      <c r="S272">
        <v>200000</v>
      </c>
      <c r="T272" s="101">
        <f t="shared" si="24"/>
        <v>8332470</v>
      </c>
      <c r="U272" s="101">
        <f t="shared" si="28"/>
        <v>6377470</v>
      </c>
      <c r="V272" s="101">
        <f t="shared" si="25"/>
        <v>6377470</v>
      </c>
      <c r="W272" s="101">
        <v>59846</v>
      </c>
      <c r="X272" s="149">
        <f t="shared" si="29"/>
        <v>0.1065646826855596</v>
      </c>
      <c r="Y272" s="184"/>
      <c r="AE272" s="101"/>
      <c r="AF272" s="101"/>
      <c r="AG272" s="101"/>
    </row>
    <row r="273" spans="1:33" x14ac:dyDescent="0.25">
      <c r="A273" t="s">
        <v>522</v>
      </c>
      <c r="B273" t="s">
        <v>317</v>
      </c>
      <c r="C273">
        <f t="shared" si="26"/>
        <v>8271</v>
      </c>
      <c r="D273">
        <v>5567</v>
      </c>
      <c r="E273">
        <v>2704</v>
      </c>
      <c r="F273">
        <v>23</v>
      </c>
      <c r="G273">
        <v>90</v>
      </c>
      <c r="H273">
        <v>0</v>
      </c>
      <c r="I273">
        <v>138</v>
      </c>
      <c r="J273">
        <v>3162</v>
      </c>
      <c r="K273">
        <v>3862</v>
      </c>
      <c r="L273">
        <v>640</v>
      </c>
      <c r="M273">
        <v>0</v>
      </c>
      <c r="N273">
        <v>698</v>
      </c>
      <c r="O273">
        <v>218</v>
      </c>
      <c r="P273">
        <f t="shared" si="27"/>
        <v>6934000</v>
      </c>
      <c r="Q273">
        <v>6144000</v>
      </c>
      <c r="R273">
        <v>790000</v>
      </c>
      <c r="S273">
        <v>194000</v>
      </c>
      <c r="T273" s="101">
        <f t="shared" si="24"/>
        <v>14714220</v>
      </c>
      <c r="U273" s="101">
        <f t="shared" si="28"/>
        <v>6443220</v>
      </c>
      <c r="V273" s="101">
        <f t="shared" si="25"/>
        <v>6443220</v>
      </c>
      <c r="W273" s="101">
        <v>85819</v>
      </c>
      <c r="X273" s="149">
        <f t="shared" si="29"/>
        <v>7.5079178270546151E-2</v>
      </c>
      <c r="Y273" s="184"/>
      <c r="AE273" s="101"/>
      <c r="AF273" s="101"/>
      <c r="AG273" s="101"/>
    </row>
    <row r="274" spans="1:33" x14ac:dyDescent="0.25">
      <c r="A274" t="s">
        <v>520</v>
      </c>
      <c r="B274" t="s">
        <v>338</v>
      </c>
      <c r="C274">
        <f t="shared" si="26"/>
        <v>5360</v>
      </c>
      <c r="D274">
        <v>3081</v>
      </c>
      <c r="E274">
        <v>2279</v>
      </c>
      <c r="F274">
        <v>10</v>
      </c>
      <c r="G274">
        <v>12</v>
      </c>
      <c r="H274">
        <v>282</v>
      </c>
      <c r="I274">
        <v>249</v>
      </c>
      <c r="J274">
        <v>2266</v>
      </c>
      <c r="K274">
        <v>2744</v>
      </c>
      <c r="L274">
        <v>202</v>
      </c>
      <c r="M274">
        <v>553</v>
      </c>
      <c r="N274">
        <v>583</v>
      </c>
      <c r="O274">
        <v>190</v>
      </c>
      <c r="P274">
        <f t="shared" si="27"/>
        <v>2836000</v>
      </c>
      <c r="Q274">
        <v>2343000</v>
      </c>
      <c r="R274">
        <v>493000</v>
      </c>
      <c r="S274">
        <v>298000</v>
      </c>
      <c r="T274" s="101">
        <f t="shared" si="24"/>
        <v>6341745</v>
      </c>
      <c r="U274" s="101">
        <f t="shared" si="28"/>
        <v>981745</v>
      </c>
      <c r="V274" s="101">
        <f t="shared" si="25"/>
        <v>981745</v>
      </c>
      <c r="W274" s="101">
        <v>72395</v>
      </c>
      <c r="X274" s="149">
        <f t="shared" si="29"/>
        <v>1.3560950341874439E-2</v>
      </c>
      <c r="Y274" s="184"/>
      <c r="AE274" s="101"/>
      <c r="AF274" s="101"/>
      <c r="AG274" s="101"/>
    </row>
    <row r="275" spans="1:33" x14ac:dyDescent="0.25">
      <c r="A275" t="s">
        <v>516</v>
      </c>
      <c r="B275" t="s">
        <v>202</v>
      </c>
      <c r="C275">
        <f t="shared" si="26"/>
        <v>11365</v>
      </c>
      <c r="D275">
        <v>5785</v>
      </c>
      <c r="E275">
        <v>5580</v>
      </c>
      <c r="F275">
        <v>2512</v>
      </c>
      <c r="G275">
        <v>35</v>
      </c>
      <c r="H275">
        <v>228</v>
      </c>
      <c r="I275">
        <v>714</v>
      </c>
      <c r="J275">
        <v>4271</v>
      </c>
      <c r="K275">
        <v>0</v>
      </c>
      <c r="L275">
        <v>391</v>
      </c>
      <c r="M275">
        <v>300</v>
      </c>
      <c r="N275">
        <v>1122</v>
      </c>
      <c r="O275">
        <v>422</v>
      </c>
      <c r="P275">
        <f t="shared" si="27"/>
        <v>5322000</v>
      </c>
      <c r="Q275">
        <v>4244000</v>
      </c>
      <c r="R275">
        <v>1078000</v>
      </c>
      <c r="S275">
        <v>189000</v>
      </c>
      <c r="T275" s="101">
        <f t="shared" si="24"/>
        <v>12192000</v>
      </c>
      <c r="U275" s="101">
        <f t="shared" si="28"/>
        <v>827000</v>
      </c>
      <c r="V275" s="101">
        <f t="shared" si="25"/>
        <v>827000</v>
      </c>
      <c r="W275" s="101">
        <v>147693</v>
      </c>
      <c r="X275" s="149">
        <f t="shared" si="29"/>
        <v>5.5994529192311075E-3</v>
      </c>
      <c r="Y275" s="184"/>
      <c r="AE275" s="101"/>
      <c r="AF275" s="101"/>
      <c r="AG275" s="101"/>
    </row>
    <row r="276" spans="1:33" x14ac:dyDescent="0.25">
      <c r="A276" t="s">
        <v>524</v>
      </c>
      <c r="B276" t="s">
        <v>389</v>
      </c>
      <c r="C276">
        <f t="shared" si="26"/>
        <v>48356</v>
      </c>
      <c r="D276">
        <v>23100</v>
      </c>
      <c r="E276">
        <v>25256</v>
      </c>
      <c r="F276">
        <v>19289</v>
      </c>
      <c r="G276">
        <v>723</v>
      </c>
      <c r="H276">
        <v>442</v>
      </c>
      <c r="I276">
        <v>3014</v>
      </c>
      <c r="J276">
        <v>13638</v>
      </c>
      <c r="K276">
        <v>27750</v>
      </c>
      <c r="L276">
        <v>1887</v>
      </c>
      <c r="M276">
        <v>232</v>
      </c>
      <c r="N276">
        <v>8196</v>
      </c>
      <c r="O276">
        <v>1812</v>
      </c>
      <c r="P276">
        <f t="shared" si="27"/>
        <v>31818000</v>
      </c>
      <c r="Q276">
        <v>25153000</v>
      </c>
      <c r="R276">
        <v>6665000</v>
      </c>
      <c r="S276">
        <v>165000</v>
      </c>
      <c r="T276" s="101">
        <f t="shared" si="24"/>
        <v>73310115</v>
      </c>
      <c r="U276" s="101">
        <f t="shared" si="28"/>
        <v>24954115</v>
      </c>
      <c r="V276" s="101">
        <f t="shared" si="25"/>
        <v>24954115</v>
      </c>
      <c r="W276" s="101">
        <v>881325</v>
      </c>
      <c r="X276" s="149">
        <f t="shared" si="29"/>
        <v>2.8314316512069896E-2</v>
      </c>
      <c r="Y276" s="184"/>
      <c r="AE276" s="101"/>
      <c r="AF276" s="101"/>
      <c r="AG276" s="101"/>
    </row>
    <row r="277" spans="1:33" x14ac:dyDescent="0.25">
      <c r="A277" t="s">
        <v>516</v>
      </c>
      <c r="B277" t="s">
        <v>158</v>
      </c>
      <c r="C277">
        <f t="shared" si="26"/>
        <v>4393</v>
      </c>
      <c r="D277">
        <v>2567</v>
      </c>
      <c r="E277">
        <v>1826</v>
      </c>
      <c r="F277">
        <v>2</v>
      </c>
      <c r="G277">
        <v>0</v>
      </c>
      <c r="H277">
        <v>201</v>
      </c>
      <c r="I277">
        <v>106</v>
      </c>
      <c r="J277">
        <v>2000</v>
      </c>
      <c r="K277">
        <v>1231</v>
      </c>
      <c r="L277">
        <v>266</v>
      </c>
      <c r="M277">
        <v>0</v>
      </c>
      <c r="N277">
        <v>496</v>
      </c>
      <c r="O277">
        <v>23</v>
      </c>
      <c r="P277">
        <f t="shared" si="27"/>
        <v>3036000</v>
      </c>
      <c r="Q277">
        <v>2400000</v>
      </c>
      <c r="R277">
        <v>636000</v>
      </c>
      <c r="S277">
        <v>309000</v>
      </c>
      <c r="T277" s="101">
        <f t="shared" si="24"/>
        <v>6995160</v>
      </c>
      <c r="U277" s="101">
        <f t="shared" si="28"/>
        <v>2602160</v>
      </c>
      <c r="V277" s="101">
        <f t="shared" si="25"/>
        <v>2602160</v>
      </c>
      <c r="W277" s="101">
        <v>43762</v>
      </c>
      <c r="X277" s="149">
        <f t="shared" si="29"/>
        <v>5.9461633380558473E-2</v>
      </c>
      <c r="Y277" s="184"/>
      <c r="AE277" s="101"/>
      <c r="AF277" s="101"/>
      <c r="AG277" s="101"/>
    </row>
    <row r="278" spans="1:33" x14ac:dyDescent="0.25">
      <c r="A278" t="s">
        <v>514</v>
      </c>
      <c r="B278" t="s">
        <v>159</v>
      </c>
      <c r="C278">
        <f t="shared" si="26"/>
        <v>8471</v>
      </c>
      <c r="D278">
        <v>5534</v>
      </c>
      <c r="E278">
        <v>2937</v>
      </c>
      <c r="F278">
        <v>0</v>
      </c>
      <c r="G278">
        <v>0</v>
      </c>
      <c r="H278">
        <v>45</v>
      </c>
      <c r="I278">
        <v>5</v>
      </c>
      <c r="J278">
        <v>3641</v>
      </c>
      <c r="K278">
        <v>2495</v>
      </c>
      <c r="L278">
        <v>422</v>
      </c>
      <c r="M278">
        <v>580</v>
      </c>
      <c r="N278">
        <v>813</v>
      </c>
      <c r="O278">
        <v>26</v>
      </c>
      <c r="P278">
        <f t="shared" si="27"/>
        <v>3921000</v>
      </c>
      <c r="Q278">
        <v>3315000</v>
      </c>
      <c r="R278">
        <v>606000</v>
      </c>
      <c r="S278">
        <v>279000</v>
      </c>
      <c r="T278" s="101">
        <f t="shared" si="24"/>
        <v>8623935</v>
      </c>
      <c r="U278" s="101">
        <f t="shared" si="28"/>
        <v>152935</v>
      </c>
      <c r="V278" s="101">
        <f t="shared" si="25"/>
        <v>152935</v>
      </c>
      <c r="W278" s="101">
        <v>96796</v>
      </c>
      <c r="X278" s="149">
        <f t="shared" si="29"/>
        <v>1.5799723129054919E-3</v>
      </c>
      <c r="Y278" s="184"/>
      <c r="AE278" s="101"/>
      <c r="AF278" s="101"/>
      <c r="AG278" s="101"/>
    </row>
    <row r="279" spans="1:33" x14ac:dyDescent="0.25">
      <c r="A279" t="s">
        <v>517</v>
      </c>
      <c r="B279" t="s">
        <v>113</v>
      </c>
      <c r="C279">
        <f t="shared" si="26"/>
        <v>6011</v>
      </c>
      <c r="D279">
        <v>4575</v>
      </c>
      <c r="E279">
        <v>1436</v>
      </c>
      <c r="F279">
        <v>0</v>
      </c>
      <c r="G279">
        <v>0</v>
      </c>
      <c r="H279">
        <v>417</v>
      </c>
      <c r="I279">
        <v>69</v>
      </c>
      <c r="J279">
        <v>2784</v>
      </c>
      <c r="K279">
        <v>2826</v>
      </c>
      <c r="L279">
        <v>399</v>
      </c>
      <c r="M279">
        <v>445</v>
      </c>
      <c r="N279">
        <v>836</v>
      </c>
      <c r="O279">
        <v>315</v>
      </c>
      <c r="P279">
        <f t="shared" si="27"/>
        <v>5074000</v>
      </c>
      <c r="Q279">
        <v>4483000</v>
      </c>
      <c r="R279">
        <v>591000</v>
      </c>
      <c r="S279">
        <v>297000</v>
      </c>
      <c r="T279" s="101">
        <f t="shared" si="24"/>
        <v>10791825</v>
      </c>
      <c r="U279" s="101">
        <f t="shared" si="28"/>
        <v>4780825</v>
      </c>
      <c r="V279" s="101">
        <f t="shared" si="25"/>
        <v>4780825</v>
      </c>
      <c r="W279" s="101">
        <v>85164</v>
      </c>
      <c r="X279" s="149">
        <f t="shared" si="29"/>
        <v>5.6136689211403877E-2</v>
      </c>
      <c r="Y279" s="184"/>
      <c r="AE279" s="101"/>
      <c r="AF279" s="101"/>
      <c r="AG279" s="101"/>
    </row>
    <row r="280" spans="1:33" x14ac:dyDescent="0.25">
      <c r="A280" t="s">
        <v>524</v>
      </c>
      <c r="B280" t="s">
        <v>136</v>
      </c>
      <c r="C280">
        <f t="shared" si="26"/>
        <v>8372</v>
      </c>
      <c r="D280">
        <v>5920</v>
      </c>
      <c r="E280">
        <v>2452</v>
      </c>
      <c r="F280">
        <v>0</v>
      </c>
      <c r="G280">
        <v>0</v>
      </c>
      <c r="H280">
        <v>432</v>
      </c>
      <c r="I280">
        <v>46</v>
      </c>
      <c r="J280">
        <v>2185</v>
      </c>
      <c r="K280">
        <v>3516</v>
      </c>
      <c r="L280">
        <v>317</v>
      </c>
      <c r="M280">
        <v>17</v>
      </c>
      <c r="N280">
        <v>461</v>
      </c>
      <c r="O280">
        <v>81</v>
      </c>
      <c r="P280">
        <f t="shared" si="27"/>
        <v>3599000</v>
      </c>
      <c r="Q280">
        <v>3138000</v>
      </c>
      <c r="R280">
        <v>461000</v>
      </c>
      <c r="S280">
        <v>188000</v>
      </c>
      <c r="T280" s="101">
        <f t="shared" si="24"/>
        <v>7734300</v>
      </c>
      <c r="U280" s="101">
        <f t="shared" si="28"/>
        <v>-637700</v>
      </c>
      <c r="V280" s="101">
        <f t="shared" si="25"/>
        <v>0</v>
      </c>
      <c r="W280" s="101">
        <v>87399</v>
      </c>
      <c r="X280" s="149">
        <f t="shared" si="29"/>
        <v>-7.2964221558599069E-3</v>
      </c>
      <c r="Y280" s="184"/>
      <c r="AE280" s="101"/>
      <c r="AF280" s="101"/>
      <c r="AG280" s="101"/>
    </row>
    <row r="281" spans="1:33" x14ac:dyDescent="0.25">
      <c r="A281" t="s">
        <v>515</v>
      </c>
      <c r="B281" t="s">
        <v>272</v>
      </c>
      <c r="C281">
        <f t="shared" si="26"/>
        <v>3209</v>
      </c>
      <c r="D281">
        <v>2345</v>
      </c>
      <c r="E281">
        <v>864</v>
      </c>
      <c r="F281">
        <v>0</v>
      </c>
      <c r="G281">
        <v>17</v>
      </c>
      <c r="H281">
        <v>106</v>
      </c>
      <c r="I281">
        <v>61</v>
      </c>
      <c r="J281">
        <v>975</v>
      </c>
      <c r="K281">
        <v>1751</v>
      </c>
      <c r="L281">
        <v>136</v>
      </c>
      <c r="M281">
        <v>15</v>
      </c>
      <c r="N281">
        <v>297</v>
      </c>
      <c r="O281">
        <v>17</v>
      </c>
      <c r="P281">
        <f t="shared" si="27"/>
        <v>2083000</v>
      </c>
      <c r="Q281">
        <v>1920000</v>
      </c>
      <c r="R281">
        <v>163000</v>
      </c>
      <c r="S281">
        <v>198000</v>
      </c>
      <c r="T281" s="101">
        <f t="shared" si="24"/>
        <v>4278630</v>
      </c>
      <c r="U281" s="101">
        <f t="shared" si="28"/>
        <v>1069630</v>
      </c>
      <c r="V281" s="101">
        <f t="shared" si="25"/>
        <v>1069630</v>
      </c>
      <c r="W281" s="101">
        <v>27034</v>
      </c>
      <c r="X281" s="149">
        <f t="shared" si="29"/>
        <v>3.9566101945698012E-2</v>
      </c>
      <c r="Y281" s="184"/>
      <c r="AE281" s="101"/>
      <c r="AF281" s="101"/>
      <c r="AG281" s="101"/>
    </row>
    <row r="282" spans="1:33" x14ac:dyDescent="0.25">
      <c r="A282" t="s">
        <v>513</v>
      </c>
      <c r="B282" t="s">
        <v>273</v>
      </c>
      <c r="C282">
        <f t="shared" si="26"/>
        <v>8031</v>
      </c>
      <c r="D282" s="102">
        <v>4586</v>
      </c>
      <c r="E282" s="102">
        <v>3445</v>
      </c>
      <c r="F282" s="102">
        <v>2</v>
      </c>
      <c r="G282" s="102">
        <v>32</v>
      </c>
      <c r="H282" s="102">
        <v>116</v>
      </c>
      <c r="I282" s="102">
        <v>5</v>
      </c>
      <c r="J282" s="102">
        <v>3616</v>
      </c>
      <c r="K282" s="102">
        <v>4167</v>
      </c>
      <c r="L282" s="102">
        <v>382</v>
      </c>
      <c r="M282" s="102">
        <v>313</v>
      </c>
      <c r="N282" s="102">
        <v>1064</v>
      </c>
      <c r="O282" s="102">
        <v>118</v>
      </c>
      <c r="P282">
        <f t="shared" si="27"/>
        <v>5169000</v>
      </c>
      <c r="Q282" s="102">
        <v>4396000</v>
      </c>
      <c r="R282" s="102">
        <v>773000</v>
      </c>
      <c r="S282">
        <v>193000</v>
      </c>
      <c r="T282" s="101">
        <f>0.1905*SUM(Q282,R282,R282)*10</f>
        <v>11319510</v>
      </c>
      <c r="U282" s="101">
        <f t="shared" si="28"/>
        <v>3288510</v>
      </c>
      <c r="V282" s="101">
        <f>IF(U282&gt;0,U282,0)</f>
        <v>3288510</v>
      </c>
      <c r="W282" s="101">
        <v>76928</v>
      </c>
      <c r="X282" s="149">
        <f t="shared" si="29"/>
        <v>4.2747894134775373E-2</v>
      </c>
      <c r="Y282" s="184"/>
      <c r="AA282" s="102"/>
      <c r="AB282" s="102"/>
      <c r="AC282" s="102"/>
      <c r="AD282" s="102"/>
      <c r="AE282" s="101"/>
      <c r="AF282" s="101"/>
      <c r="AG282" s="101"/>
    </row>
    <row r="283" spans="1:33" x14ac:dyDescent="0.25">
      <c r="A283" t="s">
        <v>518</v>
      </c>
      <c r="B283" t="s">
        <v>431</v>
      </c>
      <c r="C283">
        <f t="shared" si="26"/>
        <v>5211</v>
      </c>
      <c r="D283">
        <v>2808</v>
      </c>
      <c r="E283">
        <v>2403</v>
      </c>
      <c r="F283">
        <v>0</v>
      </c>
      <c r="G283">
        <v>18</v>
      </c>
      <c r="H283">
        <v>43</v>
      </c>
      <c r="I283">
        <v>62</v>
      </c>
      <c r="J283">
        <v>2064</v>
      </c>
      <c r="K283">
        <v>1829</v>
      </c>
      <c r="L283">
        <v>205</v>
      </c>
      <c r="M283">
        <v>315</v>
      </c>
      <c r="N283">
        <v>428</v>
      </c>
      <c r="O283">
        <v>609</v>
      </c>
      <c r="P283">
        <f t="shared" si="27"/>
        <v>2204000</v>
      </c>
      <c r="Q283">
        <v>1740000</v>
      </c>
      <c r="R283">
        <v>464000</v>
      </c>
      <c r="S283">
        <v>257000</v>
      </c>
      <c r="T283" s="101">
        <f t="shared" si="24"/>
        <v>5082540</v>
      </c>
      <c r="U283" s="101">
        <f t="shared" si="28"/>
        <v>-128460</v>
      </c>
      <c r="V283" s="101">
        <f t="shared" si="25"/>
        <v>0</v>
      </c>
      <c r="W283" s="101">
        <v>67723</v>
      </c>
      <c r="X283" s="149">
        <f t="shared" si="29"/>
        <v>-1.8968444989146966E-3</v>
      </c>
      <c r="Y283" s="184"/>
      <c r="AE283" s="101"/>
      <c r="AF283" s="101"/>
      <c r="AG283" s="101"/>
    </row>
    <row r="284" spans="1:33" x14ac:dyDescent="0.25">
      <c r="A284" t="s">
        <v>518</v>
      </c>
      <c r="B284" t="s">
        <v>728</v>
      </c>
      <c r="C284">
        <f t="shared" si="26"/>
        <v>131975</v>
      </c>
      <c r="D284">
        <v>46648</v>
      </c>
      <c r="E284">
        <v>85327</v>
      </c>
      <c r="F284">
        <v>51187</v>
      </c>
      <c r="G284">
        <v>673</v>
      </c>
      <c r="H284">
        <v>3914</v>
      </c>
      <c r="I284">
        <v>1021</v>
      </c>
      <c r="J284">
        <v>43791</v>
      </c>
      <c r="K284">
        <v>53201</v>
      </c>
      <c r="L284">
        <v>4740</v>
      </c>
      <c r="M284">
        <v>1148</v>
      </c>
      <c r="N284">
        <v>16916</v>
      </c>
      <c r="O284">
        <v>3443</v>
      </c>
      <c r="P284">
        <f t="shared" si="27"/>
        <v>69633000</v>
      </c>
      <c r="Q284">
        <v>55944000</v>
      </c>
      <c r="R284">
        <v>13689000</v>
      </c>
      <c r="S284">
        <v>206000</v>
      </c>
      <c r="T284" s="101">
        <f t="shared" si="24"/>
        <v>158728410</v>
      </c>
      <c r="U284" s="101">
        <f t="shared" si="28"/>
        <v>26753410</v>
      </c>
      <c r="V284" s="101">
        <f t="shared" si="25"/>
        <v>26753410</v>
      </c>
      <c r="W284" s="101">
        <v>1480690</v>
      </c>
      <c r="X284" s="149">
        <f t="shared" si="29"/>
        <v>1.8068204688354753E-2</v>
      </c>
      <c r="Y284" s="184"/>
      <c r="AE284" s="101"/>
      <c r="AF284" s="101"/>
      <c r="AG284" s="101"/>
    </row>
    <row r="285" spans="1:33" x14ac:dyDescent="0.25">
      <c r="A285" t="s">
        <v>512</v>
      </c>
      <c r="B285" t="s">
        <v>230</v>
      </c>
      <c r="C285">
        <f t="shared" si="26"/>
        <v>12642</v>
      </c>
      <c r="D285">
        <v>9724</v>
      </c>
      <c r="E285">
        <v>2918</v>
      </c>
      <c r="F285">
        <v>18</v>
      </c>
      <c r="G285">
        <v>0</v>
      </c>
      <c r="H285">
        <v>1046</v>
      </c>
      <c r="I285">
        <v>1000</v>
      </c>
      <c r="J285">
        <v>6726</v>
      </c>
      <c r="K285">
        <v>6484</v>
      </c>
      <c r="L285">
        <v>619</v>
      </c>
      <c r="M285">
        <v>958</v>
      </c>
      <c r="N285">
        <v>1636</v>
      </c>
      <c r="O285">
        <v>167</v>
      </c>
      <c r="P285">
        <f t="shared" si="27"/>
        <v>9266000</v>
      </c>
      <c r="Q285">
        <v>8385000</v>
      </c>
      <c r="R285">
        <v>881000</v>
      </c>
      <c r="S285">
        <v>256000</v>
      </c>
      <c r="T285" s="101">
        <f t="shared" si="24"/>
        <v>19330035</v>
      </c>
      <c r="U285" s="101">
        <f t="shared" si="28"/>
        <v>6688035</v>
      </c>
      <c r="V285" s="101">
        <f t="shared" si="25"/>
        <v>6688035</v>
      </c>
      <c r="W285" s="101">
        <v>133306</v>
      </c>
      <c r="X285" s="149">
        <f t="shared" si="29"/>
        <v>5.0170547462229757E-2</v>
      </c>
      <c r="Y285" s="184"/>
      <c r="AE285" s="101"/>
      <c r="AF285" s="101"/>
      <c r="AG285" s="101"/>
    </row>
    <row r="286" spans="1:33" x14ac:dyDescent="0.25">
      <c r="A286" t="s">
        <v>516</v>
      </c>
      <c r="B286" t="s">
        <v>421</v>
      </c>
      <c r="C286">
        <f t="shared" si="26"/>
        <v>2274</v>
      </c>
      <c r="D286">
        <v>1718</v>
      </c>
      <c r="E286">
        <v>556</v>
      </c>
      <c r="F286">
        <v>685</v>
      </c>
      <c r="G286">
        <v>0</v>
      </c>
      <c r="H286">
        <v>1481</v>
      </c>
      <c r="I286">
        <v>83</v>
      </c>
      <c r="J286">
        <v>1048</v>
      </c>
      <c r="K286">
        <v>1984</v>
      </c>
      <c r="L286">
        <v>109</v>
      </c>
      <c r="M286">
        <v>0</v>
      </c>
      <c r="N286">
        <v>280</v>
      </c>
      <c r="O286">
        <v>48</v>
      </c>
      <c r="P286">
        <f t="shared" si="27"/>
        <v>1170000</v>
      </c>
      <c r="Q286">
        <v>1054000</v>
      </c>
      <c r="R286">
        <v>116000</v>
      </c>
      <c r="S286">
        <v>192000</v>
      </c>
      <c r="T286" s="101">
        <f t="shared" si="24"/>
        <v>2449830</v>
      </c>
      <c r="U286" s="101">
        <f t="shared" si="28"/>
        <v>175830</v>
      </c>
      <c r="V286" s="101">
        <f t="shared" si="25"/>
        <v>175830</v>
      </c>
      <c r="W286" s="101">
        <v>33912</v>
      </c>
      <c r="X286" s="149">
        <f t="shared" si="29"/>
        <v>5.1848903043170561E-3</v>
      </c>
      <c r="Y286" s="184"/>
      <c r="AE286" s="101"/>
      <c r="AF286" s="101"/>
      <c r="AG286" s="101"/>
    </row>
    <row r="287" spans="1:33" x14ac:dyDescent="0.25">
      <c r="A287" t="s">
        <v>513</v>
      </c>
      <c r="B287" t="s">
        <v>422</v>
      </c>
      <c r="C287">
        <f t="shared" si="26"/>
        <v>5515</v>
      </c>
      <c r="D287">
        <v>3327</v>
      </c>
      <c r="E287">
        <v>2188</v>
      </c>
      <c r="F287">
        <v>2932</v>
      </c>
      <c r="G287">
        <v>386</v>
      </c>
      <c r="H287">
        <v>2200</v>
      </c>
      <c r="I287">
        <v>408</v>
      </c>
      <c r="J287">
        <v>2848</v>
      </c>
      <c r="K287">
        <v>1070</v>
      </c>
      <c r="L287">
        <v>175</v>
      </c>
      <c r="M287">
        <v>152</v>
      </c>
      <c r="N287">
        <v>294</v>
      </c>
      <c r="O287">
        <v>344</v>
      </c>
      <c r="P287">
        <f t="shared" si="27"/>
        <v>2447000</v>
      </c>
      <c r="Q287">
        <v>2169000</v>
      </c>
      <c r="R287">
        <v>278000</v>
      </c>
      <c r="S287">
        <v>237000</v>
      </c>
      <c r="T287" s="101">
        <f t="shared" si="24"/>
        <v>5191125</v>
      </c>
      <c r="U287" s="101">
        <f t="shared" si="28"/>
        <v>-323875</v>
      </c>
      <c r="V287" s="101">
        <f t="shared" si="25"/>
        <v>0</v>
      </c>
      <c r="W287" s="101">
        <v>54520</v>
      </c>
      <c r="X287" s="149">
        <f t="shared" si="29"/>
        <v>-5.940480557593544E-3</v>
      </c>
      <c r="Y287" s="184"/>
      <c r="AE287" s="101"/>
      <c r="AF287" s="101"/>
      <c r="AG287" s="101"/>
    </row>
    <row r="288" spans="1:33" x14ac:dyDescent="0.25">
      <c r="A288" t="s">
        <v>514</v>
      </c>
      <c r="B288" t="s">
        <v>391</v>
      </c>
      <c r="C288">
        <f t="shared" si="26"/>
        <v>8204</v>
      </c>
      <c r="D288">
        <v>5478</v>
      </c>
      <c r="E288">
        <v>2726</v>
      </c>
      <c r="F288">
        <v>746</v>
      </c>
      <c r="G288">
        <v>79</v>
      </c>
      <c r="H288">
        <v>0</v>
      </c>
      <c r="I288">
        <v>90</v>
      </c>
      <c r="J288">
        <v>3247</v>
      </c>
      <c r="K288">
        <v>4410</v>
      </c>
      <c r="L288">
        <v>274</v>
      </c>
      <c r="M288">
        <v>188</v>
      </c>
      <c r="N288">
        <v>620</v>
      </c>
      <c r="O288">
        <v>187</v>
      </c>
      <c r="P288">
        <f t="shared" si="27"/>
        <v>5076000</v>
      </c>
      <c r="Q288">
        <v>4417000</v>
      </c>
      <c r="R288">
        <v>659000</v>
      </c>
      <c r="S288">
        <v>260000</v>
      </c>
      <c r="T288" s="101">
        <f t="shared" si="24"/>
        <v>10925175</v>
      </c>
      <c r="U288" s="101">
        <f t="shared" si="28"/>
        <v>2721175</v>
      </c>
      <c r="V288" s="101">
        <f t="shared" si="25"/>
        <v>2721175</v>
      </c>
      <c r="W288" s="101">
        <v>87202</v>
      </c>
      <c r="X288" s="149">
        <f t="shared" si="29"/>
        <v>3.1205419600467878E-2</v>
      </c>
      <c r="Y288" s="184"/>
      <c r="AE288" s="101"/>
      <c r="AF288" s="101"/>
      <c r="AG288" s="101"/>
    </row>
    <row r="289" spans="1:33" x14ac:dyDescent="0.25">
      <c r="A289" t="s">
        <v>514</v>
      </c>
      <c r="B289" t="s">
        <v>124</v>
      </c>
      <c r="C289">
        <f t="shared" si="26"/>
        <v>8361</v>
      </c>
      <c r="D289">
        <v>4830</v>
      </c>
      <c r="E289">
        <v>3531</v>
      </c>
      <c r="F289">
        <v>0</v>
      </c>
      <c r="G289">
        <v>12</v>
      </c>
      <c r="H289">
        <v>0</v>
      </c>
      <c r="I289">
        <v>140</v>
      </c>
      <c r="J289">
        <v>2029</v>
      </c>
      <c r="K289">
        <v>3682</v>
      </c>
      <c r="L289">
        <v>315</v>
      </c>
      <c r="M289">
        <v>83</v>
      </c>
      <c r="N289">
        <v>402</v>
      </c>
      <c r="O289">
        <v>45</v>
      </c>
      <c r="P289">
        <f t="shared" si="27"/>
        <v>2540000</v>
      </c>
      <c r="Q289">
        <v>2042000</v>
      </c>
      <c r="R289">
        <v>498000</v>
      </c>
      <c r="S289">
        <v>258000</v>
      </c>
      <c r="T289" s="101">
        <f t="shared" si="24"/>
        <v>5787390</v>
      </c>
      <c r="U289" s="101">
        <f t="shared" si="28"/>
        <v>-2573610</v>
      </c>
      <c r="V289" s="101">
        <f t="shared" si="25"/>
        <v>0</v>
      </c>
      <c r="W289" s="101">
        <v>112724</v>
      </c>
      <c r="X289" s="149">
        <f t="shared" si="29"/>
        <v>-2.2831074127958553E-2</v>
      </c>
      <c r="Y289" s="184"/>
      <c r="AE289" s="101"/>
      <c r="AF289" s="101"/>
      <c r="AG289" s="101"/>
    </row>
    <row r="290" spans="1:33" x14ac:dyDescent="0.25">
      <c r="A290" t="s">
        <v>519</v>
      </c>
      <c r="B290" t="s">
        <v>231</v>
      </c>
      <c r="C290">
        <f t="shared" si="26"/>
        <v>14664</v>
      </c>
      <c r="D290">
        <v>8005</v>
      </c>
      <c r="E290">
        <v>6659</v>
      </c>
      <c r="F290">
        <v>2244</v>
      </c>
      <c r="G290">
        <v>95</v>
      </c>
      <c r="H290">
        <v>110</v>
      </c>
      <c r="I290">
        <v>1214</v>
      </c>
      <c r="J290">
        <v>3437</v>
      </c>
      <c r="K290">
        <v>8251</v>
      </c>
      <c r="L290">
        <v>983</v>
      </c>
      <c r="M290">
        <v>790</v>
      </c>
      <c r="N290">
        <v>1687</v>
      </c>
      <c r="O290">
        <v>74</v>
      </c>
      <c r="P290">
        <f t="shared" si="27"/>
        <v>9447000</v>
      </c>
      <c r="Q290">
        <v>7925000</v>
      </c>
      <c r="R290">
        <v>1522000</v>
      </c>
      <c r="S290">
        <v>210000</v>
      </c>
      <c r="T290" s="101">
        <f t="shared" si="24"/>
        <v>20895945</v>
      </c>
      <c r="U290" s="101">
        <f t="shared" si="28"/>
        <v>6231945</v>
      </c>
      <c r="V290" s="101">
        <f t="shared" si="25"/>
        <v>6231945</v>
      </c>
      <c r="W290" s="101">
        <v>199763</v>
      </c>
      <c r="X290" s="149">
        <f t="shared" si="29"/>
        <v>3.1196693081301342E-2</v>
      </c>
      <c r="Y290" s="184"/>
      <c r="AE290" s="101"/>
      <c r="AF290" s="101"/>
      <c r="AG290" s="101"/>
    </row>
    <row r="291" spans="1:33" x14ac:dyDescent="0.25">
      <c r="A291" t="s">
        <v>520</v>
      </c>
      <c r="B291" t="s">
        <v>339</v>
      </c>
      <c r="C291">
        <f t="shared" si="26"/>
        <v>5926</v>
      </c>
      <c r="D291">
        <v>4323</v>
      </c>
      <c r="E291">
        <v>1603</v>
      </c>
      <c r="F291">
        <v>6530</v>
      </c>
      <c r="G291">
        <v>161</v>
      </c>
      <c r="H291">
        <v>8902</v>
      </c>
      <c r="I291">
        <v>1982</v>
      </c>
      <c r="J291">
        <v>2580</v>
      </c>
      <c r="K291">
        <v>3753</v>
      </c>
      <c r="L291">
        <v>261</v>
      </c>
      <c r="M291">
        <v>510</v>
      </c>
      <c r="N291">
        <v>891</v>
      </c>
      <c r="O291">
        <v>258</v>
      </c>
      <c r="P291">
        <f t="shared" si="27"/>
        <v>5162000</v>
      </c>
      <c r="Q291">
        <v>4398000</v>
      </c>
      <c r="R291">
        <v>764000</v>
      </c>
      <c r="S291">
        <v>262000</v>
      </c>
      <c r="T291" s="101">
        <f t="shared" si="24"/>
        <v>11289030</v>
      </c>
      <c r="U291" s="101">
        <f t="shared" si="28"/>
        <v>5363030</v>
      </c>
      <c r="V291" s="101">
        <f t="shared" si="25"/>
        <v>5363030</v>
      </c>
      <c r="W291" s="101">
        <v>74464</v>
      </c>
      <c r="X291" s="149">
        <f t="shared" si="29"/>
        <v>7.2021782337773954E-2</v>
      </c>
      <c r="Y291" s="184"/>
      <c r="AE291" s="101"/>
      <c r="AF291" s="101"/>
      <c r="AG291" s="101"/>
    </row>
    <row r="292" spans="1:33" x14ac:dyDescent="0.25">
      <c r="A292" t="s">
        <v>520</v>
      </c>
      <c r="B292" t="s">
        <v>392</v>
      </c>
      <c r="C292">
        <f t="shared" si="26"/>
        <v>13115</v>
      </c>
      <c r="D292">
        <v>7249</v>
      </c>
      <c r="E292">
        <v>5866</v>
      </c>
      <c r="F292">
        <v>819</v>
      </c>
      <c r="G292">
        <v>0</v>
      </c>
      <c r="H292">
        <v>335</v>
      </c>
      <c r="I292">
        <v>710</v>
      </c>
      <c r="J292">
        <v>3632</v>
      </c>
      <c r="K292">
        <v>4918</v>
      </c>
      <c r="L292">
        <v>516</v>
      </c>
      <c r="M292">
        <v>132</v>
      </c>
      <c r="N292">
        <v>1315</v>
      </c>
      <c r="O292">
        <v>78</v>
      </c>
      <c r="P292">
        <f t="shared" si="27"/>
        <v>8580000</v>
      </c>
      <c r="Q292">
        <v>7022000</v>
      </c>
      <c r="R292">
        <v>1558000</v>
      </c>
      <c r="S292">
        <v>331000</v>
      </c>
      <c r="T292" s="101">
        <f t="shared" si="24"/>
        <v>19312890</v>
      </c>
      <c r="U292" s="101">
        <f t="shared" si="28"/>
        <v>6197890</v>
      </c>
      <c r="V292" s="101">
        <f t="shared" si="25"/>
        <v>6197890</v>
      </c>
      <c r="W292" s="101">
        <v>139641</v>
      </c>
      <c r="X292" s="149">
        <f t="shared" si="29"/>
        <v>4.4384457286899978E-2</v>
      </c>
      <c r="Y292" s="184"/>
      <c r="AE292" s="101"/>
      <c r="AF292" s="101"/>
      <c r="AG292" s="101"/>
    </row>
    <row r="293" spans="1:33" x14ac:dyDescent="0.25">
      <c r="A293" t="s">
        <v>522</v>
      </c>
      <c r="B293" t="s">
        <v>274</v>
      </c>
      <c r="C293">
        <f t="shared" si="26"/>
        <v>17520</v>
      </c>
      <c r="D293">
        <v>8884</v>
      </c>
      <c r="E293">
        <v>8636</v>
      </c>
      <c r="F293">
        <v>382</v>
      </c>
      <c r="G293">
        <v>70</v>
      </c>
      <c r="H293">
        <v>1045</v>
      </c>
      <c r="I293">
        <v>642</v>
      </c>
      <c r="J293">
        <v>5725</v>
      </c>
      <c r="K293">
        <v>12129</v>
      </c>
      <c r="L293">
        <v>693</v>
      </c>
      <c r="M293">
        <v>342</v>
      </c>
      <c r="N293">
        <v>1786</v>
      </c>
      <c r="O293">
        <v>109</v>
      </c>
      <c r="P293">
        <f t="shared" si="27"/>
        <v>11218000</v>
      </c>
      <c r="Q293">
        <v>9560000</v>
      </c>
      <c r="R293">
        <v>1658000</v>
      </c>
      <c r="S293">
        <v>153000</v>
      </c>
      <c r="T293" s="101">
        <f t="shared" si="24"/>
        <v>24528780</v>
      </c>
      <c r="U293" s="101">
        <f t="shared" si="28"/>
        <v>7008780</v>
      </c>
      <c r="V293" s="101">
        <f t="shared" si="25"/>
        <v>7008780</v>
      </c>
      <c r="W293" s="101">
        <v>193717</v>
      </c>
      <c r="X293" s="149">
        <f t="shared" si="29"/>
        <v>3.6180510745055933E-2</v>
      </c>
      <c r="Y293" s="184"/>
      <c r="AE293" s="101"/>
      <c r="AF293" s="101"/>
      <c r="AG293" s="101"/>
    </row>
    <row r="294" spans="1:33" x14ac:dyDescent="0.25">
      <c r="A294" t="s">
        <v>522</v>
      </c>
      <c r="B294" t="s">
        <v>423</v>
      </c>
      <c r="C294">
        <f t="shared" si="26"/>
        <v>39539</v>
      </c>
      <c r="D294">
        <v>17169</v>
      </c>
      <c r="E294">
        <v>22370</v>
      </c>
      <c r="F294">
        <v>2926</v>
      </c>
      <c r="G294">
        <v>0</v>
      </c>
      <c r="H294">
        <v>2127</v>
      </c>
      <c r="I294">
        <v>1072</v>
      </c>
      <c r="J294">
        <v>8018</v>
      </c>
      <c r="K294">
        <v>10639</v>
      </c>
      <c r="L294">
        <v>1277</v>
      </c>
      <c r="M294">
        <v>394</v>
      </c>
      <c r="N294">
        <v>3644</v>
      </c>
      <c r="O294">
        <v>1018</v>
      </c>
      <c r="P294">
        <f t="shared" si="27"/>
        <v>14274000</v>
      </c>
      <c r="Q294">
        <v>10724000</v>
      </c>
      <c r="R294">
        <v>3550000</v>
      </c>
      <c r="S294">
        <v>200000</v>
      </c>
      <c r="T294" s="101">
        <f t="shared" si="24"/>
        <v>33954720</v>
      </c>
      <c r="U294" s="101">
        <f t="shared" si="28"/>
        <v>-5584280</v>
      </c>
      <c r="V294" s="101">
        <f t="shared" si="25"/>
        <v>0</v>
      </c>
      <c r="W294" s="101">
        <v>454028</v>
      </c>
      <c r="X294" s="149">
        <f t="shared" si="29"/>
        <v>-1.2299417657060798E-2</v>
      </c>
      <c r="Y294" s="184"/>
      <c r="AE294" s="101"/>
      <c r="AF294" s="101"/>
      <c r="AG294" s="101"/>
    </row>
    <row r="295" spans="1:33" x14ac:dyDescent="0.25">
      <c r="A295" t="s">
        <v>513</v>
      </c>
      <c r="B295" t="s">
        <v>424</v>
      </c>
      <c r="C295">
        <f t="shared" si="26"/>
        <v>15272</v>
      </c>
      <c r="D295">
        <v>6673</v>
      </c>
      <c r="E295">
        <v>8599</v>
      </c>
      <c r="F295">
        <v>492</v>
      </c>
      <c r="G295">
        <v>0</v>
      </c>
      <c r="H295">
        <v>555</v>
      </c>
      <c r="I295">
        <v>217</v>
      </c>
      <c r="J295">
        <v>4446</v>
      </c>
      <c r="K295">
        <v>4877</v>
      </c>
      <c r="L295">
        <v>370</v>
      </c>
      <c r="M295">
        <v>19</v>
      </c>
      <c r="N295">
        <v>953</v>
      </c>
      <c r="O295">
        <v>556</v>
      </c>
      <c r="P295">
        <f t="shared" si="27"/>
        <v>6340000</v>
      </c>
      <c r="Q295">
        <v>4678000</v>
      </c>
      <c r="R295">
        <v>1662000</v>
      </c>
      <c r="S295">
        <v>252000</v>
      </c>
      <c r="T295" s="101">
        <f t="shared" si="24"/>
        <v>15243810</v>
      </c>
      <c r="U295" s="101">
        <f t="shared" si="28"/>
        <v>-28190</v>
      </c>
      <c r="V295" s="101">
        <f t="shared" si="25"/>
        <v>0</v>
      </c>
      <c r="W295" s="101">
        <v>128496</v>
      </c>
      <c r="X295" s="149">
        <f t="shared" si="29"/>
        <v>-2.1938426098866892E-4</v>
      </c>
      <c r="Y295" s="184"/>
      <c r="AE295" s="101"/>
      <c r="AF295" s="101"/>
      <c r="AG295" s="101"/>
    </row>
    <row r="296" spans="1:33" x14ac:dyDescent="0.25">
      <c r="A296" t="s">
        <v>521</v>
      </c>
      <c r="B296" t="s">
        <v>598</v>
      </c>
      <c r="C296">
        <f t="shared" si="26"/>
        <v>14533</v>
      </c>
      <c r="D296">
        <v>8697</v>
      </c>
      <c r="E296">
        <v>5836</v>
      </c>
      <c r="F296">
        <v>531</v>
      </c>
      <c r="G296">
        <v>0</v>
      </c>
      <c r="H296">
        <v>229</v>
      </c>
      <c r="I296">
        <v>549</v>
      </c>
      <c r="J296">
        <v>5253</v>
      </c>
      <c r="K296">
        <v>9271</v>
      </c>
      <c r="L296">
        <v>672</v>
      </c>
      <c r="M296">
        <v>893</v>
      </c>
      <c r="N296">
        <v>2432</v>
      </c>
      <c r="O296">
        <v>354</v>
      </c>
      <c r="P296">
        <f t="shared" si="27"/>
        <v>8033000</v>
      </c>
      <c r="Q296">
        <v>6740000</v>
      </c>
      <c r="R296">
        <v>1293000</v>
      </c>
      <c r="S296">
        <v>140000</v>
      </c>
      <c r="T296" s="101">
        <f t="shared" si="24"/>
        <v>17766030</v>
      </c>
      <c r="U296" s="101">
        <f t="shared" si="28"/>
        <v>3233030</v>
      </c>
      <c r="V296" s="101">
        <f t="shared" si="25"/>
        <v>3233030</v>
      </c>
      <c r="W296" s="101">
        <v>171431</v>
      </c>
      <c r="X296" s="149">
        <f t="shared" si="29"/>
        <v>1.8859074496444635E-2</v>
      </c>
      <c r="Y296" s="184"/>
      <c r="AE296" s="101"/>
      <c r="AF296" s="101"/>
      <c r="AG296" s="101"/>
    </row>
    <row r="297" spans="1:33" x14ac:dyDescent="0.25">
      <c r="A297" t="s">
        <v>520</v>
      </c>
      <c r="B297" t="s">
        <v>318</v>
      </c>
      <c r="C297">
        <f t="shared" si="26"/>
        <v>20821</v>
      </c>
      <c r="D297">
        <v>11860</v>
      </c>
      <c r="E297">
        <v>8961</v>
      </c>
      <c r="F297">
        <v>2598</v>
      </c>
      <c r="G297">
        <v>872</v>
      </c>
      <c r="H297">
        <v>334</v>
      </c>
      <c r="I297">
        <v>25</v>
      </c>
      <c r="J297">
        <v>6461</v>
      </c>
      <c r="K297">
        <v>11663</v>
      </c>
      <c r="L297">
        <v>750</v>
      </c>
      <c r="M297">
        <v>782</v>
      </c>
      <c r="N297">
        <v>1342</v>
      </c>
      <c r="O297">
        <v>1411</v>
      </c>
      <c r="P297">
        <f t="shared" si="27"/>
        <v>9180000</v>
      </c>
      <c r="Q297">
        <v>7807000</v>
      </c>
      <c r="R297">
        <v>1373000</v>
      </c>
      <c r="S297">
        <v>218000</v>
      </c>
      <c r="T297" s="101">
        <f t="shared" si="24"/>
        <v>20103465</v>
      </c>
      <c r="U297" s="101">
        <f t="shared" si="28"/>
        <v>-717535</v>
      </c>
      <c r="V297" s="101">
        <f t="shared" si="25"/>
        <v>0</v>
      </c>
      <c r="W297" s="101">
        <v>262321</v>
      </c>
      <c r="X297" s="149">
        <f t="shared" si="29"/>
        <v>-2.7353319025163825E-3</v>
      </c>
      <c r="Y297" s="184"/>
      <c r="AE297" s="101"/>
      <c r="AF297" s="101"/>
      <c r="AG297" s="101"/>
    </row>
    <row r="298" spans="1:33" x14ac:dyDescent="0.25">
      <c r="A298" t="s">
        <v>524</v>
      </c>
      <c r="B298" t="s">
        <v>137</v>
      </c>
      <c r="C298">
        <f t="shared" si="26"/>
        <v>641</v>
      </c>
      <c r="D298">
        <v>297</v>
      </c>
      <c r="E298">
        <v>344</v>
      </c>
      <c r="F298">
        <v>0</v>
      </c>
      <c r="G298">
        <v>43</v>
      </c>
      <c r="H298">
        <v>1737</v>
      </c>
      <c r="I298">
        <v>241</v>
      </c>
      <c r="J298">
        <v>214</v>
      </c>
      <c r="K298">
        <v>525</v>
      </c>
      <c r="L298">
        <v>108</v>
      </c>
      <c r="M298">
        <v>15</v>
      </c>
      <c r="N298">
        <v>52</v>
      </c>
      <c r="O298">
        <v>0</v>
      </c>
      <c r="P298">
        <f t="shared" si="27"/>
        <v>513000</v>
      </c>
      <c r="Q298">
        <v>422000</v>
      </c>
      <c r="R298">
        <v>91000</v>
      </c>
      <c r="S298">
        <v>266000</v>
      </c>
      <c r="T298" s="101">
        <f t="shared" si="24"/>
        <v>1150620</v>
      </c>
      <c r="U298" s="101">
        <f t="shared" si="28"/>
        <v>509620</v>
      </c>
      <c r="V298" s="101">
        <f t="shared" si="25"/>
        <v>509620</v>
      </c>
      <c r="W298" s="101">
        <v>8824</v>
      </c>
      <c r="X298" s="149">
        <f t="shared" si="29"/>
        <v>5.7753853127833182E-2</v>
      </c>
      <c r="Y298" s="184"/>
      <c r="AE298" s="101"/>
      <c r="AF298" s="101"/>
      <c r="AG298" s="101"/>
    </row>
    <row r="299" spans="1:33" x14ac:dyDescent="0.25">
      <c r="A299" t="s">
        <v>513</v>
      </c>
      <c r="B299" t="s">
        <v>340</v>
      </c>
      <c r="C299">
        <f t="shared" si="26"/>
        <v>13536</v>
      </c>
      <c r="D299">
        <v>6039</v>
      </c>
      <c r="E299">
        <v>7497</v>
      </c>
      <c r="F299">
        <v>3116</v>
      </c>
      <c r="G299">
        <v>189</v>
      </c>
      <c r="H299">
        <v>567</v>
      </c>
      <c r="I299">
        <v>738</v>
      </c>
      <c r="J299">
        <v>6641</v>
      </c>
      <c r="K299">
        <v>7562</v>
      </c>
      <c r="L299">
        <v>793</v>
      </c>
      <c r="M299">
        <v>553</v>
      </c>
      <c r="N299">
        <v>1543</v>
      </c>
      <c r="O299">
        <v>764</v>
      </c>
      <c r="P299">
        <f t="shared" si="27"/>
        <v>5372000</v>
      </c>
      <c r="Q299">
        <v>4184000</v>
      </c>
      <c r="R299">
        <v>1188000</v>
      </c>
      <c r="S299">
        <v>278000</v>
      </c>
      <c r="T299" s="101">
        <f t="shared" si="24"/>
        <v>12496800</v>
      </c>
      <c r="U299" s="101">
        <f t="shared" si="28"/>
        <v>-1039200</v>
      </c>
      <c r="V299" s="101">
        <f t="shared" si="25"/>
        <v>0</v>
      </c>
      <c r="W299" s="101">
        <v>255303</v>
      </c>
      <c r="X299" s="149">
        <f t="shared" si="29"/>
        <v>-4.0704574564341192E-3</v>
      </c>
      <c r="Y299" s="184"/>
      <c r="AE299" s="101"/>
      <c r="AF299" s="101"/>
      <c r="AG299" s="101"/>
    </row>
    <row r="300" spans="1:33" x14ac:dyDescent="0.25">
      <c r="A300" t="s">
        <v>514</v>
      </c>
      <c r="B300" t="s">
        <v>425</v>
      </c>
      <c r="C300">
        <f t="shared" si="26"/>
        <v>2903</v>
      </c>
      <c r="D300">
        <v>2383</v>
      </c>
      <c r="E300">
        <v>520</v>
      </c>
      <c r="F300">
        <v>4</v>
      </c>
      <c r="G300">
        <v>0</v>
      </c>
      <c r="H300">
        <v>61</v>
      </c>
      <c r="I300">
        <v>1</v>
      </c>
      <c r="J300">
        <v>1711</v>
      </c>
      <c r="K300">
        <v>1486</v>
      </c>
      <c r="L300">
        <v>121</v>
      </c>
      <c r="M300">
        <v>17</v>
      </c>
      <c r="N300">
        <v>82</v>
      </c>
      <c r="O300">
        <v>40</v>
      </c>
      <c r="P300">
        <f t="shared" si="27"/>
        <v>1621000</v>
      </c>
      <c r="Q300">
        <v>1496000</v>
      </c>
      <c r="R300">
        <v>125000</v>
      </c>
      <c r="S300">
        <v>243000</v>
      </c>
      <c r="T300" s="101">
        <f t="shared" si="24"/>
        <v>3326130</v>
      </c>
      <c r="U300" s="101">
        <f t="shared" si="28"/>
        <v>423130</v>
      </c>
      <c r="V300" s="101">
        <f t="shared" si="25"/>
        <v>423130</v>
      </c>
      <c r="W300" s="101">
        <v>28051</v>
      </c>
      <c r="X300" s="149">
        <f t="shared" si="29"/>
        <v>1.5084310719760437E-2</v>
      </c>
      <c r="Y300" s="184"/>
      <c r="AE300" s="101"/>
      <c r="AF300" s="101"/>
      <c r="AG300" s="101"/>
    </row>
    <row r="301" spans="1:33" x14ac:dyDescent="0.25">
      <c r="A301" t="s">
        <v>517</v>
      </c>
      <c r="B301" t="s">
        <v>827</v>
      </c>
      <c r="C301">
        <v>11714</v>
      </c>
      <c r="D301">
        <v>8888</v>
      </c>
      <c r="E301">
        <v>2826</v>
      </c>
      <c r="F301">
        <v>612</v>
      </c>
      <c r="G301">
        <v>45</v>
      </c>
      <c r="H301">
        <v>1929</v>
      </c>
      <c r="I301">
        <v>547</v>
      </c>
      <c r="J301">
        <v>7196</v>
      </c>
      <c r="K301">
        <v>8627</v>
      </c>
      <c r="L301">
        <v>914</v>
      </c>
      <c r="M301">
        <v>540</v>
      </c>
      <c r="N301">
        <v>1405</v>
      </c>
      <c r="O301">
        <v>436</v>
      </c>
      <c r="P301">
        <v>10599000</v>
      </c>
      <c r="Q301">
        <v>9450000</v>
      </c>
      <c r="R301">
        <v>1149000</v>
      </c>
      <c r="S301" s="101">
        <v>203666.66666666666</v>
      </c>
      <c r="T301" s="101">
        <f t="shared" si="24"/>
        <v>22379940</v>
      </c>
      <c r="U301" s="101">
        <f t="shared" si="28"/>
        <v>10665940</v>
      </c>
      <c r="V301" s="101">
        <f t="shared" si="25"/>
        <v>10665940</v>
      </c>
      <c r="W301" s="101">
        <v>212172</v>
      </c>
      <c r="X301" s="149">
        <f t="shared" si="29"/>
        <v>5.0270252436702301E-2</v>
      </c>
      <c r="Y301" s="184"/>
      <c r="AE301" s="101"/>
      <c r="AF301" s="101"/>
      <c r="AG301" s="101"/>
    </row>
    <row r="302" spans="1:33" x14ac:dyDescent="0.25">
      <c r="A302" t="s">
        <v>522</v>
      </c>
      <c r="B302" t="s">
        <v>319</v>
      </c>
      <c r="C302">
        <f t="shared" si="26"/>
        <v>7756</v>
      </c>
      <c r="D302">
        <v>6657</v>
      </c>
      <c r="E302">
        <v>1099</v>
      </c>
      <c r="F302">
        <v>13</v>
      </c>
      <c r="G302">
        <v>24</v>
      </c>
      <c r="H302">
        <v>164</v>
      </c>
      <c r="I302">
        <v>222</v>
      </c>
      <c r="J302">
        <v>2731</v>
      </c>
      <c r="K302">
        <v>4064</v>
      </c>
      <c r="L302">
        <v>282</v>
      </c>
      <c r="M302">
        <v>318</v>
      </c>
      <c r="N302">
        <v>602</v>
      </c>
      <c r="O302">
        <v>71</v>
      </c>
      <c r="P302">
        <f t="shared" si="27"/>
        <v>4769000</v>
      </c>
      <c r="Q302">
        <v>4468000</v>
      </c>
      <c r="R302">
        <v>301000</v>
      </c>
      <c r="S302">
        <v>188000</v>
      </c>
      <c r="T302" s="101">
        <f t="shared" si="24"/>
        <v>9658350</v>
      </c>
      <c r="U302" s="101">
        <f t="shared" si="28"/>
        <v>1902350</v>
      </c>
      <c r="V302" s="101">
        <f t="shared" si="25"/>
        <v>1902350</v>
      </c>
      <c r="W302" s="101">
        <v>61946</v>
      </c>
      <c r="X302" s="149">
        <f t="shared" si="29"/>
        <v>3.0709811771542958E-2</v>
      </c>
      <c r="Y302" s="184"/>
      <c r="AE302" s="101"/>
      <c r="AF302" s="101"/>
      <c r="AG302" s="101"/>
    </row>
    <row r="303" spans="1:33" x14ac:dyDescent="0.25">
      <c r="A303" t="s">
        <v>522</v>
      </c>
      <c r="B303" t="s">
        <v>203</v>
      </c>
      <c r="C303">
        <f t="shared" si="26"/>
        <v>6743</v>
      </c>
      <c r="D303">
        <v>4207</v>
      </c>
      <c r="E303">
        <v>2536</v>
      </c>
      <c r="F303">
        <v>0</v>
      </c>
      <c r="G303">
        <v>1294</v>
      </c>
      <c r="H303">
        <v>191</v>
      </c>
      <c r="I303">
        <v>110</v>
      </c>
      <c r="J303">
        <v>2439</v>
      </c>
      <c r="K303">
        <v>1957</v>
      </c>
      <c r="L303">
        <v>336</v>
      </c>
      <c r="M303">
        <v>163</v>
      </c>
      <c r="N303">
        <v>1014</v>
      </c>
      <c r="O303">
        <v>114</v>
      </c>
      <c r="P303">
        <f t="shared" si="27"/>
        <v>4088000</v>
      </c>
      <c r="Q303">
        <v>3413000</v>
      </c>
      <c r="R303">
        <v>675000</v>
      </c>
      <c r="S303">
        <v>216000</v>
      </c>
      <c r="T303" s="101">
        <f t="shared" si="24"/>
        <v>9073515</v>
      </c>
      <c r="U303" s="101">
        <f t="shared" si="28"/>
        <v>2330515</v>
      </c>
      <c r="V303" s="101">
        <f t="shared" si="25"/>
        <v>2330515</v>
      </c>
      <c r="W303" s="101">
        <v>63823</v>
      </c>
      <c r="X303" s="149">
        <f t="shared" si="29"/>
        <v>3.6515284458580766E-2</v>
      </c>
      <c r="Y303" s="184"/>
      <c r="AE303" s="101"/>
      <c r="AF303" s="101"/>
      <c r="AG303" s="101"/>
    </row>
    <row r="304" spans="1:33" x14ac:dyDescent="0.25">
      <c r="A304" t="s">
        <v>520</v>
      </c>
      <c r="B304" t="s">
        <v>393</v>
      </c>
      <c r="C304">
        <f t="shared" si="26"/>
        <v>9559</v>
      </c>
      <c r="D304">
        <v>6458</v>
      </c>
      <c r="E304">
        <v>3101</v>
      </c>
      <c r="F304">
        <v>0</v>
      </c>
      <c r="G304">
        <v>0</v>
      </c>
      <c r="H304">
        <v>449</v>
      </c>
      <c r="I304">
        <v>30</v>
      </c>
      <c r="J304">
        <v>4421</v>
      </c>
      <c r="K304">
        <v>3396</v>
      </c>
      <c r="L304">
        <v>476</v>
      </c>
      <c r="M304">
        <v>19</v>
      </c>
      <c r="N304">
        <v>1384</v>
      </c>
      <c r="O304">
        <v>79</v>
      </c>
      <c r="P304">
        <f t="shared" si="27"/>
        <v>6327000</v>
      </c>
      <c r="Q304">
        <v>5542000</v>
      </c>
      <c r="R304">
        <v>785000</v>
      </c>
      <c r="S304">
        <v>234000</v>
      </c>
      <c r="T304" s="101">
        <f t="shared" si="24"/>
        <v>13548360</v>
      </c>
      <c r="U304" s="101">
        <f t="shared" si="28"/>
        <v>3989360</v>
      </c>
      <c r="V304" s="101">
        <f t="shared" si="25"/>
        <v>3989360</v>
      </c>
      <c r="W304" s="101">
        <v>77937</v>
      </c>
      <c r="X304" s="149">
        <f t="shared" si="29"/>
        <v>5.1186984359161886E-2</v>
      </c>
      <c r="Y304" s="184"/>
      <c r="AE304" s="101"/>
      <c r="AF304" s="101"/>
      <c r="AG304" s="101"/>
    </row>
    <row r="305" spans="1:33" x14ac:dyDescent="0.25">
      <c r="A305" t="s">
        <v>517</v>
      </c>
      <c r="B305" t="s">
        <v>599</v>
      </c>
      <c r="C305">
        <f t="shared" si="26"/>
        <v>7755</v>
      </c>
      <c r="D305">
        <v>5282</v>
      </c>
      <c r="E305">
        <v>2473</v>
      </c>
      <c r="F305">
        <v>563</v>
      </c>
      <c r="G305">
        <v>0</v>
      </c>
      <c r="H305">
        <v>0</v>
      </c>
      <c r="I305">
        <v>122</v>
      </c>
      <c r="J305">
        <v>5803</v>
      </c>
      <c r="K305">
        <v>5694</v>
      </c>
      <c r="L305">
        <v>557</v>
      </c>
      <c r="M305">
        <v>234</v>
      </c>
      <c r="N305">
        <v>759</v>
      </c>
      <c r="O305">
        <v>72</v>
      </c>
      <c r="P305">
        <f t="shared" si="27"/>
        <v>4475000</v>
      </c>
      <c r="Q305">
        <v>3734000</v>
      </c>
      <c r="R305">
        <v>741000</v>
      </c>
      <c r="S305">
        <v>169000</v>
      </c>
      <c r="T305" s="101">
        <f t="shared" si="24"/>
        <v>9936480</v>
      </c>
      <c r="U305" s="101">
        <f t="shared" si="28"/>
        <v>2181480</v>
      </c>
      <c r="V305" s="101">
        <f t="shared" si="25"/>
        <v>2181480</v>
      </c>
      <c r="W305" s="101">
        <v>131740</v>
      </c>
      <c r="X305" s="149">
        <f t="shared" si="29"/>
        <v>1.6558979808714135E-2</v>
      </c>
      <c r="Y305" s="184"/>
      <c r="AE305" s="101"/>
      <c r="AF305" s="101"/>
      <c r="AG305" s="101"/>
    </row>
    <row r="306" spans="1:33" x14ac:dyDescent="0.25">
      <c r="A306" t="s">
        <v>516</v>
      </c>
      <c r="B306" t="s">
        <v>394</v>
      </c>
      <c r="C306">
        <f t="shared" si="26"/>
        <v>4031</v>
      </c>
      <c r="D306">
        <v>3307</v>
      </c>
      <c r="E306">
        <v>724</v>
      </c>
      <c r="F306">
        <v>0</v>
      </c>
      <c r="G306">
        <v>2</v>
      </c>
      <c r="H306">
        <v>175</v>
      </c>
      <c r="I306">
        <v>43</v>
      </c>
      <c r="J306">
        <v>1632</v>
      </c>
      <c r="K306">
        <v>1521</v>
      </c>
      <c r="L306">
        <v>183</v>
      </c>
      <c r="M306">
        <v>55</v>
      </c>
      <c r="N306">
        <v>700</v>
      </c>
      <c r="O306">
        <v>7</v>
      </c>
      <c r="P306">
        <f t="shared" si="27"/>
        <v>3267000</v>
      </c>
      <c r="Q306">
        <v>3038000</v>
      </c>
      <c r="R306">
        <v>229000</v>
      </c>
      <c r="S306">
        <v>260000</v>
      </c>
      <c r="T306" s="101">
        <f t="shared" si="24"/>
        <v>6659880</v>
      </c>
      <c r="U306" s="101">
        <f t="shared" si="28"/>
        <v>2628880</v>
      </c>
      <c r="V306" s="101">
        <f t="shared" si="25"/>
        <v>2628880</v>
      </c>
      <c r="W306" s="101">
        <v>37069</v>
      </c>
      <c r="X306" s="149">
        <f t="shared" si="29"/>
        <v>7.0918557285062994E-2</v>
      </c>
      <c r="Y306" s="184"/>
      <c r="AE306" s="101"/>
      <c r="AF306" s="101"/>
      <c r="AG306" s="101"/>
    </row>
    <row r="307" spans="1:33" x14ac:dyDescent="0.25">
      <c r="A307" t="s">
        <v>524</v>
      </c>
      <c r="B307" t="s">
        <v>395</v>
      </c>
      <c r="C307">
        <f t="shared" si="26"/>
        <v>13149</v>
      </c>
      <c r="D307">
        <v>6223</v>
      </c>
      <c r="E307">
        <v>6926</v>
      </c>
      <c r="F307">
        <v>919</v>
      </c>
      <c r="G307">
        <v>125</v>
      </c>
      <c r="H307">
        <v>651</v>
      </c>
      <c r="I307">
        <v>324</v>
      </c>
      <c r="J307">
        <v>3859</v>
      </c>
      <c r="K307">
        <v>4432</v>
      </c>
      <c r="L307">
        <v>721</v>
      </c>
      <c r="M307">
        <v>322</v>
      </c>
      <c r="N307">
        <v>1404</v>
      </c>
      <c r="O307">
        <v>175</v>
      </c>
      <c r="P307">
        <f t="shared" si="27"/>
        <v>7728000</v>
      </c>
      <c r="Q307">
        <v>5928000</v>
      </c>
      <c r="R307">
        <v>1800000</v>
      </c>
      <c r="S307">
        <v>154000</v>
      </c>
      <c r="T307" s="101">
        <f t="shared" si="24"/>
        <v>18150840</v>
      </c>
      <c r="U307" s="101">
        <f t="shared" si="28"/>
        <v>5001840</v>
      </c>
      <c r="V307" s="101">
        <f t="shared" si="25"/>
        <v>5001840</v>
      </c>
      <c r="W307" s="101">
        <v>162234</v>
      </c>
      <c r="X307" s="149">
        <f t="shared" si="29"/>
        <v>3.0831021857317207E-2</v>
      </c>
      <c r="Y307" s="184"/>
      <c r="AE307" s="101"/>
      <c r="AF307" s="101"/>
      <c r="AG307" s="101"/>
    </row>
    <row r="308" spans="1:33" x14ac:dyDescent="0.25">
      <c r="A308" t="s">
        <v>522</v>
      </c>
      <c r="B308" t="s">
        <v>320</v>
      </c>
      <c r="C308">
        <f t="shared" si="26"/>
        <v>7881</v>
      </c>
      <c r="D308">
        <v>3977</v>
      </c>
      <c r="E308">
        <v>3904</v>
      </c>
      <c r="F308">
        <v>0</v>
      </c>
      <c r="G308">
        <v>37</v>
      </c>
      <c r="H308">
        <v>33</v>
      </c>
      <c r="I308">
        <v>0</v>
      </c>
      <c r="J308">
        <v>2722</v>
      </c>
      <c r="K308">
        <v>4447</v>
      </c>
      <c r="L308">
        <v>294</v>
      </c>
      <c r="M308">
        <v>300</v>
      </c>
      <c r="N308">
        <v>829</v>
      </c>
      <c r="O308">
        <v>62</v>
      </c>
      <c r="P308">
        <f t="shared" si="27"/>
        <v>4461000</v>
      </c>
      <c r="Q308">
        <v>3658000</v>
      </c>
      <c r="R308">
        <v>803000</v>
      </c>
      <c r="S308">
        <v>222000</v>
      </c>
      <c r="T308" s="101">
        <f t="shared" si="24"/>
        <v>10027920</v>
      </c>
      <c r="U308" s="101">
        <f t="shared" si="28"/>
        <v>2146920</v>
      </c>
      <c r="V308" s="101">
        <f t="shared" si="25"/>
        <v>2146920</v>
      </c>
      <c r="W308" s="101">
        <v>97186</v>
      </c>
      <c r="X308" s="149">
        <f t="shared" si="29"/>
        <v>2.2090836128660505E-2</v>
      </c>
      <c r="Y308" s="184"/>
      <c r="AE308" s="101"/>
      <c r="AF308" s="101"/>
      <c r="AG308" s="101"/>
    </row>
    <row r="309" spans="1:33" x14ac:dyDescent="0.25">
      <c r="A309" t="s">
        <v>517</v>
      </c>
      <c r="B309" t="s">
        <v>204</v>
      </c>
      <c r="C309">
        <f t="shared" si="26"/>
        <v>13035</v>
      </c>
      <c r="D309">
        <v>6670</v>
      </c>
      <c r="E309">
        <v>6365</v>
      </c>
      <c r="F309">
        <v>1192</v>
      </c>
      <c r="G309">
        <v>95</v>
      </c>
      <c r="H309">
        <v>235</v>
      </c>
      <c r="I309">
        <v>283</v>
      </c>
      <c r="J309">
        <v>2224</v>
      </c>
      <c r="K309">
        <v>5348</v>
      </c>
      <c r="L309">
        <v>419</v>
      </c>
      <c r="M309">
        <v>500</v>
      </c>
      <c r="N309">
        <v>1258</v>
      </c>
      <c r="O309">
        <v>1423</v>
      </c>
      <c r="P309">
        <f t="shared" si="27"/>
        <v>5581000</v>
      </c>
      <c r="Q309">
        <v>4591000</v>
      </c>
      <c r="R309">
        <v>990000</v>
      </c>
      <c r="S309">
        <v>311000</v>
      </c>
      <c r="T309" s="101">
        <f t="shared" si="24"/>
        <v>12517755</v>
      </c>
      <c r="U309" s="101">
        <f t="shared" si="28"/>
        <v>-517245</v>
      </c>
      <c r="V309" s="101">
        <f t="shared" si="25"/>
        <v>0</v>
      </c>
      <c r="W309" s="101">
        <v>111064</v>
      </c>
      <c r="X309" s="149">
        <f t="shared" si="29"/>
        <v>-4.6571796441691278E-3</v>
      </c>
      <c r="Y309" s="184"/>
      <c r="AE309" s="101"/>
      <c r="AF309" s="101"/>
      <c r="AG309" s="101"/>
    </row>
    <row r="310" spans="1:33" x14ac:dyDescent="0.25">
      <c r="A310" t="s">
        <v>515</v>
      </c>
      <c r="B310" t="s">
        <v>321</v>
      </c>
      <c r="C310">
        <f t="shared" si="26"/>
        <v>11298</v>
      </c>
      <c r="D310">
        <v>8238</v>
      </c>
      <c r="E310">
        <v>3060</v>
      </c>
      <c r="F310">
        <v>17</v>
      </c>
      <c r="G310">
        <v>125</v>
      </c>
      <c r="H310">
        <v>1193</v>
      </c>
      <c r="I310">
        <v>361</v>
      </c>
      <c r="J310">
        <v>2692</v>
      </c>
      <c r="K310">
        <v>5163</v>
      </c>
      <c r="L310">
        <v>379</v>
      </c>
      <c r="M310">
        <v>51</v>
      </c>
      <c r="N310">
        <v>1278</v>
      </c>
      <c r="O310">
        <v>79</v>
      </c>
      <c r="P310">
        <f t="shared" si="27"/>
        <v>8160000</v>
      </c>
      <c r="Q310">
        <v>7582000</v>
      </c>
      <c r="R310">
        <v>578000</v>
      </c>
      <c r="S310">
        <v>275000</v>
      </c>
      <c r="T310" s="101">
        <f t="shared" si="24"/>
        <v>16645890</v>
      </c>
      <c r="U310" s="101">
        <f t="shared" si="28"/>
        <v>5347890</v>
      </c>
      <c r="V310" s="101">
        <f t="shared" si="25"/>
        <v>5347890</v>
      </c>
      <c r="W310" s="101">
        <v>67643</v>
      </c>
      <c r="X310" s="149">
        <f t="shared" si="29"/>
        <v>7.9060508847922178E-2</v>
      </c>
      <c r="Y310" s="184"/>
      <c r="AE310" s="101"/>
      <c r="AF310" s="101"/>
      <c r="AG310" s="101"/>
    </row>
    <row r="311" spans="1:33" x14ac:dyDescent="0.25">
      <c r="A311" t="s">
        <v>513</v>
      </c>
      <c r="B311" t="s">
        <v>275</v>
      </c>
      <c r="C311">
        <f t="shared" si="26"/>
        <v>3971</v>
      </c>
      <c r="D311" s="102">
        <v>3166</v>
      </c>
      <c r="E311" s="102">
        <v>805</v>
      </c>
      <c r="F311" s="102">
        <v>433</v>
      </c>
      <c r="G311" s="102">
        <v>14</v>
      </c>
      <c r="H311" s="102">
        <v>722</v>
      </c>
      <c r="I311" s="102">
        <v>129</v>
      </c>
      <c r="J311" s="102">
        <v>1244</v>
      </c>
      <c r="K311" s="102">
        <v>1880</v>
      </c>
      <c r="L311" s="102">
        <v>216</v>
      </c>
      <c r="M311" s="102">
        <v>208</v>
      </c>
      <c r="N311" s="102">
        <v>593</v>
      </c>
      <c r="O311" s="102">
        <v>158</v>
      </c>
      <c r="P311">
        <f t="shared" si="27"/>
        <v>3109000</v>
      </c>
      <c r="Q311" s="102">
        <v>2940000</v>
      </c>
      <c r="R311" s="102">
        <v>169000</v>
      </c>
      <c r="S311">
        <v>345000</v>
      </c>
      <c r="T311" s="101">
        <f>0.1905*SUM(Q311,R311,R311)*10</f>
        <v>6244590</v>
      </c>
      <c r="U311" s="101">
        <f t="shared" si="28"/>
        <v>2273590</v>
      </c>
      <c r="V311" s="101">
        <f>IF(U311&gt;0,U311,0)</f>
        <v>2273590</v>
      </c>
      <c r="W311" s="101">
        <v>41810</v>
      </c>
      <c r="X311" s="149">
        <f t="shared" si="29"/>
        <v>5.4379095910069362E-2</v>
      </c>
      <c r="Y311" s="184"/>
      <c r="AA311" s="102"/>
      <c r="AB311" s="102"/>
      <c r="AC311" s="102"/>
      <c r="AD311" s="102"/>
      <c r="AE311" s="101"/>
      <c r="AF311" s="101"/>
      <c r="AG311" s="101"/>
    </row>
    <row r="312" spans="1:33" x14ac:dyDescent="0.25">
      <c r="A312" t="s">
        <v>516</v>
      </c>
      <c r="B312" t="s">
        <v>426</v>
      </c>
      <c r="C312">
        <f t="shared" si="26"/>
        <v>11287</v>
      </c>
      <c r="D312">
        <v>6730</v>
      </c>
      <c r="E312">
        <v>4557</v>
      </c>
      <c r="F312">
        <v>3147</v>
      </c>
      <c r="G312">
        <v>0</v>
      </c>
      <c r="H312">
        <v>1391</v>
      </c>
      <c r="I312">
        <v>151</v>
      </c>
      <c r="J312">
        <v>5242</v>
      </c>
      <c r="K312">
        <v>6765</v>
      </c>
      <c r="L312">
        <v>552</v>
      </c>
      <c r="M312">
        <v>8</v>
      </c>
      <c r="N312">
        <v>1609</v>
      </c>
      <c r="O312">
        <v>667</v>
      </c>
      <c r="P312">
        <f t="shared" si="27"/>
        <v>7288000</v>
      </c>
      <c r="Q312">
        <v>6018000</v>
      </c>
      <c r="R312">
        <v>1270000</v>
      </c>
      <c r="S312">
        <v>154000</v>
      </c>
      <c r="T312" s="101">
        <f t="shared" si="24"/>
        <v>16302990</v>
      </c>
      <c r="U312" s="101">
        <f t="shared" si="28"/>
        <v>5015990</v>
      </c>
      <c r="V312" s="101">
        <f t="shared" si="25"/>
        <v>5015990</v>
      </c>
      <c r="W312" s="101">
        <v>159455</v>
      </c>
      <c r="X312" s="149">
        <f t="shared" si="29"/>
        <v>3.1457088206704086E-2</v>
      </c>
      <c r="Y312" s="184"/>
      <c r="AE312" s="101"/>
      <c r="AF312" s="101"/>
      <c r="AG312" s="101"/>
    </row>
    <row r="313" spans="1:33" x14ac:dyDescent="0.25">
      <c r="A313" t="s">
        <v>513</v>
      </c>
      <c r="B313" t="s">
        <v>828</v>
      </c>
      <c r="C313">
        <f t="shared" si="26"/>
        <v>13730</v>
      </c>
      <c r="D313">
        <v>8010</v>
      </c>
      <c r="E313">
        <v>5720</v>
      </c>
      <c r="F313">
        <v>243</v>
      </c>
      <c r="G313">
        <v>0</v>
      </c>
      <c r="H313">
        <v>167</v>
      </c>
      <c r="I313">
        <v>39</v>
      </c>
      <c r="J313">
        <v>8276</v>
      </c>
      <c r="K313">
        <v>0</v>
      </c>
      <c r="L313">
        <v>595</v>
      </c>
      <c r="M313">
        <v>729</v>
      </c>
      <c r="N313">
        <v>1428</v>
      </c>
      <c r="O313">
        <v>249</v>
      </c>
      <c r="P313">
        <f t="shared" si="27"/>
        <v>7519000</v>
      </c>
      <c r="Q313">
        <v>6245000</v>
      </c>
      <c r="R313">
        <v>1274000</v>
      </c>
      <c r="S313">
        <v>222000</v>
      </c>
      <c r="T313" s="101">
        <f t="shared" si="24"/>
        <v>16750665</v>
      </c>
      <c r="U313" s="101">
        <f t="shared" si="28"/>
        <v>3020665</v>
      </c>
      <c r="V313" s="101">
        <f t="shared" si="25"/>
        <v>3020665</v>
      </c>
      <c r="W313" s="101">
        <v>131348</v>
      </c>
      <c r="X313" s="149">
        <f t="shared" si="29"/>
        <v>2.2997419069951577E-2</v>
      </c>
      <c r="Y313" s="184"/>
      <c r="AE313" s="101"/>
      <c r="AF313" s="101"/>
      <c r="AG313" s="101"/>
    </row>
    <row r="314" spans="1:33" x14ac:dyDescent="0.25">
      <c r="A314" t="s">
        <v>517</v>
      </c>
      <c r="B314" t="s">
        <v>205</v>
      </c>
      <c r="C314">
        <f t="shared" si="26"/>
        <v>4151</v>
      </c>
      <c r="D314">
        <v>2540</v>
      </c>
      <c r="E314">
        <v>1611</v>
      </c>
      <c r="F314">
        <v>0</v>
      </c>
      <c r="G314">
        <v>0</v>
      </c>
      <c r="H314">
        <v>162</v>
      </c>
      <c r="I314">
        <v>136</v>
      </c>
      <c r="J314">
        <v>2578</v>
      </c>
      <c r="K314">
        <v>0</v>
      </c>
      <c r="L314">
        <v>203</v>
      </c>
      <c r="M314">
        <v>14</v>
      </c>
      <c r="N314">
        <v>1131</v>
      </c>
      <c r="O314">
        <v>51</v>
      </c>
      <c r="P314">
        <f t="shared" si="27"/>
        <v>2755000</v>
      </c>
      <c r="Q314">
        <v>2371000</v>
      </c>
      <c r="R314">
        <v>384000</v>
      </c>
      <c r="S314">
        <v>214000</v>
      </c>
      <c r="T314" s="101">
        <f t="shared" si="24"/>
        <v>5979795</v>
      </c>
      <c r="U314" s="101">
        <f t="shared" si="28"/>
        <v>1828795</v>
      </c>
      <c r="V314" s="101">
        <f t="shared" si="25"/>
        <v>1828795</v>
      </c>
      <c r="W314" s="101">
        <v>46232</v>
      </c>
      <c r="X314" s="149">
        <f t="shared" si="29"/>
        <v>3.9556908634711889E-2</v>
      </c>
      <c r="Y314" s="184"/>
      <c r="AE314" s="101"/>
      <c r="AF314" s="101"/>
      <c r="AG314" s="101"/>
    </row>
    <row r="315" spans="1:33" x14ac:dyDescent="0.25">
      <c r="A315" t="s">
        <v>515</v>
      </c>
      <c r="B315" t="s">
        <v>601</v>
      </c>
      <c r="C315">
        <f t="shared" si="26"/>
        <v>15667</v>
      </c>
      <c r="D315">
        <v>9751</v>
      </c>
      <c r="E315">
        <v>5916</v>
      </c>
      <c r="F315">
        <v>7</v>
      </c>
      <c r="G315">
        <v>0</v>
      </c>
      <c r="H315">
        <v>0</v>
      </c>
      <c r="I315">
        <v>65</v>
      </c>
      <c r="J315">
        <v>6292</v>
      </c>
      <c r="K315">
        <v>8925</v>
      </c>
      <c r="L315">
        <v>970</v>
      </c>
      <c r="M315">
        <v>542</v>
      </c>
      <c r="N315">
        <v>1280</v>
      </c>
      <c r="O315">
        <v>64</v>
      </c>
      <c r="P315">
        <f t="shared" si="27"/>
        <v>7476000</v>
      </c>
      <c r="Q315">
        <v>6213000</v>
      </c>
      <c r="R315">
        <v>1263000</v>
      </c>
      <c r="S315">
        <v>231000</v>
      </c>
      <c r="T315" s="101">
        <f t="shared" si="24"/>
        <v>16647795</v>
      </c>
      <c r="U315" s="101">
        <f t="shared" si="28"/>
        <v>980795</v>
      </c>
      <c r="V315" s="101">
        <f t="shared" si="25"/>
        <v>980795</v>
      </c>
      <c r="W315" s="101">
        <v>176353</v>
      </c>
      <c r="X315" s="149">
        <f t="shared" si="29"/>
        <v>5.5615441756023433E-3</v>
      </c>
      <c r="Y315" s="184"/>
      <c r="AE315" s="101"/>
      <c r="AF315" s="101"/>
      <c r="AG315" s="101"/>
    </row>
    <row r="316" spans="1:33" x14ac:dyDescent="0.25">
      <c r="A316" t="s">
        <v>517</v>
      </c>
      <c r="B316" t="s">
        <v>114</v>
      </c>
      <c r="C316">
        <f t="shared" si="26"/>
        <v>4219</v>
      </c>
      <c r="D316">
        <v>3084</v>
      </c>
      <c r="E316">
        <v>1135</v>
      </c>
      <c r="F316">
        <v>0</v>
      </c>
      <c r="G316">
        <v>0</v>
      </c>
      <c r="H316">
        <v>1107</v>
      </c>
      <c r="I316">
        <v>936</v>
      </c>
      <c r="J316">
        <v>2146</v>
      </c>
      <c r="K316">
        <v>1949</v>
      </c>
      <c r="L316">
        <v>283</v>
      </c>
      <c r="M316">
        <v>236</v>
      </c>
      <c r="N316">
        <v>510</v>
      </c>
      <c r="O316">
        <v>68</v>
      </c>
      <c r="P316">
        <f t="shared" si="27"/>
        <v>3044000</v>
      </c>
      <c r="Q316">
        <v>2632000</v>
      </c>
      <c r="R316">
        <v>412000</v>
      </c>
      <c r="S316">
        <v>523000</v>
      </c>
      <c r="T316" s="101">
        <f t="shared" si="24"/>
        <v>6583680</v>
      </c>
      <c r="U316" s="101">
        <f t="shared" si="28"/>
        <v>2364680</v>
      </c>
      <c r="V316" s="101">
        <f t="shared" si="25"/>
        <v>2364680</v>
      </c>
      <c r="W316" s="101">
        <v>56770</v>
      </c>
      <c r="X316" s="149">
        <f t="shared" si="29"/>
        <v>4.1653690329399327E-2</v>
      </c>
      <c r="Y316" s="184"/>
      <c r="AE316" s="101"/>
      <c r="AF316" s="101"/>
      <c r="AG316" s="101"/>
    </row>
    <row r="317" spans="1:33" x14ac:dyDescent="0.25">
      <c r="A317" t="s">
        <v>514</v>
      </c>
      <c r="B317" t="s">
        <v>206</v>
      </c>
      <c r="C317">
        <f t="shared" si="26"/>
        <v>3350</v>
      </c>
      <c r="D317">
        <v>2803</v>
      </c>
      <c r="E317">
        <v>547</v>
      </c>
      <c r="F317">
        <v>2</v>
      </c>
      <c r="G317">
        <v>0</v>
      </c>
      <c r="H317">
        <v>0</v>
      </c>
      <c r="I317">
        <v>135</v>
      </c>
      <c r="J317">
        <v>1602</v>
      </c>
      <c r="K317">
        <v>1613</v>
      </c>
      <c r="L317">
        <v>158</v>
      </c>
      <c r="M317">
        <v>28</v>
      </c>
      <c r="N317">
        <v>93</v>
      </c>
      <c r="O317">
        <v>25</v>
      </c>
      <c r="P317">
        <f t="shared" si="27"/>
        <v>1703000</v>
      </c>
      <c r="Q317">
        <v>1591000</v>
      </c>
      <c r="R317">
        <v>112000</v>
      </c>
      <c r="S317">
        <v>302000</v>
      </c>
      <c r="T317" s="101">
        <f t="shared" ref="T317:T344" si="30">0.1905*SUM(Q317,R317,R317)*10</f>
        <v>3457575</v>
      </c>
      <c r="U317" s="101">
        <f t="shared" si="28"/>
        <v>107575</v>
      </c>
      <c r="V317" s="101">
        <f t="shared" ref="V317:V344" si="31">IF(U317&gt;0,U317,0)</f>
        <v>107575</v>
      </c>
      <c r="W317" s="101">
        <v>41222</v>
      </c>
      <c r="X317" s="149">
        <f t="shared" si="29"/>
        <v>2.6096501867934599E-3</v>
      </c>
      <c r="Y317" s="184"/>
      <c r="AE317" s="101"/>
      <c r="AF317" s="101"/>
      <c r="AG317" s="101"/>
    </row>
    <row r="318" spans="1:33" x14ac:dyDescent="0.25">
      <c r="A318" t="s">
        <v>522</v>
      </c>
      <c r="B318" t="s">
        <v>602</v>
      </c>
      <c r="C318">
        <f t="shared" si="26"/>
        <v>6281</v>
      </c>
      <c r="D318">
        <v>3930</v>
      </c>
      <c r="E318">
        <v>2351</v>
      </c>
      <c r="F318">
        <v>0</v>
      </c>
      <c r="G318">
        <v>0</v>
      </c>
      <c r="H318">
        <v>313</v>
      </c>
      <c r="I318">
        <v>66</v>
      </c>
      <c r="J318">
        <v>3795</v>
      </c>
      <c r="K318">
        <v>3787</v>
      </c>
      <c r="L318">
        <v>211</v>
      </c>
      <c r="M318">
        <v>105</v>
      </c>
      <c r="N318">
        <v>333</v>
      </c>
      <c r="O318">
        <v>45</v>
      </c>
      <c r="P318">
        <f t="shared" si="27"/>
        <v>2831000</v>
      </c>
      <c r="Q318">
        <v>2267000</v>
      </c>
      <c r="R318">
        <v>564000</v>
      </c>
      <c r="S318">
        <v>219000</v>
      </c>
      <c r="T318" s="101">
        <f t="shared" si="30"/>
        <v>6467475</v>
      </c>
      <c r="U318" s="101">
        <f t="shared" si="28"/>
        <v>186475</v>
      </c>
      <c r="V318" s="101">
        <f t="shared" si="31"/>
        <v>186475</v>
      </c>
      <c r="W318" s="101">
        <v>93663</v>
      </c>
      <c r="X318" s="149">
        <f t="shared" si="29"/>
        <v>1.9909142350768181E-3</v>
      </c>
      <c r="Y318" s="184"/>
      <c r="AE318" s="101"/>
      <c r="AF318" s="101"/>
      <c r="AG318" s="101"/>
    </row>
    <row r="319" spans="1:33" x14ac:dyDescent="0.25">
      <c r="A319" t="s">
        <v>514</v>
      </c>
      <c r="B319" t="s">
        <v>322</v>
      </c>
      <c r="C319">
        <f t="shared" si="26"/>
        <v>32397</v>
      </c>
      <c r="D319">
        <v>14900</v>
      </c>
      <c r="E319">
        <v>17497</v>
      </c>
      <c r="F319">
        <v>371</v>
      </c>
      <c r="G319">
        <v>0</v>
      </c>
      <c r="H319">
        <v>270</v>
      </c>
      <c r="I319">
        <v>713</v>
      </c>
      <c r="J319">
        <v>14763</v>
      </c>
      <c r="K319">
        <v>14791</v>
      </c>
      <c r="L319">
        <v>1121</v>
      </c>
      <c r="M319">
        <v>1038</v>
      </c>
      <c r="N319">
        <v>4912</v>
      </c>
      <c r="O319">
        <v>426</v>
      </c>
      <c r="P319">
        <f t="shared" si="27"/>
        <v>19733000</v>
      </c>
      <c r="Q319">
        <v>15246000</v>
      </c>
      <c r="R319">
        <v>4487000</v>
      </c>
      <c r="S319">
        <v>253000</v>
      </c>
      <c r="T319" s="101">
        <f t="shared" si="30"/>
        <v>46139100</v>
      </c>
      <c r="U319" s="101">
        <f t="shared" si="28"/>
        <v>13742100</v>
      </c>
      <c r="V319" s="101">
        <f t="shared" si="31"/>
        <v>13742100</v>
      </c>
      <c r="W319" s="101">
        <v>327096</v>
      </c>
      <c r="X319" s="149">
        <f t="shared" si="29"/>
        <v>4.2012436715826544E-2</v>
      </c>
      <c r="Y319" s="184"/>
      <c r="AE319" s="101"/>
      <c r="AF319" s="101"/>
      <c r="AG319" s="101"/>
    </row>
    <row r="320" spans="1:33" x14ac:dyDescent="0.25">
      <c r="A320" t="s">
        <v>515</v>
      </c>
      <c r="B320" t="s">
        <v>138</v>
      </c>
      <c r="C320">
        <f t="shared" si="26"/>
        <v>4931</v>
      </c>
      <c r="D320">
        <v>3074</v>
      </c>
      <c r="E320">
        <v>1857</v>
      </c>
      <c r="F320">
        <v>0</v>
      </c>
      <c r="G320">
        <v>0</v>
      </c>
      <c r="H320">
        <v>150</v>
      </c>
      <c r="I320">
        <v>146</v>
      </c>
      <c r="J320">
        <v>2139</v>
      </c>
      <c r="K320">
        <v>3131</v>
      </c>
      <c r="L320">
        <v>236</v>
      </c>
      <c r="M320">
        <v>92</v>
      </c>
      <c r="N320">
        <v>600</v>
      </c>
      <c r="O320">
        <v>96</v>
      </c>
      <c r="P320">
        <f t="shared" si="27"/>
        <v>3117000</v>
      </c>
      <c r="Q320">
        <v>2614000</v>
      </c>
      <c r="R320">
        <v>503000</v>
      </c>
      <c r="S320">
        <v>263000</v>
      </c>
      <c r="T320" s="101">
        <f t="shared" si="30"/>
        <v>6896100</v>
      </c>
      <c r="U320" s="101">
        <f t="shared" si="28"/>
        <v>1965100</v>
      </c>
      <c r="V320" s="101">
        <f t="shared" si="31"/>
        <v>1965100</v>
      </c>
      <c r="W320" s="101">
        <v>82286</v>
      </c>
      <c r="X320" s="149">
        <f t="shared" si="29"/>
        <v>2.3881340689789272E-2</v>
      </c>
      <c r="Y320" s="184"/>
      <c r="AE320" s="101"/>
      <c r="AF320" s="101"/>
      <c r="AG320" s="101"/>
    </row>
    <row r="321" spans="1:33" x14ac:dyDescent="0.25">
      <c r="A321" t="s">
        <v>521</v>
      </c>
      <c r="B321" t="s">
        <v>160</v>
      </c>
      <c r="C321">
        <f t="shared" ref="C321:C344" si="32">SUM(D321:E321)</f>
        <v>5082</v>
      </c>
      <c r="D321">
        <v>3496</v>
      </c>
      <c r="E321">
        <v>1586</v>
      </c>
      <c r="F321">
        <v>0</v>
      </c>
      <c r="G321">
        <v>0</v>
      </c>
      <c r="H321">
        <v>213</v>
      </c>
      <c r="I321">
        <v>171</v>
      </c>
      <c r="J321">
        <v>3151</v>
      </c>
      <c r="K321">
        <v>1933</v>
      </c>
      <c r="L321">
        <v>266</v>
      </c>
      <c r="M321">
        <v>318</v>
      </c>
      <c r="N321">
        <v>580</v>
      </c>
      <c r="O321">
        <v>36</v>
      </c>
      <c r="P321">
        <f t="shared" ref="P321:P343" si="33">SUM(Q321:R321)</f>
        <v>3357000</v>
      </c>
      <c r="Q321">
        <v>2912000</v>
      </c>
      <c r="R321">
        <v>445000</v>
      </c>
      <c r="S321">
        <v>202750</v>
      </c>
      <c r="T321" s="101">
        <f t="shared" si="30"/>
        <v>7242810</v>
      </c>
      <c r="U321" s="101">
        <f t="shared" ref="U321:U344" si="34">SUM(T321,-C321*1000)</f>
        <v>2160810</v>
      </c>
      <c r="V321" s="101">
        <f t="shared" si="31"/>
        <v>2160810</v>
      </c>
      <c r="W321" s="101">
        <v>61817</v>
      </c>
      <c r="X321" s="149">
        <f t="shared" ref="X321:X344" si="35">U321/(W321*1000)</f>
        <v>3.4954947668117187E-2</v>
      </c>
      <c r="Y321" s="184"/>
      <c r="AE321" s="101"/>
      <c r="AF321" s="101"/>
      <c r="AG321" s="101"/>
    </row>
    <row r="322" spans="1:33" x14ac:dyDescent="0.25">
      <c r="A322" t="s">
        <v>512</v>
      </c>
      <c r="B322" t="s">
        <v>207</v>
      </c>
      <c r="C322">
        <f t="shared" si="32"/>
        <v>9694</v>
      </c>
      <c r="D322">
        <v>6173</v>
      </c>
      <c r="E322">
        <v>3521</v>
      </c>
      <c r="F322">
        <v>0</v>
      </c>
      <c r="G322">
        <v>0</v>
      </c>
      <c r="H322">
        <v>94</v>
      </c>
      <c r="I322">
        <v>844</v>
      </c>
      <c r="J322">
        <v>4218</v>
      </c>
      <c r="K322">
        <v>4229</v>
      </c>
      <c r="L322">
        <v>372</v>
      </c>
      <c r="M322">
        <v>0</v>
      </c>
      <c r="N322">
        <v>905</v>
      </c>
      <c r="O322">
        <v>254</v>
      </c>
      <c r="P322">
        <f t="shared" si="33"/>
        <v>5869000</v>
      </c>
      <c r="Q322">
        <v>5031000</v>
      </c>
      <c r="R322">
        <v>838000</v>
      </c>
      <c r="S322">
        <v>252000</v>
      </c>
      <c r="T322" s="101">
        <f t="shared" si="30"/>
        <v>12776835</v>
      </c>
      <c r="U322" s="101">
        <f t="shared" si="34"/>
        <v>3082835</v>
      </c>
      <c r="V322" s="101">
        <f t="shared" si="31"/>
        <v>3082835</v>
      </c>
      <c r="W322" s="101">
        <v>107597</v>
      </c>
      <c r="X322" s="149">
        <f t="shared" si="35"/>
        <v>2.865168173833843E-2</v>
      </c>
      <c r="Y322" s="184"/>
      <c r="AE322" s="101"/>
      <c r="AF322" s="101"/>
      <c r="AG322" s="101"/>
    </row>
    <row r="323" spans="1:33" x14ac:dyDescent="0.25">
      <c r="A323" t="s">
        <v>515</v>
      </c>
      <c r="B323" t="s">
        <v>277</v>
      </c>
      <c r="C323">
        <f t="shared" si="32"/>
        <v>7753</v>
      </c>
      <c r="D323">
        <v>6125</v>
      </c>
      <c r="E323">
        <v>1628</v>
      </c>
      <c r="F323">
        <v>0</v>
      </c>
      <c r="G323">
        <v>0</v>
      </c>
      <c r="H323">
        <v>317</v>
      </c>
      <c r="I323">
        <v>874</v>
      </c>
      <c r="J323">
        <v>2940</v>
      </c>
      <c r="K323">
        <v>3370</v>
      </c>
      <c r="L323">
        <v>196</v>
      </c>
      <c r="M323">
        <v>320</v>
      </c>
      <c r="N323">
        <v>737</v>
      </c>
      <c r="O323">
        <v>39</v>
      </c>
      <c r="P323">
        <f t="shared" si="33"/>
        <v>5317000</v>
      </c>
      <c r="Q323">
        <v>4839000</v>
      </c>
      <c r="R323">
        <v>478000</v>
      </c>
      <c r="S323">
        <v>186000</v>
      </c>
      <c r="T323" s="101">
        <f t="shared" si="30"/>
        <v>11039475</v>
      </c>
      <c r="U323" s="101">
        <f t="shared" si="34"/>
        <v>3286475</v>
      </c>
      <c r="V323" s="101">
        <f t="shared" si="31"/>
        <v>3286475</v>
      </c>
      <c r="W323" s="101">
        <v>51501</v>
      </c>
      <c r="X323" s="149">
        <f t="shared" si="35"/>
        <v>6.381380944059338E-2</v>
      </c>
      <c r="Y323" s="184"/>
      <c r="AE323" s="101"/>
      <c r="AF323" s="101"/>
      <c r="AG323" s="101"/>
    </row>
    <row r="324" spans="1:33" x14ac:dyDescent="0.25">
      <c r="A324" t="s">
        <v>521</v>
      </c>
      <c r="B324" t="s">
        <v>232</v>
      </c>
      <c r="C324">
        <f t="shared" si="32"/>
        <v>5635</v>
      </c>
      <c r="D324">
        <v>4356</v>
      </c>
      <c r="E324">
        <v>1279</v>
      </c>
      <c r="F324">
        <v>36</v>
      </c>
      <c r="G324">
        <v>19</v>
      </c>
      <c r="H324">
        <v>36</v>
      </c>
      <c r="I324">
        <v>0</v>
      </c>
      <c r="J324">
        <v>2436</v>
      </c>
      <c r="K324">
        <v>3003</v>
      </c>
      <c r="L324">
        <v>330</v>
      </c>
      <c r="M324">
        <v>171</v>
      </c>
      <c r="N324">
        <v>603</v>
      </c>
      <c r="O324">
        <v>126</v>
      </c>
      <c r="P324">
        <f t="shared" si="33"/>
        <v>3462000</v>
      </c>
      <c r="Q324">
        <v>3161000</v>
      </c>
      <c r="R324">
        <v>301000</v>
      </c>
      <c r="S324">
        <v>171000</v>
      </c>
      <c r="T324" s="101">
        <f t="shared" si="30"/>
        <v>7168515</v>
      </c>
      <c r="U324" s="101">
        <f t="shared" si="34"/>
        <v>1533515</v>
      </c>
      <c r="V324" s="101">
        <f t="shared" si="31"/>
        <v>1533515</v>
      </c>
      <c r="W324" s="101">
        <v>56379</v>
      </c>
      <c r="X324" s="149">
        <f t="shared" si="35"/>
        <v>2.7200109970024301E-2</v>
      </c>
      <c r="Y324" s="184"/>
      <c r="AE324" s="101"/>
      <c r="AF324" s="101"/>
      <c r="AG324" s="101"/>
    </row>
    <row r="325" spans="1:33" x14ac:dyDescent="0.25">
      <c r="A325" t="s">
        <v>517</v>
      </c>
      <c r="B325" t="s">
        <v>208</v>
      </c>
      <c r="C325">
        <f t="shared" si="32"/>
        <v>6147</v>
      </c>
      <c r="D325">
        <v>3411</v>
      </c>
      <c r="E325">
        <v>2736</v>
      </c>
      <c r="F325">
        <v>0</v>
      </c>
      <c r="G325">
        <v>50</v>
      </c>
      <c r="H325">
        <v>861</v>
      </c>
      <c r="I325">
        <v>83</v>
      </c>
      <c r="J325">
        <v>3976</v>
      </c>
      <c r="K325">
        <v>2592</v>
      </c>
      <c r="L325">
        <v>273</v>
      </c>
      <c r="M325">
        <v>201</v>
      </c>
      <c r="N325">
        <v>316</v>
      </c>
      <c r="O325">
        <v>143</v>
      </c>
      <c r="P325">
        <f t="shared" si="33"/>
        <v>3631000</v>
      </c>
      <c r="Q325">
        <v>2923000</v>
      </c>
      <c r="R325">
        <v>708000</v>
      </c>
      <c r="S325">
        <v>259000</v>
      </c>
      <c r="T325" s="101">
        <f t="shared" si="30"/>
        <v>8265795</v>
      </c>
      <c r="U325" s="101">
        <f t="shared" si="34"/>
        <v>2118795</v>
      </c>
      <c r="V325" s="101">
        <f t="shared" si="31"/>
        <v>2118795</v>
      </c>
      <c r="W325" s="101">
        <v>93087</v>
      </c>
      <c r="X325" s="149">
        <f t="shared" si="35"/>
        <v>2.2761448967095296E-2</v>
      </c>
      <c r="Y325" s="184"/>
      <c r="AE325" s="101"/>
      <c r="AF325" s="101"/>
      <c r="AG325" s="101"/>
    </row>
    <row r="326" spans="1:33" x14ac:dyDescent="0.25">
      <c r="A326" t="s">
        <v>516</v>
      </c>
      <c r="B326" t="s">
        <v>396</v>
      </c>
      <c r="C326">
        <f t="shared" si="32"/>
        <v>5150</v>
      </c>
      <c r="D326">
        <v>3112</v>
      </c>
      <c r="E326">
        <v>2038</v>
      </c>
      <c r="F326">
        <v>0</v>
      </c>
      <c r="G326">
        <v>0</v>
      </c>
      <c r="H326">
        <v>641</v>
      </c>
      <c r="I326">
        <v>166</v>
      </c>
      <c r="J326">
        <v>2035</v>
      </c>
      <c r="K326">
        <v>2577</v>
      </c>
      <c r="L326">
        <v>214</v>
      </c>
      <c r="M326">
        <v>74</v>
      </c>
      <c r="N326">
        <v>658</v>
      </c>
      <c r="O326">
        <v>119</v>
      </c>
      <c r="P326">
        <f t="shared" si="33"/>
        <v>3310000</v>
      </c>
      <c r="Q326">
        <v>2690000</v>
      </c>
      <c r="R326">
        <v>620000</v>
      </c>
      <c r="S326">
        <v>189000</v>
      </c>
      <c r="T326" s="101">
        <f t="shared" si="30"/>
        <v>7486650</v>
      </c>
      <c r="U326" s="101">
        <f t="shared" si="34"/>
        <v>2336650</v>
      </c>
      <c r="V326" s="101">
        <f t="shared" si="31"/>
        <v>2336650</v>
      </c>
      <c r="W326" s="101">
        <v>53086</v>
      </c>
      <c r="X326" s="149">
        <f t="shared" si="35"/>
        <v>4.4016313152243532E-2</v>
      </c>
      <c r="Y326" s="184"/>
      <c r="AE326" s="101"/>
      <c r="AF326" s="101"/>
      <c r="AG326" s="101"/>
    </row>
    <row r="327" spans="1:33" x14ac:dyDescent="0.25">
      <c r="A327" t="s">
        <v>517</v>
      </c>
      <c r="B327" t="s">
        <v>233</v>
      </c>
      <c r="C327">
        <f t="shared" si="32"/>
        <v>14428</v>
      </c>
      <c r="D327">
        <v>9096</v>
      </c>
      <c r="E327">
        <v>5332</v>
      </c>
      <c r="F327">
        <v>2167</v>
      </c>
      <c r="G327">
        <v>98</v>
      </c>
      <c r="H327">
        <v>96</v>
      </c>
      <c r="I327">
        <v>358</v>
      </c>
      <c r="J327">
        <v>6153</v>
      </c>
      <c r="K327">
        <v>5976</v>
      </c>
      <c r="L327">
        <v>662</v>
      </c>
      <c r="M327">
        <v>730</v>
      </c>
      <c r="N327">
        <v>1399</v>
      </c>
      <c r="O327">
        <v>315</v>
      </c>
      <c r="P327">
        <f t="shared" si="33"/>
        <v>8309000</v>
      </c>
      <c r="Q327">
        <v>7209000</v>
      </c>
      <c r="R327">
        <v>1100000</v>
      </c>
      <c r="S327">
        <v>310000</v>
      </c>
      <c r="T327" s="101">
        <f t="shared" si="30"/>
        <v>17924145</v>
      </c>
      <c r="U327" s="101">
        <f t="shared" si="34"/>
        <v>3496145</v>
      </c>
      <c r="V327" s="101">
        <f t="shared" si="31"/>
        <v>3496145</v>
      </c>
      <c r="W327" s="101">
        <v>156521</v>
      </c>
      <c r="X327" s="149">
        <f t="shared" si="35"/>
        <v>2.2336587422773942E-2</v>
      </c>
      <c r="Y327" s="184"/>
      <c r="AE327" s="101"/>
      <c r="AF327" s="101"/>
      <c r="AG327" s="101"/>
    </row>
    <row r="328" spans="1:33" x14ac:dyDescent="0.25">
      <c r="A328" t="s">
        <v>518</v>
      </c>
      <c r="B328" t="s">
        <v>278</v>
      </c>
      <c r="C328">
        <f t="shared" si="32"/>
        <v>3753</v>
      </c>
      <c r="D328">
        <v>2747</v>
      </c>
      <c r="E328">
        <v>1006</v>
      </c>
      <c r="F328">
        <v>0</v>
      </c>
      <c r="G328">
        <v>0</v>
      </c>
      <c r="H328">
        <v>8</v>
      </c>
      <c r="I328">
        <v>135</v>
      </c>
      <c r="J328">
        <v>1903</v>
      </c>
      <c r="K328">
        <v>2458</v>
      </c>
      <c r="L328">
        <v>200</v>
      </c>
      <c r="M328">
        <v>159</v>
      </c>
      <c r="N328">
        <v>1671</v>
      </c>
      <c r="O328">
        <v>35</v>
      </c>
      <c r="P328">
        <f t="shared" si="33"/>
        <v>2565000</v>
      </c>
      <c r="Q328">
        <v>2287000</v>
      </c>
      <c r="R328">
        <v>278000</v>
      </c>
      <c r="S328">
        <v>246000</v>
      </c>
      <c r="T328" s="101">
        <f t="shared" si="30"/>
        <v>5415915</v>
      </c>
      <c r="U328" s="101">
        <f t="shared" si="34"/>
        <v>1662915</v>
      </c>
      <c r="V328" s="101">
        <f t="shared" si="31"/>
        <v>1662915</v>
      </c>
      <c r="W328" s="101">
        <v>39609</v>
      </c>
      <c r="X328" s="149">
        <f t="shared" si="35"/>
        <v>4.1983261379989395E-2</v>
      </c>
      <c r="Y328" s="184"/>
      <c r="AE328" s="101"/>
      <c r="AF328" s="101"/>
      <c r="AG328" s="101"/>
    </row>
    <row r="329" spans="1:33" x14ac:dyDescent="0.25">
      <c r="A329" t="s">
        <v>515</v>
      </c>
      <c r="B329" t="s">
        <v>234</v>
      </c>
      <c r="C329">
        <f t="shared" si="32"/>
        <v>2799</v>
      </c>
      <c r="D329">
        <v>2115</v>
      </c>
      <c r="E329">
        <v>684</v>
      </c>
      <c r="F329">
        <v>0</v>
      </c>
      <c r="G329">
        <v>0</v>
      </c>
      <c r="H329">
        <v>241</v>
      </c>
      <c r="I329">
        <v>89</v>
      </c>
      <c r="J329">
        <v>1305</v>
      </c>
      <c r="K329">
        <v>1732</v>
      </c>
      <c r="L329">
        <v>160</v>
      </c>
      <c r="M329">
        <v>186</v>
      </c>
      <c r="N329">
        <v>331</v>
      </c>
      <c r="O329">
        <v>6</v>
      </c>
      <c r="P329">
        <f t="shared" si="33"/>
        <v>2099000</v>
      </c>
      <c r="Q329">
        <v>1848000</v>
      </c>
      <c r="R329">
        <v>251000</v>
      </c>
      <c r="S329">
        <v>233000</v>
      </c>
      <c r="T329" s="101">
        <f t="shared" si="30"/>
        <v>4476750</v>
      </c>
      <c r="U329" s="101">
        <f t="shared" si="34"/>
        <v>1677750</v>
      </c>
      <c r="V329" s="101">
        <f t="shared" si="31"/>
        <v>1677750</v>
      </c>
      <c r="W329" s="101">
        <v>34776</v>
      </c>
      <c r="X329" s="149">
        <f t="shared" si="35"/>
        <v>4.8244478951000688E-2</v>
      </c>
      <c r="Y329" s="184"/>
      <c r="AE329" s="101"/>
      <c r="AF329" s="101"/>
      <c r="AG329" s="101"/>
    </row>
    <row r="330" spans="1:33" x14ac:dyDescent="0.25">
      <c r="A330" t="s">
        <v>514</v>
      </c>
      <c r="B330" t="s">
        <v>279</v>
      </c>
      <c r="C330">
        <f t="shared" si="32"/>
        <v>37344</v>
      </c>
      <c r="D330">
        <v>19673</v>
      </c>
      <c r="E330">
        <v>17671</v>
      </c>
      <c r="F330">
        <v>5192</v>
      </c>
      <c r="G330">
        <v>309</v>
      </c>
      <c r="H330">
        <v>2836</v>
      </c>
      <c r="I330">
        <v>1234</v>
      </c>
      <c r="J330">
        <v>22373</v>
      </c>
      <c r="K330">
        <v>23031</v>
      </c>
      <c r="L330">
        <v>2039</v>
      </c>
      <c r="M330">
        <v>1076</v>
      </c>
      <c r="N330">
        <v>6189</v>
      </c>
      <c r="O330">
        <v>1922</v>
      </c>
      <c r="P330">
        <f t="shared" si="33"/>
        <v>22707000</v>
      </c>
      <c r="Q330">
        <v>19337000</v>
      </c>
      <c r="R330">
        <v>3370000</v>
      </c>
      <c r="S330">
        <v>350000</v>
      </c>
      <c r="T330" s="101">
        <f t="shared" si="30"/>
        <v>49676685</v>
      </c>
      <c r="U330" s="101">
        <f t="shared" si="34"/>
        <v>12332685</v>
      </c>
      <c r="V330" s="101">
        <f t="shared" si="31"/>
        <v>12332685</v>
      </c>
      <c r="W330" s="101">
        <v>573096</v>
      </c>
      <c r="X330" s="149">
        <f t="shared" si="35"/>
        <v>2.1519405125842789E-2</v>
      </c>
      <c r="Y330" s="184"/>
      <c r="AE330" s="101"/>
      <c r="AF330" s="101"/>
      <c r="AG330" s="101"/>
    </row>
    <row r="331" spans="1:33" x14ac:dyDescent="0.25">
      <c r="A331" t="s">
        <v>520</v>
      </c>
      <c r="B331" t="s">
        <v>209</v>
      </c>
      <c r="C331">
        <f t="shared" si="32"/>
        <v>7213</v>
      </c>
      <c r="D331">
        <v>3544</v>
      </c>
      <c r="E331">
        <v>3669</v>
      </c>
      <c r="F331">
        <v>759</v>
      </c>
      <c r="G331">
        <v>0</v>
      </c>
      <c r="H331">
        <v>249</v>
      </c>
      <c r="I331">
        <v>350</v>
      </c>
      <c r="J331">
        <v>4255</v>
      </c>
      <c r="K331">
        <v>0</v>
      </c>
      <c r="L331">
        <v>316</v>
      </c>
      <c r="M331">
        <v>334</v>
      </c>
      <c r="N331">
        <v>1059</v>
      </c>
      <c r="O331">
        <v>234</v>
      </c>
      <c r="P331">
        <f t="shared" si="33"/>
        <v>4190000</v>
      </c>
      <c r="Q331">
        <v>3368000</v>
      </c>
      <c r="R331">
        <v>822000</v>
      </c>
      <c r="S331">
        <v>260000</v>
      </c>
      <c r="T331" s="101">
        <f t="shared" si="30"/>
        <v>9547860</v>
      </c>
      <c r="U331" s="101">
        <f t="shared" si="34"/>
        <v>2334860</v>
      </c>
      <c r="V331" s="101">
        <f t="shared" si="31"/>
        <v>2334860</v>
      </c>
      <c r="W331" s="101">
        <v>87674</v>
      </c>
      <c r="X331" s="149">
        <f t="shared" si="35"/>
        <v>2.6631156329128363E-2</v>
      </c>
      <c r="Y331" s="184"/>
      <c r="AE331" s="101"/>
      <c r="AF331" s="101"/>
      <c r="AG331" s="101"/>
    </row>
    <row r="332" spans="1:33" x14ac:dyDescent="0.25">
      <c r="A332" t="s">
        <v>515</v>
      </c>
      <c r="B332" t="s">
        <v>280</v>
      </c>
      <c r="C332">
        <f t="shared" si="32"/>
        <v>3862</v>
      </c>
      <c r="D332">
        <v>2816</v>
      </c>
      <c r="E332">
        <v>1046</v>
      </c>
      <c r="F332">
        <v>6317</v>
      </c>
      <c r="G332">
        <v>192</v>
      </c>
      <c r="H332">
        <v>3294</v>
      </c>
      <c r="I332">
        <v>782</v>
      </c>
      <c r="J332">
        <v>2052</v>
      </c>
      <c r="K332">
        <v>2138</v>
      </c>
      <c r="L332">
        <v>351</v>
      </c>
      <c r="M332">
        <v>130</v>
      </c>
      <c r="N332">
        <v>387</v>
      </c>
      <c r="O332">
        <v>137</v>
      </c>
      <c r="P332">
        <f t="shared" si="33"/>
        <v>3950000</v>
      </c>
      <c r="Q332">
        <v>3643000</v>
      </c>
      <c r="R332">
        <v>307000</v>
      </c>
      <c r="S332">
        <v>179000</v>
      </c>
      <c r="T332" s="101">
        <f t="shared" si="30"/>
        <v>8109585</v>
      </c>
      <c r="U332" s="101">
        <f t="shared" si="34"/>
        <v>4247585</v>
      </c>
      <c r="V332" s="101">
        <f t="shared" si="31"/>
        <v>4247585</v>
      </c>
      <c r="W332" s="101">
        <v>60489</v>
      </c>
      <c r="X332" s="149">
        <f t="shared" si="35"/>
        <v>7.0220783944188195E-2</v>
      </c>
      <c r="Y332" s="184"/>
      <c r="AE332" s="101"/>
      <c r="AF332" s="101"/>
      <c r="AG332" s="101"/>
    </row>
    <row r="333" spans="1:33" x14ac:dyDescent="0.25">
      <c r="A333" t="s">
        <v>513</v>
      </c>
      <c r="B333" t="s">
        <v>432</v>
      </c>
      <c r="C333">
        <f t="shared" si="32"/>
        <v>8145</v>
      </c>
      <c r="D333">
        <v>4738</v>
      </c>
      <c r="E333">
        <v>3407</v>
      </c>
      <c r="F333">
        <v>0</v>
      </c>
      <c r="G333">
        <v>0</v>
      </c>
      <c r="H333">
        <v>3140</v>
      </c>
      <c r="I333">
        <v>443</v>
      </c>
      <c r="J333">
        <v>1272</v>
      </c>
      <c r="K333">
        <v>2612</v>
      </c>
      <c r="L333">
        <v>291</v>
      </c>
      <c r="M333">
        <v>107</v>
      </c>
      <c r="N333">
        <v>1535</v>
      </c>
      <c r="O333">
        <v>60</v>
      </c>
      <c r="P333">
        <f t="shared" si="33"/>
        <v>3719000</v>
      </c>
      <c r="Q333">
        <v>2815000</v>
      </c>
      <c r="R333">
        <v>904000</v>
      </c>
      <c r="S333">
        <v>233000</v>
      </c>
      <c r="T333" s="101">
        <f t="shared" si="30"/>
        <v>8806815</v>
      </c>
      <c r="U333" s="101">
        <f t="shared" si="34"/>
        <v>661815</v>
      </c>
      <c r="V333" s="101">
        <f t="shared" si="31"/>
        <v>661815</v>
      </c>
      <c r="W333" s="101">
        <v>66466</v>
      </c>
      <c r="X333" s="149">
        <f t="shared" si="35"/>
        <v>9.957196160442933E-3</v>
      </c>
      <c r="Y333" s="184"/>
      <c r="AE333" s="101"/>
      <c r="AF333" s="101"/>
      <c r="AG333" s="101"/>
    </row>
    <row r="334" spans="1:33" x14ac:dyDescent="0.25">
      <c r="A334" t="s">
        <v>520</v>
      </c>
      <c r="B334" t="s">
        <v>235</v>
      </c>
      <c r="C334">
        <f t="shared" si="32"/>
        <v>12891</v>
      </c>
      <c r="D334">
        <v>7694</v>
      </c>
      <c r="E334">
        <v>5197</v>
      </c>
      <c r="F334">
        <v>3124</v>
      </c>
      <c r="G334">
        <v>142</v>
      </c>
      <c r="H334">
        <v>373</v>
      </c>
      <c r="I334">
        <v>200</v>
      </c>
      <c r="J334">
        <v>5925</v>
      </c>
      <c r="K334">
        <v>9452</v>
      </c>
      <c r="L334">
        <v>1101</v>
      </c>
      <c r="M334">
        <v>1069</v>
      </c>
      <c r="N334">
        <v>4560</v>
      </c>
      <c r="O334">
        <v>97</v>
      </c>
      <c r="P334">
        <f t="shared" si="33"/>
        <v>12840000</v>
      </c>
      <c r="Q334">
        <v>11222000</v>
      </c>
      <c r="R334">
        <v>1618000</v>
      </c>
      <c r="S334">
        <v>269000</v>
      </c>
      <c r="T334" s="101">
        <f t="shared" si="30"/>
        <v>27542490</v>
      </c>
      <c r="U334" s="101">
        <f t="shared" si="34"/>
        <v>14651490</v>
      </c>
      <c r="V334" s="101">
        <f t="shared" si="31"/>
        <v>14651490</v>
      </c>
      <c r="W334" s="101">
        <v>171645</v>
      </c>
      <c r="X334" s="149">
        <f t="shared" si="35"/>
        <v>8.5359258935593818E-2</v>
      </c>
      <c r="Y334" s="184"/>
      <c r="AE334" s="101"/>
      <c r="AF334" s="101"/>
      <c r="AG334" s="101"/>
    </row>
    <row r="335" spans="1:33" x14ac:dyDescent="0.25">
      <c r="A335" t="s">
        <v>514</v>
      </c>
      <c r="B335" t="s">
        <v>210</v>
      </c>
      <c r="C335">
        <f t="shared" si="32"/>
        <v>12817</v>
      </c>
      <c r="D335">
        <v>7999</v>
      </c>
      <c r="E335">
        <v>4818</v>
      </c>
      <c r="F335">
        <v>1268</v>
      </c>
      <c r="G335">
        <v>2</v>
      </c>
      <c r="H335">
        <v>382</v>
      </c>
      <c r="I335">
        <v>537</v>
      </c>
      <c r="J335">
        <v>4661</v>
      </c>
      <c r="K335">
        <v>3679</v>
      </c>
      <c r="L335">
        <v>484</v>
      </c>
      <c r="M335">
        <v>147</v>
      </c>
      <c r="N335">
        <v>727</v>
      </c>
      <c r="O335">
        <v>186</v>
      </c>
      <c r="P335">
        <f t="shared" si="33"/>
        <v>5536000</v>
      </c>
      <c r="Q335">
        <v>4660000</v>
      </c>
      <c r="R335">
        <v>876000</v>
      </c>
      <c r="S335">
        <v>236000</v>
      </c>
      <c r="T335" s="101">
        <f t="shared" si="30"/>
        <v>12214860</v>
      </c>
      <c r="U335" s="101">
        <f t="shared" si="34"/>
        <v>-602140</v>
      </c>
      <c r="V335" s="101">
        <f t="shared" si="31"/>
        <v>0</v>
      </c>
      <c r="W335" s="101">
        <v>151681</v>
      </c>
      <c r="X335" s="149">
        <f t="shared" si="35"/>
        <v>-3.9697786802565908E-3</v>
      </c>
      <c r="Y335" s="184"/>
      <c r="AE335" s="101"/>
      <c r="AF335" s="101"/>
      <c r="AG335" s="101"/>
    </row>
    <row r="336" spans="1:33" x14ac:dyDescent="0.25">
      <c r="A336" t="s">
        <v>520</v>
      </c>
      <c r="B336" t="s">
        <v>324</v>
      </c>
      <c r="C336">
        <f t="shared" si="32"/>
        <v>36213</v>
      </c>
      <c r="D336">
        <v>21452</v>
      </c>
      <c r="E336">
        <v>14761</v>
      </c>
      <c r="F336">
        <v>2737</v>
      </c>
      <c r="G336">
        <v>3</v>
      </c>
      <c r="H336">
        <v>267</v>
      </c>
      <c r="I336">
        <v>605</v>
      </c>
      <c r="J336">
        <v>6676</v>
      </c>
      <c r="K336">
        <v>15832</v>
      </c>
      <c r="L336">
        <v>1288</v>
      </c>
      <c r="M336">
        <v>447</v>
      </c>
      <c r="N336">
        <v>6904</v>
      </c>
      <c r="O336">
        <v>274</v>
      </c>
      <c r="P336">
        <f t="shared" si="33"/>
        <v>16415000</v>
      </c>
      <c r="Q336">
        <v>14447000</v>
      </c>
      <c r="R336">
        <v>1968000</v>
      </c>
      <c r="S336">
        <v>288000</v>
      </c>
      <c r="T336" s="101">
        <f t="shared" si="30"/>
        <v>35019615</v>
      </c>
      <c r="U336" s="101">
        <f t="shared" si="34"/>
        <v>-1193385</v>
      </c>
      <c r="V336" s="101">
        <f t="shared" si="31"/>
        <v>0</v>
      </c>
      <c r="W336" s="101">
        <v>403762</v>
      </c>
      <c r="X336" s="149">
        <f t="shared" si="35"/>
        <v>-2.9556644756069169E-3</v>
      </c>
      <c r="Y336" s="184"/>
      <c r="AE336" s="101"/>
      <c r="AF336" s="101"/>
      <c r="AG336" s="101"/>
    </row>
    <row r="337" spans="1:33" x14ac:dyDescent="0.25">
      <c r="A337" t="s">
        <v>514</v>
      </c>
      <c r="B337" t="s">
        <v>325</v>
      </c>
      <c r="C337">
        <f t="shared" si="32"/>
        <v>4879</v>
      </c>
      <c r="D337">
        <v>2041</v>
      </c>
      <c r="E337">
        <v>2838</v>
      </c>
      <c r="F337">
        <v>0</v>
      </c>
      <c r="G337">
        <v>0</v>
      </c>
      <c r="H337">
        <v>0</v>
      </c>
      <c r="I337">
        <v>0</v>
      </c>
      <c r="J337">
        <v>1119</v>
      </c>
      <c r="K337">
        <v>820</v>
      </c>
      <c r="L337">
        <v>57</v>
      </c>
      <c r="M337">
        <v>5</v>
      </c>
      <c r="N337">
        <v>294</v>
      </c>
      <c r="O337">
        <v>27</v>
      </c>
      <c r="P337">
        <f t="shared" si="33"/>
        <v>1827000</v>
      </c>
      <c r="Q337">
        <v>1395000</v>
      </c>
      <c r="R337">
        <v>432000</v>
      </c>
      <c r="S337">
        <v>201000</v>
      </c>
      <c r="T337" s="101">
        <f t="shared" si="30"/>
        <v>4303395</v>
      </c>
      <c r="U337" s="101">
        <f t="shared" si="34"/>
        <v>-575605</v>
      </c>
      <c r="V337" s="101">
        <f t="shared" si="31"/>
        <v>0</v>
      </c>
      <c r="W337" s="101">
        <v>23593</v>
      </c>
      <c r="X337" s="149">
        <f t="shared" si="35"/>
        <v>-2.4397278853897343E-2</v>
      </c>
      <c r="Y337" s="184"/>
      <c r="AE337" s="101"/>
      <c r="AF337" s="101"/>
      <c r="AG337" s="101"/>
    </row>
    <row r="338" spans="1:33" x14ac:dyDescent="0.25">
      <c r="A338" t="s">
        <v>515</v>
      </c>
      <c r="B338" t="s">
        <v>326</v>
      </c>
      <c r="C338">
        <f t="shared" si="32"/>
        <v>10090</v>
      </c>
      <c r="D338">
        <v>7177</v>
      </c>
      <c r="E338">
        <v>2913</v>
      </c>
      <c r="F338">
        <v>12</v>
      </c>
      <c r="G338">
        <v>20</v>
      </c>
      <c r="H338">
        <v>372</v>
      </c>
      <c r="I338">
        <v>132</v>
      </c>
      <c r="J338">
        <v>4351</v>
      </c>
      <c r="K338">
        <v>5161</v>
      </c>
      <c r="L338">
        <v>419</v>
      </c>
      <c r="M338">
        <v>289</v>
      </c>
      <c r="N338">
        <v>1854</v>
      </c>
      <c r="O338">
        <v>52</v>
      </c>
      <c r="P338">
        <f t="shared" si="33"/>
        <v>6733000</v>
      </c>
      <c r="Q338">
        <v>5696000</v>
      </c>
      <c r="R338">
        <v>1037000</v>
      </c>
      <c r="S338">
        <v>241000</v>
      </c>
      <c r="T338" s="101">
        <f t="shared" si="30"/>
        <v>14801850</v>
      </c>
      <c r="U338" s="101">
        <f t="shared" si="34"/>
        <v>4711850</v>
      </c>
      <c r="V338" s="101">
        <f t="shared" si="31"/>
        <v>4711850</v>
      </c>
      <c r="W338" s="101">
        <v>124204</v>
      </c>
      <c r="X338" s="149">
        <f t="shared" si="35"/>
        <v>3.7936378860584201E-2</v>
      </c>
      <c r="Y338" s="184"/>
      <c r="AE338" s="101"/>
      <c r="AF338" s="101"/>
      <c r="AG338" s="101"/>
    </row>
    <row r="339" spans="1:33" x14ac:dyDescent="0.25">
      <c r="A339" t="s">
        <v>514</v>
      </c>
      <c r="B339" t="s">
        <v>397</v>
      </c>
      <c r="C339">
        <f t="shared" si="32"/>
        <v>5482</v>
      </c>
      <c r="D339">
        <v>4053</v>
      </c>
      <c r="E339">
        <v>1429</v>
      </c>
      <c r="F339">
        <v>0</v>
      </c>
      <c r="G339">
        <v>0</v>
      </c>
      <c r="H339">
        <v>160</v>
      </c>
      <c r="I339">
        <v>80</v>
      </c>
      <c r="J339">
        <v>2493</v>
      </c>
      <c r="K339">
        <v>2699</v>
      </c>
      <c r="L339">
        <v>195</v>
      </c>
      <c r="M339">
        <v>2</v>
      </c>
      <c r="N339">
        <v>1202</v>
      </c>
      <c r="O339">
        <v>192</v>
      </c>
      <c r="P339">
        <f t="shared" si="33"/>
        <v>3443000</v>
      </c>
      <c r="Q339">
        <v>2950000</v>
      </c>
      <c r="R339">
        <v>493000</v>
      </c>
      <c r="S339">
        <v>281000</v>
      </c>
      <c r="T339" s="101">
        <f t="shared" si="30"/>
        <v>7498080</v>
      </c>
      <c r="U339" s="101">
        <f t="shared" si="34"/>
        <v>2016080</v>
      </c>
      <c r="V339" s="101">
        <f t="shared" si="31"/>
        <v>2016080</v>
      </c>
      <c r="W339" s="101">
        <v>53388</v>
      </c>
      <c r="X339" s="149">
        <f t="shared" si="35"/>
        <v>3.7762793137034539E-2</v>
      </c>
      <c r="Y339" s="184"/>
      <c r="AE339" s="101"/>
      <c r="AF339" s="101"/>
      <c r="AG339" s="101"/>
    </row>
    <row r="340" spans="1:33" x14ac:dyDescent="0.25">
      <c r="A340" t="s">
        <v>519</v>
      </c>
      <c r="B340" t="s">
        <v>211</v>
      </c>
      <c r="C340">
        <f t="shared" si="32"/>
        <v>13725</v>
      </c>
      <c r="D340">
        <v>7301</v>
      </c>
      <c r="E340">
        <v>6424</v>
      </c>
      <c r="F340">
        <v>2656</v>
      </c>
      <c r="G340">
        <v>90</v>
      </c>
      <c r="H340">
        <v>210</v>
      </c>
      <c r="I340">
        <v>306</v>
      </c>
      <c r="J340">
        <v>3777</v>
      </c>
      <c r="K340">
        <v>6164</v>
      </c>
      <c r="L340">
        <v>473</v>
      </c>
      <c r="M340">
        <v>198</v>
      </c>
      <c r="N340">
        <v>1409</v>
      </c>
      <c r="O340">
        <v>198</v>
      </c>
      <c r="P340">
        <f t="shared" si="33"/>
        <v>6264000</v>
      </c>
      <c r="Q340">
        <v>5256000</v>
      </c>
      <c r="R340">
        <v>1008000</v>
      </c>
      <c r="S340">
        <v>240000</v>
      </c>
      <c r="T340" s="101">
        <f t="shared" si="30"/>
        <v>13853160</v>
      </c>
      <c r="U340" s="101">
        <f t="shared" si="34"/>
        <v>128160</v>
      </c>
      <c r="V340" s="101">
        <f t="shared" si="31"/>
        <v>128160</v>
      </c>
      <c r="W340" s="101">
        <v>180866</v>
      </c>
      <c r="X340" s="149">
        <f t="shared" si="35"/>
        <v>7.0859089049351458E-4</v>
      </c>
      <c r="Y340" s="184"/>
      <c r="AE340" s="101"/>
      <c r="AF340" s="101"/>
      <c r="AG340" s="101"/>
    </row>
    <row r="341" spans="1:33" x14ac:dyDescent="0.25">
      <c r="A341" t="s">
        <v>520</v>
      </c>
      <c r="B341" t="s">
        <v>161</v>
      </c>
      <c r="C341">
        <f t="shared" si="32"/>
        <v>5190</v>
      </c>
      <c r="D341">
        <v>2255</v>
      </c>
      <c r="E341">
        <v>2935</v>
      </c>
      <c r="F341">
        <v>0</v>
      </c>
      <c r="G341">
        <v>17</v>
      </c>
      <c r="H341">
        <v>64</v>
      </c>
      <c r="I341">
        <v>95</v>
      </c>
      <c r="J341">
        <v>2904</v>
      </c>
      <c r="K341">
        <v>1816</v>
      </c>
      <c r="L341">
        <v>206</v>
      </c>
      <c r="M341">
        <v>399</v>
      </c>
      <c r="N341">
        <v>944</v>
      </c>
      <c r="O341">
        <v>325</v>
      </c>
      <c r="P341">
        <f t="shared" si="33"/>
        <v>2768000</v>
      </c>
      <c r="Q341">
        <v>2049000</v>
      </c>
      <c r="R341">
        <v>719000</v>
      </c>
      <c r="S341">
        <v>318000</v>
      </c>
      <c r="T341" s="101">
        <f t="shared" si="30"/>
        <v>6642735</v>
      </c>
      <c r="U341" s="101">
        <f t="shared" si="34"/>
        <v>1452735</v>
      </c>
      <c r="V341" s="101">
        <f t="shared" si="31"/>
        <v>1452735</v>
      </c>
      <c r="W341" s="101">
        <v>61625</v>
      </c>
      <c r="X341" s="149">
        <f t="shared" si="35"/>
        <v>2.3573793103448277E-2</v>
      </c>
      <c r="Y341" s="184"/>
      <c r="AE341" s="101"/>
      <c r="AF341" s="101"/>
      <c r="AG341" s="101"/>
    </row>
    <row r="342" spans="1:33" x14ac:dyDescent="0.25">
      <c r="A342" t="s">
        <v>515</v>
      </c>
      <c r="B342" t="s">
        <v>327</v>
      </c>
      <c r="C342">
        <f t="shared" si="32"/>
        <v>10472</v>
      </c>
      <c r="D342">
        <v>5354</v>
      </c>
      <c r="E342">
        <v>5118</v>
      </c>
      <c r="F342">
        <v>192</v>
      </c>
      <c r="G342">
        <v>93</v>
      </c>
      <c r="H342">
        <v>0</v>
      </c>
      <c r="I342">
        <v>293</v>
      </c>
      <c r="J342">
        <v>6630</v>
      </c>
      <c r="K342">
        <v>7291</v>
      </c>
      <c r="L342">
        <v>573</v>
      </c>
      <c r="M342">
        <v>733</v>
      </c>
      <c r="N342">
        <v>875</v>
      </c>
      <c r="O342">
        <v>259</v>
      </c>
      <c r="P342">
        <f t="shared" si="33"/>
        <v>5795000</v>
      </c>
      <c r="Q342">
        <v>4899000</v>
      </c>
      <c r="R342">
        <v>896000</v>
      </c>
      <c r="S342">
        <v>185000</v>
      </c>
      <c r="T342" s="101">
        <f t="shared" si="30"/>
        <v>12746355</v>
      </c>
      <c r="U342" s="101">
        <f t="shared" si="34"/>
        <v>2274355</v>
      </c>
      <c r="V342" s="101">
        <f t="shared" si="31"/>
        <v>2274355</v>
      </c>
      <c r="W342" s="101">
        <v>149355</v>
      </c>
      <c r="X342" s="149">
        <f t="shared" si="35"/>
        <v>1.5227846406213384E-2</v>
      </c>
      <c r="Y342" s="184"/>
      <c r="AA342" s="102"/>
      <c r="AB342" s="102"/>
      <c r="AE342" s="101"/>
      <c r="AF342" s="101"/>
      <c r="AG342" s="101"/>
    </row>
    <row r="343" spans="1:33" x14ac:dyDescent="0.25">
      <c r="A343" t="s">
        <v>517</v>
      </c>
      <c r="B343" t="s">
        <v>162</v>
      </c>
      <c r="C343">
        <f t="shared" si="32"/>
        <v>47047</v>
      </c>
      <c r="D343">
        <v>18630</v>
      </c>
      <c r="E343">
        <v>28417</v>
      </c>
      <c r="F343">
        <v>11382</v>
      </c>
      <c r="G343">
        <v>354</v>
      </c>
      <c r="H343">
        <v>550</v>
      </c>
      <c r="I343">
        <v>447</v>
      </c>
      <c r="J343">
        <v>7479</v>
      </c>
      <c r="K343">
        <v>16250</v>
      </c>
      <c r="L343">
        <v>1676</v>
      </c>
      <c r="M343">
        <v>1119</v>
      </c>
      <c r="N343">
        <v>4453</v>
      </c>
      <c r="O343">
        <v>815</v>
      </c>
      <c r="P343">
        <f t="shared" si="33"/>
        <v>20074000</v>
      </c>
      <c r="Q343">
        <v>16138000</v>
      </c>
      <c r="R343">
        <v>3936000</v>
      </c>
      <c r="S343">
        <v>200000</v>
      </c>
      <c r="T343" s="101">
        <f t="shared" si="30"/>
        <v>45739050</v>
      </c>
      <c r="U343" s="101">
        <f t="shared" si="34"/>
        <v>-1307950</v>
      </c>
      <c r="V343" s="101">
        <f t="shared" si="31"/>
        <v>0</v>
      </c>
      <c r="W343" s="101">
        <v>606287</v>
      </c>
      <c r="X343" s="149">
        <f t="shared" si="35"/>
        <v>-2.1573116362382833E-3</v>
      </c>
      <c r="Y343" s="184"/>
      <c r="AE343" s="101"/>
      <c r="AF343" s="101"/>
      <c r="AG343" s="101"/>
    </row>
    <row r="344" spans="1:33" x14ac:dyDescent="0.25">
      <c r="A344" t="s">
        <v>517</v>
      </c>
      <c r="B344" t="s">
        <v>440</v>
      </c>
      <c r="C344">
        <f t="shared" si="32"/>
        <v>4754985</v>
      </c>
      <c r="D344">
        <f t="shared" ref="D344:R344" si="36">SUM(D2:D343)</f>
        <v>2479535</v>
      </c>
      <c r="E344">
        <f t="shared" si="36"/>
        <v>2275450</v>
      </c>
      <c r="F344">
        <f t="shared" si="36"/>
        <v>1111181</v>
      </c>
      <c r="G344">
        <f t="shared" si="36"/>
        <v>39363</v>
      </c>
      <c r="H344">
        <f t="shared" si="36"/>
        <v>376645</v>
      </c>
      <c r="I344">
        <f t="shared" si="36"/>
        <v>140074</v>
      </c>
      <c r="J344">
        <f t="shared" si="36"/>
        <v>1771234</v>
      </c>
      <c r="K344">
        <f t="shared" si="36"/>
        <v>2257304</v>
      </c>
      <c r="L344">
        <f t="shared" si="36"/>
        <v>216888</v>
      </c>
      <c r="M344">
        <f t="shared" si="36"/>
        <v>115164</v>
      </c>
      <c r="N344">
        <f t="shared" si="36"/>
        <v>602918</v>
      </c>
      <c r="O344">
        <f t="shared" si="36"/>
        <v>154103</v>
      </c>
      <c r="P344" s="101">
        <f t="shared" si="36"/>
        <v>2761703000</v>
      </c>
      <c r="Q344" s="101">
        <f t="shared" si="36"/>
        <v>2295019000</v>
      </c>
      <c r="R344" s="101">
        <f t="shared" si="36"/>
        <v>466684000</v>
      </c>
      <c r="S344">
        <v>283000</v>
      </c>
      <c r="T344" s="101">
        <f t="shared" si="30"/>
        <v>6150077235</v>
      </c>
      <c r="U344" s="101">
        <f t="shared" si="34"/>
        <v>1395092235</v>
      </c>
      <c r="V344" s="101">
        <f t="shared" si="31"/>
        <v>1395092235</v>
      </c>
      <c r="W344" s="101">
        <f>SUM(W2:W343)</f>
        <v>62208251</v>
      </c>
      <c r="X344" s="149">
        <f t="shared" si="35"/>
        <v>2.2426160719419681E-2</v>
      </c>
      <c r="Y344" s="184"/>
      <c r="AE344" s="101"/>
      <c r="AF344" s="101"/>
      <c r="AG344" s="101"/>
    </row>
    <row r="345" spans="1:33" x14ac:dyDescent="0.25">
      <c r="A345"/>
      <c r="B345"/>
      <c r="C345"/>
      <c r="D345"/>
      <c r="E345"/>
      <c r="F345"/>
      <c r="G345"/>
      <c r="H345"/>
      <c r="I345"/>
      <c r="J345"/>
      <c r="K345"/>
      <c r="L345"/>
      <c r="M345"/>
      <c r="N345"/>
      <c r="O345"/>
      <c r="P345"/>
      <c r="T345" s="101"/>
      <c r="U345" s="101"/>
      <c r="V345" s="101"/>
      <c r="W345" s="101"/>
      <c r="X345" s="101"/>
      <c r="Y345" s="184"/>
      <c r="AE345" s="101"/>
      <c r="AF345" s="101"/>
      <c r="AG345" s="101"/>
    </row>
    <row r="346" spans="1:33" x14ac:dyDescent="0.25">
      <c r="A346"/>
      <c r="B346"/>
      <c r="C346"/>
      <c r="D346"/>
      <c r="E346"/>
      <c r="F346"/>
      <c r="G346"/>
      <c r="H346"/>
      <c r="I346"/>
      <c r="J346"/>
      <c r="K346"/>
      <c r="L346"/>
      <c r="M346"/>
      <c r="N346"/>
      <c r="O346"/>
      <c r="P346"/>
      <c r="T346" s="101"/>
      <c r="U346" s="101"/>
      <c r="V346" s="101"/>
      <c r="W346" s="101"/>
      <c r="X346" s="101"/>
      <c r="Y346" s="184"/>
      <c r="AE346" s="101"/>
      <c r="AF346" s="101"/>
      <c r="AG346" s="101"/>
    </row>
    <row r="347" spans="1:33" x14ac:dyDescent="0.25">
      <c r="A347" t="s">
        <v>513</v>
      </c>
      <c r="B347" t="s">
        <v>286</v>
      </c>
      <c r="C347">
        <v>3222</v>
      </c>
      <c r="D347">
        <v>2409</v>
      </c>
      <c r="E347">
        <v>813</v>
      </c>
      <c r="F347">
        <v>11</v>
      </c>
      <c r="G347">
        <v>34</v>
      </c>
      <c r="H347">
        <v>364</v>
      </c>
      <c r="I347">
        <v>205</v>
      </c>
      <c r="J347">
        <v>2000</v>
      </c>
      <c r="K347">
        <v>2256</v>
      </c>
      <c r="L347">
        <v>247</v>
      </c>
      <c r="M347">
        <v>85</v>
      </c>
      <c r="N347">
        <v>513</v>
      </c>
      <c r="O347">
        <v>103</v>
      </c>
      <c r="P347">
        <v>2597000</v>
      </c>
      <c r="Q347">
        <v>2253000</v>
      </c>
      <c r="R347">
        <v>344000</v>
      </c>
      <c r="S347">
        <v>244000</v>
      </c>
      <c r="T347" s="101">
        <v>5602605</v>
      </c>
      <c r="U347" s="101">
        <v>2380605</v>
      </c>
      <c r="V347" s="101">
        <v>2380605</v>
      </c>
      <c r="W347" s="101">
        <v>43346</v>
      </c>
      <c r="X347" s="101">
        <v>5.4920984635260461E-2</v>
      </c>
      <c r="Y347" s="184"/>
      <c r="AE347" s="101"/>
      <c r="AF347" s="101"/>
      <c r="AG347" s="101"/>
    </row>
    <row r="348" spans="1:33" x14ac:dyDescent="0.25">
      <c r="A348" t="s">
        <v>522</v>
      </c>
      <c r="B348" t="s">
        <v>294</v>
      </c>
      <c r="C348">
        <f>SUM(D348:E348)</f>
        <v>5405</v>
      </c>
      <c r="D348">
        <v>3795</v>
      </c>
      <c r="E348">
        <v>1610</v>
      </c>
      <c r="F348">
        <v>0</v>
      </c>
      <c r="G348">
        <v>11</v>
      </c>
      <c r="H348">
        <v>544</v>
      </c>
      <c r="I348">
        <v>240</v>
      </c>
      <c r="J348">
        <v>2923</v>
      </c>
      <c r="K348">
        <v>4157</v>
      </c>
      <c r="L348">
        <v>470</v>
      </c>
      <c r="M348">
        <v>76</v>
      </c>
      <c r="N348">
        <v>215</v>
      </c>
      <c r="O348">
        <v>303</v>
      </c>
      <c r="P348">
        <f>SUM(Q348:R348)</f>
        <v>5086000</v>
      </c>
      <c r="Q348">
        <v>4528000</v>
      </c>
      <c r="R348">
        <v>558000</v>
      </c>
      <c r="S348">
        <v>129000</v>
      </c>
      <c r="T348" s="101">
        <f>0.1905*SUM(Q348,R348,R348)*10</f>
        <v>10751820</v>
      </c>
      <c r="U348" s="101">
        <f>SUM(T348,-C348*1000)</f>
        <v>5346820</v>
      </c>
      <c r="V348" s="101">
        <f>IF(U348&gt;0,U348,0)</f>
        <v>5346820</v>
      </c>
      <c r="W348" s="101">
        <v>119869</v>
      </c>
      <c r="X348" s="149">
        <f>U348/(W348*1000)</f>
        <v>4.460552770107367E-2</v>
      </c>
      <c r="Y348" s="184"/>
      <c r="AE348" s="101"/>
      <c r="AF348" s="101"/>
      <c r="AG348" s="101"/>
    </row>
    <row r="349" spans="1:33" x14ac:dyDescent="0.25">
      <c r="A349" t="s">
        <v>515</v>
      </c>
      <c r="B349" t="s">
        <v>323</v>
      </c>
      <c r="C349">
        <f>SUM(D349:E349)</f>
        <v>3087</v>
      </c>
      <c r="D349">
        <v>2684</v>
      </c>
      <c r="E349">
        <v>403</v>
      </c>
      <c r="F349">
        <v>601</v>
      </c>
      <c r="G349">
        <v>0</v>
      </c>
      <c r="H349">
        <v>1021</v>
      </c>
      <c r="I349">
        <v>102</v>
      </c>
      <c r="J349">
        <v>2273</v>
      </c>
      <c r="K349">
        <v>2214</v>
      </c>
      <c r="L349">
        <v>197</v>
      </c>
      <c r="M349">
        <v>379</v>
      </c>
      <c r="N349">
        <v>677</v>
      </c>
      <c r="O349">
        <v>30</v>
      </c>
      <c r="P349">
        <f>SUM(Q349:R349)</f>
        <v>2916000</v>
      </c>
      <c r="Q349">
        <v>2669000</v>
      </c>
      <c r="R349">
        <v>247000</v>
      </c>
      <c r="S349">
        <v>238000</v>
      </c>
      <c r="T349" s="101">
        <f>0.1905*SUM(Q349,R349,R349)*10</f>
        <v>6025515</v>
      </c>
      <c r="U349" s="101">
        <f>SUM(T349,-C349*1000)</f>
        <v>2938515</v>
      </c>
      <c r="V349" s="101">
        <f>IF(U349&gt;0,U349,0)</f>
        <v>2938515</v>
      </c>
      <c r="W349" s="101">
        <v>48957</v>
      </c>
      <c r="X349" s="149">
        <f>U349/(W349*1000)</f>
        <v>6.0022366566578833E-2</v>
      </c>
      <c r="Y349" s="184"/>
      <c r="AE349" s="101"/>
      <c r="AF349" s="101"/>
      <c r="AG349" s="101"/>
    </row>
    <row r="350" spans="1:33" x14ac:dyDescent="0.25">
      <c r="A350"/>
      <c r="B350" t="s">
        <v>827</v>
      </c>
      <c r="C350">
        <f>SUM(C347:C349)</f>
        <v>11714</v>
      </c>
      <c r="D350">
        <f>SUM(D347:D349)</f>
        <v>8888</v>
      </c>
      <c r="E350">
        <f>SUM(E347:E349)</f>
        <v>2826</v>
      </c>
      <c r="F350">
        <f t="shared" ref="F350:R350" si="37">SUM(F347:F349)</f>
        <v>612</v>
      </c>
      <c r="G350">
        <f t="shared" si="37"/>
        <v>45</v>
      </c>
      <c r="H350">
        <f t="shared" si="37"/>
        <v>1929</v>
      </c>
      <c r="I350">
        <f t="shared" si="37"/>
        <v>547</v>
      </c>
      <c r="J350">
        <f t="shared" si="37"/>
        <v>7196</v>
      </c>
      <c r="K350">
        <f t="shared" si="37"/>
        <v>8627</v>
      </c>
      <c r="L350">
        <f t="shared" si="37"/>
        <v>914</v>
      </c>
      <c r="M350">
        <f t="shared" si="37"/>
        <v>540</v>
      </c>
      <c r="N350">
        <f t="shared" si="37"/>
        <v>1405</v>
      </c>
      <c r="O350">
        <f t="shared" si="37"/>
        <v>436</v>
      </c>
      <c r="P350">
        <f t="shared" si="37"/>
        <v>10599000</v>
      </c>
      <c r="Q350">
        <f t="shared" si="37"/>
        <v>9450000</v>
      </c>
      <c r="R350">
        <f t="shared" si="37"/>
        <v>1149000</v>
      </c>
      <c r="S350" s="102">
        <f>SUM(S347:S349)/3</f>
        <v>203666.66666666666</v>
      </c>
      <c r="T350" s="101">
        <f>0.1905*SUM(Q350,R350,R350)*10</f>
        <v>22379940</v>
      </c>
      <c r="U350" s="101">
        <f>SUM(T350,-C350*1000)</f>
        <v>10665940</v>
      </c>
      <c r="V350" s="101">
        <f>IF(U350&gt;0,U350,0)</f>
        <v>10665940</v>
      </c>
      <c r="W350" s="101">
        <f>SUM(W347:W349)</f>
        <v>212172</v>
      </c>
      <c r="X350" s="149">
        <f>U350/(W350*1000)</f>
        <v>5.0270252436702301E-2</v>
      </c>
      <c r="Y350" s="184"/>
      <c r="AE350" s="101"/>
      <c r="AF350" s="101"/>
      <c r="AG350" s="101"/>
    </row>
    <row r="351" spans="1:33" x14ac:dyDescent="0.25">
      <c r="A351"/>
      <c r="B351"/>
      <c r="C351"/>
      <c r="D351"/>
      <c r="E351"/>
      <c r="F351"/>
      <c r="G351"/>
      <c r="H351"/>
      <c r="I351"/>
      <c r="J351"/>
      <c r="K351"/>
      <c r="L351"/>
      <c r="M351"/>
      <c r="N351"/>
      <c r="O351"/>
      <c r="P351"/>
      <c r="S351" s="102"/>
      <c r="T351" s="101"/>
      <c r="U351" s="101"/>
      <c r="V351" s="101"/>
      <c r="W351" s="101"/>
      <c r="X351" s="149"/>
      <c r="Y351" s="184"/>
      <c r="AE351" s="101"/>
      <c r="AF351" s="101"/>
      <c r="AG351" s="101"/>
    </row>
    <row r="352" spans="1:33" x14ac:dyDescent="0.25">
      <c r="A352" t="s">
        <v>514</v>
      </c>
      <c r="B352" t="s">
        <v>239</v>
      </c>
      <c r="C352">
        <v>222839</v>
      </c>
      <c r="D352">
        <v>83575</v>
      </c>
      <c r="E352">
        <v>139264</v>
      </c>
      <c r="F352">
        <v>315963</v>
      </c>
      <c r="G352">
        <v>2681</v>
      </c>
      <c r="H352">
        <v>135000</v>
      </c>
      <c r="I352">
        <v>10303</v>
      </c>
      <c r="J352">
        <v>82350</v>
      </c>
      <c r="K352">
        <v>175815</v>
      </c>
      <c r="L352">
        <v>14122</v>
      </c>
      <c r="M352">
        <v>6277</v>
      </c>
      <c r="N352">
        <v>54028</v>
      </c>
      <c r="O352">
        <v>41234</v>
      </c>
      <c r="P352">
        <v>238181000</v>
      </c>
      <c r="Q352">
        <v>189438000</v>
      </c>
      <c r="R352">
        <v>48743000</v>
      </c>
      <c r="S352" s="102">
        <v>340000</v>
      </c>
      <c r="T352" s="101">
        <v>546590220</v>
      </c>
      <c r="U352" s="101">
        <v>323751220</v>
      </c>
      <c r="V352" s="101">
        <v>323751220</v>
      </c>
      <c r="W352" s="101">
        <v>5401107</v>
      </c>
      <c r="X352" s="101">
        <v>5.9941641593103043E-2</v>
      </c>
      <c r="Y352" s="184"/>
      <c r="AA352" s="102"/>
      <c r="AB352" s="102"/>
      <c r="AC352" s="102"/>
      <c r="AD352" s="102"/>
      <c r="AE352" s="101"/>
      <c r="AF352" s="101"/>
      <c r="AG352" s="101"/>
    </row>
    <row r="353" spans="1:33" x14ac:dyDescent="0.25">
      <c r="A353" t="s">
        <v>514</v>
      </c>
      <c r="B353" t="s">
        <v>276</v>
      </c>
      <c r="C353">
        <f>SUM(D353:E353)</f>
        <v>3109</v>
      </c>
      <c r="D353">
        <v>1601</v>
      </c>
      <c r="E353">
        <v>1508</v>
      </c>
      <c r="F353">
        <v>1152</v>
      </c>
      <c r="G353">
        <v>0</v>
      </c>
      <c r="H353">
        <v>0</v>
      </c>
      <c r="I353">
        <v>133</v>
      </c>
      <c r="J353">
        <v>2160</v>
      </c>
      <c r="K353">
        <v>2638</v>
      </c>
      <c r="L353">
        <v>283</v>
      </c>
      <c r="M353">
        <v>178</v>
      </c>
      <c r="N353">
        <v>2812</v>
      </c>
      <c r="O353">
        <v>72</v>
      </c>
      <c r="P353">
        <f>SUM(Q353:R353)</f>
        <v>3944000</v>
      </c>
      <c r="Q353">
        <v>3418000</v>
      </c>
      <c r="R353">
        <v>526000</v>
      </c>
      <c r="S353">
        <v>316000</v>
      </c>
      <c r="T353" s="101">
        <f>0.1905*SUM(Q353,R353,R353)*10</f>
        <v>8515350</v>
      </c>
      <c r="U353" s="101">
        <f>SUM(T353,-C353*1000)</f>
        <v>5406350</v>
      </c>
      <c r="V353" s="101">
        <f>IF(U353&gt;0,U353,0)</f>
        <v>5406350</v>
      </c>
      <c r="W353" s="101">
        <v>52347</v>
      </c>
      <c r="X353" s="149">
        <f>U353/(W353*1000)</f>
        <v>0.1032790799854815</v>
      </c>
      <c r="Y353" s="184"/>
      <c r="AE353" s="101"/>
      <c r="AF353" s="101"/>
      <c r="AG353" s="101"/>
    </row>
    <row r="354" spans="1:33" x14ac:dyDescent="0.25">
      <c r="A354" t="s">
        <v>514</v>
      </c>
      <c r="B354" t="s">
        <v>239</v>
      </c>
      <c r="C354">
        <f>SUM(C352:C353)</f>
        <v>225948</v>
      </c>
      <c r="D354">
        <f t="shared" ref="D354:R354" si="38">SUM(D352:D353)</f>
        <v>85176</v>
      </c>
      <c r="E354">
        <f t="shared" si="38"/>
        <v>140772</v>
      </c>
      <c r="F354">
        <f t="shared" si="38"/>
        <v>317115</v>
      </c>
      <c r="G354">
        <f t="shared" si="38"/>
        <v>2681</v>
      </c>
      <c r="H354">
        <f t="shared" si="38"/>
        <v>135000</v>
      </c>
      <c r="I354">
        <f t="shared" si="38"/>
        <v>10436</v>
      </c>
      <c r="J354">
        <f t="shared" si="38"/>
        <v>84510</v>
      </c>
      <c r="K354">
        <f t="shared" si="38"/>
        <v>178453</v>
      </c>
      <c r="L354">
        <f t="shared" si="38"/>
        <v>14405</v>
      </c>
      <c r="M354">
        <f t="shared" si="38"/>
        <v>6455</v>
      </c>
      <c r="N354">
        <f t="shared" si="38"/>
        <v>56840</v>
      </c>
      <c r="O354">
        <f t="shared" si="38"/>
        <v>41306</v>
      </c>
      <c r="P354">
        <f t="shared" si="38"/>
        <v>242125000</v>
      </c>
      <c r="Q354">
        <f t="shared" si="38"/>
        <v>192856000</v>
      </c>
      <c r="R354">
        <f t="shared" si="38"/>
        <v>49269000</v>
      </c>
      <c r="S354">
        <f>SUM(S352:S353)/2</f>
        <v>328000</v>
      </c>
      <c r="T354" s="101">
        <f>0.1905*SUM(Q354,R354,R354)*10</f>
        <v>555105570</v>
      </c>
      <c r="U354" s="101">
        <f>SUM(T354,-C354*1000)</f>
        <v>329157570</v>
      </c>
      <c r="V354" s="101">
        <f>IF(U354&gt;0,U354,0)</f>
        <v>329157570</v>
      </c>
      <c r="W354" s="101">
        <f>SUM(W352:W353)</f>
        <v>5453454</v>
      </c>
      <c r="X354" s="149">
        <f>U354/(W354*1000)</f>
        <v>6.0357632062175641E-2</v>
      </c>
      <c r="AG354" s="101"/>
    </row>
    <row r="355" spans="1:33" x14ac:dyDescent="0.25">
      <c r="A355"/>
      <c r="B355"/>
      <c r="C355"/>
      <c r="D355"/>
      <c r="E355"/>
      <c r="F355"/>
      <c r="G355"/>
      <c r="H355"/>
      <c r="I355"/>
      <c r="J355"/>
      <c r="K355"/>
      <c r="L355"/>
      <c r="M355"/>
      <c r="N355"/>
      <c r="O355"/>
      <c r="Q355" s="101"/>
      <c r="R355" s="75"/>
      <c r="T355" s="123"/>
    </row>
    <row r="356" spans="1:33" x14ac:dyDescent="0.25">
      <c r="A356"/>
      <c r="B356"/>
      <c r="C356"/>
      <c r="D356"/>
      <c r="E356"/>
      <c r="F356"/>
      <c r="G356"/>
      <c r="H356"/>
      <c r="I356"/>
      <c r="J356"/>
      <c r="K356"/>
      <c r="L356"/>
      <c r="M356"/>
      <c r="N356"/>
      <c r="O356"/>
      <c r="P356"/>
      <c r="T356" s="101"/>
      <c r="U356" s="101"/>
      <c r="V356" s="101"/>
      <c r="W356" s="101"/>
      <c r="X356" s="101"/>
      <c r="AE356" s="101"/>
      <c r="AF356" s="101"/>
      <c r="AG356" s="101"/>
    </row>
    <row r="357" spans="1:33" x14ac:dyDescent="0.25">
      <c r="A357"/>
      <c r="B357"/>
      <c r="C357"/>
      <c r="D357"/>
      <c r="E357"/>
      <c r="F357"/>
      <c r="G357"/>
      <c r="H357"/>
      <c r="I357"/>
      <c r="J357"/>
      <c r="K357"/>
      <c r="L357"/>
      <c r="M357"/>
      <c r="N357"/>
      <c r="O357"/>
      <c r="P357"/>
      <c r="T357" s="101"/>
      <c r="U357" s="101"/>
      <c r="V357" s="101"/>
      <c r="W357" s="101"/>
      <c r="X357" s="101"/>
      <c r="AE357" s="101"/>
      <c r="AF357" s="101"/>
      <c r="AG357" s="101"/>
    </row>
    <row r="358" spans="1:33" x14ac:dyDescent="0.25">
      <c r="A358"/>
      <c r="B358"/>
      <c r="C358"/>
      <c r="D358"/>
      <c r="E358"/>
      <c r="F358"/>
      <c r="G358"/>
      <c r="H358"/>
      <c r="I358"/>
      <c r="J358"/>
      <c r="K358"/>
      <c r="L358"/>
      <c r="M358"/>
      <c r="N358"/>
      <c r="O358"/>
      <c r="P358"/>
      <c r="T358" s="101"/>
      <c r="U358" s="101"/>
      <c r="V358" s="101"/>
      <c r="W358" s="101"/>
      <c r="X358" s="101"/>
      <c r="AE358" s="101"/>
      <c r="AF358" s="101"/>
      <c r="AG358" s="101"/>
    </row>
    <row r="359" spans="1:33" x14ac:dyDescent="0.25">
      <c r="A359"/>
      <c r="B359" s="101"/>
      <c r="C359"/>
      <c r="D359"/>
      <c r="E359"/>
      <c r="F359"/>
      <c r="G359"/>
      <c r="H359"/>
      <c r="I359"/>
      <c r="J359"/>
      <c r="K359"/>
      <c r="L359"/>
      <c r="M359"/>
      <c r="N359"/>
      <c r="O359"/>
      <c r="Q359" s="101"/>
      <c r="R359" s="101"/>
      <c r="S359" s="102"/>
      <c r="T359" s="101"/>
      <c r="Z359" s="101"/>
      <c r="AE359" s="101"/>
      <c r="AF359" s="101"/>
      <c r="AG359" s="101"/>
    </row>
    <row r="360" spans="1:33" x14ac:dyDescent="0.25">
      <c r="A360"/>
      <c r="B360"/>
      <c r="C360"/>
      <c r="D360"/>
      <c r="E360"/>
      <c r="F360"/>
      <c r="G360"/>
      <c r="H360"/>
      <c r="I360"/>
      <c r="J360"/>
      <c r="K360"/>
      <c r="L360"/>
      <c r="M360"/>
      <c r="N360"/>
      <c r="O360" s="101"/>
      <c r="Q360" s="75"/>
      <c r="S360" s="123"/>
      <c r="T360"/>
    </row>
    <row r="361" spans="1:33" x14ac:dyDescent="0.25">
      <c r="A361"/>
      <c r="B361"/>
      <c r="C361"/>
      <c r="D361"/>
      <c r="E361"/>
      <c r="F361"/>
      <c r="G361"/>
      <c r="H361"/>
      <c r="I361"/>
      <c r="J361"/>
      <c r="K361"/>
      <c r="L361"/>
      <c r="M361"/>
      <c r="N361"/>
      <c r="O361"/>
      <c r="P361"/>
      <c r="T361" s="101"/>
      <c r="U361" s="101"/>
      <c r="V361" s="101"/>
      <c r="W361" s="101"/>
      <c r="X361" s="101"/>
      <c r="AE361" s="101"/>
      <c r="AF361" s="101"/>
      <c r="AG361" s="101"/>
    </row>
    <row r="362" spans="1:33" x14ac:dyDescent="0.25">
      <c r="A362"/>
      <c r="B362"/>
      <c r="C362"/>
      <c r="D362"/>
      <c r="E362"/>
      <c r="F362"/>
      <c r="G362"/>
      <c r="H362"/>
      <c r="I362"/>
      <c r="J362"/>
      <c r="K362"/>
      <c r="L362"/>
      <c r="M362"/>
      <c r="N362"/>
      <c r="O362"/>
      <c r="P362"/>
      <c r="T362" s="101"/>
      <c r="U362" s="101"/>
      <c r="V362" s="101"/>
      <c r="W362" s="101"/>
      <c r="X362" s="101"/>
      <c r="AE362" s="101"/>
      <c r="AF362" s="101"/>
      <c r="AG362" s="101"/>
    </row>
    <row r="363" spans="1:33" x14ac:dyDescent="0.25">
      <c r="A363"/>
      <c r="B363"/>
      <c r="C363"/>
      <c r="D363"/>
      <c r="E363"/>
      <c r="F363"/>
      <c r="G363"/>
      <c r="H363"/>
      <c r="I363"/>
      <c r="J363"/>
      <c r="K363"/>
      <c r="L363"/>
      <c r="M363"/>
      <c r="N363"/>
      <c r="O363"/>
      <c r="P363"/>
      <c r="T363" s="101"/>
      <c r="U363" s="101"/>
      <c r="V363" s="101"/>
      <c r="W363" s="101"/>
      <c r="X363" s="101"/>
      <c r="AE363" s="101"/>
      <c r="AF363" s="101"/>
      <c r="AG363" s="101"/>
    </row>
    <row r="364" spans="1:33" x14ac:dyDescent="0.25">
      <c r="A364"/>
      <c r="B364" s="101"/>
      <c r="C364"/>
      <c r="D364"/>
      <c r="E364"/>
      <c r="F364"/>
      <c r="G364"/>
      <c r="H364"/>
      <c r="I364"/>
      <c r="J364"/>
      <c r="K364"/>
      <c r="L364"/>
      <c r="M364"/>
      <c r="N364"/>
      <c r="O364"/>
      <c r="P364"/>
      <c r="S364" s="102"/>
      <c r="T364" s="101"/>
      <c r="Z364" s="101"/>
      <c r="AE364" s="101"/>
      <c r="AF364" s="101"/>
      <c r="AG364" s="101"/>
    </row>
    <row r="365" spans="1:33" x14ac:dyDescent="0.25">
      <c r="A365"/>
      <c r="B365"/>
      <c r="C365"/>
      <c r="D365"/>
      <c r="E365"/>
      <c r="F365"/>
      <c r="G365"/>
      <c r="H365"/>
      <c r="I365"/>
      <c r="J365"/>
      <c r="K365"/>
      <c r="L365"/>
      <c r="M365"/>
      <c r="N365"/>
      <c r="O365" s="101"/>
      <c r="P365"/>
      <c r="Q365" s="75"/>
      <c r="S365" s="102"/>
      <c r="T365"/>
      <c r="AE365" s="101"/>
    </row>
    <row r="366" spans="1:33" x14ac:dyDescent="0.25">
      <c r="A366"/>
      <c r="B366"/>
      <c r="C366"/>
      <c r="D366"/>
      <c r="E366"/>
      <c r="F366"/>
      <c r="G366"/>
      <c r="H366"/>
      <c r="I366"/>
      <c r="J366"/>
      <c r="K366"/>
      <c r="L366"/>
      <c r="M366"/>
      <c r="N366"/>
      <c r="O366"/>
      <c r="P366"/>
      <c r="T366" s="101"/>
      <c r="U366" s="101"/>
      <c r="V366" s="101"/>
      <c r="W366" s="101"/>
      <c r="X366" s="101"/>
      <c r="AE366" s="101"/>
      <c r="AF366" s="101"/>
      <c r="AG366" s="101"/>
    </row>
    <row r="367" spans="1:33" x14ac:dyDescent="0.25">
      <c r="A367"/>
      <c r="B367"/>
      <c r="C367"/>
      <c r="D367"/>
      <c r="E367"/>
      <c r="F367"/>
      <c r="G367"/>
      <c r="H367"/>
      <c r="I367"/>
      <c r="J367"/>
      <c r="K367"/>
      <c r="L367"/>
      <c r="M367"/>
      <c r="N367"/>
      <c r="O367"/>
      <c r="P367"/>
      <c r="T367" s="101"/>
      <c r="U367" s="101"/>
      <c r="V367" s="101"/>
      <c r="W367" s="101"/>
      <c r="X367" s="101"/>
      <c r="AE367" s="101"/>
      <c r="AF367" s="101"/>
      <c r="AG367" s="101"/>
    </row>
    <row r="368" spans="1:33" x14ac:dyDescent="0.25">
      <c r="A368"/>
      <c r="B368"/>
      <c r="C368"/>
      <c r="D368"/>
      <c r="E368"/>
      <c r="F368"/>
      <c r="G368"/>
      <c r="H368"/>
      <c r="I368"/>
      <c r="J368"/>
      <c r="K368"/>
      <c r="L368"/>
      <c r="M368"/>
      <c r="N368"/>
      <c r="O368"/>
      <c r="P368"/>
      <c r="T368" s="101"/>
      <c r="U368" s="101"/>
      <c r="V368" s="101"/>
      <c r="W368" s="101"/>
      <c r="X368" s="101"/>
      <c r="AE368" s="101"/>
      <c r="AF368" s="101"/>
      <c r="AG368" s="101"/>
    </row>
    <row r="369" spans="1:33" x14ac:dyDescent="0.25">
      <c r="A369"/>
      <c r="B369"/>
      <c r="C369"/>
      <c r="D369"/>
      <c r="E369"/>
      <c r="F369"/>
      <c r="G369"/>
      <c r="H369"/>
      <c r="I369"/>
      <c r="J369"/>
      <c r="K369"/>
      <c r="L369"/>
      <c r="M369"/>
      <c r="N369"/>
      <c r="O369"/>
      <c r="P369"/>
      <c r="T369" s="101"/>
      <c r="U369" s="101"/>
      <c r="V369" s="101"/>
      <c r="W369" s="101"/>
      <c r="X369" s="101"/>
      <c r="AE369" s="101"/>
      <c r="AF369" s="101"/>
      <c r="AG369" s="101"/>
    </row>
    <row r="370" spans="1:33" x14ac:dyDescent="0.25">
      <c r="A370"/>
      <c r="B370" s="101"/>
      <c r="C370"/>
      <c r="D370"/>
      <c r="E370"/>
      <c r="F370"/>
      <c r="G370"/>
      <c r="H370"/>
      <c r="I370"/>
      <c r="J370"/>
      <c r="K370"/>
      <c r="L370"/>
      <c r="M370"/>
      <c r="N370"/>
      <c r="O370"/>
      <c r="P370"/>
      <c r="S370" s="102"/>
      <c r="T370" s="101"/>
      <c r="U370" s="101"/>
      <c r="V370" s="101"/>
      <c r="W370" s="101"/>
      <c r="X370" s="101"/>
      <c r="Z370" s="101"/>
      <c r="AE370" s="101"/>
      <c r="AF370" s="101"/>
      <c r="AG370" s="101"/>
    </row>
    <row r="371" spans="1:33" x14ac:dyDescent="0.25">
      <c r="A371"/>
      <c r="B371"/>
      <c r="C371"/>
      <c r="D371"/>
      <c r="E371"/>
      <c r="F371"/>
      <c r="G371"/>
      <c r="H371"/>
      <c r="I371"/>
      <c r="J371"/>
      <c r="K371"/>
      <c r="L371"/>
      <c r="M371"/>
      <c r="N371"/>
      <c r="O371" s="101"/>
      <c r="P371"/>
      <c r="Q371" s="75"/>
      <c r="S371" s="102"/>
      <c r="T371"/>
      <c r="AE371" s="101"/>
    </row>
    <row r="372" spans="1:33" x14ac:dyDescent="0.25">
      <c r="A372"/>
      <c r="B372"/>
      <c r="C372"/>
      <c r="D372"/>
      <c r="E372"/>
      <c r="F372"/>
      <c r="G372"/>
      <c r="H372"/>
      <c r="I372"/>
      <c r="J372"/>
      <c r="K372"/>
      <c r="L372"/>
      <c r="M372"/>
      <c r="N372"/>
      <c r="O372"/>
      <c r="P372"/>
      <c r="T372" s="101"/>
      <c r="U372" s="101"/>
      <c r="V372" s="101"/>
      <c r="W372" s="101"/>
      <c r="X372" s="101"/>
      <c r="AE372" s="101"/>
      <c r="AF372" s="101"/>
      <c r="AG372" s="101"/>
    </row>
    <row r="373" spans="1:33" x14ac:dyDescent="0.25">
      <c r="A373"/>
      <c r="B373"/>
      <c r="C373"/>
      <c r="D373"/>
      <c r="E373"/>
      <c r="F373"/>
      <c r="G373"/>
      <c r="H373"/>
      <c r="I373"/>
      <c r="J373"/>
      <c r="K373"/>
      <c r="L373"/>
      <c r="M373"/>
      <c r="N373"/>
      <c r="O373"/>
      <c r="P373"/>
      <c r="T373" s="101"/>
      <c r="U373" s="101"/>
      <c r="V373" s="101"/>
      <c r="W373" s="101"/>
      <c r="X373" s="101"/>
      <c r="AE373" s="101"/>
      <c r="AF373" s="101"/>
      <c r="AG373" s="101"/>
    </row>
    <row r="374" spans="1:33" x14ac:dyDescent="0.25">
      <c r="A374"/>
      <c r="B374"/>
      <c r="C374"/>
      <c r="D374"/>
      <c r="E374"/>
      <c r="F374"/>
      <c r="G374"/>
      <c r="H374"/>
      <c r="I374"/>
      <c r="J374"/>
      <c r="K374"/>
      <c r="L374"/>
      <c r="M374"/>
      <c r="N374"/>
      <c r="O374"/>
      <c r="P374"/>
      <c r="S374" s="102"/>
      <c r="T374" s="101"/>
      <c r="U374" s="101"/>
      <c r="V374" s="101"/>
      <c r="W374" s="101"/>
      <c r="X374" s="101"/>
      <c r="AE374" s="101"/>
      <c r="AF374" s="101"/>
      <c r="AG374" s="101"/>
    </row>
    <row r="375" spans="1:33" x14ac:dyDescent="0.25">
      <c r="A375"/>
      <c r="B375"/>
      <c r="C375"/>
      <c r="D375"/>
      <c r="E375"/>
      <c r="F375"/>
      <c r="G375"/>
      <c r="H375"/>
      <c r="I375"/>
      <c r="J375"/>
      <c r="K375"/>
      <c r="L375"/>
      <c r="M375"/>
      <c r="N375"/>
      <c r="O375" s="101"/>
      <c r="P375"/>
      <c r="Q375" s="75"/>
      <c r="S375" s="102"/>
      <c r="T375"/>
      <c r="AE375" s="101"/>
    </row>
    <row r="376" spans="1:33" x14ac:dyDescent="0.25">
      <c r="A376"/>
      <c r="B376"/>
      <c r="C376"/>
      <c r="D376"/>
      <c r="E376"/>
      <c r="F376"/>
      <c r="G376"/>
      <c r="H376"/>
      <c r="I376"/>
      <c r="J376"/>
      <c r="K376"/>
      <c r="L376"/>
      <c r="M376"/>
      <c r="N376"/>
      <c r="O376"/>
      <c r="P376"/>
      <c r="T376" s="101"/>
      <c r="U376" s="101"/>
      <c r="V376" s="101"/>
      <c r="W376" s="101"/>
      <c r="X376" s="101"/>
      <c r="AE376" s="101"/>
      <c r="AF376" s="101"/>
      <c r="AG376" s="101"/>
    </row>
    <row r="377" spans="1:33" x14ac:dyDescent="0.25">
      <c r="A377"/>
      <c r="B377"/>
      <c r="C377"/>
      <c r="D377"/>
      <c r="E377"/>
      <c r="F377"/>
      <c r="G377"/>
      <c r="H377"/>
      <c r="I377"/>
      <c r="J377"/>
      <c r="K377"/>
      <c r="L377"/>
      <c r="M377"/>
      <c r="N377"/>
      <c r="O377"/>
      <c r="P377"/>
      <c r="T377" s="101"/>
      <c r="U377" s="101"/>
      <c r="V377" s="101"/>
      <c r="W377" s="101"/>
      <c r="X377" s="101"/>
      <c r="AE377" s="101"/>
      <c r="AF377" s="101"/>
      <c r="AG377" s="101"/>
    </row>
    <row r="378" spans="1:33" x14ac:dyDescent="0.25">
      <c r="A378"/>
      <c r="B378"/>
      <c r="C378"/>
      <c r="D378"/>
      <c r="E378"/>
      <c r="F378"/>
      <c r="G378"/>
      <c r="H378"/>
      <c r="I378"/>
      <c r="J378"/>
      <c r="K378"/>
      <c r="L378"/>
      <c r="M378"/>
      <c r="N378"/>
      <c r="O378"/>
      <c r="P378"/>
      <c r="T378" s="101"/>
      <c r="U378" s="101"/>
      <c r="V378" s="101"/>
      <c r="W378" s="101"/>
      <c r="X378" s="101"/>
      <c r="AE378" s="101"/>
      <c r="AF378" s="101"/>
      <c r="AG378" s="101"/>
    </row>
    <row r="379" spans="1:33" x14ac:dyDescent="0.25">
      <c r="A379"/>
      <c r="B379"/>
      <c r="C379"/>
      <c r="D379"/>
      <c r="E379"/>
      <c r="F379"/>
      <c r="G379"/>
      <c r="H379"/>
      <c r="I379"/>
      <c r="J379"/>
      <c r="K379"/>
      <c r="L379"/>
      <c r="M379"/>
      <c r="N379"/>
      <c r="O379"/>
      <c r="P379"/>
      <c r="T379" s="101"/>
      <c r="U379" s="101"/>
      <c r="V379" s="101"/>
      <c r="W379" s="101"/>
      <c r="X379" s="101"/>
      <c r="AE379" s="101"/>
      <c r="AF379" s="101"/>
      <c r="AG379" s="101"/>
    </row>
    <row r="380" spans="1:33" x14ac:dyDescent="0.25">
      <c r="A380"/>
      <c r="B380"/>
      <c r="C380"/>
      <c r="D380"/>
      <c r="E380"/>
      <c r="F380"/>
      <c r="G380"/>
      <c r="H380"/>
      <c r="I380"/>
      <c r="J380"/>
      <c r="K380"/>
      <c r="L380"/>
      <c r="M380"/>
      <c r="N380"/>
      <c r="O380"/>
      <c r="P380"/>
      <c r="T380" s="101"/>
      <c r="U380" s="101"/>
      <c r="V380" s="101"/>
      <c r="W380" s="101"/>
      <c r="X380" s="101"/>
      <c r="AE380" s="101"/>
      <c r="AF380" s="101"/>
      <c r="AG380" s="101"/>
    </row>
    <row r="381" spans="1:33" x14ac:dyDescent="0.25">
      <c r="A381"/>
      <c r="B381" s="101"/>
      <c r="C381"/>
      <c r="D381"/>
      <c r="E381"/>
      <c r="F381"/>
      <c r="G381"/>
      <c r="H381"/>
      <c r="I381"/>
      <c r="J381"/>
      <c r="K381"/>
      <c r="L381"/>
      <c r="M381"/>
      <c r="N381"/>
      <c r="O381"/>
      <c r="Q381" s="101"/>
      <c r="R381" s="101"/>
      <c r="S381" s="102"/>
      <c r="T381" s="101"/>
      <c r="U381" s="101"/>
      <c r="V381" s="101"/>
      <c r="W381" s="101"/>
      <c r="X381" s="101"/>
      <c r="Z381" s="101"/>
      <c r="AE381" s="101"/>
      <c r="AF381" s="101"/>
      <c r="AG381" s="101"/>
    </row>
    <row r="382" spans="1:33" x14ac:dyDescent="0.25">
      <c r="A382"/>
      <c r="B382" s="143"/>
      <c r="C382" s="143"/>
      <c r="D382" s="143"/>
      <c r="E382" s="143"/>
      <c r="O382" s="101"/>
      <c r="P382"/>
      <c r="S382" s="102"/>
      <c r="T382"/>
      <c r="AE382" s="101"/>
    </row>
    <row r="383" spans="1:33" x14ac:dyDescent="0.25">
      <c r="A383"/>
      <c r="B383"/>
      <c r="C383"/>
      <c r="D383"/>
      <c r="E383"/>
      <c r="F383"/>
      <c r="G383"/>
      <c r="H383"/>
      <c r="I383"/>
      <c r="J383"/>
      <c r="K383"/>
      <c r="L383"/>
      <c r="M383"/>
      <c r="N383"/>
      <c r="O383"/>
      <c r="P383"/>
      <c r="T383" s="101"/>
      <c r="U383" s="101"/>
      <c r="V383" s="101"/>
      <c r="W383" s="101"/>
      <c r="X383" s="101"/>
      <c r="AE383" s="101"/>
      <c r="AF383" s="101"/>
      <c r="AG383" s="101"/>
    </row>
    <row r="384" spans="1:33" x14ac:dyDescent="0.25">
      <c r="A384"/>
      <c r="B384"/>
      <c r="C384"/>
      <c r="D384"/>
      <c r="E384"/>
      <c r="F384"/>
      <c r="G384"/>
      <c r="H384"/>
      <c r="I384"/>
      <c r="J384"/>
      <c r="K384"/>
      <c r="L384"/>
      <c r="M384"/>
      <c r="N384"/>
      <c r="O384"/>
      <c r="P384"/>
      <c r="T384" s="101"/>
      <c r="U384" s="101"/>
      <c r="V384" s="101"/>
      <c r="W384" s="101"/>
      <c r="X384" s="101"/>
      <c r="AE384" s="101"/>
      <c r="AF384" s="101"/>
      <c r="AG384" s="101"/>
    </row>
    <row r="385" spans="1:33" x14ac:dyDescent="0.25">
      <c r="A385" s="143"/>
      <c r="B385"/>
      <c r="C385"/>
      <c r="D385"/>
      <c r="E385"/>
      <c r="F385"/>
      <c r="G385"/>
      <c r="H385"/>
      <c r="I385"/>
      <c r="J385"/>
      <c r="K385"/>
      <c r="L385"/>
      <c r="M385"/>
      <c r="N385"/>
      <c r="O385"/>
      <c r="P385"/>
      <c r="T385" s="101"/>
      <c r="U385" s="101"/>
      <c r="V385" s="101"/>
      <c r="W385" s="101"/>
      <c r="X385" s="101"/>
      <c r="AE385" s="101"/>
      <c r="AF385" s="101"/>
      <c r="AG385" s="101"/>
    </row>
    <row r="386" spans="1:33" x14ac:dyDescent="0.25">
      <c r="A386" s="143"/>
      <c r="B386"/>
      <c r="C386"/>
      <c r="D386"/>
      <c r="E386"/>
      <c r="F386"/>
      <c r="G386"/>
      <c r="H386"/>
      <c r="I386"/>
      <c r="J386"/>
      <c r="K386"/>
      <c r="L386"/>
      <c r="M386"/>
      <c r="N386"/>
      <c r="O386"/>
      <c r="P386"/>
      <c r="S386" s="102"/>
      <c r="T386" s="101"/>
      <c r="U386" s="101"/>
      <c r="V386" s="101"/>
      <c r="W386" s="101"/>
      <c r="X386" s="101"/>
      <c r="AE386" s="101"/>
      <c r="AF386" s="101"/>
      <c r="AG386" s="101"/>
    </row>
    <row r="387" spans="1:33" x14ac:dyDescent="0.25">
      <c r="A387" s="143"/>
      <c r="B387" s="143"/>
      <c r="C387" s="143"/>
      <c r="D387" s="143"/>
      <c r="E387" s="143"/>
      <c r="O387" s="101"/>
      <c r="P387"/>
      <c r="S387" s="102"/>
      <c r="T387"/>
      <c r="AE387" s="101"/>
    </row>
    <row r="388" spans="1:33" x14ac:dyDescent="0.25">
      <c r="A388" s="143"/>
      <c r="B388"/>
      <c r="C388"/>
      <c r="D388"/>
      <c r="E388"/>
      <c r="F388"/>
      <c r="G388"/>
      <c r="H388"/>
      <c r="I388"/>
      <c r="J388"/>
      <c r="K388"/>
      <c r="L388"/>
      <c r="M388"/>
      <c r="N388"/>
      <c r="O388"/>
      <c r="P388"/>
      <c r="T388" s="101"/>
      <c r="U388" s="101"/>
      <c r="V388" s="101"/>
      <c r="W388" s="101"/>
      <c r="X388" s="101"/>
      <c r="AE388" s="101"/>
      <c r="AF388" s="101"/>
      <c r="AG388" s="101"/>
    </row>
    <row r="389" spans="1:33" x14ac:dyDescent="0.25">
      <c r="A389" s="143"/>
      <c r="B389"/>
      <c r="C389"/>
      <c r="D389"/>
      <c r="E389"/>
      <c r="F389"/>
      <c r="G389"/>
      <c r="H389"/>
      <c r="I389"/>
      <c r="J389"/>
      <c r="K389"/>
      <c r="L389"/>
      <c r="M389"/>
      <c r="N389"/>
      <c r="O389"/>
      <c r="P389"/>
      <c r="T389" s="101"/>
      <c r="U389" s="101"/>
      <c r="V389" s="101"/>
      <c r="W389" s="101"/>
      <c r="X389" s="101"/>
      <c r="AE389" s="101"/>
      <c r="AF389" s="101"/>
      <c r="AG389" s="101"/>
    </row>
    <row r="390" spans="1:33" x14ac:dyDescent="0.25">
      <c r="A390" s="143"/>
      <c r="B390"/>
      <c r="C390"/>
      <c r="D390"/>
      <c r="E390"/>
      <c r="F390"/>
      <c r="G390"/>
      <c r="H390"/>
      <c r="I390"/>
      <c r="J390"/>
      <c r="K390"/>
      <c r="L390"/>
      <c r="M390"/>
      <c r="N390"/>
      <c r="O390"/>
      <c r="P390"/>
      <c r="T390" s="101"/>
      <c r="U390" s="101"/>
      <c r="V390" s="101"/>
      <c r="W390" s="101"/>
      <c r="X390" s="101"/>
      <c r="AE390" s="101"/>
      <c r="AF390" s="101"/>
      <c r="AG390" s="101"/>
    </row>
    <row r="391" spans="1:33" x14ac:dyDescent="0.25">
      <c r="A391" s="143"/>
      <c r="B391" s="101"/>
      <c r="C391"/>
      <c r="D391"/>
      <c r="E391"/>
      <c r="F391"/>
      <c r="G391"/>
      <c r="H391"/>
      <c r="I391"/>
      <c r="J391"/>
      <c r="K391"/>
      <c r="L391"/>
      <c r="M391"/>
      <c r="N391"/>
      <c r="O391"/>
      <c r="P391"/>
      <c r="S391" s="102"/>
      <c r="T391" s="101"/>
      <c r="U391" s="101"/>
      <c r="V391" s="101"/>
      <c r="W391" s="101"/>
      <c r="X391" s="101"/>
      <c r="Z391" s="101"/>
      <c r="AE391" s="101"/>
      <c r="AF391" s="101"/>
      <c r="AG391" s="101"/>
    </row>
    <row r="392" spans="1:33" x14ac:dyDescent="0.25">
      <c r="A392" s="143"/>
      <c r="B392" s="143"/>
      <c r="C392" s="143"/>
      <c r="D392" s="143"/>
      <c r="E392" s="143"/>
      <c r="O392" s="101"/>
      <c r="P392"/>
      <c r="S392" s="102"/>
      <c r="T392"/>
      <c r="AE392" s="101"/>
    </row>
    <row r="393" spans="1:33" x14ac:dyDescent="0.25">
      <c r="A393" s="143"/>
      <c r="B393"/>
      <c r="C393"/>
      <c r="D393"/>
      <c r="E393"/>
      <c r="F393"/>
      <c r="G393"/>
      <c r="H393"/>
      <c r="I393"/>
      <c r="J393"/>
      <c r="K393"/>
      <c r="L393"/>
      <c r="M393"/>
      <c r="N393"/>
      <c r="O393"/>
      <c r="P393"/>
      <c r="T393" s="101"/>
      <c r="U393" s="101"/>
      <c r="V393" s="101"/>
      <c r="W393" s="101"/>
      <c r="X393" s="101"/>
      <c r="AE393" s="101"/>
      <c r="AF393" s="101"/>
      <c r="AG393" s="101"/>
    </row>
    <row r="394" spans="1:33" x14ac:dyDescent="0.25">
      <c r="A394" s="143"/>
      <c r="B394"/>
      <c r="C394"/>
      <c r="D394"/>
      <c r="E394"/>
      <c r="F394"/>
      <c r="G394"/>
      <c r="H394"/>
      <c r="I394"/>
      <c r="J394"/>
      <c r="K394"/>
      <c r="L394"/>
      <c r="M394"/>
      <c r="N394"/>
      <c r="O394"/>
      <c r="P394"/>
      <c r="T394" s="101"/>
      <c r="U394" s="101"/>
      <c r="V394" s="101"/>
      <c r="W394" s="101"/>
      <c r="X394" s="101"/>
      <c r="AE394" s="101"/>
      <c r="AF394" s="101"/>
      <c r="AG394" s="101"/>
    </row>
    <row r="395" spans="1:33" x14ac:dyDescent="0.25">
      <c r="A395" s="143"/>
      <c r="B395"/>
      <c r="C395"/>
      <c r="D395"/>
      <c r="E395"/>
      <c r="F395"/>
      <c r="G395"/>
      <c r="H395"/>
      <c r="I395"/>
      <c r="J395"/>
      <c r="K395"/>
      <c r="L395"/>
      <c r="M395"/>
      <c r="N395"/>
      <c r="O395"/>
      <c r="P395"/>
      <c r="S395" s="102"/>
      <c r="T395" s="101"/>
      <c r="U395" s="101"/>
      <c r="V395" s="101"/>
      <c r="W395" s="101"/>
      <c r="X395" s="101"/>
      <c r="AE395" s="101"/>
      <c r="AF395" s="101"/>
      <c r="AG395" s="101"/>
    </row>
    <row r="396" spans="1:33" x14ac:dyDescent="0.25">
      <c r="A396" s="143"/>
      <c r="B396" s="143"/>
      <c r="C396" s="143"/>
      <c r="D396" s="143"/>
      <c r="E396" s="143"/>
      <c r="O396" s="101"/>
      <c r="P396"/>
      <c r="S396" s="102"/>
      <c r="T396"/>
      <c r="AE396" s="101"/>
    </row>
    <row r="397" spans="1:33" x14ac:dyDescent="0.25">
      <c r="A397" s="143"/>
      <c r="B397"/>
      <c r="C397"/>
      <c r="D397"/>
      <c r="E397"/>
      <c r="F397"/>
      <c r="G397"/>
      <c r="H397"/>
      <c r="I397"/>
      <c r="J397"/>
      <c r="K397"/>
      <c r="L397"/>
      <c r="M397"/>
      <c r="N397"/>
      <c r="O397"/>
      <c r="P397"/>
      <c r="T397" s="101"/>
      <c r="U397" s="101"/>
      <c r="V397" s="101"/>
      <c r="W397" s="101"/>
      <c r="X397" s="101"/>
      <c r="AE397" s="101"/>
      <c r="AF397" s="101"/>
      <c r="AG397" s="101"/>
    </row>
    <row r="398" spans="1:33" x14ac:dyDescent="0.25">
      <c r="A398" s="143"/>
      <c r="B398"/>
      <c r="C398"/>
      <c r="D398"/>
      <c r="E398"/>
      <c r="F398"/>
      <c r="G398"/>
      <c r="H398"/>
      <c r="I398"/>
      <c r="J398"/>
      <c r="K398"/>
      <c r="L398"/>
      <c r="M398"/>
      <c r="N398"/>
      <c r="O398"/>
      <c r="P398"/>
      <c r="T398" s="101"/>
      <c r="U398" s="101"/>
      <c r="V398" s="101"/>
      <c r="W398" s="101"/>
      <c r="X398" s="101"/>
      <c r="AE398" s="101"/>
      <c r="AF398" s="101"/>
      <c r="AG398" s="101"/>
    </row>
    <row r="399" spans="1:33" x14ac:dyDescent="0.25">
      <c r="B399"/>
      <c r="C399"/>
      <c r="D399"/>
      <c r="E399"/>
      <c r="F399"/>
      <c r="G399"/>
      <c r="H399"/>
      <c r="I399"/>
      <c r="J399"/>
      <c r="K399"/>
      <c r="L399"/>
      <c r="M399"/>
      <c r="N399"/>
      <c r="O399"/>
      <c r="P399"/>
      <c r="T399" s="101"/>
      <c r="U399" s="101"/>
      <c r="V399" s="101"/>
      <c r="W399" s="101"/>
      <c r="X399" s="101"/>
      <c r="AE399" s="101"/>
      <c r="AF399" s="101"/>
      <c r="AG399" s="101"/>
    </row>
    <row r="400" spans="1:33" x14ac:dyDescent="0.25">
      <c r="B400" s="101"/>
      <c r="C400"/>
      <c r="D400"/>
      <c r="E400"/>
      <c r="F400"/>
      <c r="G400"/>
      <c r="H400"/>
      <c r="I400"/>
      <c r="J400"/>
      <c r="K400"/>
      <c r="L400"/>
      <c r="M400"/>
      <c r="N400"/>
      <c r="O400"/>
      <c r="P400"/>
      <c r="S400" s="102"/>
      <c r="T400" s="101"/>
      <c r="U400" s="101"/>
      <c r="V400" s="101"/>
      <c r="W400" s="101"/>
      <c r="X400" s="101"/>
      <c r="Z400" s="101"/>
      <c r="AE400" s="101"/>
      <c r="AF400" s="101"/>
      <c r="AG400" s="101"/>
    </row>
    <row r="401" spans="1:33" x14ac:dyDescent="0.25">
      <c r="A401" s="143"/>
      <c r="B401" s="143"/>
      <c r="C401" s="143"/>
      <c r="D401" s="143"/>
      <c r="E401" s="143"/>
      <c r="O401" s="101"/>
      <c r="P401"/>
      <c r="S401" s="102"/>
      <c r="T401"/>
      <c r="AE401" s="101"/>
    </row>
    <row r="402" spans="1:33" x14ac:dyDescent="0.25">
      <c r="A402" s="143"/>
      <c r="B402"/>
      <c r="C402"/>
      <c r="D402"/>
      <c r="E402"/>
      <c r="F402"/>
      <c r="G402"/>
      <c r="H402"/>
      <c r="I402"/>
      <c r="J402"/>
      <c r="K402"/>
      <c r="L402"/>
      <c r="M402"/>
      <c r="N402"/>
      <c r="O402"/>
      <c r="P402"/>
      <c r="T402" s="101"/>
      <c r="U402" s="101"/>
      <c r="V402" s="101"/>
      <c r="W402" s="101"/>
      <c r="X402" s="101"/>
      <c r="AE402" s="101"/>
      <c r="AF402" s="101"/>
      <c r="AG402" s="101"/>
    </row>
    <row r="403" spans="1:33" x14ac:dyDescent="0.25">
      <c r="A403" s="143"/>
      <c r="B403"/>
      <c r="C403"/>
      <c r="D403"/>
      <c r="E403"/>
      <c r="F403"/>
      <c r="G403"/>
      <c r="H403"/>
      <c r="I403"/>
      <c r="J403"/>
      <c r="K403"/>
      <c r="L403"/>
      <c r="M403"/>
      <c r="N403"/>
      <c r="O403"/>
      <c r="P403"/>
      <c r="T403" s="101"/>
      <c r="U403" s="101"/>
      <c r="V403" s="101"/>
      <c r="W403" s="101"/>
      <c r="X403" s="101"/>
      <c r="AE403" s="101"/>
      <c r="AF403" s="101"/>
      <c r="AG403" s="101"/>
    </row>
    <row r="404" spans="1:33" x14ac:dyDescent="0.25">
      <c r="A404" s="143"/>
      <c r="B404"/>
      <c r="C404"/>
      <c r="D404"/>
      <c r="E404"/>
      <c r="F404"/>
      <c r="G404"/>
      <c r="H404"/>
      <c r="I404"/>
      <c r="J404"/>
      <c r="K404"/>
      <c r="L404"/>
      <c r="M404"/>
      <c r="N404"/>
      <c r="O404"/>
      <c r="P404"/>
      <c r="T404" s="101"/>
      <c r="U404" s="101"/>
      <c r="V404" s="101"/>
      <c r="W404" s="101"/>
      <c r="X404" s="101"/>
      <c r="AE404" s="101"/>
      <c r="AF404" s="101"/>
      <c r="AG404" s="101"/>
    </row>
    <row r="405" spans="1:33" x14ac:dyDescent="0.25">
      <c r="A405" s="143"/>
      <c r="B405" s="101"/>
      <c r="C405"/>
      <c r="D405"/>
      <c r="E405"/>
      <c r="F405"/>
      <c r="G405"/>
      <c r="H405"/>
      <c r="I405"/>
      <c r="J405"/>
      <c r="K405"/>
      <c r="L405"/>
      <c r="M405"/>
      <c r="N405"/>
      <c r="O405"/>
      <c r="P405"/>
      <c r="S405" s="102"/>
      <c r="T405" s="101"/>
      <c r="U405" s="101"/>
      <c r="V405" s="101"/>
      <c r="W405" s="101"/>
      <c r="X405" s="101"/>
      <c r="Z405" s="101"/>
      <c r="AE405" s="101"/>
      <c r="AF405" s="101"/>
      <c r="AG405" s="101"/>
    </row>
    <row r="406" spans="1:33" x14ac:dyDescent="0.25">
      <c r="O406" s="101"/>
      <c r="P406"/>
      <c r="S406" s="102"/>
      <c r="T406"/>
      <c r="AE406" s="101"/>
    </row>
    <row r="407" spans="1:33" x14ac:dyDescent="0.25">
      <c r="B407"/>
      <c r="C407"/>
      <c r="D407"/>
      <c r="E407"/>
      <c r="F407"/>
      <c r="G407"/>
      <c r="H407"/>
      <c r="I407"/>
      <c r="J407"/>
      <c r="K407"/>
      <c r="L407"/>
      <c r="M407"/>
      <c r="N407"/>
      <c r="O407"/>
      <c r="P407"/>
      <c r="T407" s="101"/>
      <c r="U407" s="101"/>
      <c r="V407" s="101"/>
      <c r="W407" s="101"/>
      <c r="X407" s="101"/>
      <c r="AE407" s="101"/>
      <c r="AF407" s="101"/>
      <c r="AG407" s="101"/>
    </row>
    <row r="408" spans="1:33" x14ac:dyDescent="0.25">
      <c r="A408" s="143"/>
      <c r="B408"/>
      <c r="C408"/>
      <c r="D408"/>
      <c r="E408"/>
      <c r="F408"/>
      <c r="G408"/>
      <c r="H408"/>
      <c r="I408"/>
      <c r="J408"/>
      <c r="K408"/>
      <c r="L408"/>
      <c r="M408"/>
      <c r="N408"/>
      <c r="O408"/>
      <c r="P408"/>
      <c r="T408" s="101"/>
      <c r="U408" s="101"/>
      <c r="V408" s="101"/>
      <c r="W408" s="101"/>
      <c r="X408" s="101"/>
      <c r="AE408" s="101"/>
      <c r="AF408" s="101"/>
      <c r="AG408" s="101"/>
    </row>
    <row r="409" spans="1:33" x14ac:dyDescent="0.25">
      <c r="B409" s="101"/>
      <c r="C409"/>
      <c r="D409"/>
      <c r="E409"/>
      <c r="F409"/>
      <c r="G409"/>
      <c r="H409"/>
      <c r="I409"/>
      <c r="J409"/>
      <c r="K409"/>
      <c r="L409"/>
      <c r="M409"/>
      <c r="N409"/>
      <c r="O409"/>
      <c r="P409"/>
      <c r="T409" s="101"/>
      <c r="U409" s="101"/>
      <c r="V409" s="101"/>
      <c r="W409" s="101"/>
      <c r="X409" s="101"/>
      <c r="Z409" s="101"/>
      <c r="AE409" s="101"/>
      <c r="AF409" s="101"/>
      <c r="AG409" s="101"/>
    </row>
    <row r="410" spans="1:33" x14ac:dyDescent="0.25">
      <c r="O410" s="101"/>
      <c r="P410"/>
      <c r="S410" s="102"/>
      <c r="T410"/>
      <c r="AE410" s="101"/>
    </row>
    <row r="411" spans="1:33" x14ac:dyDescent="0.25">
      <c r="B411"/>
      <c r="C411"/>
      <c r="D411"/>
      <c r="E411"/>
      <c r="F411"/>
      <c r="G411"/>
      <c r="H411"/>
      <c r="I411"/>
      <c r="J411"/>
      <c r="K411"/>
      <c r="L411"/>
      <c r="M411"/>
      <c r="N411"/>
      <c r="O411"/>
      <c r="P411"/>
      <c r="T411" s="101"/>
      <c r="U411" s="101"/>
      <c r="V411" s="101"/>
      <c r="W411" s="101"/>
      <c r="X411" s="101"/>
      <c r="AE411" s="101"/>
      <c r="AF411" s="101"/>
      <c r="AG411" s="101"/>
    </row>
    <row r="412" spans="1:33" x14ac:dyDescent="0.25">
      <c r="B412"/>
      <c r="C412"/>
      <c r="D412"/>
      <c r="E412"/>
      <c r="F412"/>
      <c r="G412"/>
      <c r="H412"/>
      <c r="I412"/>
      <c r="J412"/>
      <c r="K412"/>
      <c r="L412"/>
      <c r="M412"/>
      <c r="N412"/>
      <c r="O412"/>
      <c r="P412"/>
      <c r="T412" s="101"/>
      <c r="U412" s="101"/>
      <c r="V412" s="101"/>
      <c r="W412" s="101"/>
      <c r="X412" s="101"/>
      <c r="AE412" s="101"/>
      <c r="AF412" s="101"/>
      <c r="AG412" s="101"/>
    </row>
    <row r="413" spans="1:33" x14ac:dyDescent="0.25">
      <c r="B413"/>
      <c r="C413"/>
      <c r="D413"/>
      <c r="E413"/>
      <c r="F413"/>
      <c r="G413"/>
      <c r="H413"/>
      <c r="I413"/>
      <c r="J413"/>
      <c r="K413"/>
      <c r="L413"/>
      <c r="M413"/>
      <c r="N413"/>
      <c r="O413"/>
      <c r="P413"/>
      <c r="T413" s="101"/>
      <c r="U413" s="101"/>
      <c r="V413" s="101"/>
      <c r="W413" s="101"/>
      <c r="X413" s="101"/>
      <c r="AE413" s="101"/>
      <c r="AF413" s="101"/>
      <c r="AG413" s="101"/>
    </row>
    <row r="414" spans="1:33" x14ac:dyDescent="0.25">
      <c r="B414"/>
      <c r="C414"/>
      <c r="D414"/>
      <c r="E414"/>
      <c r="F414"/>
      <c r="G414"/>
      <c r="H414"/>
      <c r="I414"/>
      <c r="J414"/>
      <c r="K414"/>
      <c r="L414"/>
      <c r="M414"/>
      <c r="N414"/>
      <c r="O414"/>
      <c r="P414"/>
      <c r="T414" s="101"/>
      <c r="U414" s="101"/>
      <c r="V414" s="101"/>
      <c r="W414" s="101"/>
      <c r="X414" s="101"/>
      <c r="AE414" s="101"/>
      <c r="AF414" s="101"/>
      <c r="AG414" s="101"/>
    </row>
    <row r="415" spans="1:33" x14ac:dyDescent="0.25">
      <c r="B415" s="101"/>
      <c r="C415"/>
      <c r="D415"/>
      <c r="E415"/>
      <c r="F415"/>
      <c r="G415"/>
      <c r="H415"/>
      <c r="I415"/>
      <c r="J415"/>
      <c r="K415"/>
      <c r="L415"/>
      <c r="M415"/>
      <c r="N415"/>
      <c r="O415"/>
      <c r="P415"/>
      <c r="T415" s="101"/>
      <c r="U415" s="101"/>
      <c r="V415" s="101"/>
      <c r="W415" s="101"/>
      <c r="X415" s="101"/>
      <c r="Z415" s="101"/>
      <c r="AE415" s="101"/>
      <c r="AF415" s="101"/>
      <c r="AG415" s="101"/>
    </row>
    <row r="416" spans="1:33" x14ac:dyDescent="0.25">
      <c r="AE416" s="101"/>
    </row>
    <row r="417" spans="1:33" x14ac:dyDescent="0.25">
      <c r="A417"/>
      <c r="B417"/>
      <c r="C417"/>
      <c r="D417"/>
      <c r="E417"/>
      <c r="F417"/>
      <c r="G417"/>
      <c r="H417"/>
      <c r="I417"/>
      <c r="J417"/>
      <c r="K417"/>
      <c r="L417"/>
      <c r="M417"/>
      <c r="N417"/>
      <c r="O417"/>
      <c r="P417"/>
      <c r="T417" s="101"/>
      <c r="U417" s="101"/>
      <c r="V417" s="101"/>
      <c r="W417" s="101"/>
      <c r="X417" s="101"/>
      <c r="AE417" s="101"/>
      <c r="AF417" s="101"/>
      <c r="AG417" s="101"/>
    </row>
    <row r="418" spans="1:33" x14ac:dyDescent="0.25">
      <c r="A418"/>
      <c r="B418"/>
      <c r="C418"/>
      <c r="D418"/>
      <c r="E418"/>
      <c r="F418"/>
      <c r="G418"/>
      <c r="H418"/>
      <c r="I418"/>
      <c r="J418"/>
      <c r="K418"/>
      <c r="L418"/>
      <c r="M418"/>
      <c r="N418"/>
      <c r="O418"/>
      <c r="P418"/>
      <c r="T418" s="101"/>
      <c r="U418" s="101"/>
      <c r="V418" s="101"/>
      <c r="W418" s="101"/>
      <c r="X418" s="101"/>
      <c r="AE418" s="101"/>
      <c r="AF418" s="101"/>
      <c r="AG418" s="101"/>
    </row>
    <row r="419" spans="1:33" x14ac:dyDescent="0.25">
      <c r="A419"/>
      <c r="B419"/>
      <c r="C419"/>
      <c r="D419"/>
      <c r="E419"/>
      <c r="F419"/>
      <c r="G419"/>
      <c r="H419"/>
      <c r="I419"/>
      <c r="J419"/>
      <c r="K419"/>
      <c r="L419"/>
      <c r="M419"/>
      <c r="N419"/>
      <c r="O419"/>
      <c r="P419"/>
      <c r="T419" s="101"/>
      <c r="U419" s="101"/>
      <c r="V419" s="101"/>
      <c r="W419" s="101"/>
      <c r="X419" s="101"/>
      <c r="AE419" s="101"/>
      <c r="AF419" s="101"/>
      <c r="AG419" s="101"/>
    </row>
    <row r="420" spans="1:33" x14ac:dyDescent="0.25">
      <c r="C420"/>
      <c r="D420"/>
      <c r="E420"/>
      <c r="F420"/>
      <c r="G420"/>
      <c r="H420"/>
      <c r="I420"/>
      <c r="J420"/>
      <c r="K420"/>
      <c r="L420"/>
      <c r="M420"/>
      <c r="N420"/>
      <c r="O420"/>
      <c r="P420"/>
      <c r="S420" s="102"/>
      <c r="T420" s="101"/>
      <c r="U420" s="101"/>
      <c r="V420" s="101"/>
      <c r="W420" s="101"/>
      <c r="X420" s="101"/>
      <c r="AE420" s="101"/>
      <c r="AF420" s="101"/>
      <c r="AG420" s="101"/>
    </row>
    <row r="421" spans="1:33" x14ac:dyDescent="0.25">
      <c r="B421"/>
      <c r="C421"/>
      <c r="D421"/>
      <c r="E421"/>
      <c r="F421"/>
      <c r="G421"/>
      <c r="H421"/>
      <c r="I421"/>
      <c r="J421"/>
      <c r="K421"/>
      <c r="L421"/>
      <c r="M421"/>
      <c r="N421"/>
      <c r="O421"/>
      <c r="AE421" s="101"/>
    </row>
    <row r="422" spans="1:33" x14ac:dyDescent="0.25">
      <c r="A422"/>
      <c r="B422"/>
      <c r="C422"/>
      <c r="D422"/>
      <c r="E422"/>
      <c r="F422"/>
      <c r="G422"/>
      <c r="H422"/>
      <c r="I422"/>
      <c r="J422"/>
      <c r="K422"/>
      <c r="L422"/>
      <c r="M422"/>
      <c r="N422"/>
      <c r="O422"/>
      <c r="P422"/>
      <c r="T422" s="101"/>
      <c r="U422" s="101"/>
      <c r="V422" s="101"/>
      <c r="W422" s="101"/>
      <c r="X422" s="101"/>
      <c r="AE422" s="101"/>
      <c r="AF422" s="101"/>
      <c r="AG422" s="101"/>
    </row>
    <row r="424" spans="1:33" x14ac:dyDescent="0.25">
      <c r="A424"/>
      <c r="B424"/>
      <c r="C424"/>
      <c r="D424"/>
      <c r="E424"/>
      <c r="F424"/>
      <c r="G424"/>
      <c r="H424"/>
      <c r="I424"/>
      <c r="J424"/>
      <c r="K424"/>
      <c r="L424"/>
      <c r="M424"/>
      <c r="N424"/>
      <c r="O424"/>
      <c r="P424"/>
      <c r="T424" s="101"/>
      <c r="U424" s="101"/>
      <c r="V424" s="101"/>
      <c r="W424" s="101"/>
      <c r="X424" s="101"/>
      <c r="AE424" s="101"/>
      <c r="AF424" s="101"/>
      <c r="AG424" s="101"/>
    </row>
    <row r="425" spans="1:33" x14ac:dyDescent="0.25">
      <c r="A425"/>
      <c r="B425"/>
      <c r="C425" s="102"/>
      <c r="D425" s="102"/>
      <c r="E425" s="102"/>
      <c r="F425" s="102"/>
      <c r="G425" s="102"/>
      <c r="H425" s="102"/>
      <c r="I425" s="102"/>
      <c r="J425" s="102"/>
      <c r="K425" s="102"/>
      <c r="L425" s="102"/>
      <c r="M425" s="102"/>
      <c r="N425" s="102"/>
      <c r="O425" s="102"/>
      <c r="P425" s="102"/>
      <c r="Q425" s="102"/>
      <c r="R425" s="102"/>
      <c r="S425" s="102"/>
      <c r="T425" s="101"/>
      <c r="U425" s="101"/>
      <c r="V425" s="101"/>
      <c r="W425" s="101"/>
      <c r="X425" s="101"/>
      <c r="AA425" s="102"/>
      <c r="AB425" s="102"/>
      <c r="AC425" s="102"/>
      <c r="AD425" s="102"/>
      <c r="AE425" s="101"/>
      <c r="AF425" s="101"/>
      <c r="AG425" s="101"/>
    </row>
    <row r="427" spans="1:33" x14ac:dyDescent="0.25">
      <c r="A427"/>
      <c r="B427"/>
      <c r="C427"/>
      <c r="D427"/>
      <c r="E427"/>
      <c r="F427"/>
      <c r="G427"/>
      <c r="H427"/>
      <c r="I427"/>
      <c r="J427"/>
      <c r="K427"/>
      <c r="L427"/>
      <c r="M427"/>
      <c r="N427"/>
      <c r="O427"/>
      <c r="P427"/>
      <c r="T427" s="101"/>
      <c r="U427" s="101"/>
      <c r="V427" s="101"/>
      <c r="W427" s="101"/>
      <c r="X427" s="101"/>
      <c r="AE427" s="101"/>
      <c r="AF427" s="101"/>
      <c r="AG427" s="101"/>
    </row>
    <row r="428" spans="1:33" x14ac:dyDescent="0.25">
      <c r="A428"/>
      <c r="B428"/>
      <c r="C428" s="102"/>
      <c r="D428" s="102"/>
      <c r="E428" s="102"/>
      <c r="F428" s="102"/>
      <c r="G428" s="102"/>
      <c r="H428" s="102"/>
      <c r="I428" s="102"/>
      <c r="J428" s="102"/>
      <c r="K428" s="102"/>
      <c r="L428" s="102"/>
      <c r="M428" s="102"/>
      <c r="N428" s="102"/>
      <c r="O428" s="102"/>
      <c r="P428" s="102"/>
      <c r="Q428" s="102"/>
      <c r="R428" s="102"/>
      <c r="T428" s="101"/>
      <c r="U428" s="101"/>
      <c r="V428" s="101"/>
      <c r="W428" s="101"/>
      <c r="X428" s="101"/>
      <c r="AA428" s="102"/>
      <c r="AB428" s="102"/>
      <c r="AC428" s="102"/>
      <c r="AD428" s="102"/>
      <c r="AE428" s="101"/>
      <c r="AF428" s="101"/>
      <c r="AG428" s="101"/>
    </row>
    <row r="430" spans="1:33" x14ac:dyDescent="0.25">
      <c r="A430"/>
      <c r="B430"/>
      <c r="C430"/>
      <c r="D430"/>
      <c r="E430"/>
      <c r="F430"/>
      <c r="G430"/>
      <c r="H430"/>
      <c r="I430"/>
      <c r="J430"/>
      <c r="K430"/>
      <c r="L430"/>
      <c r="M430"/>
      <c r="N430"/>
      <c r="O430"/>
      <c r="P430"/>
      <c r="T430" s="101"/>
      <c r="U430" s="101"/>
      <c r="V430" s="101"/>
      <c r="W430" s="101"/>
      <c r="X430" s="101"/>
      <c r="AE430" s="101"/>
      <c r="AF430" s="101"/>
      <c r="AG430" s="101"/>
    </row>
    <row r="431" spans="1:33" x14ac:dyDescent="0.25">
      <c r="A431"/>
      <c r="B431"/>
      <c r="C431" s="102"/>
      <c r="D431" s="102"/>
      <c r="E431" s="102"/>
      <c r="F431" s="102"/>
      <c r="G431" s="102"/>
      <c r="H431" s="102"/>
      <c r="I431" s="102"/>
      <c r="J431" s="102"/>
      <c r="K431" s="102"/>
      <c r="L431" s="102"/>
      <c r="M431" s="102"/>
      <c r="N431" s="102"/>
      <c r="O431" s="102"/>
      <c r="P431" s="102"/>
      <c r="Q431" s="102"/>
      <c r="R431" s="102"/>
      <c r="T431" s="101"/>
      <c r="U431" s="101"/>
      <c r="V431" s="101"/>
      <c r="W431" s="101"/>
      <c r="X431" s="101"/>
      <c r="AA431" s="102"/>
      <c r="AB431" s="102"/>
      <c r="AC431" s="102"/>
      <c r="AD431" s="102"/>
      <c r="AE431" s="101"/>
      <c r="AF431" s="101"/>
      <c r="AG431" s="101"/>
    </row>
    <row r="433" spans="1:33" x14ac:dyDescent="0.25">
      <c r="A433"/>
      <c r="B433"/>
      <c r="C433"/>
      <c r="D433"/>
      <c r="E433"/>
      <c r="F433"/>
      <c r="G433"/>
      <c r="H433"/>
      <c r="I433"/>
      <c r="J433"/>
      <c r="K433"/>
      <c r="L433"/>
      <c r="M433"/>
      <c r="N433"/>
      <c r="O433"/>
      <c r="P433"/>
      <c r="T433" s="101"/>
      <c r="U433" s="101"/>
      <c r="V433" s="101"/>
      <c r="W433" s="101"/>
      <c r="X433" s="101"/>
      <c r="AE433" s="101"/>
      <c r="AF433" s="101"/>
      <c r="AG433" s="101"/>
    </row>
    <row r="434" spans="1:33" x14ac:dyDescent="0.25">
      <c r="A434"/>
      <c r="B434"/>
      <c r="C434" s="102"/>
      <c r="D434" s="102"/>
      <c r="E434" s="102"/>
      <c r="F434" s="102"/>
      <c r="G434" s="102"/>
      <c r="H434" s="102"/>
      <c r="I434" s="102"/>
      <c r="J434" s="102"/>
      <c r="K434" s="102"/>
      <c r="L434" s="102"/>
      <c r="M434" s="102"/>
      <c r="N434" s="102"/>
      <c r="O434" s="102"/>
      <c r="P434" s="102"/>
      <c r="Q434" s="102"/>
      <c r="R434" s="102"/>
      <c r="T434" s="101"/>
      <c r="U434" s="101"/>
      <c r="V434" s="101"/>
      <c r="W434" s="101"/>
      <c r="X434" s="101"/>
      <c r="AA434" s="102"/>
      <c r="AB434" s="102"/>
      <c r="AC434" s="102"/>
      <c r="AD434" s="102"/>
      <c r="AE434" s="101"/>
      <c r="AF434" s="101"/>
      <c r="AG434" s="101"/>
    </row>
    <row r="436" spans="1:33" x14ac:dyDescent="0.25">
      <c r="AF436" s="101"/>
    </row>
  </sheetData>
  <sheetProtection algorithmName="SHA-512" hashValue="3XoNW2znCaeI4gZJZkVbWEvp+tEsCr5Aw7e4rlvI/IC+LFiB140+WkYCNdOB1NYqrbMhnRnb88N/1v/HGyqqBg==" saltValue="+j/rQ82c0N+HYOLrEYwMBQ==" spinCount="100000" sheet="1" objects="1" scenarios="1"/>
  <sortState xmlns:xlrd2="http://schemas.microsoft.com/office/spreadsheetml/2017/richdata2" ref="B2:O350">
    <sortCondition ref="B2:B350"/>
  </sortState>
  <pageMargins left="0.7" right="0.7" top="0.75" bottom="0.75" header="0.3" footer="0.3"/>
  <pageSetup paperSize="9" orientation="portrait" r:id="rId1"/>
  <ignoredErrors>
    <ignoredError sqref="S88" formulaRange="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7D4C3-A67B-4FAC-84A5-7361DD617DE6}">
  <sheetPr codeName="Blad16"/>
  <dimension ref="A1:AB364"/>
  <sheetViews>
    <sheetView workbookViewId="0">
      <pane xSplit="2" ySplit="1" topLeftCell="C2" activePane="bottomRight" state="frozen"/>
      <selection pane="topRight" activeCell="C1" sqref="C1"/>
      <selection pane="bottomLeft" activeCell="A2" sqref="A2"/>
      <selection pane="bottomRight" activeCell="B160" sqref="B160"/>
    </sheetView>
  </sheetViews>
  <sheetFormatPr defaultRowHeight="12.5" x14ac:dyDescent="0.25"/>
  <cols>
    <col min="1" max="1" width="10.6328125" bestFit="1" customWidth="1"/>
    <col min="2" max="2" width="28.08984375" bestFit="1" customWidth="1"/>
    <col min="3" max="3" width="24" bestFit="1" customWidth="1"/>
    <col min="4" max="4" width="32.453125" bestFit="1" customWidth="1"/>
    <col min="5" max="5" width="36.08984375" bestFit="1" customWidth="1"/>
    <col min="6" max="6" width="17.36328125" bestFit="1" customWidth="1"/>
    <col min="7" max="7" width="17.453125" bestFit="1" customWidth="1"/>
    <col min="8" max="8" width="17.90625" bestFit="1" customWidth="1"/>
    <col min="9" max="9" width="19.36328125" bestFit="1" customWidth="1"/>
    <col min="10" max="10" width="12.6328125" bestFit="1" customWidth="1"/>
    <col min="11" max="11" width="37.08984375" bestFit="1" customWidth="1"/>
    <col min="12" max="12" width="27.90625" bestFit="1" customWidth="1"/>
    <col min="13" max="13" width="21.6328125" bestFit="1" customWidth="1"/>
    <col min="14" max="14" width="24.453125" bestFit="1" customWidth="1"/>
    <col min="15" max="15" width="15.36328125" bestFit="1" customWidth="1"/>
    <col min="16" max="16" width="23" style="101" bestFit="1" customWidth="1"/>
    <col min="17" max="17" width="35.08984375" style="101" bestFit="1" customWidth="1"/>
    <col min="18" max="18" width="35.6328125" style="101" bestFit="1" customWidth="1"/>
    <col min="19" max="19" width="36.453125" style="101" bestFit="1" customWidth="1"/>
    <col min="20" max="21" width="32.453125" style="101" bestFit="1" customWidth="1"/>
    <col min="22" max="22" width="26" style="101" bestFit="1" customWidth="1"/>
    <col min="23" max="23" width="32.90625" bestFit="1" customWidth="1"/>
    <col min="24" max="24" width="28.54296875" bestFit="1" customWidth="1"/>
    <col min="25" max="25" width="27.7265625" bestFit="1" customWidth="1"/>
    <col min="26" max="26" width="26" style="101" bestFit="1" customWidth="1"/>
    <col min="27" max="27" width="25.54296875" style="101" bestFit="1" customWidth="1"/>
    <col min="28" max="28" width="26.08984375" style="101" bestFit="1" customWidth="1"/>
    <col min="29" max="29" width="28.08984375" bestFit="1" customWidth="1"/>
    <col min="30" max="30" width="20.08984375" bestFit="1" customWidth="1"/>
    <col min="31" max="31" width="23.81640625" bestFit="1" customWidth="1"/>
    <col min="32" max="32" width="20.81640625" bestFit="1" customWidth="1"/>
    <col min="33" max="33" width="8.6328125" bestFit="1" customWidth="1"/>
    <col min="34" max="34" width="12" bestFit="1" customWidth="1"/>
  </cols>
  <sheetData>
    <row r="1" spans="1:28" x14ac:dyDescent="0.25">
      <c r="A1" t="s">
        <v>549</v>
      </c>
      <c r="B1" t="s">
        <v>526</v>
      </c>
      <c r="C1" t="s">
        <v>614</v>
      </c>
      <c r="D1" t="s">
        <v>615</v>
      </c>
      <c r="E1" t="s">
        <v>616</v>
      </c>
      <c r="F1" t="s">
        <v>617</v>
      </c>
      <c r="G1" t="s">
        <v>618</v>
      </c>
      <c r="H1" t="s">
        <v>619</v>
      </c>
      <c r="I1" t="s">
        <v>620</v>
      </c>
      <c r="J1" t="s">
        <v>621</v>
      </c>
      <c r="K1" t="s">
        <v>622</v>
      </c>
      <c r="L1" t="s">
        <v>623</v>
      </c>
      <c r="M1" t="s">
        <v>624</v>
      </c>
      <c r="N1" t="s">
        <v>625</v>
      </c>
      <c r="O1" t="s">
        <v>626</v>
      </c>
      <c r="P1" s="101" t="s">
        <v>839</v>
      </c>
      <c r="Q1" s="101" t="s">
        <v>840</v>
      </c>
      <c r="R1" s="101" t="s">
        <v>841</v>
      </c>
      <c r="S1" s="101" t="s">
        <v>836</v>
      </c>
      <c r="T1" s="101" t="s">
        <v>717</v>
      </c>
      <c r="U1" s="101" t="s">
        <v>632</v>
      </c>
      <c r="V1" s="101" t="s">
        <v>837</v>
      </c>
      <c r="W1" t="s">
        <v>838</v>
      </c>
    </row>
    <row r="2" spans="1:28" x14ac:dyDescent="0.25">
      <c r="B2" t="s">
        <v>104</v>
      </c>
      <c r="C2">
        <f>SUM(D2:E2)</f>
        <v>4907</v>
      </c>
      <c r="D2">
        <v>4575</v>
      </c>
      <c r="E2">
        <v>332</v>
      </c>
      <c r="F2">
        <v>0</v>
      </c>
      <c r="G2">
        <v>0</v>
      </c>
      <c r="H2">
        <v>2223</v>
      </c>
      <c r="I2">
        <v>0</v>
      </c>
      <c r="J2">
        <v>2169</v>
      </c>
      <c r="K2">
        <v>2657</v>
      </c>
      <c r="L2">
        <v>370</v>
      </c>
      <c r="M2">
        <v>103</v>
      </c>
      <c r="N2">
        <v>1186</v>
      </c>
      <c r="O2">
        <v>24</v>
      </c>
      <c r="P2" s="101">
        <v>3957000000</v>
      </c>
      <c r="Q2" s="101">
        <v>436000000</v>
      </c>
      <c r="R2" s="101">
        <v>362389610.38961041</v>
      </c>
      <c r="S2" s="101">
        <f>0.1729%*SUM(P2,Q2,R2)</f>
        <v>8222068.6363636367</v>
      </c>
      <c r="T2" s="101">
        <f t="shared" ref="T2:T65" si="0">SUM(S2,-C2*1000)</f>
        <v>3315068.6363636367</v>
      </c>
      <c r="U2" s="101">
        <f t="shared" ref="U2:U65" si="1">IF(T2&gt;0,T2,0)</f>
        <v>3315068.6363636367</v>
      </c>
      <c r="V2" s="101">
        <v>88759</v>
      </c>
      <c r="W2" s="149">
        <f t="shared" ref="W2:W65" si="2">T2/(V2*1000)</f>
        <v>3.7349098529316879E-2</v>
      </c>
      <c r="Y2" s="255"/>
      <c r="AB2" s="254"/>
    </row>
    <row r="3" spans="1:28" x14ac:dyDescent="0.25">
      <c r="B3" t="s">
        <v>236</v>
      </c>
      <c r="C3">
        <f t="shared" ref="C3:C66" si="3">SUM(D3:E3)</f>
        <v>12821</v>
      </c>
      <c r="D3">
        <v>6210</v>
      </c>
      <c r="E3">
        <v>6611</v>
      </c>
      <c r="F3">
        <v>15</v>
      </c>
      <c r="G3">
        <v>0</v>
      </c>
      <c r="H3">
        <v>649</v>
      </c>
      <c r="I3">
        <v>290</v>
      </c>
      <c r="J3">
        <v>3010</v>
      </c>
      <c r="K3">
        <v>4265</v>
      </c>
      <c r="L3">
        <v>450</v>
      </c>
      <c r="M3">
        <v>592</v>
      </c>
      <c r="N3">
        <v>4458</v>
      </c>
      <c r="O3">
        <v>331</v>
      </c>
      <c r="P3" s="101">
        <v>6794000000</v>
      </c>
      <c r="Q3" s="101">
        <v>1613000000</v>
      </c>
      <c r="R3" s="101">
        <v>1613000000</v>
      </c>
      <c r="S3" s="101">
        <f t="shared" ref="S3:S66" si="4">0.1729%*SUM(P3,Q3,R3)</f>
        <v>17324580</v>
      </c>
      <c r="T3" s="101">
        <f t="shared" si="0"/>
        <v>4503580</v>
      </c>
      <c r="U3" s="101">
        <f t="shared" si="1"/>
        <v>4503580</v>
      </c>
      <c r="V3" s="101">
        <v>107230</v>
      </c>
      <c r="W3" s="149">
        <f t="shared" si="2"/>
        <v>4.1999253940128697E-2</v>
      </c>
      <c r="Y3" s="255"/>
      <c r="AB3" s="254"/>
    </row>
    <row r="4" spans="1:28" x14ac:dyDescent="0.25">
      <c r="B4" t="s">
        <v>163</v>
      </c>
      <c r="C4">
        <f t="shared" si="3"/>
        <v>5315</v>
      </c>
      <c r="D4">
        <v>3576</v>
      </c>
      <c r="E4">
        <v>1739</v>
      </c>
      <c r="F4">
        <v>8</v>
      </c>
      <c r="G4">
        <v>0</v>
      </c>
      <c r="H4">
        <v>248</v>
      </c>
      <c r="I4">
        <v>181</v>
      </c>
      <c r="J4">
        <v>1898</v>
      </c>
      <c r="K4">
        <v>1432</v>
      </c>
      <c r="L4">
        <v>288</v>
      </c>
      <c r="M4">
        <v>271</v>
      </c>
      <c r="N4">
        <v>696</v>
      </c>
      <c r="O4">
        <v>379</v>
      </c>
      <c r="P4" s="101">
        <v>3731000000</v>
      </c>
      <c r="Q4" s="101">
        <v>548000000</v>
      </c>
      <c r="R4" s="101">
        <v>502153543.30708665</v>
      </c>
      <c r="S4" s="101">
        <f t="shared" si="4"/>
        <v>8266614.4763779538</v>
      </c>
      <c r="T4" s="101">
        <f t="shared" si="0"/>
        <v>2951614.4763779538</v>
      </c>
      <c r="U4" s="101">
        <f t="shared" si="1"/>
        <v>2951614.4763779538</v>
      </c>
      <c r="V4" s="101">
        <v>83971</v>
      </c>
      <c r="W4" s="149">
        <f t="shared" si="2"/>
        <v>3.5150402834049299E-2</v>
      </c>
      <c r="Y4" s="255"/>
      <c r="AB4" s="254"/>
    </row>
    <row r="5" spans="1:28" x14ac:dyDescent="0.25">
      <c r="B5" t="s">
        <v>125</v>
      </c>
      <c r="C5">
        <f t="shared" si="3"/>
        <v>6032</v>
      </c>
      <c r="D5">
        <v>3788</v>
      </c>
      <c r="E5">
        <v>2244</v>
      </c>
      <c r="F5">
        <v>0</v>
      </c>
      <c r="G5">
        <v>0</v>
      </c>
      <c r="H5">
        <v>31</v>
      </c>
      <c r="I5">
        <v>45</v>
      </c>
      <c r="J5">
        <v>2365</v>
      </c>
      <c r="K5">
        <v>4060</v>
      </c>
      <c r="L5">
        <v>321</v>
      </c>
      <c r="M5">
        <v>0</v>
      </c>
      <c r="N5">
        <v>427</v>
      </c>
      <c r="O5">
        <v>59</v>
      </c>
      <c r="P5" s="101">
        <v>3074000000</v>
      </c>
      <c r="Q5" s="101">
        <v>437000000</v>
      </c>
      <c r="R5" s="101">
        <v>391650943.39622641</v>
      </c>
      <c r="S5" s="101">
        <f t="shared" si="4"/>
        <v>6747683.4811320761</v>
      </c>
      <c r="T5" s="101">
        <f t="shared" si="0"/>
        <v>715683.48113207612</v>
      </c>
      <c r="U5" s="101">
        <f t="shared" si="1"/>
        <v>715683.48113207612</v>
      </c>
      <c r="V5" s="101">
        <v>104732</v>
      </c>
      <c r="W5" s="149">
        <f t="shared" si="2"/>
        <v>6.8334747845173981E-3</v>
      </c>
      <c r="Y5" s="255"/>
      <c r="AB5" s="254"/>
    </row>
    <row r="6" spans="1:28" x14ac:dyDescent="0.25">
      <c r="B6" t="s">
        <v>281</v>
      </c>
      <c r="C6">
        <f t="shared" si="3"/>
        <v>6376</v>
      </c>
      <c r="D6">
        <v>2745</v>
      </c>
      <c r="E6">
        <v>3631</v>
      </c>
      <c r="F6">
        <v>0</v>
      </c>
      <c r="G6">
        <v>0</v>
      </c>
      <c r="H6">
        <v>38</v>
      </c>
      <c r="I6">
        <v>99</v>
      </c>
      <c r="J6">
        <v>1628</v>
      </c>
      <c r="K6">
        <v>3236</v>
      </c>
      <c r="L6">
        <v>265</v>
      </c>
      <c r="M6">
        <v>535</v>
      </c>
      <c r="N6">
        <v>453</v>
      </c>
      <c r="O6">
        <v>436</v>
      </c>
      <c r="P6" s="101">
        <v>2747000000</v>
      </c>
      <c r="Q6" s="101">
        <v>608000000</v>
      </c>
      <c r="R6" s="101">
        <v>603043478.26086962</v>
      </c>
      <c r="S6" s="101">
        <f t="shared" si="4"/>
        <v>6843457.1739130439</v>
      </c>
      <c r="T6" s="101">
        <f t="shared" si="0"/>
        <v>467457.17391304392</v>
      </c>
      <c r="U6" s="101">
        <f t="shared" si="1"/>
        <v>467457.17391304392</v>
      </c>
      <c r="V6" s="101">
        <v>71818</v>
      </c>
      <c r="W6" s="149">
        <f t="shared" si="2"/>
        <v>6.5089138365457674E-3</v>
      </c>
      <c r="Y6" s="255"/>
      <c r="AB6" s="254"/>
    </row>
    <row r="7" spans="1:28" x14ac:dyDescent="0.25">
      <c r="B7" t="s">
        <v>282</v>
      </c>
      <c r="C7">
        <f t="shared" si="3"/>
        <v>7886</v>
      </c>
      <c r="D7">
        <v>4795</v>
      </c>
      <c r="E7">
        <v>3091</v>
      </c>
      <c r="F7">
        <v>0</v>
      </c>
      <c r="G7">
        <v>0</v>
      </c>
      <c r="H7">
        <v>0</v>
      </c>
      <c r="I7">
        <v>0</v>
      </c>
      <c r="J7">
        <v>3151</v>
      </c>
      <c r="K7">
        <v>4107</v>
      </c>
      <c r="L7">
        <v>384</v>
      </c>
      <c r="M7">
        <v>312</v>
      </c>
      <c r="N7">
        <v>961</v>
      </c>
      <c r="O7">
        <v>118</v>
      </c>
      <c r="P7" s="101">
        <v>4609000000</v>
      </c>
      <c r="Q7" s="101">
        <v>494000000</v>
      </c>
      <c r="R7" s="101">
        <v>443500000</v>
      </c>
      <c r="S7" s="101">
        <f t="shared" si="4"/>
        <v>9589898.5</v>
      </c>
      <c r="T7" s="101">
        <f t="shared" si="0"/>
        <v>1703898.5</v>
      </c>
      <c r="U7" s="101">
        <f t="shared" si="1"/>
        <v>1703898.5</v>
      </c>
      <c r="V7" s="101">
        <v>76217</v>
      </c>
      <c r="W7" s="149">
        <f t="shared" si="2"/>
        <v>2.2355885169975203E-2</v>
      </c>
      <c r="Y7" s="255"/>
      <c r="AB7" s="254"/>
    </row>
    <row r="8" spans="1:28" x14ac:dyDescent="0.25">
      <c r="B8" t="s">
        <v>237</v>
      </c>
      <c r="C8">
        <f t="shared" si="3"/>
        <v>26982</v>
      </c>
      <c r="D8">
        <v>10889</v>
      </c>
      <c r="E8">
        <v>16093</v>
      </c>
      <c r="F8">
        <v>9402</v>
      </c>
      <c r="G8">
        <v>443</v>
      </c>
      <c r="H8">
        <v>773</v>
      </c>
      <c r="I8">
        <v>517</v>
      </c>
      <c r="J8">
        <v>9517</v>
      </c>
      <c r="K8">
        <v>15501</v>
      </c>
      <c r="L8">
        <v>1638</v>
      </c>
      <c r="M8">
        <v>596</v>
      </c>
      <c r="N8">
        <v>2979</v>
      </c>
      <c r="O8">
        <v>852</v>
      </c>
      <c r="P8" s="101">
        <v>18529000000</v>
      </c>
      <c r="Q8" s="101">
        <v>3201000000</v>
      </c>
      <c r="R8" s="101">
        <v>3138981276.45718</v>
      </c>
      <c r="S8" s="101">
        <f t="shared" si="4"/>
        <v>42998468.626994468</v>
      </c>
      <c r="T8" s="101">
        <f t="shared" si="0"/>
        <v>16016468.626994468</v>
      </c>
      <c r="U8" s="101">
        <f t="shared" si="1"/>
        <v>16016468.626994468</v>
      </c>
      <c r="V8" s="101">
        <v>477315</v>
      </c>
      <c r="W8" s="149">
        <f t="shared" si="2"/>
        <v>3.3555343173783496E-2</v>
      </c>
      <c r="Y8" s="255"/>
      <c r="AB8" s="254"/>
    </row>
    <row r="9" spans="1:28" x14ac:dyDescent="0.25">
      <c r="B9" t="s">
        <v>139</v>
      </c>
      <c r="C9">
        <f t="shared" si="3"/>
        <v>26376</v>
      </c>
      <c r="D9">
        <v>10812</v>
      </c>
      <c r="E9">
        <v>15564</v>
      </c>
      <c r="F9">
        <v>2030</v>
      </c>
      <c r="G9">
        <v>75</v>
      </c>
      <c r="H9">
        <v>657</v>
      </c>
      <c r="I9">
        <v>183</v>
      </c>
      <c r="J9">
        <v>11674</v>
      </c>
      <c r="K9">
        <v>8882</v>
      </c>
      <c r="L9">
        <v>944</v>
      </c>
      <c r="M9">
        <v>421</v>
      </c>
      <c r="N9">
        <v>3153</v>
      </c>
      <c r="O9">
        <v>342</v>
      </c>
      <c r="P9" s="101">
        <v>9241000000</v>
      </c>
      <c r="Q9" s="101">
        <v>2133000000</v>
      </c>
      <c r="R9" s="101">
        <v>2026405230.4505439</v>
      </c>
      <c r="S9" s="101">
        <f t="shared" si="4"/>
        <v>23169300.643448994</v>
      </c>
      <c r="T9" s="101">
        <f t="shared" si="0"/>
        <v>-3206699.3565510064</v>
      </c>
      <c r="U9" s="101">
        <f t="shared" si="1"/>
        <v>0</v>
      </c>
      <c r="V9" s="101">
        <v>377688</v>
      </c>
      <c r="W9" s="149">
        <f t="shared" si="2"/>
        <v>-8.4903395303822377E-3</v>
      </c>
      <c r="Y9" s="255"/>
      <c r="AB9" s="254"/>
    </row>
    <row r="10" spans="1:28" x14ac:dyDescent="0.25">
      <c r="B10" t="s">
        <v>427</v>
      </c>
      <c r="C10">
        <f t="shared" si="3"/>
        <v>57256</v>
      </c>
      <c r="D10">
        <v>32146</v>
      </c>
      <c r="E10">
        <v>25110</v>
      </c>
      <c r="F10">
        <v>18931</v>
      </c>
      <c r="G10">
        <v>240</v>
      </c>
      <c r="H10">
        <v>1451</v>
      </c>
      <c r="I10">
        <v>1115</v>
      </c>
      <c r="J10">
        <v>18336</v>
      </c>
      <c r="K10">
        <v>36393</v>
      </c>
      <c r="L10">
        <v>3597</v>
      </c>
      <c r="M10">
        <v>0</v>
      </c>
      <c r="N10">
        <v>9045</v>
      </c>
      <c r="O10">
        <v>774</v>
      </c>
      <c r="P10" s="101">
        <v>33306000000</v>
      </c>
      <c r="Q10" s="101">
        <v>4191000000</v>
      </c>
      <c r="R10" s="101">
        <v>4126720858.8957052</v>
      </c>
      <c r="S10" s="101">
        <f t="shared" si="4"/>
        <v>71967413.365030676</v>
      </c>
      <c r="T10" s="101">
        <f t="shared" si="0"/>
        <v>14711413.365030676</v>
      </c>
      <c r="U10" s="101">
        <f t="shared" si="1"/>
        <v>14711413.365030676</v>
      </c>
      <c r="V10" s="101">
        <v>1064830</v>
      </c>
      <c r="W10" s="149">
        <f t="shared" si="2"/>
        <v>1.3815739005316038E-2</v>
      </c>
      <c r="Y10" s="255"/>
      <c r="AB10" s="254"/>
    </row>
    <row r="11" spans="1:28" x14ac:dyDescent="0.25">
      <c r="B11" t="s">
        <v>283</v>
      </c>
      <c r="C11">
        <f t="shared" si="3"/>
        <v>24200</v>
      </c>
      <c r="D11">
        <v>14694</v>
      </c>
      <c r="E11">
        <v>9506</v>
      </c>
      <c r="F11">
        <v>3542</v>
      </c>
      <c r="G11">
        <v>0</v>
      </c>
      <c r="H11">
        <v>224</v>
      </c>
      <c r="I11">
        <v>514</v>
      </c>
      <c r="J11">
        <v>13902</v>
      </c>
      <c r="K11">
        <v>14609</v>
      </c>
      <c r="L11">
        <v>1612</v>
      </c>
      <c r="M11">
        <v>829</v>
      </c>
      <c r="N11">
        <v>6165</v>
      </c>
      <c r="O11">
        <v>718</v>
      </c>
      <c r="P11" s="101">
        <v>18208000000</v>
      </c>
      <c r="Q11" s="101">
        <v>2507000000</v>
      </c>
      <c r="R11" s="101">
        <v>2408295078.5340314</v>
      </c>
      <c r="S11" s="101">
        <f t="shared" si="4"/>
        <v>39980177.190785341</v>
      </c>
      <c r="T11" s="101">
        <f t="shared" si="0"/>
        <v>15780177.190785341</v>
      </c>
      <c r="U11" s="101">
        <f t="shared" si="1"/>
        <v>15780177.190785341</v>
      </c>
      <c r="V11" s="101">
        <v>399008</v>
      </c>
      <c r="W11" s="149">
        <f t="shared" si="2"/>
        <v>3.9548523314784013E-2</v>
      </c>
      <c r="Y11" s="255"/>
      <c r="AB11" s="254"/>
    </row>
    <row r="12" spans="1:28" x14ac:dyDescent="0.25">
      <c r="B12" t="s">
        <v>341</v>
      </c>
      <c r="C12">
        <f t="shared" si="3"/>
        <v>2585</v>
      </c>
      <c r="D12">
        <v>1794</v>
      </c>
      <c r="E12">
        <v>791</v>
      </c>
      <c r="F12">
        <v>0</v>
      </c>
      <c r="G12">
        <v>0</v>
      </c>
      <c r="H12">
        <v>486</v>
      </c>
      <c r="I12">
        <v>0</v>
      </c>
      <c r="J12">
        <v>1575</v>
      </c>
      <c r="K12">
        <v>1181</v>
      </c>
      <c r="L12">
        <v>147</v>
      </c>
      <c r="M12">
        <v>5</v>
      </c>
      <c r="N12">
        <v>359</v>
      </c>
      <c r="O12">
        <v>225</v>
      </c>
      <c r="P12" s="101">
        <v>1829000000</v>
      </c>
      <c r="Q12" s="101">
        <v>272000000</v>
      </c>
      <c r="R12" s="101">
        <v>229840000</v>
      </c>
      <c r="S12" s="101">
        <f t="shared" si="4"/>
        <v>4030022.3600000003</v>
      </c>
      <c r="T12" s="101">
        <f t="shared" si="0"/>
        <v>1445022.3600000003</v>
      </c>
      <c r="U12" s="101">
        <f t="shared" si="1"/>
        <v>1445022.3600000003</v>
      </c>
      <c r="V12" s="101">
        <v>27341</v>
      </c>
      <c r="W12" s="149">
        <f t="shared" si="2"/>
        <v>5.2851847408653681E-2</v>
      </c>
      <c r="Y12" s="255"/>
      <c r="AB12" s="254"/>
    </row>
    <row r="13" spans="1:28" x14ac:dyDescent="0.25">
      <c r="B13" t="s">
        <v>591</v>
      </c>
      <c r="C13">
        <f t="shared" si="3"/>
        <v>10853</v>
      </c>
      <c r="D13">
        <v>7320</v>
      </c>
      <c r="E13">
        <v>3533</v>
      </c>
      <c r="F13">
        <v>0</v>
      </c>
      <c r="G13">
        <v>0</v>
      </c>
      <c r="H13">
        <v>345</v>
      </c>
      <c r="I13">
        <v>39</v>
      </c>
      <c r="J13">
        <v>5746</v>
      </c>
      <c r="K13">
        <v>7355</v>
      </c>
      <c r="L13">
        <v>650</v>
      </c>
      <c r="M13">
        <v>964</v>
      </c>
      <c r="N13">
        <v>2151</v>
      </c>
      <c r="O13">
        <v>689</v>
      </c>
      <c r="P13" s="101">
        <v>8643000000</v>
      </c>
      <c r="Q13" s="101">
        <v>1182000000</v>
      </c>
      <c r="R13" s="101">
        <v>1112626344.0860214</v>
      </c>
      <c r="S13" s="101">
        <f t="shared" si="4"/>
        <v>18911155.948924731</v>
      </c>
      <c r="T13" s="101">
        <f t="shared" si="0"/>
        <v>8058155.9489247315</v>
      </c>
      <c r="U13" s="101">
        <f t="shared" si="1"/>
        <v>8058155.9489247315</v>
      </c>
      <c r="V13" s="101">
        <v>177163</v>
      </c>
      <c r="W13" s="149">
        <f t="shared" si="2"/>
        <v>4.5484418015752336E-2</v>
      </c>
      <c r="Y13" s="255"/>
      <c r="AB13" s="254"/>
    </row>
    <row r="14" spans="1:28" x14ac:dyDescent="0.25">
      <c r="B14" t="s">
        <v>126</v>
      </c>
      <c r="C14">
        <f t="shared" si="3"/>
        <v>1588</v>
      </c>
      <c r="D14">
        <v>1050</v>
      </c>
      <c r="E14">
        <v>538</v>
      </c>
      <c r="F14">
        <v>0</v>
      </c>
      <c r="G14">
        <v>0</v>
      </c>
      <c r="H14">
        <v>5724</v>
      </c>
      <c r="I14">
        <v>0</v>
      </c>
      <c r="J14">
        <v>858</v>
      </c>
      <c r="K14">
        <v>1364</v>
      </c>
      <c r="L14">
        <v>50</v>
      </c>
      <c r="M14">
        <v>106</v>
      </c>
      <c r="N14">
        <v>717</v>
      </c>
      <c r="O14">
        <v>92</v>
      </c>
      <c r="P14" s="101">
        <v>1549000000</v>
      </c>
      <c r="Q14" s="101">
        <v>200000000</v>
      </c>
      <c r="R14" s="101">
        <v>200000000</v>
      </c>
      <c r="S14" s="101">
        <f t="shared" si="4"/>
        <v>3369821</v>
      </c>
      <c r="T14" s="101">
        <f t="shared" si="0"/>
        <v>1781821</v>
      </c>
      <c r="U14" s="101">
        <f t="shared" si="1"/>
        <v>1781821</v>
      </c>
      <c r="V14" s="101">
        <v>30920</v>
      </c>
      <c r="W14" s="149">
        <f t="shared" si="2"/>
        <v>5.7626811125485122E-2</v>
      </c>
      <c r="Y14" s="255"/>
      <c r="AB14" s="254"/>
    </row>
    <row r="15" spans="1:28" x14ac:dyDescent="0.25">
      <c r="B15" t="s">
        <v>212</v>
      </c>
      <c r="C15">
        <f t="shared" si="3"/>
        <v>54439</v>
      </c>
      <c r="D15">
        <v>29956</v>
      </c>
      <c r="E15">
        <v>24483</v>
      </c>
      <c r="F15">
        <v>2884</v>
      </c>
      <c r="G15">
        <v>282</v>
      </c>
      <c r="H15">
        <v>660</v>
      </c>
      <c r="I15">
        <v>1276</v>
      </c>
      <c r="J15">
        <v>15548</v>
      </c>
      <c r="K15">
        <v>23706</v>
      </c>
      <c r="L15">
        <v>2319</v>
      </c>
      <c r="M15">
        <v>5392</v>
      </c>
      <c r="N15">
        <v>4614</v>
      </c>
      <c r="O15">
        <v>1213</v>
      </c>
      <c r="P15" s="101">
        <v>30890000000</v>
      </c>
      <c r="Q15" s="101">
        <v>3802000000</v>
      </c>
      <c r="R15" s="101">
        <v>3705484099.9044628</v>
      </c>
      <c r="S15" s="101">
        <f t="shared" si="4"/>
        <v>66389250.008734822</v>
      </c>
      <c r="T15" s="101">
        <f t="shared" si="0"/>
        <v>11950250.008734822</v>
      </c>
      <c r="U15" s="101">
        <f t="shared" si="1"/>
        <v>11950250.008734822</v>
      </c>
      <c r="V15" s="101">
        <v>697803</v>
      </c>
      <c r="W15" s="149">
        <f t="shared" si="2"/>
        <v>1.7125535443004433E-2</v>
      </c>
      <c r="Y15" s="255"/>
      <c r="AB15" s="254"/>
    </row>
    <row r="16" spans="1:28" x14ac:dyDescent="0.25">
      <c r="B16" t="s">
        <v>238</v>
      </c>
      <c r="C16">
        <f t="shared" si="3"/>
        <v>25416</v>
      </c>
      <c r="D16">
        <v>12937</v>
      </c>
      <c r="E16">
        <v>12479</v>
      </c>
      <c r="F16">
        <v>4173</v>
      </c>
      <c r="G16">
        <v>0</v>
      </c>
      <c r="H16">
        <v>1673</v>
      </c>
      <c r="I16">
        <v>133</v>
      </c>
      <c r="J16">
        <v>9264</v>
      </c>
      <c r="K16">
        <v>11424</v>
      </c>
      <c r="L16">
        <v>1703</v>
      </c>
      <c r="M16">
        <v>5557</v>
      </c>
      <c r="N16">
        <v>5465</v>
      </c>
      <c r="O16">
        <v>4169</v>
      </c>
      <c r="P16" s="101">
        <v>22908000000</v>
      </c>
      <c r="Q16" s="101">
        <v>2853000000</v>
      </c>
      <c r="R16" s="101">
        <v>2814582943.7067513</v>
      </c>
      <c r="S16" s="101">
        <f t="shared" si="4"/>
        <v>49407182.909668975</v>
      </c>
      <c r="T16" s="101">
        <f t="shared" si="0"/>
        <v>23991182.909668975</v>
      </c>
      <c r="U16" s="101">
        <f t="shared" si="1"/>
        <v>23991182.909668975</v>
      </c>
      <c r="V16" s="101">
        <v>345061</v>
      </c>
      <c r="W16" s="149">
        <f t="shared" si="2"/>
        <v>6.9527367363071968E-2</v>
      </c>
      <c r="Y16" s="255"/>
      <c r="AB16" s="254"/>
    </row>
    <row r="17" spans="2:28" x14ac:dyDescent="0.25">
      <c r="B17" t="s">
        <v>239</v>
      </c>
      <c r="C17">
        <f t="shared" si="3"/>
        <v>303457</v>
      </c>
      <c r="D17">
        <v>121062</v>
      </c>
      <c r="E17">
        <v>182395</v>
      </c>
      <c r="F17">
        <v>341546</v>
      </c>
      <c r="G17">
        <v>7110</v>
      </c>
      <c r="H17">
        <v>233827</v>
      </c>
      <c r="I17">
        <v>5780</v>
      </c>
      <c r="J17">
        <v>91201</v>
      </c>
      <c r="K17">
        <v>193750</v>
      </c>
      <c r="L17">
        <v>17609</v>
      </c>
      <c r="M17">
        <v>8845</v>
      </c>
      <c r="N17">
        <v>64454</v>
      </c>
      <c r="O17">
        <v>39260</v>
      </c>
      <c r="P17" s="101">
        <v>247620000000</v>
      </c>
      <c r="Q17" s="101">
        <v>34006000000</v>
      </c>
      <c r="R17" s="101">
        <v>34006000000</v>
      </c>
      <c r="S17" s="101">
        <f t="shared" si="4"/>
        <v>545727728</v>
      </c>
      <c r="T17" s="101">
        <f t="shared" si="0"/>
        <v>242270728</v>
      </c>
      <c r="U17" s="101">
        <f t="shared" si="1"/>
        <v>242270728</v>
      </c>
      <c r="V17" s="101">
        <v>6518760</v>
      </c>
      <c r="W17" s="149">
        <f t="shared" si="2"/>
        <v>3.7165155336290952E-2</v>
      </c>
      <c r="Y17" s="255"/>
      <c r="AB17" s="254"/>
    </row>
    <row r="18" spans="2:28" x14ac:dyDescent="0.25">
      <c r="B18" t="s">
        <v>164</v>
      </c>
      <c r="C18">
        <f t="shared" si="3"/>
        <v>58944</v>
      </c>
      <c r="D18">
        <v>28520</v>
      </c>
      <c r="E18">
        <v>30424</v>
      </c>
      <c r="F18">
        <v>4937</v>
      </c>
      <c r="G18">
        <v>502</v>
      </c>
      <c r="H18">
        <v>2691</v>
      </c>
      <c r="I18">
        <v>1093</v>
      </c>
      <c r="J18">
        <v>13821</v>
      </c>
      <c r="K18">
        <v>20591</v>
      </c>
      <c r="L18">
        <v>2116</v>
      </c>
      <c r="M18">
        <v>1833</v>
      </c>
      <c r="N18">
        <v>4600</v>
      </c>
      <c r="O18">
        <v>652</v>
      </c>
      <c r="P18" s="101">
        <v>28357000000</v>
      </c>
      <c r="Q18" s="101">
        <v>4081000000</v>
      </c>
      <c r="R18" s="101">
        <v>3885247139.0309229</v>
      </c>
      <c r="S18" s="101">
        <f t="shared" si="4"/>
        <v>62802894.303384468</v>
      </c>
      <c r="T18" s="101">
        <f t="shared" si="0"/>
        <v>3858894.303384468</v>
      </c>
      <c r="U18" s="101">
        <f t="shared" si="1"/>
        <v>3858894.303384468</v>
      </c>
      <c r="V18" s="101">
        <v>749423</v>
      </c>
      <c r="W18" s="149">
        <f t="shared" si="2"/>
        <v>5.149153820184953E-3</v>
      </c>
      <c r="Y18" s="255"/>
      <c r="AB18" s="254"/>
    </row>
    <row r="19" spans="2:28" x14ac:dyDescent="0.25">
      <c r="B19" t="s">
        <v>165</v>
      </c>
      <c r="C19">
        <f t="shared" si="3"/>
        <v>58188</v>
      </c>
      <c r="D19">
        <v>27387</v>
      </c>
      <c r="E19">
        <v>30801</v>
      </c>
      <c r="F19">
        <v>20798</v>
      </c>
      <c r="G19">
        <v>0</v>
      </c>
      <c r="H19">
        <v>2007</v>
      </c>
      <c r="I19">
        <v>33</v>
      </c>
      <c r="J19">
        <v>17215</v>
      </c>
      <c r="K19">
        <v>20967</v>
      </c>
      <c r="L19">
        <v>2462</v>
      </c>
      <c r="M19">
        <v>35</v>
      </c>
      <c r="N19">
        <v>3934</v>
      </c>
      <c r="O19">
        <v>530</v>
      </c>
      <c r="P19" s="101">
        <v>25313000000</v>
      </c>
      <c r="Q19" s="101">
        <v>3523000000</v>
      </c>
      <c r="R19" s="101">
        <v>3510875137.6651983</v>
      </c>
      <c r="S19" s="101">
        <f t="shared" si="4"/>
        <v>55927747.113023132</v>
      </c>
      <c r="T19" s="101">
        <f t="shared" si="0"/>
        <v>-2260252.8869768679</v>
      </c>
      <c r="U19" s="101">
        <f>IF(T19&gt;0,T19,0)</f>
        <v>0</v>
      </c>
      <c r="V19" s="101">
        <v>929948</v>
      </c>
      <c r="W19" s="149">
        <f>T19/(V19*1000)</f>
        <v>-2.4305153481451306E-3</v>
      </c>
      <c r="Y19" s="255"/>
      <c r="AB19" s="254"/>
    </row>
    <row r="20" spans="2:28" x14ac:dyDescent="0.25">
      <c r="B20" t="s">
        <v>105</v>
      </c>
      <c r="C20">
        <f t="shared" si="3"/>
        <v>21701</v>
      </c>
      <c r="D20">
        <v>12237</v>
      </c>
      <c r="E20">
        <v>9464</v>
      </c>
      <c r="F20">
        <v>5068</v>
      </c>
      <c r="G20">
        <v>87</v>
      </c>
      <c r="H20">
        <v>633</v>
      </c>
      <c r="I20">
        <v>162</v>
      </c>
      <c r="J20">
        <v>6234</v>
      </c>
      <c r="K20">
        <v>7514</v>
      </c>
      <c r="L20">
        <v>875</v>
      </c>
      <c r="M20">
        <v>688</v>
      </c>
      <c r="N20">
        <v>4422</v>
      </c>
      <c r="O20">
        <v>205</v>
      </c>
      <c r="P20" s="101">
        <v>8932000000</v>
      </c>
      <c r="Q20" s="101">
        <v>1205000000</v>
      </c>
      <c r="R20" s="101">
        <v>1182301392.3013923</v>
      </c>
      <c r="S20" s="101">
        <f t="shared" si="4"/>
        <v>19571072.107289106</v>
      </c>
      <c r="T20" s="101">
        <f t="shared" si="0"/>
        <v>-2129927.8927108943</v>
      </c>
      <c r="U20" s="101">
        <f t="shared" si="1"/>
        <v>0</v>
      </c>
      <c r="V20" s="101">
        <v>374062</v>
      </c>
      <c r="W20" s="149">
        <f t="shared" si="2"/>
        <v>-5.6940504320430688E-3</v>
      </c>
      <c r="Y20" s="255"/>
      <c r="AB20" s="254"/>
    </row>
    <row r="21" spans="2:28" x14ac:dyDescent="0.25">
      <c r="B21" t="s">
        <v>342</v>
      </c>
      <c r="C21">
        <f t="shared" si="3"/>
        <v>5083</v>
      </c>
      <c r="D21">
        <v>2933</v>
      </c>
      <c r="E21">
        <v>2150</v>
      </c>
      <c r="F21">
        <v>0</v>
      </c>
      <c r="G21">
        <v>0</v>
      </c>
      <c r="H21">
        <v>-1023</v>
      </c>
      <c r="I21">
        <v>121</v>
      </c>
      <c r="J21">
        <v>2449</v>
      </c>
      <c r="K21">
        <v>1135</v>
      </c>
      <c r="L21">
        <v>315</v>
      </c>
      <c r="M21">
        <v>0</v>
      </c>
      <c r="N21">
        <v>838</v>
      </c>
      <c r="O21">
        <v>334</v>
      </c>
      <c r="P21" s="101">
        <v>2829000000</v>
      </c>
      <c r="Q21" s="101">
        <v>439000000</v>
      </c>
      <c r="R21" s="101">
        <v>395100000</v>
      </c>
      <c r="S21" s="101">
        <f t="shared" si="4"/>
        <v>6333499.9000000004</v>
      </c>
      <c r="T21" s="101">
        <f t="shared" si="0"/>
        <v>1250499.9000000004</v>
      </c>
      <c r="U21" s="101">
        <f t="shared" si="1"/>
        <v>1250499.9000000004</v>
      </c>
      <c r="V21" s="101">
        <v>58411</v>
      </c>
      <c r="W21" s="149">
        <f t="shared" si="2"/>
        <v>2.140863707178443E-2</v>
      </c>
      <c r="Y21" s="255"/>
      <c r="AB21" s="254"/>
    </row>
    <row r="22" spans="2:28" x14ac:dyDescent="0.25">
      <c r="B22" t="s">
        <v>343</v>
      </c>
      <c r="C22">
        <f t="shared" si="3"/>
        <v>1674</v>
      </c>
      <c r="D22">
        <v>989</v>
      </c>
      <c r="E22">
        <v>685</v>
      </c>
      <c r="F22">
        <v>33</v>
      </c>
      <c r="G22">
        <v>10</v>
      </c>
      <c r="H22">
        <v>449</v>
      </c>
      <c r="I22">
        <v>31</v>
      </c>
      <c r="J22">
        <v>652</v>
      </c>
      <c r="K22">
        <v>782</v>
      </c>
      <c r="L22">
        <v>82</v>
      </c>
      <c r="M22">
        <v>0</v>
      </c>
      <c r="N22">
        <v>382</v>
      </c>
      <c r="O22">
        <v>181</v>
      </c>
      <c r="P22" s="101">
        <v>1144000000</v>
      </c>
      <c r="Q22" s="101">
        <v>255000000</v>
      </c>
      <c r="R22" s="101">
        <v>255000000</v>
      </c>
      <c r="S22" s="101">
        <f t="shared" si="4"/>
        <v>2859766</v>
      </c>
      <c r="T22" s="101">
        <f t="shared" si="0"/>
        <v>1185766</v>
      </c>
      <c r="U22" s="101">
        <f t="shared" si="1"/>
        <v>1185766</v>
      </c>
      <c r="V22" s="101">
        <v>24454</v>
      </c>
      <c r="W22" s="149">
        <f t="shared" si="2"/>
        <v>4.8489654044328125E-2</v>
      </c>
      <c r="Y22" s="255"/>
      <c r="AB22" s="254"/>
    </row>
    <row r="23" spans="2:28" x14ac:dyDescent="0.25">
      <c r="B23" t="s">
        <v>213</v>
      </c>
      <c r="C23">
        <f t="shared" si="3"/>
        <v>6277</v>
      </c>
      <c r="D23">
        <v>4515</v>
      </c>
      <c r="E23">
        <v>1762</v>
      </c>
      <c r="F23">
        <v>21</v>
      </c>
      <c r="G23">
        <v>41</v>
      </c>
      <c r="H23">
        <v>187</v>
      </c>
      <c r="I23">
        <v>96</v>
      </c>
      <c r="J23">
        <v>3104</v>
      </c>
      <c r="K23">
        <v>4239</v>
      </c>
      <c r="L23">
        <v>388</v>
      </c>
      <c r="M23">
        <v>445</v>
      </c>
      <c r="N23">
        <v>598</v>
      </c>
      <c r="O23">
        <v>69</v>
      </c>
      <c r="P23" s="101">
        <v>5672000000</v>
      </c>
      <c r="Q23" s="101">
        <v>418000000</v>
      </c>
      <c r="R23" s="101">
        <v>406554761.90476191</v>
      </c>
      <c r="S23" s="101">
        <f t="shared" si="4"/>
        <v>11232543.183333334</v>
      </c>
      <c r="T23" s="101">
        <f t="shared" si="0"/>
        <v>4955543.1833333336</v>
      </c>
      <c r="U23" s="101">
        <f t="shared" si="1"/>
        <v>4955543.1833333336</v>
      </c>
      <c r="V23" s="101">
        <v>76279</v>
      </c>
      <c r="W23" s="149">
        <f t="shared" si="2"/>
        <v>6.4966021884572872E-2</v>
      </c>
      <c r="Y23" s="255"/>
      <c r="AB23" s="254"/>
    </row>
    <row r="24" spans="2:28" x14ac:dyDescent="0.25">
      <c r="B24" t="s">
        <v>284</v>
      </c>
      <c r="C24">
        <f t="shared" si="3"/>
        <v>11735</v>
      </c>
      <c r="D24">
        <v>7243</v>
      </c>
      <c r="E24">
        <v>4492</v>
      </c>
      <c r="F24">
        <v>61</v>
      </c>
      <c r="G24">
        <v>0</v>
      </c>
      <c r="H24">
        <v>51</v>
      </c>
      <c r="I24">
        <v>307</v>
      </c>
      <c r="J24">
        <v>3461</v>
      </c>
      <c r="K24">
        <v>6384</v>
      </c>
      <c r="L24">
        <v>622</v>
      </c>
      <c r="M24">
        <v>508</v>
      </c>
      <c r="N24">
        <v>2501</v>
      </c>
      <c r="O24">
        <v>183</v>
      </c>
      <c r="P24" s="101">
        <v>8287000000</v>
      </c>
      <c r="Q24" s="101">
        <v>1156000000</v>
      </c>
      <c r="R24" s="101">
        <v>1151884290.164664</v>
      </c>
      <c r="S24" s="101">
        <f t="shared" si="4"/>
        <v>18318554.937694702</v>
      </c>
      <c r="T24" s="101">
        <f t="shared" si="0"/>
        <v>6583554.9376947023</v>
      </c>
      <c r="U24" s="101">
        <f t="shared" si="1"/>
        <v>6583554.9376947023</v>
      </c>
      <c r="V24" s="101">
        <v>147418</v>
      </c>
      <c r="W24" s="149">
        <f t="shared" si="2"/>
        <v>4.465909819489277E-2</v>
      </c>
      <c r="Y24" s="255"/>
      <c r="AB24" s="254"/>
    </row>
    <row r="25" spans="2:28" x14ac:dyDescent="0.25">
      <c r="B25" t="s">
        <v>166</v>
      </c>
      <c r="C25">
        <f t="shared" si="3"/>
        <v>15062</v>
      </c>
      <c r="D25">
        <v>7849</v>
      </c>
      <c r="E25">
        <v>7213</v>
      </c>
      <c r="F25">
        <v>1008</v>
      </c>
      <c r="G25">
        <v>0</v>
      </c>
      <c r="H25">
        <v>2269</v>
      </c>
      <c r="I25">
        <v>372</v>
      </c>
      <c r="J25">
        <v>5558</v>
      </c>
      <c r="K25">
        <v>6719</v>
      </c>
      <c r="L25">
        <v>788</v>
      </c>
      <c r="M25">
        <v>823</v>
      </c>
      <c r="N25">
        <v>3408</v>
      </c>
      <c r="O25">
        <v>1119</v>
      </c>
      <c r="P25" s="101">
        <v>10464000000</v>
      </c>
      <c r="Q25" s="101">
        <v>2104000000</v>
      </c>
      <c r="R25" s="101">
        <v>2073730188.6792455</v>
      </c>
      <c r="S25" s="101">
        <f t="shared" si="4"/>
        <v>25315551.496226415</v>
      </c>
      <c r="T25" s="101">
        <f t="shared" si="0"/>
        <v>10253551.496226415</v>
      </c>
      <c r="U25" s="101">
        <f t="shared" si="1"/>
        <v>10253551.496226415</v>
      </c>
      <c r="V25" s="101">
        <v>212698</v>
      </c>
      <c r="W25" s="149">
        <f t="shared" si="2"/>
        <v>4.8207089376611043E-2</v>
      </c>
      <c r="Y25" s="255"/>
      <c r="AB25" s="254"/>
    </row>
    <row r="26" spans="2:28" x14ac:dyDescent="0.25">
      <c r="B26" t="s">
        <v>826</v>
      </c>
      <c r="C26">
        <f t="shared" si="3"/>
        <v>5159</v>
      </c>
      <c r="D26">
        <v>2706</v>
      </c>
      <c r="E26">
        <v>2453</v>
      </c>
      <c r="F26">
        <v>0</v>
      </c>
      <c r="G26">
        <v>0</v>
      </c>
      <c r="H26">
        <v>45</v>
      </c>
      <c r="I26">
        <v>222</v>
      </c>
      <c r="J26">
        <v>1797</v>
      </c>
      <c r="K26">
        <v>2488</v>
      </c>
      <c r="L26">
        <v>191</v>
      </c>
      <c r="M26">
        <v>40</v>
      </c>
      <c r="N26">
        <v>1599</v>
      </c>
      <c r="O26">
        <v>49</v>
      </c>
      <c r="P26" s="101">
        <v>2204000000</v>
      </c>
      <c r="Q26" s="101">
        <v>477000000</v>
      </c>
      <c r="R26" s="101">
        <v>466724489.79591835</v>
      </c>
      <c r="S26" s="101">
        <f t="shared" si="4"/>
        <v>5442415.6428571437</v>
      </c>
      <c r="T26" s="101">
        <f t="shared" si="0"/>
        <v>283415.64285714366</v>
      </c>
      <c r="U26" s="101">
        <f t="shared" si="1"/>
        <v>283415.64285714366</v>
      </c>
      <c r="V26" s="101">
        <v>70195</v>
      </c>
      <c r="W26" s="149">
        <f t="shared" si="2"/>
        <v>4.0375474443641807E-3</v>
      </c>
      <c r="Y26" s="255"/>
      <c r="AB26" s="254"/>
    </row>
    <row r="27" spans="2:28" x14ac:dyDescent="0.25">
      <c r="B27" t="s">
        <v>592</v>
      </c>
      <c r="C27">
        <f t="shared" si="3"/>
        <v>7827</v>
      </c>
      <c r="D27">
        <v>5993</v>
      </c>
      <c r="E27">
        <v>1834</v>
      </c>
      <c r="F27">
        <v>0</v>
      </c>
      <c r="G27">
        <v>0</v>
      </c>
      <c r="H27">
        <v>217</v>
      </c>
      <c r="I27">
        <v>0</v>
      </c>
      <c r="J27">
        <v>5135</v>
      </c>
      <c r="K27">
        <v>4675</v>
      </c>
      <c r="L27">
        <v>415</v>
      </c>
      <c r="M27">
        <v>108</v>
      </c>
      <c r="N27">
        <v>524</v>
      </c>
      <c r="O27">
        <v>134</v>
      </c>
      <c r="P27" s="101">
        <v>5030000000</v>
      </c>
      <c r="Q27" s="101">
        <v>398000000</v>
      </c>
      <c r="R27" s="101">
        <v>351453350.85413927</v>
      </c>
      <c r="S27" s="101">
        <f t="shared" si="4"/>
        <v>9992674.8436268065</v>
      </c>
      <c r="T27" s="101">
        <f t="shared" si="0"/>
        <v>2165674.8436268065</v>
      </c>
      <c r="U27" s="101">
        <f t="shared" si="1"/>
        <v>2165674.8436268065</v>
      </c>
      <c r="V27" s="101">
        <v>106580</v>
      </c>
      <c r="W27" s="149">
        <f t="shared" si="2"/>
        <v>2.0319711424533746E-2</v>
      </c>
      <c r="Y27" s="255"/>
      <c r="AB27" s="254"/>
    </row>
    <row r="28" spans="2:28" x14ac:dyDescent="0.25">
      <c r="B28" t="s">
        <v>399</v>
      </c>
      <c r="C28">
        <f t="shared" si="3"/>
        <v>3670</v>
      </c>
      <c r="D28">
        <v>2533</v>
      </c>
      <c r="E28">
        <v>1137</v>
      </c>
      <c r="F28">
        <v>0</v>
      </c>
      <c r="G28">
        <v>0</v>
      </c>
      <c r="H28">
        <v>951</v>
      </c>
      <c r="I28">
        <v>67</v>
      </c>
      <c r="J28">
        <v>1111</v>
      </c>
      <c r="K28">
        <v>1292</v>
      </c>
      <c r="L28">
        <v>157</v>
      </c>
      <c r="M28">
        <v>58</v>
      </c>
      <c r="N28">
        <v>177</v>
      </c>
      <c r="O28">
        <v>174</v>
      </c>
      <c r="P28" s="101">
        <v>1807000000</v>
      </c>
      <c r="Q28" s="101">
        <v>164000000</v>
      </c>
      <c r="R28" s="101">
        <v>153435582.82208589</v>
      </c>
      <c r="S28" s="101">
        <f t="shared" si="4"/>
        <v>3673149.1226993864</v>
      </c>
      <c r="T28" s="101">
        <f t="shared" si="0"/>
        <v>3149.1226993864402</v>
      </c>
      <c r="U28" s="101">
        <f t="shared" si="1"/>
        <v>3149.1226993864402</v>
      </c>
      <c r="V28" s="101">
        <v>45134</v>
      </c>
      <c r="W28" s="149">
        <f t="shared" si="2"/>
        <v>6.9772736725892676E-5</v>
      </c>
      <c r="Y28" s="255"/>
      <c r="AB28" s="254"/>
    </row>
    <row r="29" spans="2:28" x14ac:dyDescent="0.25">
      <c r="B29" t="s">
        <v>523</v>
      </c>
      <c r="C29">
        <f t="shared" si="3"/>
        <v>6601</v>
      </c>
      <c r="D29">
        <v>4306</v>
      </c>
      <c r="E29">
        <v>2295</v>
      </c>
      <c r="F29">
        <v>79</v>
      </c>
      <c r="G29">
        <v>0</v>
      </c>
      <c r="H29">
        <v>770</v>
      </c>
      <c r="I29">
        <v>44</v>
      </c>
      <c r="J29">
        <v>4160</v>
      </c>
      <c r="K29">
        <v>4693</v>
      </c>
      <c r="L29">
        <v>370</v>
      </c>
      <c r="M29">
        <v>76</v>
      </c>
      <c r="N29">
        <v>757</v>
      </c>
      <c r="O29">
        <v>300</v>
      </c>
      <c r="P29" s="101">
        <v>5532000000</v>
      </c>
      <c r="Q29" s="101">
        <v>559000000</v>
      </c>
      <c r="R29" s="101">
        <v>499939759.03614461</v>
      </c>
      <c r="S29" s="101">
        <f t="shared" si="4"/>
        <v>11395734.843373494</v>
      </c>
      <c r="T29" s="101">
        <f t="shared" si="0"/>
        <v>4794734.8433734942</v>
      </c>
      <c r="U29" s="101">
        <f t="shared" si="1"/>
        <v>4794734.8433734942</v>
      </c>
      <c r="V29" s="101">
        <v>127218</v>
      </c>
      <c r="W29" s="149">
        <f t="shared" si="2"/>
        <v>3.7689122949374258E-2</v>
      </c>
      <c r="Y29" s="255"/>
      <c r="AB29" s="254"/>
    </row>
    <row r="30" spans="2:28" x14ac:dyDescent="0.25">
      <c r="B30" t="s">
        <v>344</v>
      </c>
      <c r="C30">
        <f t="shared" si="3"/>
        <v>3962</v>
      </c>
      <c r="D30">
        <v>2548</v>
      </c>
      <c r="E30">
        <v>1414</v>
      </c>
      <c r="F30">
        <v>0</v>
      </c>
      <c r="G30">
        <v>0</v>
      </c>
      <c r="H30">
        <v>1382</v>
      </c>
      <c r="I30">
        <v>28</v>
      </c>
      <c r="J30">
        <v>1918</v>
      </c>
      <c r="K30">
        <v>1505</v>
      </c>
      <c r="L30">
        <v>454</v>
      </c>
      <c r="M30">
        <v>17</v>
      </c>
      <c r="N30">
        <v>1085</v>
      </c>
      <c r="O30">
        <v>100</v>
      </c>
      <c r="P30" s="101">
        <v>3465000000</v>
      </c>
      <c r="Q30" s="101">
        <v>509000000</v>
      </c>
      <c r="R30" s="101">
        <v>442497487.43718594</v>
      </c>
      <c r="S30" s="101">
        <f t="shared" si="4"/>
        <v>7636124.1557788951</v>
      </c>
      <c r="T30" s="101">
        <f t="shared" si="0"/>
        <v>3674124.1557788951</v>
      </c>
      <c r="U30" s="101">
        <f t="shared" si="1"/>
        <v>3674124.1557788951</v>
      </c>
      <c r="V30" s="101">
        <v>71043</v>
      </c>
      <c r="W30" s="149">
        <f t="shared" si="2"/>
        <v>5.171690603970687E-2</v>
      </c>
      <c r="Y30" s="255"/>
      <c r="AB30" s="254"/>
    </row>
    <row r="31" spans="2:28" x14ac:dyDescent="0.25">
      <c r="B31" t="s">
        <v>434</v>
      </c>
      <c r="C31">
        <f t="shared" si="3"/>
        <v>2459</v>
      </c>
      <c r="D31">
        <v>1648</v>
      </c>
      <c r="E31">
        <v>811</v>
      </c>
      <c r="F31">
        <v>0</v>
      </c>
      <c r="G31">
        <v>0</v>
      </c>
      <c r="H31">
        <v>708</v>
      </c>
      <c r="I31">
        <v>9</v>
      </c>
      <c r="J31">
        <v>1629</v>
      </c>
      <c r="K31">
        <v>1085</v>
      </c>
      <c r="L31">
        <v>156</v>
      </c>
      <c r="M31">
        <v>4</v>
      </c>
      <c r="N31">
        <v>0</v>
      </c>
      <c r="O31">
        <v>43</v>
      </c>
      <c r="P31" s="101">
        <v>1888000000</v>
      </c>
      <c r="Q31" s="101">
        <v>209000000</v>
      </c>
      <c r="R31" s="101">
        <v>188952038.36930457</v>
      </c>
      <c r="S31" s="101">
        <f t="shared" si="4"/>
        <v>3952411.0743405279</v>
      </c>
      <c r="T31" s="101">
        <f t="shared" si="0"/>
        <v>1493411.0743405279</v>
      </c>
      <c r="U31" s="101">
        <f t="shared" si="1"/>
        <v>1493411.0743405279</v>
      </c>
      <c r="V31" s="101">
        <v>47807</v>
      </c>
      <c r="W31" s="149">
        <f t="shared" si="2"/>
        <v>3.1238334853484383E-2</v>
      </c>
      <c r="Y31" s="255"/>
      <c r="AB31" s="254"/>
    </row>
    <row r="32" spans="2:28" x14ac:dyDescent="0.25">
      <c r="B32" t="s">
        <v>435</v>
      </c>
      <c r="C32">
        <f t="shared" si="3"/>
        <v>11054</v>
      </c>
      <c r="D32">
        <v>8031</v>
      </c>
      <c r="E32">
        <v>3023</v>
      </c>
      <c r="F32">
        <v>5519</v>
      </c>
      <c r="G32">
        <v>152</v>
      </c>
      <c r="H32">
        <v>5165</v>
      </c>
      <c r="I32">
        <v>81</v>
      </c>
      <c r="J32">
        <v>3593</v>
      </c>
      <c r="K32">
        <v>5112</v>
      </c>
      <c r="L32">
        <v>387</v>
      </c>
      <c r="M32">
        <v>389</v>
      </c>
      <c r="N32">
        <v>1029</v>
      </c>
      <c r="O32">
        <v>222</v>
      </c>
      <c r="P32" s="101">
        <v>9202000000</v>
      </c>
      <c r="Q32" s="101">
        <v>744000000</v>
      </c>
      <c r="R32" s="101">
        <v>693190243.90243912</v>
      </c>
      <c r="S32" s="101">
        <f t="shared" si="4"/>
        <v>18395159.931707319</v>
      </c>
      <c r="T32" s="101">
        <f t="shared" si="0"/>
        <v>7341159.9317073189</v>
      </c>
      <c r="U32" s="101">
        <f t="shared" si="1"/>
        <v>7341159.9317073189</v>
      </c>
      <c r="V32" s="101">
        <v>106073</v>
      </c>
      <c r="W32" s="149">
        <f t="shared" si="2"/>
        <v>6.9208563269704065E-2</v>
      </c>
      <c r="Y32" s="255"/>
      <c r="AB32" s="254"/>
    </row>
    <row r="33" spans="2:28" x14ac:dyDescent="0.25">
      <c r="B33" t="s">
        <v>345</v>
      </c>
      <c r="C33">
        <f t="shared" si="3"/>
        <v>17548</v>
      </c>
      <c r="D33">
        <v>8432</v>
      </c>
      <c r="E33">
        <v>9116</v>
      </c>
      <c r="F33">
        <v>5777</v>
      </c>
      <c r="G33">
        <v>192</v>
      </c>
      <c r="H33">
        <v>464</v>
      </c>
      <c r="I33">
        <v>-145</v>
      </c>
      <c r="J33">
        <v>13970</v>
      </c>
      <c r="K33">
        <v>0</v>
      </c>
      <c r="L33">
        <v>1114</v>
      </c>
      <c r="M33">
        <v>21</v>
      </c>
      <c r="N33">
        <v>0</v>
      </c>
      <c r="O33">
        <v>0</v>
      </c>
      <c r="P33" s="101">
        <v>9568000000</v>
      </c>
      <c r="Q33" s="101">
        <v>1810000000</v>
      </c>
      <c r="R33" s="101">
        <v>1686425702.811245</v>
      </c>
      <c r="S33" s="101">
        <f t="shared" si="4"/>
        <v>22588392.040160645</v>
      </c>
      <c r="T33" s="101">
        <f t="shared" si="0"/>
        <v>5040392.0401606448</v>
      </c>
      <c r="U33" s="101">
        <f t="shared" si="1"/>
        <v>5040392.0401606448</v>
      </c>
      <c r="V33" s="101">
        <v>407849</v>
      </c>
      <c r="W33" s="149">
        <f t="shared" si="2"/>
        <v>1.2358475906918111E-2</v>
      </c>
      <c r="Y33" s="255"/>
      <c r="AB33" s="254"/>
    </row>
    <row r="34" spans="2:28" x14ac:dyDescent="0.25">
      <c r="B34" t="s">
        <v>167</v>
      </c>
      <c r="C34">
        <f t="shared" si="3"/>
        <v>10526</v>
      </c>
      <c r="D34">
        <v>6566</v>
      </c>
      <c r="E34">
        <v>3960</v>
      </c>
      <c r="F34">
        <v>16</v>
      </c>
      <c r="G34">
        <v>0</v>
      </c>
      <c r="H34">
        <v>684</v>
      </c>
      <c r="I34">
        <v>212</v>
      </c>
      <c r="J34">
        <v>7132</v>
      </c>
      <c r="K34">
        <v>3188</v>
      </c>
      <c r="L34">
        <v>506</v>
      </c>
      <c r="M34">
        <v>280</v>
      </c>
      <c r="N34">
        <v>1202</v>
      </c>
      <c r="O34">
        <v>145</v>
      </c>
      <c r="P34" s="101">
        <v>6777000000</v>
      </c>
      <c r="Q34" s="101">
        <v>1075000000</v>
      </c>
      <c r="R34" s="101">
        <v>906331719.12832928</v>
      </c>
      <c r="S34" s="101">
        <f t="shared" si="4"/>
        <v>15143155.542372884</v>
      </c>
      <c r="T34" s="101">
        <f t="shared" si="0"/>
        <v>4617155.5423728842</v>
      </c>
      <c r="U34" s="101">
        <f t="shared" si="1"/>
        <v>4617155.5423728842</v>
      </c>
      <c r="V34" s="101">
        <v>147970</v>
      </c>
      <c r="W34" s="149">
        <f t="shared" si="2"/>
        <v>3.1203321905608462E-2</v>
      </c>
      <c r="Y34" s="255"/>
      <c r="AB34" s="254"/>
    </row>
    <row r="35" spans="2:28" x14ac:dyDescent="0.25">
      <c r="B35" t="s">
        <v>346</v>
      </c>
      <c r="C35">
        <f t="shared" si="3"/>
        <v>7888</v>
      </c>
      <c r="D35">
        <v>4739</v>
      </c>
      <c r="E35">
        <v>3149</v>
      </c>
      <c r="F35">
        <v>0</v>
      </c>
      <c r="G35">
        <v>0</v>
      </c>
      <c r="H35">
        <v>405</v>
      </c>
      <c r="I35">
        <v>38</v>
      </c>
      <c r="J35">
        <v>2508</v>
      </c>
      <c r="K35">
        <v>2930</v>
      </c>
      <c r="L35">
        <v>369</v>
      </c>
      <c r="M35">
        <v>61</v>
      </c>
      <c r="N35">
        <v>962</v>
      </c>
      <c r="O35">
        <v>272</v>
      </c>
      <c r="P35" s="101">
        <v>5471000000</v>
      </c>
      <c r="Q35" s="101">
        <v>584000000</v>
      </c>
      <c r="R35" s="101">
        <v>512792548.68755293</v>
      </c>
      <c r="S35" s="101">
        <f t="shared" si="4"/>
        <v>11355713.31668078</v>
      </c>
      <c r="T35" s="101">
        <f t="shared" si="0"/>
        <v>3467713.3166807797</v>
      </c>
      <c r="U35" s="101">
        <f t="shared" si="1"/>
        <v>3467713.3166807797</v>
      </c>
      <c r="V35" s="101">
        <v>97973</v>
      </c>
      <c r="W35" s="149">
        <f t="shared" si="2"/>
        <v>3.5394581330374486E-2</v>
      </c>
      <c r="Y35" s="255"/>
      <c r="AB35" s="254"/>
    </row>
    <row r="36" spans="2:28" x14ac:dyDescent="0.25">
      <c r="B36" t="s">
        <v>347</v>
      </c>
      <c r="C36">
        <f t="shared" si="3"/>
        <v>7020</v>
      </c>
      <c r="D36">
        <v>4320</v>
      </c>
      <c r="E36">
        <v>2700</v>
      </c>
      <c r="F36">
        <v>0</v>
      </c>
      <c r="G36">
        <v>103</v>
      </c>
      <c r="H36">
        <v>238</v>
      </c>
      <c r="I36">
        <v>0</v>
      </c>
      <c r="J36">
        <v>2657</v>
      </c>
      <c r="K36">
        <v>4488</v>
      </c>
      <c r="L36">
        <v>420</v>
      </c>
      <c r="M36">
        <v>11</v>
      </c>
      <c r="N36">
        <v>1390</v>
      </c>
      <c r="O36">
        <v>573</v>
      </c>
      <c r="P36" s="101">
        <v>5343000000</v>
      </c>
      <c r="Q36" s="101">
        <v>773000000</v>
      </c>
      <c r="R36" s="101">
        <v>757257724.71910119</v>
      </c>
      <c r="S36" s="101">
        <f t="shared" si="4"/>
        <v>11883862.606039327</v>
      </c>
      <c r="T36" s="101">
        <f t="shared" si="0"/>
        <v>4863862.6060393266</v>
      </c>
      <c r="U36" s="101">
        <f t="shared" si="1"/>
        <v>4863862.6060393266</v>
      </c>
      <c r="V36" s="101">
        <v>104696</v>
      </c>
      <c r="W36" s="149">
        <f t="shared" si="2"/>
        <v>4.645700510085702E-2</v>
      </c>
      <c r="Y36" s="255"/>
      <c r="AB36" s="254"/>
    </row>
    <row r="37" spans="2:28" x14ac:dyDescent="0.25">
      <c r="B37" t="s">
        <v>168</v>
      </c>
      <c r="C37">
        <f t="shared" si="3"/>
        <v>8053</v>
      </c>
      <c r="D37">
        <v>4793</v>
      </c>
      <c r="E37">
        <v>3260</v>
      </c>
      <c r="F37">
        <v>0</v>
      </c>
      <c r="G37">
        <v>0</v>
      </c>
      <c r="H37">
        <v>270</v>
      </c>
      <c r="I37">
        <v>324</v>
      </c>
      <c r="J37">
        <v>2692</v>
      </c>
      <c r="K37">
        <v>2164</v>
      </c>
      <c r="L37">
        <v>302</v>
      </c>
      <c r="M37">
        <v>57</v>
      </c>
      <c r="N37">
        <v>312</v>
      </c>
      <c r="O37">
        <v>171</v>
      </c>
      <c r="P37" s="101">
        <v>4317000000</v>
      </c>
      <c r="Q37" s="101">
        <v>370000000</v>
      </c>
      <c r="R37" s="101">
        <v>349761570.8274895</v>
      </c>
      <c r="S37" s="101">
        <f t="shared" si="4"/>
        <v>8708560.7559607308</v>
      </c>
      <c r="T37" s="101">
        <f t="shared" si="0"/>
        <v>655560.75596073084</v>
      </c>
      <c r="U37" s="101">
        <f t="shared" si="1"/>
        <v>655560.75596073084</v>
      </c>
      <c r="V37" s="101">
        <v>87293</v>
      </c>
      <c r="W37" s="149">
        <f t="shared" si="2"/>
        <v>7.5098891773765462E-3</v>
      </c>
      <c r="Y37" s="255"/>
      <c r="AB37" s="254"/>
    </row>
    <row r="38" spans="2:28" x14ac:dyDescent="0.25">
      <c r="B38" t="s">
        <v>241</v>
      </c>
      <c r="C38">
        <f t="shared" si="3"/>
        <v>10108</v>
      </c>
      <c r="D38">
        <v>5087</v>
      </c>
      <c r="E38">
        <v>5021</v>
      </c>
      <c r="F38">
        <v>1395</v>
      </c>
      <c r="G38">
        <v>175</v>
      </c>
      <c r="H38">
        <v>111</v>
      </c>
      <c r="I38">
        <v>161</v>
      </c>
      <c r="J38">
        <v>4325</v>
      </c>
      <c r="K38">
        <v>5701</v>
      </c>
      <c r="L38">
        <v>588</v>
      </c>
      <c r="M38">
        <v>566</v>
      </c>
      <c r="N38">
        <v>1349</v>
      </c>
      <c r="O38">
        <v>661</v>
      </c>
      <c r="P38" s="101">
        <v>6861000000</v>
      </c>
      <c r="Q38" s="101">
        <v>1109000000</v>
      </c>
      <c r="R38" s="101">
        <v>1095226770.929163</v>
      </c>
      <c r="S38" s="101">
        <f t="shared" si="4"/>
        <v>15673777.086936524</v>
      </c>
      <c r="T38" s="101">
        <f t="shared" si="0"/>
        <v>5565777.0869365241</v>
      </c>
      <c r="U38" s="101">
        <f t="shared" si="1"/>
        <v>5565777.0869365241</v>
      </c>
      <c r="V38" s="101">
        <v>152148</v>
      </c>
      <c r="W38" s="149">
        <f t="shared" si="2"/>
        <v>3.6581335850201936E-2</v>
      </c>
      <c r="Y38" s="255"/>
      <c r="AB38" s="254"/>
    </row>
    <row r="39" spans="2:28" x14ac:dyDescent="0.25">
      <c r="B39" t="s">
        <v>348</v>
      </c>
      <c r="C39">
        <f t="shared" si="3"/>
        <v>4679</v>
      </c>
      <c r="D39">
        <v>2559</v>
      </c>
      <c r="E39">
        <v>2120</v>
      </c>
      <c r="F39">
        <v>5</v>
      </c>
      <c r="G39">
        <v>0</v>
      </c>
      <c r="H39">
        <v>1567</v>
      </c>
      <c r="I39">
        <v>93</v>
      </c>
      <c r="J39">
        <v>2182</v>
      </c>
      <c r="K39">
        <v>1456</v>
      </c>
      <c r="L39">
        <v>266</v>
      </c>
      <c r="M39">
        <v>0</v>
      </c>
      <c r="N39">
        <v>445</v>
      </c>
      <c r="O39">
        <v>178</v>
      </c>
      <c r="P39" s="101">
        <v>3707000000</v>
      </c>
      <c r="Q39" s="101">
        <v>754000000</v>
      </c>
      <c r="R39" s="101">
        <v>707200000</v>
      </c>
      <c r="S39" s="101">
        <f t="shared" si="4"/>
        <v>8935817.8000000007</v>
      </c>
      <c r="T39" s="101">
        <f t="shared" si="0"/>
        <v>4256817.8000000007</v>
      </c>
      <c r="U39" s="101">
        <f t="shared" si="1"/>
        <v>4256817.8000000007</v>
      </c>
      <c r="V39" s="101">
        <v>70898</v>
      </c>
      <c r="W39" s="149">
        <f t="shared" si="2"/>
        <v>6.0041436993991379E-2</v>
      </c>
      <c r="Y39" s="255"/>
      <c r="AB39" s="254"/>
    </row>
    <row r="40" spans="2:28" x14ac:dyDescent="0.25">
      <c r="B40" t="s">
        <v>242</v>
      </c>
      <c r="C40">
        <f t="shared" si="3"/>
        <v>5129</v>
      </c>
      <c r="D40">
        <v>4153</v>
      </c>
      <c r="E40">
        <v>976</v>
      </c>
      <c r="F40">
        <v>0</v>
      </c>
      <c r="G40">
        <v>0</v>
      </c>
      <c r="H40">
        <v>7</v>
      </c>
      <c r="I40">
        <v>6</v>
      </c>
      <c r="J40">
        <v>1305</v>
      </c>
      <c r="K40">
        <v>1642</v>
      </c>
      <c r="L40">
        <v>199</v>
      </c>
      <c r="M40">
        <v>194</v>
      </c>
      <c r="N40">
        <v>842</v>
      </c>
      <c r="O40">
        <v>82</v>
      </c>
      <c r="P40" s="101">
        <v>4684000000</v>
      </c>
      <c r="Q40" s="101">
        <v>195000000</v>
      </c>
      <c r="R40" s="101">
        <v>191467391.30434784</v>
      </c>
      <c r="S40" s="101">
        <f t="shared" si="4"/>
        <v>8766838.1195652187</v>
      </c>
      <c r="T40" s="101">
        <f t="shared" si="0"/>
        <v>3637838.1195652187</v>
      </c>
      <c r="U40" s="101">
        <f t="shared" si="1"/>
        <v>3637838.1195652187</v>
      </c>
      <c r="V40" s="101">
        <v>40514</v>
      </c>
      <c r="W40" s="149">
        <f t="shared" si="2"/>
        <v>8.9792124193247239E-2</v>
      </c>
      <c r="Y40" s="255"/>
      <c r="AB40" s="254"/>
    </row>
    <row r="41" spans="2:28" x14ac:dyDescent="0.25">
      <c r="B41" t="s">
        <v>243</v>
      </c>
      <c r="C41">
        <f t="shared" si="3"/>
        <v>12956</v>
      </c>
      <c r="D41">
        <v>10382</v>
      </c>
      <c r="E41">
        <v>2574</v>
      </c>
      <c r="F41">
        <v>2266</v>
      </c>
      <c r="G41">
        <v>37</v>
      </c>
      <c r="H41">
        <v>1632</v>
      </c>
      <c r="I41">
        <v>2</v>
      </c>
      <c r="J41">
        <v>3255</v>
      </c>
      <c r="K41">
        <v>3729</v>
      </c>
      <c r="L41">
        <v>420</v>
      </c>
      <c r="M41">
        <v>490</v>
      </c>
      <c r="N41">
        <v>434</v>
      </c>
      <c r="O41">
        <v>71</v>
      </c>
      <c r="P41" s="101">
        <v>9598000000</v>
      </c>
      <c r="Q41" s="101">
        <v>324000000</v>
      </c>
      <c r="R41" s="101">
        <v>258530973.45132741</v>
      </c>
      <c r="S41" s="101">
        <f t="shared" si="4"/>
        <v>17602138.053097349</v>
      </c>
      <c r="T41" s="101">
        <f t="shared" si="0"/>
        <v>4646138.0530973487</v>
      </c>
      <c r="U41" s="101">
        <f t="shared" si="1"/>
        <v>4646138.0530973487</v>
      </c>
      <c r="V41" s="101">
        <v>79098</v>
      </c>
      <c r="W41" s="149">
        <f t="shared" si="2"/>
        <v>5.8739007978676434E-2</v>
      </c>
      <c r="Y41" s="255"/>
      <c r="AB41" s="254"/>
    </row>
    <row r="42" spans="2:28" x14ac:dyDescent="0.25">
      <c r="B42" t="s">
        <v>285</v>
      </c>
      <c r="C42">
        <f t="shared" si="3"/>
        <v>13008</v>
      </c>
      <c r="D42">
        <v>8391</v>
      </c>
      <c r="E42">
        <v>4617</v>
      </c>
      <c r="F42">
        <v>9</v>
      </c>
      <c r="G42">
        <v>11</v>
      </c>
      <c r="H42">
        <v>1182</v>
      </c>
      <c r="I42">
        <v>0</v>
      </c>
      <c r="J42">
        <v>5293</v>
      </c>
      <c r="K42">
        <v>5133</v>
      </c>
      <c r="L42">
        <v>488</v>
      </c>
      <c r="M42">
        <v>386</v>
      </c>
      <c r="N42">
        <v>1993</v>
      </c>
      <c r="O42">
        <v>121</v>
      </c>
      <c r="P42" s="101">
        <v>6582000000</v>
      </c>
      <c r="Q42" s="101">
        <v>729000000</v>
      </c>
      <c r="R42" s="101">
        <v>696388162.42257392</v>
      </c>
      <c r="S42" s="101">
        <f t="shared" si="4"/>
        <v>13844774.132828631</v>
      </c>
      <c r="T42" s="101">
        <f t="shared" si="0"/>
        <v>836774.13282863051</v>
      </c>
      <c r="U42" s="101">
        <f t="shared" si="1"/>
        <v>836774.13282863051</v>
      </c>
      <c r="V42" s="101">
        <v>115000</v>
      </c>
      <c r="W42" s="149">
        <f t="shared" si="2"/>
        <v>7.2762968072054828E-3</v>
      </c>
      <c r="Y42" s="255"/>
      <c r="AB42" s="254"/>
    </row>
    <row r="43" spans="2:28" x14ac:dyDescent="0.25">
      <c r="B43" t="s">
        <v>349</v>
      </c>
      <c r="C43">
        <f t="shared" si="3"/>
        <v>3121</v>
      </c>
      <c r="D43">
        <v>1984</v>
      </c>
      <c r="E43">
        <v>1137</v>
      </c>
      <c r="F43">
        <v>0</v>
      </c>
      <c r="G43">
        <v>0</v>
      </c>
      <c r="H43">
        <v>29</v>
      </c>
      <c r="I43">
        <v>0</v>
      </c>
      <c r="J43">
        <v>1225</v>
      </c>
      <c r="K43">
        <v>1069</v>
      </c>
      <c r="L43">
        <v>133</v>
      </c>
      <c r="M43">
        <v>110</v>
      </c>
      <c r="N43">
        <v>412</v>
      </c>
      <c r="O43">
        <v>413</v>
      </c>
      <c r="P43" s="101">
        <v>1738000000</v>
      </c>
      <c r="Q43" s="101">
        <v>255000000</v>
      </c>
      <c r="R43" s="101">
        <v>222228915.66265059</v>
      </c>
      <c r="S43" s="101">
        <f t="shared" si="4"/>
        <v>3830130.7951807231</v>
      </c>
      <c r="T43" s="101">
        <f t="shared" si="0"/>
        <v>709130.79518072307</v>
      </c>
      <c r="U43" s="101">
        <f t="shared" si="1"/>
        <v>709130.79518072307</v>
      </c>
      <c r="V43" s="101">
        <v>49175</v>
      </c>
      <c r="W43" s="149">
        <f t="shared" si="2"/>
        <v>1.4420555062139767E-2</v>
      </c>
      <c r="Y43" s="255"/>
      <c r="AB43" s="254"/>
    </row>
    <row r="44" spans="2:28" x14ac:dyDescent="0.25">
      <c r="B44" t="s">
        <v>106</v>
      </c>
      <c r="C44">
        <f t="shared" si="3"/>
        <v>6997</v>
      </c>
      <c r="D44">
        <v>5415</v>
      </c>
      <c r="E44">
        <v>1582</v>
      </c>
      <c r="F44">
        <v>0</v>
      </c>
      <c r="G44">
        <v>0</v>
      </c>
      <c r="H44">
        <v>2504</v>
      </c>
      <c r="I44">
        <v>2</v>
      </c>
      <c r="J44">
        <v>3212</v>
      </c>
      <c r="K44">
        <v>2447</v>
      </c>
      <c r="L44">
        <v>265</v>
      </c>
      <c r="M44">
        <v>172</v>
      </c>
      <c r="N44">
        <v>853</v>
      </c>
      <c r="O44">
        <v>10</v>
      </c>
      <c r="P44" s="101">
        <v>3466000000</v>
      </c>
      <c r="Q44" s="101">
        <v>589000000</v>
      </c>
      <c r="R44" s="101">
        <v>515375000</v>
      </c>
      <c r="S44" s="101">
        <f t="shared" si="4"/>
        <v>7902178.375</v>
      </c>
      <c r="T44" s="101">
        <f t="shared" si="0"/>
        <v>905178.375</v>
      </c>
      <c r="U44" s="101">
        <f t="shared" si="1"/>
        <v>905178.375</v>
      </c>
      <c r="V44" s="101">
        <v>98782</v>
      </c>
      <c r="W44" s="149">
        <f t="shared" si="2"/>
        <v>9.1633938875503636E-3</v>
      </c>
      <c r="Y44" s="255"/>
      <c r="AB44" s="254"/>
    </row>
    <row r="45" spans="2:28" x14ac:dyDescent="0.25">
      <c r="B45" t="s">
        <v>140</v>
      </c>
      <c r="C45">
        <f t="shared" si="3"/>
        <v>7716</v>
      </c>
      <c r="D45">
        <v>5031</v>
      </c>
      <c r="E45">
        <v>2685</v>
      </c>
      <c r="F45">
        <v>10</v>
      </c>
      <c r="G45">
        <v>0</v>
      </c>
      <c r="H45">
        <v>0</v>
      </c>
      <c r="I45">
        <v>228</v>
      </c>
      <c r="J45">
        <v>2033</v>
      </c>
      <c r="K45">
        <v>2066</v>
      </c>
      <c r="L45">
        <v>258</v>
      </c>
      <c r="M45">
        <v>146</v>
      </c>
      <c r="N45">
        <v>1336</v>
      </c>
      <c r="O45">
        <v>58</v>
      </c>
      <c r="P45" s="101">
        <v>3805000000</v>
      </c>
      <c r="Q45" s="101">
        <v>375000000</v>
      </c>
      <c r="R45" s="101">
        <v>350073855.24372232</v>
      </c>
      <c r="S45" s="101">
        <f t="shared" si="4"/>
        <v>7832497.695716396</v>
      </c>
      <c r="T45" s="101">
        <f t="shared" si="0"/>
        <v>116497.69571639597</v>
      </c>
      <c r="U45" s="101">
        <f t="shared" si="1"/>
        <v>116497.69571639597</v>
      </c>
      <c r="V45" s="101">
        <v>85393</v>
      </c>
      <c r="W45" s="149">
        <f t="shared" si="2"/>
        <v>1.3642534600774767E-3</v>
      </c>
      <c r="Y45" s="255"/>
      <c r="AB45" s="254"/>
    </row>
    <row r="46" spans="2:28" x14ac:dyDescent="0.25">
      <c r="B46" t="s">
        <v>328</v>
      </c>
      <c r="C46">
        <f t="shared" si="3"/>
        <v>8897</v>
      </c>
      <c r="D46">
        <v>3256</v>
      </c>
      <c r="E46">
        <v>5641</v>
      </c>
      <c r="F46">
        <v>0</v>
      </c>
      <c r="G46">
        <v>0</v>
      </c>
      <c r="H46">
        <v>58</v>
      </c>
      <c r="I46">
        <v>159</v>
      </c>
      <c r="J46">
        <v>1912</v>
      </c>
      <c r="K46">
        <v>3469</v>
      </c>
      <c r="L46">
        <v>295</v>
      </c>
      <c r="M46">
        <v>346</v>
      </c>
      <c r="N46">
        <v>622</v>
      </c>
      <c r="O46">
        <v>79</v>
      </c>
      <c r="P46" s="101">
        <v>2862000000</v>
      </c>
      <c r="Q46" s="101">
        <v>1103000000</v>
      </c>
      <c r="R46" s="101">
        <v>1103000000</v>
      </c>
      <c r="S46" s="101">
        <f t="shared" si="4"/>
        <v>8762572</v>
      </c>
      <c r="T46" s="101">
        <f t="shared" si="0"/>
        <v>-134428</v>
      </c>
      <c r="U46" s="101">
        <f t="shared" si="1"/>
        <v>0</v>
      </c>
      <c r="V46" s="101">
        <v>80623</v>
      </c>
      <c r="W46" s="149">
        <f t="shared" si="2"/>
        <v>-1.6673653920097242E-3</v>
      </c>
      <c r="Y46" s="255"/>
      <c r="AB46" s="254"/>
    </row>
    <row r="47" spans="2:28" x14ac:dyDescent="0.25">
      <c r="B47" t="s">
        <v>351</v>
      </c>
      <c r="C47">
        <f t="shared" si="3"/>
        <v>9284</v>
      </c>
      <c r="D47">
        <v>5665</v>
      </c>
      <c r="E47">
        <v>3619</v>
      </c>
      <c r="F47">
        <v>207</v>
      </c>
      <c r="G47">
        <v>21</v>
      </c>
      <c r="H47">
        <v>115</v>
      </c>
      <c r="I47">
        <v>40</v>
      </c>
      <c r="J47">
        <v>3419</v>
      </c>
      <c r="K47">
        <v>4004</v>
      </c>
      <c r="L47">
        <v>411</v>
      </c>
      <c r="M47">
        <v>210</v>
      </c>
      <c r="N47">
        <v>829</v>
      </c>
      <c r="O47">
        <v>184</v>
      </c>
      <c r="P47" s="101">
        <v>5423000000</v>
      </c>
      <c r="Q47" s="101">
        <v>654000000</v>
      </c>
      <c r="R47" s="101">
        <v>619065200.3142184</v>
      </c>
      <c r="S47" s="101">
        <f t="shared" si="4"/>
        <v>11577496.731343284</v>
      </c>
      <c r="T47" s="101">
        <f t="shared" si="0"/>
        <v>2293496.7313432842</v>
      </c>
      <c r="U47" s="101">
        <f t="shared" si="1"/>
        <v>2293496.7313432842</v>
      </c>
      <c r="V47" s="101">
        <v>125544</v>
      </c>
      <c r="W47" s="149">
        <f t="shared" si="2"/>
        <v>1.8268469471605844E-2</v>
      </c>
      <c r="Y47" s="255"/>
      <c r="AB47" s="254"/>
    </row>
    <row r="48" spans="2:28" x14ac:dyDescent="0.25">
      <c r="B48" t="s">
        <v>352</v>
      </c>
      <c r="C48">
        <f t="shared" si="3"/>
        <v>40103</v>
      </c>
      <c r="D48">
        <v>19351</v>
      </c>
      <c r="E48">
        <v>20752</v>
      </c>
      <c r="F48">
        <v>22431</v>
      </c>
      <c r="G48">
        <v>861</v>
      </c>
      <c r="H48">
        <v>1319</v>
      </c>
      <c r="I48">
        <v>1119</v>
      </c>
      <c r="J48">
        <v>17773</v>
      </c>
      <c r="K48">
        <v>26707</v>
      </c>
      <c r="L48">
        <v>3360</v>
      </c>
      <c r="M48">
        <v>38</v>
      </c>
      <c r="N48">
        <v>7595</v>
      </c>
      <c r="O48">
        <v>1037</v>
      </c>
      <c r="P48" s="101">
        <v>33202000000</v>
      </c>
      <c r="Q48" s="101">
        <v>4889000000</v>
      </c>
      <c r="R48" s="101">
        <v>4798049112.3631334</v>
      </c>
      <c r="S48" s="101">
        <f t="shared" si="4"/>
        <v>74155165.915275872</v>
      </c>
      <c r="T48" s="101">
        <f t="shared" si="0"/>
        <v>34052165.915275872</v>
      </c>
      <c r="U48" s="101">
        <f t="shared" si="1"/>
        <v>34052165.915275872</v>
      </c>
      <c r="V48" s="101">
        <v>830916</v>
      </c>
      <c r="W48" s="149">
        <f t="shared" si="2"/>
        <v>4.0981478170207183E-2</v>
      </c>
      <c r="Y48" s="255"/>
      <c r="AB48" s="254"/>
    </row>
    <row r="49" spans="2:28" x14ac:dyDescent="0.25">
      <c r="B49" t="s">
        <v>169</v>
      </c>
      <c r="C49">
        <f t="shared" si="3"/>
        <v>8484</v>
      </c>
      <c r="D49">
        <v>5805</v>
      </c>
      <c r="E49">
        <v>2679</v>
      </c>
      <c r="F49">
        <v>0</v>
      </c>
      <c r="G49">
        <v>0</v>
      </c>
      <c r="H49">
        <v>393</v>
      </c>
      <c r="I49">
        <v>140</v>
      </c>
      <c r="J49">
        <v>4599</v>
      </c>
      <c r="K49">
        <v>3602</v>
      </c>
      <c r="L49">
        <v>373</v>
      </c>
      <c r="M49">
        <v>543</v>
      </c>
      <c r="N49">
        <v>1287</v>
      </c>
      <c r="O49">
        <v>311</v>
      </c>
      <c r="P49" s="101">
        <v>6667000000</v>
      </c>
      <c r="Q49" s="101">
        <v>818000000</v>
      </c>
      <c r="R49" s="101">
        <v>684192971.24600649</v>
      </c>
      <c r="S49" s="101">
        <f t="shared" si="4"/>
        <v>14124534.647284346</v>
      </c>
      <c r="T49" s="101">
        <f t="shared" si="0"/>
        <v>5640534.6472843457</v>
      </c>
      <c r="U49" s="101">
        <f t="shared" si="1"/>
        <v>5640534.6472843457</v>
      </c>
      <c r="V49" s="101">
        <v>109781</v>
      </c>
      <c r="W49" s="149">
        <f t="shared" si="2"/>
        <v>5.1379880373510406E-2</v>
      </c>
      <c r="Y49" s="255"/>
      <c r="AB49" s="254"/>
    </row>
    <row r="50" spans="2:28" x14ac:dyDescent="0.25">
      <c r="B50" t="s">
        <v>170</v>
      </c>
      <c r="C50">
        <f t="shared" si="3"/>
        <v>6927</v>
      </c>
      <c r="D50">
        <v>4930</v>
      </c>
      <c r="E50">
        <v>1997</v>
      </c>
      <c r="F50">
        <v>0</v>
      </c>
      <c r="G50">
        <v>0</v>
      </c>
      <c r="H50">
        <v>1004</v>
      </c>
      <c r="I50">
        <v>45</v>
      </c>
      <c r="J50">
        <v>2604</v>
      </c>
      <c r="K50">
        <v>1835</v>
      </c>
      <c r="L50">
        <v>297</v>
      </c>
      <c r="M50">
        <v>96</v>
      </c>
      <c r="N50">
        <v>774</v>
      </c>
      <c r="O50">
        <v>567</v>
      </c>
      <c r="P50" s="101">
        <v>3626000000</v>
      </c>
      <c r="Q50" s="101">
        <v>365000000</v>
      </c>
      <c r="R50" s="101">
        <v>323943758.57338822</v>
      </c>
      <c r="S50" s="101">
        <f t="shared" si="4"/>
        <v>7460537.7585733887</v>
      </c>
      <c r="T50" s="101">
        <f t="shared" si="0"/>
        <v>533537.75857338868</v>
      </c>
      <c r="U50" s="101">
        <f>IF(T50&gt;0,T50,0)</f>
        <v>533537.75857338868</v>
      </c>
      <c r="V50" s="101">
        <v>69584</v>
      </c>
      <c r="W50" s="149">
        <f>T50/(V50*1000)</f>
        <v>7.6675350450303038E-3</v>
      </c>
      <c r="Y50" s="255"/>
      <c r="AB50" s="254"/>
    </row>
    <row r="51" spans="2:28" x14ac:dyDescent="0.25">
      <c r="B51" t="s">
        <v>400</v>
      </c>
      <c r="C51">
        <f t="shared" si="3"/>
        <v>6286</v>
      </c>
      <c r="D51">
        <v>4571</v>
      </c>
      <c r="E51">
        <v>1715</v>
      </c>
      <c r="F51">
        <v>0</v>
      </c>
      <c r="G51">
        <v>22</v>
      </c>
      <c r="H51">
        <v>165</v>
      </c>
      <c r="I51">
        <v>249</v>
      </c>
      <c r="J51">
        <v>3755</v>
      </c>
      <c r="K51">
        <v>3814</v>
      </c>
      <c r="L51">
        <v>345</v>
      </c>
      <c r="M51">
        <v>91</v>
      </c>
      <c r="N51">
        <v>996</v>
      </c>
      <c r="O51">
        <v>62</v>
      </c>
      <c r="P51" s="101">
        <v>3234000000</v>
      </c>
      <c r="Q51" s="101">
        <v>362000000</v>
      </c>
      <c r="R51" s="101">
        <v>354592087.31241477</v>
      </c>
      <c r="S51" s="101">
        <f t="shared" si="4"/>
        <v>6830573.7189631648</v>
      </c>
      <c r="T51" s="101">
        <f t="shared" si="0"/>
        <v>544573.71896316484</v>
      </c>
      <c r="U51" s="101">
        <f t="shared" si="1"/>
        <v>544573.71896316484</v>
      </c>
      <c r="V51" s="101">
        <v>117919</v>
      </c>
      <c r="W51" s="149">
        <f t="shared" si="2"/>
        <v>4.6182016381004316E-3</v>
      </c>
      <c r="Y51" s="255"/>
      <c r="AB51" s="254"/>
    </row>
    <row r="52" spans="2:28" x14ac:dyDescent="0.25">
      <c r="B52" t="s">
        <v>214</v>
      </c>
      <c r="C52">
        <f t="shared" si="3"/>
        <v>6020</v>
      </c>
      <c r="D52">
        <v>3916</v>
      </c>
      <c r="E52">
        <v>2104</v>
      </c>
      <c r="F52">
        <v>10</v>
      </c>
      <c r="G52">
        <v>0</v>
      </c>
      <c r="H52">
        <v>284</v>
      </c>
      <c r="I52">
        <v>0</v>
      </c>
      <c r="J52">
        <v>1712</v>
      </c>
      <c r="K52">
        <v>1879</v>
      </c>
      <c r="L52">
        <v>228</v>
      </c>
      <c r="M52">
        <v>0</v>
      </c>
      <c r="N52">
        <v>839</v>
      </c>
      <c r="O52">
        <v>84</v>
      </c>
      <c r="P52" s="101">
        <v>3556000000</v>
      </c>
      <c r="Q52" s="101">
        <v>334000000</v>
      </c>
      <c r="R52" s="101">
        <v>312873493.97590363</v>
      </c>
      <c r="S52" s="101">
        <f t="shared" si="4"/>
        <v>7266768.2710843375</v>
      </c>
      <c r="T52" s="101">
        <f t="shared" si="0"/>
        <v>1246768.2710843375</v>
      </c>
      <c r="U52" s="101">
        <f t="shared" si="1"/>
        <v>1246768.2710843375</v>
      </c>
      <c r="V52" s="101">
        <v>41837</v>
      </c>
      <c r="W52" s="149">
        <f t="shared" si="2"/>
        <v>2.9800613597636961E-2</v>
      </c>
      <c r="Y52" s="255"/>
      <c r="AB52" s="254"/>
    </row>
    <row r="53" spans="2:28" x14ac:dyDescent="0.25">
      <c r="B53" t="s">
        <v>215</v>
      </c>
      <c r="C53">
        <f t="shared" si="3"/>
        <v>4787</v>
      </c>
      <c r="D53">
        <v>2808</v>
      </c>
      <c r="E53">
        <v>1979</v>
      </c>
      <c r="F53">
        <v>52</v>
      </c>
      <c r="G53">
        <v>67</v>
      </c>
      <c r="H53">
        <v>6</v>
      </c>
      <c r="I53">
        <v>22</v>
      </c>
      <c r="J53">
        <v>1800</v>
      </c>
      <c r="K53">
        <v>2578</v>
      </c>
      <c r="L53">
        <v>296</v>
      </c>
      <c r="M53">
        <v>421</v>
      </c>
      <c r="N53">
        <v>746</v>
      </c>
      <c r="O53">
        <v>263</v>
      </c>
      <c r="P53" s="101">
        <v>3661000000</v>
      </c>
      <c r="Q53" s="101">
        <v>610000000</v>
      </c>
      <c r="R53" s="101">
        <v>582179054.05405402</v>
      </c>
      <c r="S53" s="101">
        <f t="shared" si="4"/>
        <v>8391146.5844594594</v>
      </c>
      <c r="T53" s="101">
        <f t="shared" si="0"/>
        <v>3604146.5844594594</v>
      </c>
      <c r="U53" s="101">
        <f t="shared" si="1"/>
        <v>3604146.5844594594</v>
      </c>
      <c r="V53" s="101">
        <v>59691</v>
      </c>
      <c r="W53" s="149">
        <f t="shared" si="2"/>
        <v>6.0380067086486397E-2</v>
      </c>
      <c r="Y53" s="255"/>
      <c r="AB53" s="254"/>
    </row>
    <row r="54" spans="2:28" x14ac:dyDescent="0.25">
      <c r="B54" t="s">
        <v>171</v>
      </c>
      <c r="C54">
        <f t="shared" si="3"/>
        <v>8045</v>
      </c>
      <c r="D54">
        <v>5689</v>
      </c>
      <c r="E54">
        <v>2356</v>
      </c>
      <c r="F54">
        <v>0</v>
      </c>
      <c r="G54">
        <v>0</v>
      </c>
      <c r="H54">
        <v>400</v>
      </c>
      <c r="I54">
        <v>152</v>
      </c>
      <c r="J54">
        <v>3132</v>
      </c>
      <c r="K54">
        <v>0</v>
      </c>
      <c r="L54">
        <v>330</v>
      </c>
      <c r="M54">
        <v>135</v>
      </c>
      <c r="N54">
        <v>1599</v>
      </c>
      <c r="O54">
        <v>66</v>
      </c>
      <c r="P54" s="101">
        <v>4519000000</v>
      </c>
      <c r="Q54" s="101">
        <v>532000000</v>
      </c>
      <c r="R54" s="101">
        <v>470782077.39307535</v>
      </c>
      <c r="S54" s="101">
        <f t="shared" si="4"/>
        <v>9547161.2118126266</v>
      </c>
      <c r="T54" s="101">
        <f t="shared" si="0"/>
        <v>1502161.2118126266</v>
      </c>
      <c r="U54" s="101">
        <f t="shared" si="1"/>
        <v>1502161.2118126266</v>
      </c>
      <c r="V54" s="101">
        <v>90898</v>
      </c>
      <c r="W54" s="149">
        <f t="shared" si="2"/>
        <v>1.6525789476254996E-2</v>
      </c>
      <c r="Y54" s="255"/>
      <c r="AB54" s="254"/>
    </row>
    <row r="55" spans="2:28" x14ac:dyDescent="0.25">
      <c r="B55" t="s">
        <v>287</v>
      </c>
      <c r="C55">
        <f t="shared" si="3"/>
        <v>12602</v>
      </c>
      <c r="D55">
        <v>7472</v>
      </c>
      <c r="E55">
        <v>5130</v>
      </c>
      <c r="F55">
        <v>0</v>
      </c>
      <c r="G55">
        <v>0</v>
      </c>
      <c r="H55">
        <v>52</v>
      </c>
      <c r="I55">
        <v>65</v>
      </c>
      <c r="J55">
        <v>3836</v>
      </c>
      <c r="K55">
        <v>7689</v>
      </c>
      <c r="L55">
        <v>946</v>
      </c>
      <c r="M55">
        <v>0</v>
      </c>
      <c r="N55">
        <v>1419</v>
      </c>
      <c r="O55">
        <v>480</v>
      </c>
      <c r="P55" s="101">
        <v>9720000000</v>
      </c>
      <c r="Q55" s="101">
        <v>1109000000</v>
      </c>
      <c r="R55" s="101">
        <v>1071085470.0854701</v>
      </c>
      <c r="S55" s="101">
        <f t="shared" si="4"/>
        <v>20575247.77777778</v>
      </c>
      <c r="T55" s="101">
        <f t="shared" si="0"/>
        <v>7973247.7777777798</v>
      </c>
      <c r="U55" s="101">
        <f t="shared" si="1"/>
        <v>7973247.7777777798</v>
      </c>
      <c r="V55" s="101">
        <v>263986</v>
      </c>
      <c r="W55" s="149">
        <f t="shared" si="2"/>
        <v>3.0203297817981936E-2</v>
      </c>
      <c r="Y55" s="255"/>
      <c r="AB55" s="254"/>
    </row>
    <row r="56" spans="2:28" x14ac:dyDescent="0.25">
      <c r="B56" t="s">
        <v>244</v>
      </c>
      <c r="C56">
        <f t="shared" si="3"/>
        <v>7283</v>
      </c>
      <c r="D56">
        <v>5303</v>
      </c>
      <c r="E56">
        <v>1980</v>
      </c>
      <c r="F56">
        <v>0</v>
      </c>
      <c r="G56">
        <v>27</v>
      </c>
      <c r="H56">
        <v>1349</v>
      </c>
      <c r="I56">
        <v>63</v>
      </c>
      <c r="J56">
        <v>3687</v>
      </c>
      <c r="K56">
        <v>4375</v>
      </c>
      <c r="L56">
        <v>506</v>
      </c>
      <c r="M56">
        <v>253</v>
      </c>
      <c r="N56">
        <v>1752</v>
      </c>
      <c r="O56">
        <v>254</v>
      </c>
      <c r="P56" s="101">
        <v>7928000000</v>
      </c>
      <c r="Q56" s="101">
        <v>482000000</v>
      </c>
      <c r="R56" s="101">
        <v>467376213.592233</v>
      </c>
      <c r="S56" s="101">
        <f t="shared" si="4"/>
        <v>15348983.473300973</v>
      </c>
      <c r="T56" s="101">
        <f t="shared" si="0"/>
        <v>8065983.473300973</v>
      </c>
      <c r="U56" s="101">
        <f t="shared" si="1"/>
        <v>8065983.473300973</v>
      </c>
      <c r="V56" s="101">
        <v>90633</v>
      </c>
      <c r="W56" s="149">
        <f t="shared" si="2"/>
        <v>8.8996099360067221E-2</v>
      </c>
      <c r="Y56" s="255"/>
      <c r="AB56" s="254"/>
    </row>
    <row r="57" spans="2:28" x14ac:dyDescent="0.25">
      <c r="B57" t="s">
        <v>107</v>
      </c>
      <c r="C57">
        <f t="shared" si="3"/>
        <v>9329</v>
      </c>
      <c r="D57">
        <v>6305</v>
      </c>
      <c r="E57">
        <v>3024</v>
      </c>
      <c r="F57">
        <v>0</v>
      </c>
      <c r="G57">
        <v>0</v>
      </c>
      <c r="H57">
        <v>2303</v>
      </c>
      <c r="I57">
        <v>231</v>
      </c>
      <c r="J57">
        <v>3707</v>
      </c>
      <c r="K57">
        <v>4455</v>
      </c>
      <c r="L57">
        <v>355</v>
      </c>
      <c r="M57">
        <v>326</v>
      </c>
      <c r="N57">
        <v>1414</v>
      </c>
      <c r="O57">
        <v>246</v>
      </c>
      <c r="P57" s="101">
        <v>4541000000</v>
      </c>
      <c r="Q57" s="101">
        <v>815000000</v>
      </c>
      <c r="R57" s="101">
        <v>722650154.79876161</v>
      </c>
      <c r="S57" s="101">
        <f t="shared" si="4"/>
        <v>10509986.117647059</v>
      </c>
      <c r="T57" s="101">
        <f t="shared" si="0"/>
        <v>1180986.1176470593</v>
      </c>
      <c r="U57" s="101">
        <f t="shared" si="1"/>
        <v>1180986.1176470593</v>
      </c>
      <c r="V57" s="101">
        <v>142912</v>
      </c>
      <c r="W57" s="149">
        <f t="shared" si="2"/>
        <v>8.2637295513816843E-3</v>
      </c>
      <c r="Y57" s="255"/>
      <c r="AB57" s="254"/>
    </row>
    <row r="58" spans="2:28" x14ac:dyDescent="0.25">
      <c r="B58" t="s">
        <v>353</v>
      </c>
      <c r="C58">
        <f t="shared" si="3"/>
        <v>5713</v>
      </c>
      <c r="D58">
        <v>3248</v>
      </c>
      <c r="E58">
        <v>2465</v>
      </c>
      <c r="F58">
        <v>0</v>
      </c>
      <c r="G58">
        <v>12</v>
      </c>
      <c r="H58">
        <v>235</v>
      </c>
      <c r="I58">
        <v>3</v>
      </c>
      <c r="J58">
        <v>2181</v>
      </c>
      <c r="K58">
        <v>2373</v>
      </c>
      <c r="L58">
        <v>251</v>
      </c>
      <c r="M58">
        <v>35</v>
      </c>
      <c r="N58">
        <v>683</v>
      </c>
      <c r="O58">
        <v>484</v>
      </c>
      <c r="P58" s="101">
        <v>3177000000</v>
      </c>
      <c r="Q58" s="101">
        <v>474000000</v>
      </c>
      <c r="R58" s="101">
        <v>435918714.55576563</v>
      </c>
      <c r="S58" s="101">
        <f t="shared" si="4"/>
        <v>7066282.457466919</v>
      </c>
      <c r="T58" s="101">
        <f t="shared" si="0"/>
        <v>1353282.457466919</v>
      </c>
      <c r="U58" s="101">
        <f t="shared" si="1"/>
        <v>1353282.457466919</v>
      </c>
      <c r="V58" s="101">
        <v>65008</v>
      </c>
      <c r="W58" s="149">
        <f t="shared" si="2"/>
        <v>2.0817168001890828E-2</v>
      </c>
      <c r="Y58" s="255"/>
      <c r="AB58" s="254"/>
    </row>
    <row r="59" spans="2:28" x14ac:dyDescent="0.25">
      <c r="B59" t="s">
        <v>172</v>
      </c>
      <c r="C59">
        <f t="shared" si="3"/>
        <v>8275</v>
      </c>
      <c r="D59">
        <v>4956</v>
      </c>
      <c r="E59">
        <v>3319</v>
      </c>
      <c r="F59">
        <v>504</v>
      </c>
      <c r="G59">
        <v>33</v>
      </c>
      <c r="H59">
        <v>20</v>
      </c>
      <c r="I59">
        <v>103</v>
      </c>
      <c r="J59">
        <v>2668</v>
      </c>
      <c r="K59">
        <v>4156</v>
      </c>
      <c r="L59">
        <v>373</v>
      </c>
      <c r="M59">
        <v>0</v>
      </c>
      <c r="N59">
        <v>1012</v>
      </c>
      <c r="O59">
        <v>146</v>
      </c>
      <c r="P59" s="101">
        <v>4700000000</v>
      </c>
      <c r="Q59" s="101">
        <v>535000000</v>
      </c>
      <c r="R59" s="101">
        <v>519441838.64915568</v>
      </c>
      <c r="S59" s="101">
        <f t="shared" si="4"/>
        <v>9949429.9390243907</v>
      </c>
      <c r="T59" s="101">
        <f t="shared" si="0"/>
        <v>1674429.9390243907</v>
      </c>
      <c r="U59" s="101">
        <f t="shared" si="1"/>
        <v>1674429.9390243907</v>
      </c>
      <c r="V59" s="101">
        <v>102865</v>
      </c>
      <c r="W59" s="149">
        <f t="shared" si="2"/>
        <v>1.6277936509253785E-2</v>
      </c>
      <c r="Y59" s="255"/>
      <c r="AB59" s="254"/>
    </row>
    <row r="60" spans="2:28" x14ac:dyDescent="0.25">
      <c r="B60" t="s">
        <v>141</v>
      </c>
      <c r="C60">
        <f t="shared" si="3"/>
        <v>7226</v>
      </c>
      <c r="D60">
        <v>4618</v>
      </c>
      <c r="E60">
        <v>2608</v>
      </c>
      <c r="F60">
        <v>0</v>
      </c>
      <c r="G60">
        <v>14</v>
      </c>
      <c r="H60">
        <v>193</v>
      </c>
      <c r="I60">
        <v>-2</v>
      </c>
      <c r="J60">
        <v>1602</v>
      </c>
      <c r="K60">
        <v>2777</v>
      </c>
      <c r="L60">
        <v>364</v>
      </c>
      <c r="M60">
        <v>264</v>
      </c>
      <c r="N60">
        <v>962</v>
      </c>
      <c r="O60">
        <v>428</v>
      </c>
      <c r="P60" s="101">
        <v>4796000000</v>
      </c>
      <c r="Q60" s="101">
        <v>664000000</v>
      </c>
      <c r="R60" s="101">
        <v>583174114.02157164</v>
      </c>
      <c r="S60" s="101">
        <f t="shared" si="4"/>
        <v>10448648.043143298</v>
      </c>
      <c r="T60" s="101">
        <f t="shared" si="0"/>
        <v>3222648.0431432985</v>
      </c>
      <c r="U60" s="101">
        <f t="shared" si="1"/>
        <v>3222648.0431432985</v>
      </c>
      <c r="V60" s="101">
        <v>92820</v>
      </c>
      <c r="W60" s="149">
        <f t="shared" si="2"/>
        <v>3.47193281958985E-2</v>
      </c>
      <c r="Y60" s="255"/>
      <c r="AB60" s="254"/>
    </row>
    <row r="61" spans="2:28" x14ac:dyDescent="0.25">
      <c r="B61" t="s">
        <v>127</v>
      </c>
      <c r="C61">
        <f t="shared" si="3"/>
        <v>4567</v>
      </c>
      <c r="D61">
        <v>3471</v>
      </c>
      <c r="E61">
        <v>1096</v>
      </c>
      <c r="F61">
        <v>6</v>
      </c>
      <c r="G61">
        <v>0</v>
      </c>
      <c r="H61">
        <v>39</v>
      </c>
      <c r="I61">
        <v>0</v>
      </c>
      <c r="J61">
        <v>1549</v>
      </c>
      <c r="K61">
        <v>1982</v>
      </c>
      <c r="L61">
        <v>170</v>
      </c>
      <c r="M61">
        <v>0</v>
      </c>
      <c r="N61">
        <v>332</v>
      </c>
      <c r="O61">
        <v>33</v>
      </c>
      <c r="P61" s="101">
        <v>2318000000</v>
      </c>
      <c r="Q61" s="101">
        <v>265000000</v>
      </c>
      <c r="R61" s="101">
        <v>228094777.56286266</v>
      </c>
      <c r="S61" s="101">
        <f t="shared" si="4"/>
        <v>4860382.8704061899</v>
      </c>
      <c r="T61" s="101">
        <f t="shared" si="0"/>
        <v>293382.87040618993</v>
      </c>
      <c r="U61" s="101">
        <f t="shared" si="1"/>
        <v>293382.87040618993</v>
      </c>
      <c r="V61" s="101">
        <v>72800</v>
      </c>
      <c r="W61" s="149">
        <f t="shared" si="2"/>
        <v>4.0299844836015099E-3</v>
      </c>
      <c r="Y61" s="255"/>
      <c r="AB61" s="254"/>
    </row>
    <row r="62" spans="2:28" x14ac:dyDescent="0.25">
      <c r="B62" t="s">
        <v>216</v>
      </c>
      <c r="C62">
        <f t="shared" si="3"/>
        <v>13729</v>
      </c>
      <c r="D62">
        <v>9604</v>
      </c>
      <c r="E62">
        <v>4125</v>
      </c>
      <c r="F62">
        <v>0</v>
      </c>
      <c r="G62">
        <v>67</v>
      </c>
      <c r="H62">
        <v>353</v>
      </c>
      <c r="I62">
        <v>372</v>
      </c>
      <c r="J62">
        <v>4257</v>
      </c>
      <c r="K62">
        <v>5195</v>
      </c>
      <c r="L62">
        <v>565</v>
      </c>
      <c r="M62">
        <v>509</v>
      </c>
      <c r="N62">
        <v>1235</v>
      </c>
      <c r="O62">
        <v>302</v>
      </c>
      <c r="P62" s="101">
        <v>11178000000</v>
      </c>
      <c r="Q62" s="101">
        <v>819000000</v>
      </c>
      <c r="R62" s="101">
        <v>757896596.85863876</v>
      </c>
      <c r="S62" s="101">
        <f t="shared" si="4"/>
        <v>22053216.215968587</v>
      </c>
      <c r="T62" s="101">
        <f t="shared" si="0"/>
        <v>8324216.2159685865</v>
      </c>
      <c r="U62" s="101">
        <f t="shared" si="1"/>
        <v>8324216.2159685865</v>
      </c>
      <c r="V62" s="101">
        <v>127486</v>
      </c>
      <c r="W62" s="149">
        <f t="shared" si="2"/>
        <v>6.5295139983751832E-2</v>
      </c>
      <c r="Y62" s="255"/>
      <c r="AB62" s="254"/>
    </row>
    <row r="63" spans="2:28" x14ac:dyDescent="0.25">
      <c r="B63" t="s">
        <v>525</v>
      </c>
      <c r="C63">
        <f t="shared" si="3"/>
        <v>11902</v>
      </c>
      <c r="D63">
        <v>7275</v>
      </c>
      <c r="E63">
        <v>4627</v>
      </c>
      <c r="F63">
        <v>0</v>
      </c>
      <c r="G63">
        <v>88</v>
      </c>
      <c r="H63">
        <v>2758</v>
      </c>
      <c r="I63">
        <v>167</v>
      </c>
      <c r="J63">
        <v>5271</v>
      </c>
      <c r="K63">
        <v>5922</v>
      </c>
      <c r="L63">
        <v>612</v>
      </c>
      <c r="M63">
        <v>480</v>
      </c>
      <c r="N63">
        <v>1227</v>
      </c>
      <c r="O63">
        <v>734</v>
      </c>
      <c r="P63" s="101">
        <v>8012000000</v>
      </c>
      <c r="Q63" s="101">
        <v>1103000000</v>
      </c>
      <c r="R63" s="101">
        <v>968794676.80608356</v>
      </c>
      <c r="S63" s="101">
        <f t="shared" si="4"/>
        <v>17434880.996197719</v>
      </c>
      <c r="T63" s="101">
        <f t="shared" si="0"/>
        <v>5532880.9961977191</v>
      </c>
      <c r="U63" s="101">
        <f t="shared" si="1"/>
        <v>5532880.9961977191</v>
      </c>
      <c r="V63" s="101">
        <v>173235</v>
      </c>
      <c r="W63" s="149">
        <f t="shared" si="2"/>
        <v>3.193858629144064E-2</v>
      </c>
      <c r="Y63" s="255"/>
      <c r="AB63" s="254"/>
    </row>
    <row r="64" spans="2:28" x14ac:dyDescent="0.25">
      <c r="B64" t="s">
        <v>217</v>
      </c>
      <c r="C64">
        <f t="shared" si="3"/>
        <v>10888</v>
      </c>
      <c r="D64">
        <v>6476</v>
      </c>
      <c r="E64">
        <v>4412</v>
      </c>
      <c r="F64">
        <v>34</v>
      </c>
      <c r="G64">
        <v>0</v>
      </c>
      <c r="H64">
        <v>1048</v>
      </c>
      <c r="I64">
        <v>189</v>
      </c>
      <c r="J64">
        <v>5056</v>
      </c>
      <c r="K64">
        <v>6361</v>
      </c>
      <c r="L64">
        <v>564</v>
      </c>
      <c r="M64">
        <v>68</v>
      </c>
      <c r="N64">
        <v>922</v>
      </c>
      <c r="O64">
        <v>179</v>
      </c>
      <c r="P64" s="101">
        <v>10131000000</v>
      </c>
      <c r="Q64" s="101">
        <v>1065000000</v>
      </c>
      <c r="R64" s="101">
        <v>980591976.51663411</v>
      </c>
      <c r="S64" s="101">
        <f t="shared" si="4"/>
        <v>21053327.52739726</v>
      </c>
      <c r="T64" s="101">
        <f t="shared" si="0"/>
        <v>10165327.52739726</v>
      </c>
      <c r="U64" s="101">
        <f t="shared" si="1"/>
        <v>10165327.52739726</v>
      </c>
      <c r="V64" s="101">
        <v>122515</v>
      </c>
      <c r="W64" s="149">
        <f t="shared" si="2"/>
        <v>8.297210568009844E-2</v>
      </c>
      <c r="Y64" s="255"/>
      <c r="AB64" s="254"/>
    </row>
    <row r="65" spans="2:28" x14ac:dyDescent="0.25">
      <c r="B65" t="s">
        <v>115</v>
      </c>
      <c r="C65">
        <f t="shared" si="3"/>
        <v>5011</v>
      </c>
      <c r="D65">
        <v>3463</v>
      </c>
      <c r="E65">
        <v>1548</v>
      </c>
      <c r="F65">
        <v>0</v>
      </c>
      <c r="G65">
        <v>0</v>
      </c>
      <c r="H65">
        <v>547</v>
      </c>
      <c r="I65">
        <v>0</v>
      </c>
      <c r="J65">
        <v>2703</v>
      </c>
      <c r="K65">
        <v>2120</v>
      </c>
      <c r="L65">
        <v>274</v>
      </c>
      <c r="M65">
        <v>234</v>
      </c>
      <c r="N65">
        <v>634</v>
      </c>
      <c r="O65">
        <v>97</v>
      </c>
      <c r="P65" s="101">
        <v>3898000000</v>
      </c>
      <c r="Q65" s="101">
        <v>313950000</v>
      </c>
      <c r="R65" s="101">
        <v>263380872.48322147</v>
      </c>
      <c r="S65" s="101">
        <f t="shared" si="4"/>
        <v>7737847.0785234896</v>
      </c>
      <c r="T65" s="101">
        <f t="shared" si="0"/>
        <v>2726847.0785234896</v>
      </c>
      <c r="U65" s="101">
        <f t="shared" si="1"/>
        <v>2726847.0785234896</v>
      </c>
      <c r="V65" s="101">
        <v>77023</v>
      </c>
      <c r="W65" s="149">
        <f t="shared" si="2"/>
        <v>3.5403023493287583E-2</v>
      </c>
      <c r="Y65" s="255"/>
      <c r="AB65" s="254"/>
    </row>
    <row r="66" spans="2:28" x14ac:dyDescent="0.25">
      <c r="B66" t="s">
        <v>288</v>
      </c>
      <c r="C66">
        <f t="shared" si="3"/>
        <v>31314</v>
      </c>
      <c r="D66">
        <v>16140</v>
      </c>
      <c r="E66">
        <v>15174</v>
      </c>
      <c r="F66">
        <v>10193</v>
      </c>
      <c r="G66">
        <v>781</v>
      </c>
      <c r="H66">
        <v>1233</v>
      </c>
      <c r="I66">
        <v>251</v>
      </c>
      <c r="J66">
        <v>13963</v>
      </c>
      <c r="K66">
        <v>17867</v>
      </c>
      <c r="L66">
        <v>1793</v>
      </c>
      <c r="M66">
        <v>53</v>
      </c>
      <c r="N66">
        <v>3086</v>
      </c>
      <c r="O66">
        <v>337</v>
      </c>
      <c r="P66" s="101">
        <v>17057000000</v>
      </c>
      <c r="Q66" s="101">
        <v>2688000000</v>
      </c>
      <c r="R66" s="101">
        <v>2615760947.1903777</v>
      </c>
      <c r="S66" s="101">
        <f t="shared" si="4"/>
        <v>38661755.67769216</v>
      </c>
      <c r="T66" s="101">
        <f t="shared" ref="T66:T129" si="5">SUM(S66,-C66*1000)</f>
        <v>7347755.67769216</v>
      </c>
      <c r="U66" s="101">
        <f t="shared" ref="U66:U129" si="6">IF(T66&gt;0,T66,0)</f>
        <v>7347755.67769216</v>
      </c>
      <c r="V66" s="101">
        <v>538390</v>
      </c>
      <c r="W66" s="149">
        <f t="shared" ref="W66:W129" si="7">T66/(V66*1000)</f>
        <v>1.3647645159999553E-2</v>
      </c>
      <c r="Y66" s="255"/>
      <c r="AB66" s="254"/>
    </row>
    <row r="67" spans="2:28" x14ac:dyDescent="0.25">
      <c r="B67" t="s">
        <v>245</v>
      </c>
      <c r="C67">
        <f t="shared" ref="C67:C130" si="8">SUM(D67:E67)</f>
        <v>15104</v>
      </c>
      <c r="D67">
        <v>7007</v>
      </c>
      <c r="E67">
        <v>8097</v>
      </c>
      <c r="F67">
        <v>122</v>
      </c>
      <c r="G67">
        <v>44</v>
      </c>
      <c r="H67">
        <v>1940</v>
      </c>
      <c r="I67">
        <v>0</v>
      </c>
      <c r="J67">
        <v>4045</v>
      </c>
      <c r="K67">
        <v>11579</v>
      </c>
      <c r="L67">
        <v>662</v>
      </c>
      <c r="M67">
        <v>305</v>
      </c>
      <c r="N67">
        <v>912</v>
      </c>
      <c r="O67">
        <v>82</v>
      </c>
      <c r="P67" s="101">
        <v>6807000000</v>
      </c>
      <c r="Q67" s="101">
        <v>1214000000</v>
      </c>
      <c r="R67" s="101">
        <v>1196183448.8381574</v>
      </c>
      <c r="S67" s="101">
        <f t="shared" ref="S67:S130" si="9">0.1729%*SUM(P67,Q67,R67)</f>
        <v>15936510.183041176</v>
      </c>
      <c r="T67" s="101">
        <f t="shared" si="5"/>
        <v>832510.18304117583</v>
      </c>
      <c r="U67" s="101">
        <f t="shared" si="6"/>
        <v>832510.18304117583</v>
      </c>
      <c r="V67" s="101">
        <v>257205</v>
      </c>
      <c r="W67" s="149">
        <f t="shared" si="7"/>
        <v>3.2367573843477995E-3</v>
      </c>
      <c r="Y67" s="255"/>
      <c r="AB67" s="254"/>
    </row>
    <row r="68" spans="2:28" x14ac:dyDescent="0.25">
      <c r="B68" t="s">
        <v>355</v>
      </c>
      <c r="C68">
        <f t="shared" si="8"/>
        <v>8941</v>
      </c>
      <c r="D68">
        <v>5796</v>
      </c>
      <c r="E68">
        <v>3145</v>
      </c>
      <c r="F68">
        <v>250</v>
      </c>
      <c r="G68">
        <v>0</v>
      </c>
      <c r="H68">
        <v>573</v>
      </c>
      <c r="I68">
        <v>329</v>
      </c>
      <c r="J68">
        <v>4072</v>
      </c>
      <c r="K68">
        <v>2363</v>
      </c>
      <c r="L68">
        <v>357</v>
      </c>
      <c r="M68">
        <v>165</v>
      </c>
      <c r="N68">
        <v>1449</v>
      </c>
      <c r="O68">
        <v>431</v>
      </c>
      <c r="P68" s="101">
        <v>5382000000</v>
      </c>
      <c r="Q68" s="101">
        <v>836000000</v>
      </c>
      <c r="R68" s="101">
        <v>737768707.48299313</v>
      </c>
      <c r="S68" s="101">
        <f t="shared" si="9"/>
        <v>12026524.095238095</v>
      </c>
      <c r="T68" s="101">
        <f t="shared" si="5"/>
        <v>3085524.0952380951</v>
      </c>
      <c r="U68" s="101">
        <f t="shared" si="6"/>
        <v>3085524.0952380951</v>
      </c>
      <c r="V68" s="101">
        <v>106437</v>
      </c>
      <c r="W68" s="149">
        <f t="shared" si="7"/>
        <v>2.8989205776544767E-2</v>
      </c>
      <c r="Y68" s="255"/>
      <c r="AB68" s="254"/>
    </row>
    <row r="69" spans="2:28" x14ac:dyDescent="0.25">
      <c r="B69" t="s">
        <v>142</v>
      </c>
      <c r="C69">
        <f t="shared" si="8"/>
        <v>30955</v>
      </c>
      <c r="D69">
        <v>16933</v>
      </c>
      <c r="E69">
        <v>14022</v>
      </c>
      <c r="F69">
        <v>5946</v>
      </c>
      <c r="G69">
        <v>191</v>
      </c>
      <c r="H69">
        <v>406</v>
      </c>
      <c r="I69">
        <v>383</v>
      </c>
      <c r="J69">
        <v>8894</v>
      </c>
      <c r="K69">
        <v>12731</v>
      </c>
      <c r="L69">
        <v>1388</v>
      </c>
      <c r="M69">
        <v>154</v>
      </c>
      <c r="N69">
        <v>4600</v>
      </c>
      <c r="O69">
        <v>1184</v>
      </c>
      <c r="P69" s="101">
        <v>15336000000</v>
      </c>
      <c r="Q69" s="101">
        <v>2302000000</v>
      </c>
      <c r="R69" s="101">
        <v>2198045623.8361268</v>
      </c>
      <c r="S69" s="101">
        <f t="shared" si="9"/>
        <v>34296522.88361267</v>
      </c>
      <c r="T69" s="101">
        <f t="shared" si="5"/>
        <v>3341522.88361267</v>
      </c>
      <c r="U69" s="101">
        <f t="shared" si="6"/>
        <v>3341522.88361267</v>
      </c>
      <c r="V69" s="101">
        <v>471802</v>
      </c>
      <c r="W69" s="149">
        <f t="shared" si="7"/>
        <v>7.082468670358901E-3</v>
      </c>
      <c r="Y69" s="255"/>
      <c r="AB69" s="254"/>
    </row>
    <row r="70" spans="2:28" x14ac:dyDescent="0.25">
      <c r="B70" t="s">
        <v>246</v>
      </c>
      <c r="C70">
        <f t="shared" si="8"/>
        <v>8779</v>
      </c>
      <c r="D70">
        <v>4457</v>
      </c>
      <c r="E70">
        <v>4322</v>
      </c>
      <c r="F70">
        <v>1329</v>
      </c>
      <c r="G70">
        <v>25</v>
      </c>
      <c r="H70">
        <v>602</v>
      </c>
      <c r="I70">
        <v>0</v>
      </c>
      <c r="J70">
        <v>3535</v>
      </c>
      <c r="K70">
        <v>4808</v>
      </c>
      <c r="L70">
        <v>574</v>
      </c>
      <c r="M70">
        <v>129</v>
      </c>
      <c r="N70">
        <v>2316</v>
      </c>
      <c r="O70">
        <v>142</v>
      </c>
      <c r="P70" s="101">
        <v>6833000000</v>
      </c>
      <c r="Q70" s="101">
        <v>875000000</v>
      </c>
      <c r="R70" s="101">
        <v>856432360.74270558</v>
      </c>
      <c r="S70" s="101">
        <f t="shared" si="9"/>
        <v>14807903.551724138</v>
      </c>
      <c r="T70" s="101">
        <f t="shared" si="5"/>
        <v>6028903.5517241377</v>
      </c>
      <c r="U70" s="101">
        <f t="shared" si="6"/>
        <v>6028903.5517241377</v>
      </c>
      <c r="V70" s="101">
        <v>115615</v>
      </c>
      <c r="W70" s="149">
        <f t="shared" si="7"/>
        <v>5.2146378512512546E-2</v>
      </c>
      <c r="Y70" s="255"/>
      <c r="AB70" s="254"/>
    </row>
    <row r="71" spans="2:28" x14ac:dyDescent="0.25">
      <c r="B71" t="s">
        <v>772</v>
      </c>
      <c r="C71">
        <f t="shared" si="8"/>
        <v>19579</v>
      </c>
      <c r="D71">
        <v>10030</v>
      </c>
      <c r="E71">
        <v>9549</v>
      </c>
      <c r="F71">
        <v>253</v>
      </c>
      <c r="G71">
        <v>0</v>
      </c>
      <c r="H71">
        <v>81</v>
      </c>
      <c r="I71">
        <v>0</v>
      </c>
      <c r="J71">
        <v>12029</v>
      </c>
      <c r="K71">
        <v>9979</v>
      </c>
      <c r="L71">
        <v>1214</v>
      </c>
      <c r="M71">
        <v>340</v>
      </c>
      <c r="N71">
        <v>3777</v>
      </c>
      <c r="O71">
        <v>361</v>
      </c>
      <c r="P71" s="101">
        <v>13925000000</v>
      </c>
      <c r="Q71" s="101">
        <v>1717000000</v>
      </c>
      <c r="R71" s="101">
        <v>1672974358.974359</v>
      </c>
      <c r="S71" s="101">
        <f t="shared" si="9"/>
        <v>29937590.666666664</v>
      </c>
      <c r="T71" s="101">
        <f t="shared" si="5"/>
        <v>10358590.666666664</v>
      </c>
      <c r="U71" s="101">
        <f t="shared" si="6"/>
        <v>10358590.666666664</v>
      </c>
      <c r="V71" s="101">
        <v>304158</v>
      </c>
      <c r="W71" s="149">
        <f t="shared" si="7"/>
        <v>3.4056610928092187E-2</v>
      </c>
      <c r="Y71" s="255"/>
      <c r="AB71" s="254"/>
    </row>
    <row r="72" spans="2:28" x14ac:dyDescent="0.25">
      <c r="B72" t="s">
        <v>143</v>
      </c>
      <c r="C72">
        <f t="shared" si="8"/>
        <v>7361</v>
      </c>
      <c r="D72">
        <v>4276</v>
      </c>
      <c r="E72">
        <v>3085</v>
      </c>
      <c r="F72">
        <v>3</v>
      </c>
      <c r="G72">
        <v>17</v>
      </c>
      <c r="H72">
        <v>521</v>
      </c>
      <c r="I72">
        <v>-187</v>
      </c>
      <c r="J72">
        <v>3170</v>
      </c>
      <c r="K72">
        <v>1917</v>
      </c>
      <c r="L72">
        <v>331</v>
      </c>
      <c r="M72">
        <v>0</v>
      </c>
      <c r="N72">
        <v>835</v>
      </c>
      <c r="O72">
        <v>327</v>
      </c>
      <c r="P72" s="101">
        <v>3935000000</v>
      </c>
      <c r="Q72" s="101">
        <v>728000000</v>
      </c>
      <c r="R72" s="101">
        <v>705505617.9775281</v>
      </c>
      <c r="S72" s="101">
        <f t="shared" si="9"/>
        <v>9282146.2134831455</v>
      </c>
      <c r="T72" s="101">
        <f t="shared" si="5"/>
        <v>1921146.2134831455</v>
      </c>
      <c r="U72" s="101">
        <f>IF(T72&gt;0,T72,0)</f>
        <v>1921146.2134831455</v>
      </c>
      <c r="V72" s="101">
        <v>81852</v>
      </c>
      <c r="W72" s="149">
        <f>T72/(V72*1000)</f>
        <v>2.3470974606401133E-2</v>
      </c>
      <c r="Y72" s="255"/>
      <c r="AB72" s="254"/>
    </row>
    <row r="73" spans="2:28" x14ac:dyDescent="0.25">
      <c r="B73" t="s">
        <v>173</v>
      </c>
      <c r="C73">
        <f t="shared" si="8"/>
        <v>2336</v>
      </c>
      <c r="D73">
        <v>1851</v>
      </c>
      <c r="E73">
        <v>485</v>
      </c>
      <c r="F73">
        <v>697</v>
      </c>
      <c r="G73">
        <v>25</v>
      </c>
      <c r="H73">
        <v>384</v>
      </c>
      <c r="I73">
        <v>103</v>
      </c>
      <c r="J73">
        <v>1085</v>
      </c>
      <c r="K73">
        <v>1613</v>
      </c>
      <c r="L73">
        <v>148</v>
      </c>
      <c r="M73">
        <v>74</v>
      </c>
      <c r="N73">
        <v>245</v>
      </c>
      <c r="O73">
        <v>52</v>
      </c>
      <c r="P73" s="101">
        <v>1540000000</v>
      </c>
      <c r="Q73" s="101">
        <v>155000000</v>
      </c>
      <c r="R73" s="101">
        <v>145622775.80071175</v>
      </c>
      <c r="S73" s="101">
        <f t="shared" si="9"/>
        <v>3182436.7793594305</v>
      </c>
      <c r="T73" s="101">
        <f t="shared" si="5"/>
        <v>846436.77935943054</v>
      </c>
      <c r="U73" s="101">
        <f t="shared" si="6"/>
        <v>846436.77935943054</v>
      </c>
      <c r="V73" s="101">
        <v>45923</v>
      </c>
      <c r="W73" s="149">
        <f t="shared" si="7"/>
        <v>1.8431652534882968E-2</v>
      </c>
      <c r="Y73" s="255"/>
      <c r="AB73" s="254"/>
    </row>
    <row r="74" spans="2:28" x14ac:dyDescent="0.25">
      <c r="B74" t="s">
        <v>174</v>
      </c>
      <c r="C74">
        <f t="shared" si="8"/>
        <v>11276</v>
      </c>
      <c r="D74">
        <v>4979</v>
      </c>
      <c r="E74">
        <v>6297</v>
      </c>
      <c r="F74">
        <v>3289</v>
      </c>
      <c r="G74">
        <v>115</v>
      </c>
      <c r="H74">
        <v>83</v>
      </c>
      <c r="I74">
        <v>594</v>
      </c>
      <c r="J74">
        <v>3808</v>
      </c>
      <c r="K74">
        <v>8684</v>
      </c>
      <c r="L74">
        <v>772</v>
      </c>
      <c r="M74">
        <v>15</v>
      </c>
      <c r="N74">
        <v>1941</v>
      </c>
      <c r="O74">
        <v>173</v>
      </c>
      <c r="P74" s="101">
        <v>8138000000</v>
      </c>
      <c r="Q74" s="101">
        <v>1263000000</v>
      </c>
      <c r="R74" s="101">
        <v>1224357487.9227052</v>
      </c>
      <c r="S74" s="101">
        <f t="shared" si="9"/>
        <v>18371243.096618358</v>
      </c>
      <c r="T74" s="101">
        <f t="shared" si="5"/>
        <v>7095243.096618358</v>
      </c>
      <c r="U74" s="101">
        <f t="shared" si="6"/>
        <v>7095243.096618358</v>
      </c>
      <c r="V74" s="101">
        <v>306075</v>
      </c>
      <c r="W74" s="149">
        <f t="shared" si="7"/>
        <v>2.318138723064072E-2</v>
      </c>
      <c r="Y74" s="255"/>
      <c r="AB74" s="254"/>
    </row>
    <row r="75" spans="2:28" x14ac:dyDescent="0.25">
      <c r="B75" t="s">
        <v>356</v>
      </c>
      <c r="C75">
        <f t="shared" si="8"/>
        <v>6795</v>
      </c>
      <c r="D75">
        <v>4679</v>
      </c>
      <c r="E75">
        <v>2116</v>
      </c>
      <c r="F75">
        <v>3</v>
      </c>
      <c r="G75">
        <v>0</v>
      </c>
      <c r="H75">
        <v>38</v>
      </c>
      <c r="I75">
        <v>81</v>
      </c>
      <c r="J75">
        <v>2117</v>
      </c>
      <c r="K75">
        <v>4083</v>
      </c>
      <c r="L75">
        <v>325</v>
      </c>
      <c r="M75">
        <v>152</v>
      </c>
      <c r="N75">
        <v>679</v>
      </c>
      <c r="O75">
        <v>122</v>
      </c>
      <c r="P75" s="101">
        <v>3918000000</v>
      </c>
      <c r="Q75" s="101">
        <v>528000000</v>
      </c>
      <c r="R75" s="101">
        <v>490838709.6774193</v>
      </c>
      <c r="S75" s="101">
        <f t="shared" si="9"/>
        <v>8535794.1290322598</v>
      </c>
      <c r="T75" s="101">
        <f t="shared" si="5"/>
        <v>1740794.1290322598</v>
      </c>
      <c r="U75" s="101">
        <f t="shared" si="6"/>
        <v>1740794.1290322598</v>
      </c>
      <c r="V75" s="101">
        <v>77221</v>
      </c>
      <c r="W75" s="149">
        <f t="shared" si="7"/>
        <v>2.2543014581943511E-2</v>
      </c>
      <c r="Y75" s="255"/>
      <c r="AB75" s="254"/>
    </row>
    <row r="76" spans="2:28" x14ac:dyDescent="0.25">
      <c r="B76" t="s">
        <v>289</v>
      </c>
      <c r="C76">
        <f t="shared" si="8"/>
        <v>33171</v>
      </c>
      <c r="D76">
        <v>15326</v>
      </c>
      <c r="E76">
        <v>17845</v>
      </c>
      <c r="F76">
        <v>11498</v>
      </c>
      <c r="G76">
        <v>197</v>
      </c>
      <c r="H76">
        <v>0</v>
      </c>
      <c r="I76">
        <v>731</v>
      </c>
      <c r="J76">
        <v>14408</v>
      </c>
      <c r="K76">
        <v>17831</v>
      </c>
      <c r="L76">
        <v>1722</v>
      </c>
      <c r="M76">
        <v>2711</v>
      </c>
      <c r="N76">
        <v>4199</v>
      </c>
      <c r="O76">
        <v>827</v>
      </c>
      <c r="P76" s="101">
        <v>16394000000</v>
      </c>
      <c r="Q76" s="101">
        <v>2948000000</v>
      </c>
      <c r="R76" s="101">
        <v>2918580867.1713696</v>
      </c>
      <c r="S76" s="101">
        <f t="shared" si="9"/>
        <v>38488544.319339305</v>
      </c>
      <c r="T76" s="101">
        <f t="shared" si="5"/>
        <v>5317544.3193393052</v>
      </c>
      <c r="U76" s="101">
        <f t="shared" si="6"/>
        <v>5317544.3193393052</v>
      </c>
      <c r="V76" s="101">
        <v>728458</v>
      </c>
      <c r="W76" s="149">
        <f t="shared" si="7"/>
        <v>7.2997267094867587E-3</v>
      </c>
      <c r="Y76" s="255"/>
      <c r="AB76" s="254"/>
    </row>
    <row r="77" spans="2:28" x14ac:dyDescent="0.25">
      <c r="B77" t="s">
        <v>247</v>
      </c>
      <c r="C77">
        <f t="shared" si="8"/>
        <v>3867</v>
      </c>
      <c r="D77">
        <v>3008</v>
      </c>
      <c r="E77">
        <v>859</v>
      </c>
      <c r="F77">
        <v>0</v>
      </c>
      <c r="G77">
        <v>0</v>
      </c>
      <c r="H77">
        <v>174</v>
      </c>
      <c r="I77">
        <v>0</v>
      </c>
      <c r="J77">
        <v>1592</v>
      </c>
      <c r="K77">
        <v>3249</v>
      </c>
      <c r="L77">
        <v>223</v>
      </c>
      <c r="M77">
        <v>100</v>
      </c>
      <c r="N77">
        <v>827</v>
      </c>
      <c r="O77">
        <v>53</v>
      </c>
      <c r="P77" s="101">
        <v>3387000000</v>
      </c>
      <c r="Q77" s="101">
        <v>284000000</v>
      </c>
      <c r="R77" s="101">
        <v>248563279.8573975</v>
      </c>
      <c r="S77" s="101">
        <f t="shared" si="9"/>
        <v>6776924.910873441</v>
      </c>
      <c r="T77" s="101">
        <f t="shared" si="5"/>
        <v>2909924.910873441</v>
      </c>
      <c r="U77" s="101">
        <f t="shared" si="6"/>
        <v>2909924.910873441</v>
      </c>
      <c r="V77" s="101">
        <v>57823</v>
      </c>
      <c r="W77" s="149">
        <f t="shared" si="7"/>
        <v>5.0324696243249936E-2</v>
      </c>
      <c r="Y77" s="255"/>
      <c r="AB77" s="254"/>
    </row>
    <row r="78" spans="2:28" x14ac:dyDescent="0.25">
      <c r="B78" t="s">
        <v>357</v>
      </c>
      <c r="C78">
        <f t="shared" si="8"/>
        <v>5468</v>
      </c>
      <c r="D78">
        <v>4166</v>
      </c>
      <c r="E78">
        <v>1302</v>
      </c>
      <c r="F78">
        <v>0</v>
      </c>
      <c r="G78">
        <v>35</v>
      </c>
      <c r="H78">
        <v>189</v>
      </c>
      <c r="I78">
        <v>24</v>
      </c>
      <c r="J78">
        <v>2260</v>
      </c>
      <c r="K78">
        <v>2828</v>
      </c>
      <c r="L78">
        <v>315</v>
      </c>
      <c r="M78">
        <v>137</v>
      </c>
      <c r="N78">
        <v>1002</v>
      </c>
      <c r="O78">
        <v>159</v>
      </c>
      <c r="P78" s="101">
        <v>4428000000</v>
      </c>
      <c r="Q78" s="101">
        <v>510000000</v>
      </c>
      <c r="R78" s="101">
        <v>463680688.33652008</v>
      </c>
      <c r="S78" s="101">
        <f t="shared" si="9"/>
        <v>9339505.9101338442</v>
      </c>
      <c r="T78" s="101">
        <f t="shared" si="5"/>
        <v>3871505.9101338442</v>
      </c>
      <c r="U78" s="101">
        <f t="shared" si="6"/>
        <v>3871505.9101338442</v>
      </c>
      <c r="V78" s="101">
        <v>77207</v>
      </c>
      <c r="W78" s="149">
        <f t="shared" si="7"/>
        <v>5.0144493506208559E-2</v>
      </c>
      <c r="Y78" s="255"/>
      <c r="AB78" s="254"/>
    </row>
    <row r="79" spans="2:28" x14ac:dyDescent="0.25">
      <c r="B79" t="s">
        <v>428</v>
      </c>
      <c r="C79">
        <f t="shared" si="8"/>
        <v>12501</v>
      </c>
      <c r="D79">
        <v>6974</v>
      </c>
      <c r="E79">
        <v>5527</v>
      </c>
      <c r="F79">
        <v>25</v>
      </c>
      <c r="G79">
        <v>0</v>
      </c>
      <c r="H79">
        <v>2316</v>
      </c>
      <c r="I79">
        <v>147</v>
      </c>
      <c r="J79">
        <v>3228</v>
      </c>
      <c r="K79">
        <v>6049</v>
      </c>
      <c r="L79">
        <v>333</v>
      </c>
      <c r="M79">
        <v>326</v>
      </c>
      <c r="N79">
        <v>3356</v>
      </c>
      <c r="O79">
        <v>236</v>
      </c>
      <c r="P79" s="101">
        <v>6029000000</v>
      </c>
      <c r="Q79" s="101">
        <v>1311000000</v>
      </c>
      <c r="R79" s="101">
        <v>1167428770.3016241</v>
      </c>
      <c r="S79" s="101">
        <f t="shared" si="9"/>
        <v>14709344.343851509</v>
      </c>
      <c r="T79" s="101">
        <f t="shared" si="5"/>
        <v>2208344.3438515086</v>
      </c>
      <c r="U79" s="101">
        <f t="shared" si="6"/>
        <v>2208344.3438515086</v>
      </c>
      <c r="V79" s="101">
        <v>149362</v>
      </c>
      <c r="W79" s="149">
        <f t="shared" si="7"/>
        <v>1.4785181932831033E-2</v>
      </c>
      <c r="Y79" s="255"/>
      <c r="AB79" s="254"/>
    </row>
    <row r="80" spans="2:28" x14ac:dyDescent="0.25">
      <c r="B80" t="s">
        <v>175</v>
      </c>
      <c r="C80">
        <f t="shared" si="8"/>
        <v>4202</v>
      </c>
      <c r="D80">
        <v>2810</v>
      </c>
      <c r="E80">
        <v>1392</v>
      </c>
      <c r="F80">
        <v>0</v>
      </c>
      <c r="G80">
        <v>0</v>
      </c>
      <c r="H80">
        <v>0</v>
      </c>
      <c r="I80">
        <v>222</v>
      </c>
      <c r="J80">
        <v>2116</v>
      </c>
      <c r="K80">
        <v>1666</v>
      </c>
      <c r="L80">
        <v>221</v>
      </c>
      <c r="M80">
        <v>41</v>
      </c>
      <c r="N80">
        <v>985</v>
      </c>
      <c r="O80">
        <v>564</v>
      </c>
      <c r="P80" s="101">
        <v>2790000000</v>
      </c>
      <c r="Q80" s="101">
        <v>362000000</v>
      </c>
      <c r="R80" s="101">
        <v>340504723.34682858</v>
      </c>
      <c r="S80" s="101">
        <f t="shared" si="9"/>
        <v>6038540.666666667</v>
      </c>
      <c r="T80" s="101">
        <f t="shared" si="5"/>
        <v>1836540.666666667</v>
      </c>
      <c r="U80" s="101">
        <f t="shared" si="6"/>
        <v>1836540.666666667</v>
      </c>
      <c r="V80" s="101">
        <v>67794</v>
      </c>
      <c r="W80" s="149">
        <f t="shared" si="7"/>
        <v>2.7090017799018599E-2</v>
      </c>
      <c r="Y80" s="255"/>
      <c r="AB80" s="254"/>
    </row>
    <row r="81" spans="2:28" x14ac:dyDescent="0.25">
      <c r="B81" t="s">
        <v>176</v>
      </c>
      <c r="C81">
        <f t="shared" si="8"/>
        <v>6290</v>
      </c>
      <c r="D81">
        <v>3629</v>
      </c>
      <c r="E81">
        <v>2661</v>
      </c>
      <c r="F81">
        <v>9</v>
      </c>
      <c r="G81">
        <v>0</v>
      </c>
      <c r="H81">
        <v>120</v>
      </c>
      <c r="I81">
        <v>50</v>
      </c>
      <c r="J81">
        <v>2407</v>
      </c>
      <c r="K81">
        <v>2834</v>
      </c>
      <c r="L81">
        <v>280</v>
      </c>
      <c r="M81">
        <v>77</v>
      </c>
      <c r="N81">
        <v>599</v>
      </c>
      <c r="O81">
        <v>252</v>
      </c>
      <c r="P81" s="101">
        <v>3708000000</v>
      </c>
      <c r="Q81" s="101">
        <v>820000000</v>
      </c>
      <c r="R81" s="101">
        <v>809115044.24778759</v>
      </c>
      <c r="S81" s="101">
        <f t="shared" si="9"/>
        <v>9227871.9115044251</v>
      </c>
      <c r="T81" s="101">
        <f t="shared" si="5"/>
        <v>2937871.9115044251</v>
      </c>
      <c r="U81" s="101">
        <f t="shared" si="6"/>
        <v>2937871.9115044251</v>
      </c>
      <c r="V81" s="101">
        <v>81059</v>
      </c>
      <c r="W81" s="149">
        <f t="shared" si="7"/>
        <v>3.6243623922136037E-2</v>
      </c>
      <c r="Y81" s="255"/>
      <c r="AB81" s="254"/>
    </row>
    <row r="82" spans="2:28" x14ac:dyDescent="0.25">
      <c r="B82" t="s">
        <v>401</v>
      </c>
      <c r="C82">
        <f t="shared" si="8"/>
        <v>7539</v>
      </c>
      <c r="D82">
        <v>4775</v>
      </c>
      <c r="E82">
        <v>2764</v>
      </c>
      <c r="F82">
        <v>0</v>
      </c>
      <c r="G82">
        <v>4</v>
      </c>
      <c r="H82">
        <v>533</v>
      </c>
      <c r="I82">
        <v>176</v>
      </c>
      <c r="J82">
        <v>4544</v>
      </c>
      <c r="K82">
        <v>3080</v>
      </c>
      <c r="L82">
        <v>514</v>
      </c>
      <c r="M82">
        <v>80</v>
      </c>
      <c r="N82">
        <v>1580</v>
      </c>
      <c r="O82">
        <v>172</v>
      </c>
      <c r="P82" s="101">
        <v>4508000000</v>
      </c>
      <c r="Q82" s="101">
        <v>669000000</v>
      </c>
      <c r="R82" s="101">
        <v>614956632.65306127</v>
      </c>
      <c r="S82" s="101">
        <f t="shared" si="9"/>
        <v>10014293.017857142</v>
      </c>
      <c r="T82" s="101">
        <f t="shared" si="5"/>
        <v>2475293.0178571418</v>
      </c>
      <c r="U82" s="101">
        <f t="shared" si="6"/>
        <v>2475293.0178571418</v>
      </c>
      <c r="V82" s="101">
        <v>110739</v>
      </c>
      <c r="W82" s="149">
        <f t="shared" si="7"/>
        <v>2.2352495668708783E-2</v>
      </c>
      <c r="Y82" s="255"/>
      <c r="AB82" s="254"/>
    </row>
    <row r="83" spans="2:28" x14ac:dyDescent="0.25">
      <c r="B83" t="s">
        <v>248</v>
      </c>
      <c r="C83">
        <f t="shared" si="8"/>
        <v>6600</v>
      </c>
      <c r="D83">
        <v>4475</v>
      </c>
      <c r="E83">
        <v>2125</v>
      </c>
      <c r="F83">
        <v>50</v>
      </c>
      <c r="G83">
        <v>38</v>
      </c>
      <c r="H83">
        <v>134</v>
      </c>
      <c r="I83">
        <v>0</v>
      </c>
      <c r="J83">
        <v>3785</v>
      </c>
      <c r="K83">
        <v>4989</v>
      </c>
      <c r="L83">
        <v>410</v>
      </c>
      <c r="M83">
        <v>247</v>
      </c>
      <c r="N83">
        <v>878</v>
      </c>
      <c r="O83">
        <v>2661</v>
      </c>
      <c r="P83" s="101">
        <v>6315000000</v>
      </c>
      <c r="Q83" s="101">
        <v>710000000</v>
      </c>
      <c r="R83" s="101">
        <v>681223286.66175389</v>
      </c>
      <c r="S83" s="101">
        <f t="shared" si="9"/>
        <v>13324060.062638173</v>
      </c>
      <c r="T83" s="101">
        <f t="shared" si="5"/>
        <v>6724060.0626381729</v>
      </c>
      <c r="U83" s="101">
        <f t="shared" si="6"/>
        <v>6724060.0626381729</v>
      </c>
      <c r="V83" s="101">
        <v>111121</v>
      </c>
      <c r="W83" s="149">
        <f t="shared" si="7"/>
        <v>6.0511155070942242E-2</v>
      </c>
      <c r="Y83" s="255"/>
      <c r="AB83" s="254"/>
    </row>
    <row r="84" spans="2:28" x14ac:dyDescent="0.25">
      <c r="B84" t="s">
        <v>177</v>
      </c>
      <c r="C84">
        <f t="shared" si="8"/>
        <v>29337</v>
      </c>
      <c r="D84">
        <v>16868</v>
      </c>
      <c r="E84">
        <v>12469</v>
      </c>
      <c r="F84">
        <v>1720</v>
      </c>
      <c r="G84">
        <v>0</v>
      </c>
      <c r="H84">
        <v>2581</v>
      </c>
      <c r="I84">
        <v>871</v>
      </c>
      <c r="J84">
        <v>11449</v>
      </c>
      <c r="K84">
        <v>12189</v>
      </c>
      <c r="L84">
        <v>1638</v>
      </c>
      <c r="M84">
        <v>1141</v>
      </c>
      <c r="N84">
        <v>3678</v>
      </c>
      <c r="O84">
        <v>1032</v>
      </c>
      <c r="P84" s="101">
        <v>19669000000</v>
      </c>
      <c r="Q84" s="101">
        <v>3311000000</v>
      </c>
      <c r="R84" s="101">
        <v>3076929305.1359515</v>
      </c>
      <c r="S84" s="101">
        <f t="shared" si="9"/>
        <v>45052430.768580064</v>
      </c>
      <c r="T84" s="101">
        <f t="shared" si="5"/>
        <v>15715430.768580064</v>
      </c>
      <c r="U84" s="101">
        <f t="shared" si="6"/>
        <v>15715430.768580064</v>
      </c>
      <c r="V84" s="101">
        <v>438468</v>
      </c>
      <c r="W84" s="149">
        <f t="shared" si="7"/>
        <v>3.584168233161842E-2</v>
      </c>
      <c r="Y84" s="255"/>
      <c r="AB84" s="254"/>
    </row>
    <row r="85" spans="2:28" x14ac:dyDescent="0.25">
      <c r="B85" t="s">
        <v>218</v>
      </c>
      <c r="C85">
        <f t="shared" si="8"/>
        <v>2960</v>
      </c>
      <c r="D85">
        <v>2117</v>
      </c>
      <c r="E85">
        <v>843</v>
      </c>
      <c r="F85">
        <v>1</v>
      </c>
      <c r="G85">
        <v>0</v>
      </c>
      <c r="H85">
        <v>121</v>
      </c>
      <c r="I85">
        <v>49</v>
      </c>
      <c r="J85">
        <v>843</v>
      </c>
      <c r="K85">
        <v>1483</v>
      </c>
      <c r="L85">
        <v>141</v>
      </c>
      <c r="M85">
        <v>11</v>
      </c>
      <c r="N85">
        <v>1006</v>
      </c>
      <c r="O85">
        <v>68</v>
      </c>
      <c r="P85" s="101">
        <v>2111000000</v>
      </c>
      <c r="Q85" s="101">
        <v>207000000</v>
      </c>
      <c r="R85" s="101">
        <v>194970944.30992734</v>
      </c>
      <c r="S85" s="101">
        <f t="shared" si="9"/>
        <v>4344926.7627118649</v>
      </c>
      <c r="T85" s="101">
        <f t="shared" si="5"/>
        <v>1384926.7627118649</v>
      </c>
      <c r="U85" s="101">
        <f t="shared" si="6"/>
        <v>1384926.7627118649</v>
      </c>
      <c r="V85" s="101">
        <v>36639</v>
      </c>
      <c r="W85" s="149">
        <f t="shared" si="7"/>
        <v>3.7799251145278663E-2</v>
      </c>
      <c r="Y85" s="255"/>
      <c r="AB85" s="254"/>
    </row>
    <row r="86" spans="2:28" x14ac:dyDescent="0.25">
      <c r="B86" t="s">
        <v>719</v>
      </c>
      <c r="C86">
        <f t="shared" si="8"/>
        <v>20788</v>
      </c>
      <c r="D86">
        <v>7423</v>
      </c>
      <c r="E86">
        <v>13365</v>
      </c>
      <c r="F86">
        <v>11</v>
      </c>
      <c r="G86">
        <v>0</v>
      </c>
      <c r="H86">
        <v>232</v>
      </c>
      <c r="I86">
        <v>125</v>
      </c>
      <c r="J86">
        <v>5415</v>
      </c>
      <c r="K86">
        <v>5871</v>
      </c>
      <c r="L86">
        <v>518</v>
      </c>
      <c r="M86">
        <v>349</v>
      </c>
      <c r="N86">
        <v>4032</v>
      </c>
      <c r="O86">
        <v>482</v>
      </c>
      <c r="P86" s="101">
        <v>4764000000</v>
      </c>
      <c r="Q86" s="101">
        <v>1363000000</v>
      </c>
      <c r="R86" s="101">
        <v>1285713856.5527601</v>
      </c>
      <c r="S86" s="101">
        <f t="shared" si="9"/>
        <v>12816582.257979723</v>
      </c>
      <c r="T86" s="101">
        <f t="shared" si="5"/>
        <v>-7971417.7420202773</v>
      </c>
      <c r="U86" s="101">
        <f t="shared" si="6"/>
        <v>0</v>
      </c>
      <c r="V86" s="101">
        <v>328697</v>
      </c>
      <c r="W86" s="149">
        <f t="shared" si="7"/>
        <v>-2.4251568289398069E-2</v>
      </c>
      <c r="Y86" s="255"/>
      <c r="AB86" s="254"/>
    </row>
    <row r="87" spans="2:28" x14ac:dyDescent="0.25">
      <c r="B87" t="s">
        <v>358</v>
      </c>
      <c r="C87">
        <f t="shared" si="8"/>
        <v>4081</v>
      </c>
      <c r="D87">
        <v>2613</v>
      </c>
      <c r="E87">
        <v>1468</v>
      </c>
      <c r="F87">
        <v>4</v>
      </c>
      <c r="G87">
        <v>26</v>
      </c>
      <c r="H87">
        <v>714</v>
      </c>
      <c r="I87">
        <v>88</v>
      </c>
      <c r="J87">
        <v>2266</v>
      </c>
      <c r="K87">
        <v>1340</v>
      </c>
      <c r="L87">
        <v>232</v>
      </c>
      <c r="M87">
        <v>0</v>
      </c>
      <c r="N87">
        <v>631</v>
      </c>
      <c r="O87">
        <v>219</v>
      </c>
      <c r="P87" s="101">
        <v>3856000000</v>
      </c>
      <c r="Q87" s="101">
        <v>350350000</v>
      </c>
      <c r="R87" s="101">
        <v>316134740.59003055</v>
      </c>
      <c r="S87" s="101">
        <f t="shared" si="9"/>
        <v>7819376.1164801633</v>
      </c>
      <c r="T87" s="101">
        <f t="shared" si="5"/>
        <v>3738376.1164801633</v>
      </c>
      <c r="U87" s="101">
        <f t="shared" si="6"/>
        <v>3738376.1164801633</v>
      </c>
      <c r="V87" s="101">
        <v>68892</v>
      </c>
      <c r="W87" s="149">
        <f t="shared" si="7"/>
        <v>5.4264299432157048E-2</v>
      </c>
      <c r="Y87" s="255"/>
      <c r="AB87" s="254"/>
    </row>
    <row r="88" spans="2:28" x14ac:dyDescent="0.25">
      <c r="B88" t="s">
        <v>402</v>
      </c>
      <c r="C88">
        <f t="shared" si="8"/>
        <v>5890</v>
      </c>
      <c r="D88">
        <v>4732</v>
      </c>
      <c r="E88">
        <v>1158</v>
      </c>
      <c r="F88">
        <v>8</v>
      </c>
      <c r="G88">
        <v>5</v>
      </c>
      <c r="H88">
        <v>1051</v>
      </c>
      <c r="I88">
        <v>168</v>
      </c>
      <c r="J88">
        <v>3513</v>
      </c>
      <c r="K88">
        <v>3018</v>
      </c>
      <c r="L88">
        <v>277</v>
      </c>
      <c r="M88">
        <v>88</v>
      </c>
      <c r="N88">
        <v>719</v>
      </c>
      <c r="O88">
        <v>76</v>
      </c>
      <c r="P88" s="101">
        <v>4337000000</v>
      </c>
      <c r="Q88" s="101">
        <v>391000000</v>
      </c>
      <c r="R88" s="101">
        <v>362073979.59183669</v>
      </c>
      <c r="S88" s="101">
        <f t="shared" si="9"/>
        <v>8800737.9107142873</v>
      </c>
      <c r="T88" s="101">
        <f t="shared" si="5"/>
        <v>2910737.9107142873</v>
      </c>
      <c r="U88" s="101">
        <f t="shared" si="6"/>
        <v>2910737.9107142873</v>
      </c>
      <c r="V88" s="101">
        <v>72820</v>
      </c>
      <c r="W88" s="149">
        <f t="shared" si="7"/>
        <v>3.9971682377290409E-2</v>
      </c>
      <c r="Y88" s="255"/>
      <c r="AB88" s="254"/>
    </row>
    <row r="89" spans="2:28" x14ac:dyDescent="0.25">
      <c r="B89" t="s">
        <v>359</v>
      </c>
      <c r="C89">
        <f t="shared" si="8"/>
        <v>85073</v>
      </c>
      <c r="D89">
        <v>39490</v>
      </c>
      <c r="E89">
        <v>45583</v>
      </c>
      <c r="F89">
        <v>20569</v>
      </c>
      <c r="G89">
        <v>1121</v>
      </c>
      <c r="H89">
        <v>3909</v>
      </c>
      <c r="I89">
        <v>2980</v>
      </c>
      <c r="J89">
        <v>24632</v>
      </c>
      <c r="K89">
        <v>28462</v>
      </c>
      <c r="L89">
        <v>4016</v>
      </c>
      <c r="M89">
        <v>586</v>
      </c>
      <c r="N89">
        <v>9863</v>
      </c>
      <c r="O89">
        <v>1196</v>
      </c>
      <c r="P89" s="101">
        <v>43190000000</v>
      </c>
      <c r="Q89" s="101">
        <v>9433000000</v>
      </c>
      <c r="R89" s="101">
        <v>9433000000</v>
      </c>
      <c r="S89" s="101">
        <f t="shared" si="9"/>
        <v>107294824</v>
      </c>
      <c r="T89" s="101">
        <f t="shared" si="5"/>
        <v>22221824</v>
      </c>
      <c r="U89" s="101">
        <f t="shared" si="6"/>
        <v>22221824</v>
      </c>
      <c r="V89" s="101">
        <v>1134553</v>
      </c>
      <c r="W89" s="149">
        <f t="shared" si="7"/>
        <v>1.9586413327539569E-2</v>
      </c>
      <c r="Y89" s="255"/>
      <c r="AB89" s="254"/>
    </row>
    <row r="90" spans="2:28" x14ac:dyDescent="0.25">
      <c r="B90" t="s">
        <v>178</v>
      </c>
      <c r="C90">
        <f t="shared" si="8"/>
        <v>4820</v>
      </c>
      <c r="D90">
        <v>3169</v>
      </c>
      <c r="E90">
        <v>1651</v>
      </c>
      <c r="F90">
        <v>36</v>
      </c>
      <c r="G90">
        <v>40</v>
      </c>
      <c r="H90">
        <v>499</v>
      </c>
      <c r="I90">
        <v>51</v>
      </c>
      <c r="J90">
        <v>2436</v>
      </c>
      <c r="K90">
        <v>2383</v>
      </c>
      <c r="L90">
        <v>295</v>
      </c>
      <c r="M90">
        <v>455</v>
      </c>
      <c r="N90">
        <v>1171</v>
      </c>
      <c r="O90">
        <v>369</v>
      </c>
      <c r="P90" s="101">
        <v>3385000000</v>
      </c>
      <c r="Q90" s="101">
        <v>508000000</v>
      </c>
      <c r="R90" s="101">
        <v>461115618.66125757</v>
      </c>
      <c r="S90" s="101">
        <f t="shared" si="9"/>
        <v>7528265.9046653146</v>
      </c>
      <c r="T90" s="101">
        <f t="shared" si="5"/>
        <v>2708265.9046653146</v>
      </c>
      <c r="U90" s="101">
        <f t="shared" si="6"/>
        <v>2708265.9046653146</v>
      </c>
      <c r="V90" s="101">
        <v>83104</v>
      </c>
      <c r="W90" s="149">
        <f t="shared" si="7"/>
        <v>3.2588875441197949E-2</v>
      </c>
      <c r="Y90" s="255"/>
      <c r="AB90" s="254"/>
    </row>
    <row r="91" spans="2:28" x14ac:dyDescent="0.25">
      <c r="B91" t="s">
        <v>108</v>
      </c>
      <c r="C91">
        <f t="shared" si="8"/>
        <v>29055</v>
      </c>
      <c r="D91">
        <v>17241</v>
      </c>
      <c r="E91">
        <v>11814</v>
      </c>
      <c r="F91">
        <v>4618</v>
      </c>
      <c r="G91">
        <v>127</v>
      </c>
      <c r="H91">
        <v>768</v>
      </c>
      <c r="I91">
        <v>273</v>
      </c>
      <c r="J91">
        <v>10707</v>
      </c>
      <c r="K91">
        <v>13945</v>
      </c>
      <c r="L91">
        <v>1308</v>
      </c>
      <c r="M91">
        <v>941</v>
      </c>
      <c r="N91">
        <v>3176</v>
      </c>
      <c r="O91">
        <v>175</v>
      </c>
      <c r="P91" s="101">
        <v>11987000000</v>
      </c>
      <c r="Q91" s="101">
        <v>2045000000</v>
      </c>
      <c r="R91" s="101">
        <v>1951901189.8603208</v>
      </c>
      <c r="S91" s="101">
        <f t="shared" si="9"/>
        <v>27636165.157268494</v>
      </c>
      <c r="T91" s="101">
        <f t="shared" si="5"/>
        <v>-1418834.8427315056</v>
      </c>
      <c r="U91" s="101">
        <f t="shared" si="6"/>
        <v>0</v>
      </c>
      <c r="V91" s="101">
        <v>520780</v>
      </c>
      <c r="W91" s="149">
        <f t="shared" si="7"/>
        <v>-2.7244418808930943E-3</v>
      </c>
      <c r="Y91" s="255"/>
      <c r="AB91" s="254"/>
    </row>
    <row r="92" spans="2:28" x14ac:dyDescent="0.25">
      <c r="B92" t="s">
        <v>249</v>
      </c>
      <c r="C92">
        <f t="shared" si="8"/>
        <v>5907</v>
      </c>
      <c r="D92">
        <v>2696</v>
      </c>
      <c r="E92">
        <v>3211</v>
      </c>
      <c r="F92">
        <v>210</v>
      </c>
      <c r="G92">
        <v>63</v>
      </c>
      <c r="H92">
        <v>689</v>
      </c>
      <c r="I92">
        <v>3</v>
      </c>
      <c r="J92">
        <v>2040</v>
      </c>
      <c r="K92">
        <v>3450</v>
      </c>
      <c r="L92">
        <v>234</v>
      </c>
      <c r="M92">
        <v>210</v>
      </c>
      <c r="N92">
        <v>607</v>
      </c>
      <c r="O92">
        <v>770</v>
      </c>
      <c r="P92" s="101">
        <v>2815000000</v>
      </c>
      <c r="Q92" s="101">
        <v>398000000</v>
      </c>
      <c r="R92" s="101">
        <v>384257636.12217796</v>
      </c>
      <c r="S92" s="101">
        <f t="shared" si="9"/>
        <v>6219658.4528552461</v>
      </c>
      <c r="T92" s="101">
        <f t="shared" si="5"/>
        <v>312658.45285524614</v>
      </c>
      <c r="U92" s="101">
        <f t="shared" si="6"/>
        <v>312658.45285524614</v>
      </c>
      <c r="V92" s="101">
        <v>77562</v>
      </c>
      <c r="W92" s="149">
        <f t="shared" si="7"/>
        <v>4.0310777552828208E-3</v>
      </c>
      <c r="Y92" s="255"/>
      <c r="AB92" s="254"/>
    </row>
    <row r="93" spans="2:28" x14ac:dyDescent="0.25">
      <c r="B93" t="s">
        <v>144</v>
      </c>
      <c r="C93">
        <f t="shared" si="8"/>
        <v>53605</v>
      </c>
      <c r="D93">
        <v>23450</v>
      </c>
      <c r="E93">
        <v>30155</v>
      </c>
      <c r="F93">
        <v>14323</v>
      </c>
      <c r="G93">
        <v>320</v>
      </c>
      <c r="H93">
        <v>927</v>
      </c>
      <c r="I93">
        <v>1080</v>
      </c>
      <c r="J93">
        <v>21782</v>
      </c>
      <c r="K93">
        <v>15953</v>
      </c>
      <c r="L93">
        <v>2471</v>
      </c>
      <c r="M93">
        <v>534</v>
      </c>
      <c r="N93">
        <v>5755</v>
      </c>
      <c r="O93">
        <v>216</v>
      </c>
      <c r="P93" s="101">
        <v>21630000000</v>
      </c>
      <c r="Q93" s="101">
        <v>3483000000</v>
      </c>
      <c r="R93" s="101">
        <v>3394132929.2359743</v>
      </c>
      <c r="S93" s="101">
        <f t="shared" si="9"/>
        <v>49288832.834648997</v>
      </c>
      <c r="T93" s="101">
        <f t="shared" si="5"/>
        <v>-4316167.1653510034</v>
      </c>
      <c r="U93" s="101">
        <f t="shared" si="6"/>
        <v>0</v>
      </c>
      <c r="V93" s="101">
        <v>858387</v>
      </c>
      <c r="W93" s="149">
        <f t="shared" si="7"/>
        <v>-5.0282298838996899E-3</v>
      </c>
      <c r="Y93" s="255"/>
      <c r="AB93" s="254"/>
    </row>
    <row r="94" spans="2:28" x14ac:dyDescent="0.25">
      <c r="B94" t="s">
        <v>179</v>
      </c>
      <c r="C94">
        <f t="shared" si="8"/>
        <v>6716</v>
      </c>
      <c r="D94">
        <v>4928</v>
      </c>
      <c r="E94">
        <v>1788</v>
      </c>
      <c r="F94">
        <v>1</v>
      </c>
      <c r="G94">
        <v>92</v>
      </c>
      <c r="H94">
        <v>1307</v>
      </c>
      <c r="I94">
        <v>0</v>
      </c>
      <c r="J94">
        <v>3129</v>
      </c>
      <c r="K94">
        <v>4068</v>
      </c>
      <c r="L94">
        <v>385</v>
      </c>
      <c r="M94">
        <v>839</v>
      </c>
      <c r="N94">
        <v>1429</v>
      </c>
      <c r="O94">
        <v>224</v>
      </c>
      <c r="P94" s="101">
        <v>6572000000</v>
      </c>
      <c r="Q94" s="101">
        <v>678000000</v>
      </c>
      <c r="R94" s="101">
        <v>628147058.82352948</v>
      </c>
      <c r="S94" s="101">
        <f t="shared" si="9"/>
        <v>13621316.264705883</v>
      </c>
      <c r="T94" s="101">
        <f t="shared" si="5"/>
        <v>6905316.2647058833</v>
      </c>
      <c r="U94" s="101">
        <f t="shared" si="6"/>
        <v>6905316.2647058833</v>
      </c>
      <c r="V94" s="101">
        <v>105790</v>
      </c>
      <c r="W94" s="149">
        <f t="shared" si="7"/>
        <v>6.5273809100159591E-2</v>
      </c>
      <c r="Y94" s="255"/>
      <c r="AB94" s="254"/>
    </row>
    <row r="95" spans="2:28" x14ac:dyDescent="0.25">
      <c r="B95" t="s">
        <v>180</v>
      </c>
      <c r="C95">
        <f t="shared" si="8"/>
        <v>10850</v>
      </c>
      <c r="D95">
        <v>6919</v>
      </c>
      <c r="E95">
        <v>3931</v>
      </c>
      <c r="F95">
        <v>0</v>
      </c>
      <c r="G95">
        <v>0</v>
      </c>
      <c r="H95">
        <v>1911</v>
      </c>
      <c r="I95">
        <v>50</v>
      </c>
      <c r="J95">
        <v>2950</v>
      </c>
      <c r="K95">
        <v>2376</v>
      </c>
      <c r="L95">
        <v>349</v>
      </c>
      <c r="M95">
        <v>707</v>
      </c>
      <c r="N95">
        <v>1004</v>
      </c>
      <c r="O95">
        <v>150</v>
      </c>
      <c r="P95" s="101">
        <v>4939000000</v>
      </c>
      <c r="Q95" s="101">
        <v>753000000</v>
      </c>
      <c r="R95" s="101">
        <v>643133516.86166549</v>
      </c>
      <c r="S95" s="101">
        <f t="shared" si="9"/>
        <v>10953445.85065382</v>
      </c>
      <c r="T95" s="101">
        <f t="shared" si="5"/>
        <v>103445.85065381974</v>
      </c>
      <c r="U95" s="101">
        <f t="shared" si="6"/>
        <v>103445.85065381974</v>
      </c>
      <c r="V95" s="101">
        <v>103540</v>
      </c>
      <c r="W95" s="149">
        <f t="shared" si="7"/>
        <v>9.9909069590322329E-4</v>
      </c>
      <c r="Y95" s="255"/>
      <c r="AB95" s="254"/>
    </row>
    <row r="96" spans="2:28" x14ac:dyDescent="0.25">
      <c r="B96" t="s">
        <v>360</v>
      </c>
      <c r="C96">
        <f t="shared" si="8"/>
        <v>9370</v>
      </c>
      <c r="D96">
        <v>5271</v>
      </c>
      <c r="E96">
        <v>4099</v>
      </c>
      <c r="F96">
        <v>2414</v>
      </c>
      <c r="G96">
        <v>48</v>
      </c>
      <c r="H96">
        <v>57</v>
      </c>
      <c r="I96">
        <v>197</v>
      </c>
      <c r="J96">
        <v>4039</v>
      </c>
      <c r="K96">
        <v>5078</v>
      </c>
      <c r="L96">
        <v>511</v>
      </c>
      <c r="M96">
        <v>137</v>
      </c>
      <c r="N96">
        <v>842</v>
      </c>
      <c r="O96">
        <v>533</v>
      </c>
      <c r="P96" s="101">
        <v>6711000000</v>
      </c>
      <c r="Q96" s="101">
        <v>1213000000</v>
      </c>
      <c r="R96" s="101">
        <v>1163071490.4679377</v>
      </c>
      <c r="S96" s="101">
        <f t="shared" si="9"/>
        <v>15711546.607019065</v>
      </c>
      <c r="T96" s="101">
        <f t="shared" si="5"/>
        <v>6341546.6070190649</v>
      </c>
      <c r="U96" s="101">
        <f t="shared" si="6"/>
        <v>6341546.6070190649</v>
      </c>
      <c r="V96" s="101">
        <v>148469</v>
      </c>
      <c r="W96" s="149">
        <f t="shared" si="7"/>
        <v>4.2712934060437295E-2</v>
      </c>
      <c r="Y96" s="255"/>
      <c r="AB96" s="254"/>
    </row>
    <row r="97" spans="2:28" x14ac:dyDescent="0.25">
      <c r="B97" t="s">
        <v>361</v>
      </c>
      <c r="C97">
        <f t="shared" si="8"/>
        <v>7154</v>
      </c>
      <c r="D97">
        <v>3270</v>
      </c>
      <c r="E97">
        <v>3884</v>
      </c>
      <c r="F97">
        <v>0</v>
      </c>
      <c r="G97">
        <v>13</v>
      </c>
      <c r="H97">
        <v>62</v>
      </c>
      <c r="I97">
        <v>89</v>
      </c>
      <c r="J97">
        <v>2446</v>
      </c>
      <c r="K97">
        <v>2546</v>
      </c>
      <c r="L97">
        <v>254</v>
      </c>
      <c r="M97">
        <v>27</v>
      </c>
      <c r="N97">
        <v>1255</v>
      </c>
      <c r="O97">
        <v>21</v>
      </c>
      <c r="P97" s="101">
        <v>3215000000</v>
      </c>
      <c r="Q97" s="101">
        <v>715000000</v>
      </c>
      <c r="R97" s="101">
        <v>699381067.96116507</v>
      </c>
      <c r="S97" s="101">
        <f t="shared" si="9"/>
        <v>8004199.8665048555</v>
      </c>
      <c r="T97" s="101">
        <f t="shared" si="5"/>
        <v>850199.86650485545</v>
      </c>
      <c r="U97" s="101">
        <f t="shared" si="6"/>
        <v>850199.86650485545</v>
      </c>
      <c r="V97" s="101">
        <v>74567</v>
      </c>
      <c r="W97" s="149">
        <f t="shared" si="7"/>
        <v>1.1401824754983511E-2</v>
      </c>
      <c r="Y97" s="255"/>
      <c r="AB97" s="254"/>
    </row>
    <row r="98" spans="2:28" x14ac:dyDescent="0.25">
      <c r="B98" t="s">
        <v>362</v>
      </c>
      <c r="C98">
        <f t="shared" si="8"/>
        <v>6511</v>
      </c>
      <c r="D98">
        <v>4582</v>
      </c>
      <c r="E98">
        <v>1929</v>
      </c>
      <c r="F98">
        <v>352</v>
      </c>
      <c r="G98">
        <v>0</v>
      </c>
      <c r="H98">
        <v>688</v>
      </c>
      <c r="I98">
        <v>340</v>
      </c>
      <c r="J98">
        <v>4184</v>
      </c>
      <c r="K98">
        <v>4412</v>
      </c>
      <c r="L98">
        <v>605</v>
      </c>
      <c r="M98">
        <v>5</v>
      </c>
      <c r="N98">
        <v>297</v>
      </c>
      <c r="O98">
        <v>28</v>
      </c>
      <c r="P98" s="101">
        <v>6967000000</v>
      </c>
      <c r="Q98" s="101">
        <v>636000000</v>
      </c>
      <c r="R98" s="101">
        <v>603253419.14722443</v>
      </c>
      <c r="S98" s="101">
        <f t="shared" si="9"/>
        <v>14188612.161705552</v>
      </c>
      <c r="T98" s="101">
        <f t="shared" si="5"/>
        <v>7677612.1617055517</v>
      </c>
      <c r="U98" s="101">
        <f t="shared" si="6"/>
        <v>7677612.1617055517</v>
      </c>
      <c r="V98" s="101">
        <v>116192</v>
      </c>
      <c r="W98" s="149">
        <f t="shared" si="7"/>
        <v>6.6076943005590333E-2</v>
      </c>
      <c r="Y98" s="255"/>
      <c r="AB98" s="254"/>
    </row>
    <row r="99" spans="2:28" x14ac:dyDescent="0.25">
      <c r="B99" t="s">
        <v>363</v>
      </c>
      <c r="C99">
        <f t="shared" si="8"/>
        <v>9559</v>
      </c>
      <c r="D99">
        <v>6075</v>
      </c>
      <c r="E99">
        <v>3484</v>
      </c>
      <c r="F99">
        <v>50</v>
      </c>
      <c r="G99">
        <v>0</v>
      </c>
      <c r="H99">
        <v>197</v>
      </c>
      <c r="I99">
        <v>268</v>
      </c>
      <c r="J99">
        <v>2876</v>
      </c>
      <c r="K99">
        <v>3315</v>
      </c>
      <c r="L99">
        <v>378</v>
      </c>
      <c r="M99">
        <v>16</v>
      </c>
      <c r="N99">
        <v>2623</v>
      </c>
      <c r="O99">
        <v>332</v>
      </c>
      <c r="P99" s="101">
        <v>4821000000</v>
      </c>
      <c r="Q99" s="101">
        <v>719000000</v>
      </c>
      <c r="R99" s="101">
        <v>635332582.58258259</v>
      </c>
      <c r="S99" s="101">
        <f t="shared" si="9"/>
        <v>10677150.035285285</v>
      </c>
      <c r="T99" s="101">
        <f t="shared" si="5"/>
        <v>1118150.0352852847</v>
      </c>
      <c r="U99" s="101">
        <f t="shared" si="6"/>
        <v>1118150.0352852847</v>
      </c>
      <c r="V99" s="101">
        <v>101192</v>
      </c>
      <c r="W99" s="149">
        <f t="shared" si="7"/>
        <v>1.1049786893087247E-2</v>
      </c>
      <c r="Y99" s="255"/>
      <c r="AB99" s="254"/>
    </row>
    <row r="100" spans="2:28" x14ac:dyDescent="0.25">
      <c r="B100" t="s">
        <v>403</v>
      </c>
      <c r="C100">
        <f t="shared" si="8"/>
        <v>3946</v>
      </c>
      <c r="D100">
        <v>2677</v>
      </c>
      <c r="E100">
        <v>1269</v>
      </c>
      <c r="F100">
        <v>4</v>
      </c>
      <c r="G100">
        <v>0</v>
      </c>
      <c r="H100">
        <v>1758</v>
      </c>
      <c r="I100">
        <v>151</v>
      </c>
      <c r="J100">
        <v>2010</v>
      </c>
      <c r="K100">
        <v>1630</v>
      </c>
      <c r="L100">
        <v>200</v>
      </c>
      <c r="M100">
        <v>50</v>
      </c>
      <c r="N100">
        <v>225</v>
      </c>
      <c r="O100">
        <v>134</v>
      </c>
      <c r="P100" s="101">
        <v>2687000000</v>
      </c>
      <c r="Q100" s="101">
        <v>415000000</v>
      </c>
      <c r="R100" s="101">
        <v>389832258.06451613</v>
      </c>
      <c r="S100" s="101">
        <f t="shared" si="9"/>
        <v>6037377.9741935488</v>
      </c>
      <c r="T100" s="101">
        <f t="shared" si="5"/>
        <v>2091377.9741935488</v>
      </c>
      <c r="U100" s="101">
        <f t="shared" si="6"/>
        <v>2091377.9741935488</v>
      </c>
      <c r="V100" s="101">
        <v>78740</v>
      </c>
      <c r="W100" s="149">
        <f t="shared" si="7"/>
        <v>2.6560553393364855E-2</v>
      </c>
      <c r="Y100" s="255"/>
      <c r="AB100" s="254"/>
    </row>
    <row r="101" spans="2:28" x14ac:dyDescent="0.25">
      <c r="B101" t="s">
        <v>364</v>
      </c>
      <c r="C101">
        <f t="shared" si="8"/>
        <v>8154</v>
      </c>
      <c r="D101">
        <v>4091</v>
      </c>
      <c r="E101">
        <v>4063</v>
      </c>
      <c r="F101">
        <v>0</v>
      </c>
      <c r="G101">
        <v>0</v>
      </c>
      <c r="H101">
        <v>0</v>
      </c>
      <c r="I101">
        <v>615</v>
      </c>
      <c r="J101">
        <v>1336</v>
      </c>
      <c r="K101">
        <v>2117</v>
      </c>
      <c r="L101">
        <v>302</v>
      </c>
      <c r="M101">
        <v>0</v>
      </c>
      <c r="N101">
        <v>957</v>
      </c>
      <c r="O101">
        <v>163</v>
      </c>
      <c r="P101" s="101">
        <v>3810000000</v>
      </c>
      <c r="Q101" s="101">
        <v>599000000</v>
      </c>
      <c r="R101" s="101">
        <v>576827257.43129551</v>
      </c>
      <c r="S101" s="101">
        <f t="shared" si="9"/>
        <v>8620495.3280987106</v>
      </c>
      <c r="T101" s="101">
        <f t="shared" si="5"/>
        <v>466495.32809871063</v>
      </c>
      <c r="U101" s="101">
        <f t="shared" si="6"/>
        <v>466495.32809871063</v>
      </c>
      <c r="V101" s="101">
        <v>78479</v>
      </c>
      <c r="W101" s="149">
        <f t="shared" si="7"/>
        <v>5.9442058142778406E-3</v>
      </c>
      <c r="Y101" s="255"/>
      <c r="AB101" s="254"/>
    </row>
    <row r="102" spans="2:28" x14ac:dyDescent="0.25">
      <c r="B102" t="s">
        <v>290</v>
      </c>
      <c r="C102">
        <f t="shared" si="8"/>
        <v>11271</v>
      </c>
      <c r="D102">
        <v>8345</v>
      </c>
      <c r="E102">
        <v>2926</v>
      </c>
      <c r="F102">
        <v>22</v>
      </c>
      <c r="G102">
        <v>42</v>
      </c>
      <c r="H102">
        <v>4710</v>
      </c>
      <c r="I102">
        <v>267</v>
      </c>
      <c r="J102">
        <v>6014</v>
      </c>
      <c r="K102">
        <v>6161</v>
      </c>
      <c r="L102">
        <v>646</v>
      </c>
      <c r="M102">
        <v>1031</v>
      </c>
      <c r="N102">
        <v>3138</v>
      </c>
      <c r="O102">
        <v>371</v>
      </c>
      <c r="P102" s="101">
        <v>8820000000</v>
      </c>
      <c r="Q102" s="101">
        <v>1246000000</v>
      </c>
      <c r="R102" s="101">
        <v>1174268656.7164178</v>
      </c>
      <c r="S102" s="101">
        <f t="shared" si="9"/>
        <v>19434424.507462688</v>
      </c>
      <c r="T102" s="101">
        <f t="shared" si="5"/>
        <v>8163424.5074626878</v>
      </c>
      <c r="U102" s="101">
        <f t="shared" si="6"/>
        <v>8163424.5074626878</v>
      </c>
      <c r="V102" s="101">
        <v>177476</v>
      </c>
      <c r="W102" s="149">
        <f t="shared" si="7"/>
        <v>4.5997343344805423E-2</v>
      </c>
      <c r="Y102" s="255"/>
      <c r="AB102" s="254"/>
    </row>
    <row r="103" spans="2:28" x14ac:dyDescent="0.25">
      <c r="B103" t="s">
        <v>329</v>
      </c>
      <c r="C103">
        <f t="shared" si="8"/>
        <v>11975</v>
      </c>
      <c r="D103">
        <v>6675</v>
      </c>
      <c r="E103">
        <v>5300</v>
      </c>
      <c r="F103">
        <v>4110</v>
      </c>
      <c r="G103">
        <v>16</v>
      </c>
      <c r="H103">
        <v>513</v>
      </c>
      <c r="I103">
        <v>378</v>
      </c>
      <c r="J103">
        <v>5670</v>
      </c>
      <c r="K103">
        <v>4593</v>
      </c>
      <c r="L103">
        <v>0</v>
      </c>
      <c r="M103">
        <v>465</v>
      </c>
      <c r="N103">
        <v>1394</v>
      </c>
      <c r="O103">
        <v>60</v>
      </c>
      <c r="P103" s="101">
        <v>5619000000</v>
      </c>
      <c r="Q103" s="101">
        <v>1140000000</v>
      </c>
      <c r="R103" s="101">
        <v>1097944664.0316205</v>
      </c>
      <c r="S103" s="101">
        <f t="shared" si="9"/>
        <v>13584657.324110672</v>
      </c>
      <c r="T103" s="101">
        <f t="shared" si="5"/>
        <v>1609657.3241106719</v>
      </c>
      <c r="U103" s="101">
        <f t="shared" si="6"/>
        <v>1609657.3241106719</v>
      </c>
      <c r="V103" s="101">
        <v>185039</v>
      </c>
      <c r="W103" s="149">
        <f t="shared" si="7"/>
        <v>8.6990165538652492E-3</v>
      </c>
      <c r="Y103" s="255"/>
      <c r="AB103" s="254"/>
    </row>
    <row r="104" spans="2:28" x14ac:dyDescent="0.25">
      <c r="B104" t="s">
        <v>365</v>
      </c>
      <c r="C104">
        <f t="shared" si="8"/>
        <v>6787</v>
      </c>
      <c r="D104">
        <v>4750</v>
      </c>
      <c r="E104">
        <v>2037</v>
      </c>
      <c r="F104">
        <v>62</v>
      </c>
      <c r="G104">
        <v>16</v>
      </c>
      <c r="H104">
        <v>165</v>
      </c>
      <c r="I104">
        <v>-2</v>
      </c>
      <c r="J104">
        <v>2403</v>
      </c>
      <c r="K104">
        <v>2082</v>
      </c>
      <c r="L104">
        <v>293</v>
      </c>
      <c r="M104">
        <v>0</v>
      </c>
      <c r="N104">
        <v>1170</v>
      </c>
      <c r="O104">
        <v>240</v>
      </c>
      <c r="P104" s="101">
        <v>4256000000</v>
      </c>
      <c r="Q104" s="101">
        <v>380000000</v>
      </c>
      <c r="R104" s="101">
        <v>380000000</v>
      </c>
      <c r="S104" s="101">
        <f t="shared" si="9"/>
        <v>8672664</v>
      </c>
      <c r="T104" s="101">
        <f t="shared" si="5"/>
        <v>1885664</v>
      </c>
      <c r="U104" s="101">
        <f t="shared" si="6"/>
        <v>1885664</v>
      </c>
      <c r="V104" s="101">
        <v>81074</v>
      </c>
      <c r="W104" s="149">
        <f t="shared" si="7"/>
        <v>2.3258553913708464E-2</v>
      </c>
      <c r="Y104" s="255"/>
      <c r="AB104" s="254"/>
    </row>
    <row r="105" spans="2:28" x14ac:dyDescent="0.25">
      <c r="B105" t="s">
        <v>486</v>
      </c>
      <c r="C105">
        <f t="shared" si="8"/>
        <v>12731</v>
      </c>
      <c r="D105">
        <v>9700</v>
      </c>
      <c r="E105">
        <v>3031</v>
      </c>
      <c r="F105">
        <v>3130</v>
      </c>
      <c r="G105">
        <v>42</v>
      </c>
      <c r="H105">
        <v>245</v>
      </c>
      <c r="I105">
        <v>202</v>
      </c>
      <c r="J105">
        <v>6331</v>
      </c>
      <c r="K105">
        <v>8323</v>
      </c>
      <c r="L105">
        <v>859</v>
      </c>
      <c r="M105">
        <v>763</v>
      </c>
      <c r="N105">
        <v>6525</v>
      </c>
      <c r="O105">
        <v>19</v>
      </c>
      <c r="P105" s="101">
        <v>15373000000</v>
      </c>
      <c r="Q105" s="101">
        <v>940000000</v>
      </c>
      <c r="R105" s="101">
        <v>900995850.62240672</v>
      </c>
      <c r="S105" s="101">
        <f t="shared" si="9"/>
        <v>29762998.82572614</v>
      </c>
      <c r="T105" s="101">
        <f t="shared" si="5"/>
        <v>17031998.82572614</v>
      </c>
      <c r="U105" s="101">
        <f t="shared" si="6"/>
        <v>17031998.82572614</v>
      </c>
      <c r="V105" s="101">
        <v>190466</v>
      </c>
      <c r="W105" s="149">
        <f t="shared" si="7"/>
        <v>8.9422777953682753E-2</v>
      </c>
      <c r="Y105" s="255"/>
      <c r="AB105" s="254"/>
    </row>
    <row r="106" spans="2:28" x14ac:dyDescent="0.25">
      <c r="B106" t="s">
        <v>291</v>
      </c>
      <c r="C106">
        <f t="shared" si="8"/>
        <v>10089</v>
      </c>
      <c r="D106">
        <v>4802</v>
      </c>
      <c r="E106">
        <v>5287</v>
      </c>
      <c r="F106">
        <v>2387</v>
      </c>
      <c r="G106">
        <v>150</v>
      </c>
      <c r="H106">
        <v>0</v>
      </c>
      <c r="I106">
        <v>146</v>
      </c>
      <c r="J106">
        <v>3900</v>
      </c>
      <c r="K106">
        <v>5837</v>
      </c>
      <c r="L106">
        <v>512</v>
      </c>
      <c r="M106">
        <v>143</v>
      </c>
      <c r="N106">
        <v>1030</v>
      </c>
      <c r="O106">
        <v>1732</v>
      </c>
      <c r="P106" s="101">
        <v>5496000000</v>
      </c>
      <c r="Q106" s="101">
        <v>1003000000</v>
      </c>
      <c r="R106" s="101">
        <v>984171486.55504811</v>
      </c>
      <c r="S106" s="101">
        <f t="shared" si="9"/>
        <v>12938403.500253679</v>
      </c>
      <c r="T106" s="101">
        <f t="shared" si="5"/>
        <v>2849403.5002536792</v>
      </c>
      <c r="U106" s="101">
        <f t="shared" si="6"/>
        <v>2849403.5002536792</v>
      </c>
      <c r="V106" s="101">
        <v>169854</v>
      </c>
      <c r="W106" s="149">
        <f t="shared" si="7"/>
        <v>1.677560434404653E-2</v>
      </c>
      <c r="Y106" s="255"/>
      <c r="AB106" s="254"/>
    </row>
    <row r="107" spans="2:28" x14ac:dyDescent="0.25">
      <c r="B107" t="s">
        <v>292</v>
      </c>
      <c r="C107">
        <f t="shared" si="8"/>
        <v>17765</v>
      </c>
      <c r="D107">
        <v>9373</v>
      </c>
      <c r="E107">
        <v>8392</v>
      </c>
      <c r="F107">
        <v>5187</v>
      </c>
      <c r="G107">
        <v>225</v>
      </c>
      <c r="H107">
        <v>146</v>
      </c>
      <c r="I107">
        <v>281</v>
      </c>
      <c r="J107">
        <v>17523</v>
      </c>
      <c r="K107">
        <v>12109</v>
      </c>
      <c r="L107">
        <v>1069</v>
      </c>
      <c r="M107">
        <v>0</v>
      </c>
      <c r="N107">
        <v>4839</v>
      </c>
      <c r="O107">
        <v>459</v>
      </c>
      <c r="P107" s="101">
        <v>11089000000</v>
      </c>
      <c r="Q107" s="101">
        <v>1030050000</v>
      </c>
      <c r="R107" s="101">
        <v>984197791.79810727</v>
      </c>
      <c r="S107" s="101">
        <f t="shared" si="9"/>
        <v>22655515.432018928</v>
      </c>
      <c r="T107" s="101">
        <f t="shared" si="5"/>
        <v>4890515.4320189282</v>
      </c>
      <c r="U107" s="101">
        <f t="shared" si="6"/>
        <v>4890515.4320189282</v>
      </c>
      <c r="V107" s="101">
        <v>371432</v>
      </c>
      <c r="W107" s="149">
        <f t="shared" si="7"/>
        <v>1.3166650778659158E-2</v>
      </c>
      <c r="Y107" s="255"/>
      <c r="AB107" s="254"/>
    </row>
    <row r="108" spans="2:28" x14ac:dyDescent="0.25">
      <c r="B108" t="s">
        <v>721</v>
      </c>
      <c r="C108">
        <f t="shared" si="8"/>
        <v>108252</v>
      </c>
      <c r="D108">
        <v>54063</v>
      </c>
      <c r="E108">
        <v>54189</v>
      </c>
      <c r="F108">
        <v>30131</v>
      </c>
      <c r="G108">
        <v>1289</v>
      </c>
      <c r="H108">
        <v>2875</v>
      </c>
      <c r="I108">
        <v>125</v>
      </c>
      <c r="J108">
        <v>20167</v>
      </c>
      <c r="K108">
        <v>44159</v>
      </c>
      <c r="L108">
        <v>3277</v>
      </c>
      <c r="M108">
        <v>1574</v>
      </c>
      <c r="N108">
        <v>14268</v>
      </c>
      <c r="O108">
        <v>2299</v>
      </c>
      <c r="P108" s="101">
        <v>36195000000</v>
      </c>
      <c r="Q108" s="101">
        <v>5178000000</v>
      </c>
      <c r="R108" s="101">
        <v>5053072780.0580635</v>
      </c>
      <c r="S108" s="101">
        <f t="shared" si="9"/>
        <v>80270679.836720392</v>
      </c>
      <c r="T108" s="101">
        <f t="shared" si="5"/>
        <v>-27981320.163279608</v>
      </c>
      <c r="U108" s="101">
        <f t="shared" si="6"/>
        <v>0</v>
      </c>
      <c r="V108" s="101">
        <v>1308083</v>
      </c>
      <c r="W108" s="149">
        <f t="shared" si="7"/>
        <v>-2.1391089222380848E-2</v>
      </c>
      <c r="Y108" s="255"/>
      <c r="AB108" s="254"/>
    </row>
    <row r="109" spans="2:28" x14ac:dyDescent="0.25">
      <c r="B109" t="s">
        <v>404</v>
      </c>
      <c r="C109">
        <f t="shared" si="8"/>
        <v>4220</v>
      </c>
      <c r="D109">
        <v>2871</v>
      </c>
      <c r="E109">
        <v>1349</v>
      </c>
      <c r="F109">
        <v>13</v>
      </c>
      <c r="G109">
        <v>0</v>
      </c>
      <c r="H109">
        <v>2119</v>
      </c>
      <c r="I109">
        <v>0</v>
      </c>
      <c r="J109">
        <v>2192</v>
      </c>
      <c r="K109">
        <v>1785</v>
      </c>
      <c r="L109">
        <v>170</v>
      </c>
      <c r="M109">
        <v>14</v>
      </c>
      <c r="N109">
        <v>155</v>
      </c>
      <c r="O109">
        <v>33</v>
      </c>
      <c r="P109" s="101">
        <v>2324000000</v>
      </c>
      <c r="Q109" s="101">
        <v>215000000</v>
      </c>
      <c r="R109" s="101">
        <v>184951807.22891566</v>
      </c>
      <c r="S109" s="101">
        <f t="shared" si="9"/>
        <v>4709712.6746987952</v>
      </c>
      <c r="T109" s="101">
        <f t="shared" si="5"/>
        <v>489712.67469879519</v>
      </c>
      <c r="U109" s="101">
        <f t="shared" si="6"/>
        <v>489712.67469879519</v>
      </c>
      <c r="V109" s="101">
        <v>48161</v>
      </c>
      <c r="W109" s="149">
        <f t="shared" si="7"/>
        <v>1.016824141315162E-2</v>
      </c>
      <c r="Y109" s="255"/>
      <c r="AB109" s="254"/>
    </row>
    <row r="110" spans="2:28" x14ac:dyDescent="0.25">
      <c r="B110" t="s">
        <v>145</v>
      </c>
      <c r="C110">
        <f t="shared" si="8"/>
        <v>7182</v>
      </c>
      <c r="D110">
        <v>4117</v>
      </c>
      <c r="E110">
        <v>3065</v>
      </c>
      <c r="F110">
        <v>1</v>
      </c>
      <c r="G110">
        <v>0</v>
      </c>
      <c r="H110">
        <v>234</v>
      </c>
      <c r="I110">
        <v>93</v>
      </c>
      <c r="J110">
        <v>3771</v>
      </c>
      <c r="K110">
        <v>2302</v>
      </c>
      <c r="L110">
        <v>276</v>
      </c>
      <c r="M110">
        <v>176</v>
      </c>
      <c r="N110">
        <v>713</v>
      </c>
      <c r="O110">
        <v>532</v>
      </c>
      <c r="P110" s="101">
        <v>3732000000</v>
      </c>
      <c r="Q110" s="101">
        <v>553000000</v>
      </c>
      <c r="R110" s="101">
        <v>476179828.73453856</v>
      </c>
      <c r="S110" s="101">
        <f t="shared" si="9"/>
        <v>8232079.9238820188</v>
      </c>
      <c r="T110" s="101">
        <f t="shared" si="5"/>
        <v>1050079.9238820188</v>
      </c>
      <c r="U110" s="101">
        <f t="shared" si="6"/>
        <v>1050079.9238820188</v>
      </c>
      <c r="V110" s="101">
        <v>77992</v>
      </c>
      <c r="W110" s="149">
        <f t="shared" si="7"/>
        <v>1.3463944044030398E-2</v>
      </c>
      <c r="Y110" s="255"/>
      <c r="AB110" s="254"/>
    </row>
    <row r="111" spans="2:28" x14ac:dyDescent="0.25">
      <c r="B111" t="s">
        <v>250</v>
      </c>
      <c r="C111">
        <f t="shared" si="8"/>
        <v>48566</v>
      </c>
      <c r="D111">
        <v>26716</v>
      </c>
      <c r="E111">
        <v>21850</v>
      </c>
      <c r="F111">
        <v>26634</v>
      </c>
      <c r="G111">
        <v>1122</v>
      </c>
      <c r="H111">
        <v>2829</v>
      </c>
      <c r="I111">
        <v>2628</v>
      </c>
      <c r="J111">
        <v>13326</v>
      </c>
      <c r="K111">
        <v>27809</v>
      </c>
      <c r="L111">
        <v>2704</v>
      </c>
      <c r="M111">
        <v>1004</v>
      </c>
      <c r="N111">
        <v>7554</v>
      </c>
      <c r="O111">
        <v>2045</v>
      </c>
      <c r="P111" s="101">
        <v>37837000000</v>
      </c>
      <c r="Q111" s="101">
        <v>4337000000</v>
      </c>
      <c r="R111" s="101">
        <v>4254400692.5550337</v>
      </c>
      <c r="S111" s="101">
        <f t="shared" si="9"/>
        <v>80274704.797427654</v>
      </c>
      <c r="T111" s="101">
        <f t="shared" si="5"/>
        <v>31708704.797427654</v>
      </c>
      <c r="U111" s="101">
        <f t="shared" si="6"/>
        <v>31708704.797427654</v>
      </c>
      <c r="V111" s="101">
        <v>743948</v>
      </c>
      <c r="W111" s="149">
        <f t="shared" si="7"/>
        <v>4.2622205849639563E-2</v>
      </c>
      <c r="Y111" s="255"/>
      <c r="AB111" s="254"/>
    </row>
    <row r="112" spans="2:28" x14ac:dyDescent="0.25">
      <c r="B112" t="s">
        <v>251</v>
      </c>
      <c r="C112">
        <f t="shared" si="8"/>
        <v>83543</v>
      </c>
      <c r="D112">
        <v>20862</v>
      </c>
      <c r="E112">
        <v>62681</v>
      </c>
      <c r="F112">
        <v>4073</v>
      </c>
      <c r="G112">
        <v>110</v>
      </c>
      <c r="H112">
        <v>17422</v>
      </c>
      <c r="I112">
        <v>1568</v>
      </c>
      <c r="J112">
        <v>10345</v>
      </c>
      <c r="K112">
        <v>20587</v>
      </c>
      <c r="L112">
        <v>2650</v>
      </c>
      <c r="M112">
        <v>690</v>
      </c>
      <c r="N112">
        <v>15083</v>
      </c>
      <c r="O112">
        <v>678</v>
      </c>
      <c r="P112" s="101">
        <v>31861000000</v>
      </c>
      <c r="Q112" s="101">
        <v>13177000000</v>
      </c>
      <c r="R112" s="101">
        <v>13177000000</v>
      </c>
      <c r="S112" s="101">
        <f t="shared" si="9"/>
        <v>100653735</v>
      </c>
      <c r="T112" s="101">
        <f t="shared" si="5"/>
        <v>17110735</v>
      </c>
      <c r="U112" s="101">
        <f t="shared" si="6"/>
        <v>17110735</v>
      </c>
      <c r="V112" s="101">
        <v>580656</v>
      </c>
      <c r="W112" s="149">
        <f t="shared" si="7"/>
        <v>2.9467937987379792E-2</v>
      </c>
      <c r="Y112" s="255"/>
      <c r="AB112" s="254"/>
    </row>
    <row r="113" spans="2:28" x14ac:dyDescent="0.25">
      <c r="B113" t="s">
        <v>368</v>
      </c>
      <c r="C113">
        <f t="shared" si="8"/>
        <v>8076</v>
      </c>
      <c r="D113">
        <v>3891</v>
      </c>
      <c r="E113">
        <v>4185</v>
      </c>
      <c r="F113">
        <v>0</v>
      </c>
      <c r="G113">
        <v>0</v>
      </c>
      <c r="H113">
        <v>792</v>
      </c>
      <c r="I113">
        <v>0</v>
      </c>
      <c r="J113">
        <v>3331</v>
      </c>
      <c r="K113">
        <v>4036</v>
      </c>
      <c r="L113">
        <v>364</v>
      </c>
      <c r="M113">
        <v>57</v>
      </c>
      <c r="N113">
        <v>1288</v>
      </c>
      <c r="O113">
        <v>107</v>
      </c>
      <c r="P113" s="101">
        <v>4582000000</v>
      </c>
      <c r="Q113" s="101">
        <v>983000000</v>
      </c>
      <c r="R113" s="101">
        <v>931436383.92857146</v>
      </c>
      <c r="S113" s="101">
        <f t="shared" si="9"/>
        <v>11232338.5078125</v>
      </c>
      <c r="T113" s="101">
        <f t="shared" si="5"/>
        <v>3156338.5078125</v>
      </c>
      <c r="U113" s="101">
        <f t="shared" si="6"/>
        <v>3156338.5078125</v>
      </c>
      <c r="V113" s="101">
        <v>108400</v>
      </c>
      <c r="W113" s="149">
        <f t="shared" si="7"/>
        <v>2.911751390970941E-2</v>
      </c>
      <c r="Y113" s="255"/>
      <c r="AB113" s="254"/>
    </row>
    <row r="114" spans="2:28" x14ac:dyDescent="0.25">
      <c r="B114" t="s">
        <v>146</v>
      </c>
      <c r="C114">
        <f t="shared" si="8"/>
        <v>15265</v>
      </c>
      <c r="D114">
        <v>7006</v>
      </c>
      <c r="E114">
        <v>8259</v>
      </c>
      <c r="F114">
        <v>1059</v>
      </c>
      <c r="G114">
        <v>0</v>
      </c>
      <c r="H114">
        <v>0</v>
      </c>
      <c r="I114">
        <v>2641</v>
      </c>
      <c r="J114">
        <v>7914</v>
      </c>
      <c r="K114">
        <v>5825</v>
      </c>
      <c r="L114">
        <v>756</v>
      </c>
      <c r="M114">
        <v>523</v>
      </c>
      <c r="N114">
        <v>4244</v>
      </c>
      <c r="O114">
        <v>574</v>
      </c>
      <c r="P114" s="101">
        <v>7696000000</v>
      </c>
      <c r="Q114" s="101">
        <v>1692000000</v>
      </c>
      <c r="R114" s="101">
        <v>1512248198.0570354</v>
      </c>
      <c r="S114" s="101">
        <f t="shared" si="9"/>
        <v>18846529.134440616</v>
      </c>
      <c r="T114" s="101">
        <f t="shared" si="5"/>
        <v>3581529.1344406158</v>
      </c>
      <c r="U114" s="101">
        <f t="shared" si="6"/>
        <v>3581529.1344406158</v>
      </c>
      <c r="V114" s="101">
        <v>247259</v>
      </c>
      <c r="W114" s="149">
        <f t="shared" si="7"/>
        <v>1.4484929302636571E-2</v>
      </c>
      <c r="Y114" s="255"/>
      <c r="AB114" s="254"/>
    </row>
    <row r="115" spans="2:28" x14ac:dyDescent="0.25">
      <c r="B115" t="s">
        <v>181</v>
      </c>
      <c r="C115">
        <f t="shared" si="8"/>
        <v>12576</v>
      </c>
      <c r="D115">
        <v>7479</v>
      </c>
      <c r="E115">
        <v>5097</v>
      </c>
      <c r="F115">
        <v>2481</v>
      </c>
      <c r="G115">
        <v>169</v>
      </c>
      <c r="H115">
        <v>344</v>
      </c>
      <c r="I115">
        <v>300</v>
      </c>
      <c r="J115">
        <v>3459</v>
      </c>
      <c r="K115">
        <v>4548</v>
      </c>
      <c r="L115">
        <v>613</v>
      </c>
      <c r="M115">
        <v>1100</v>
      </c>
      <c r="N115">
        <v>1258</v>
      </c>
      <c r="O115">
        <v>525</v>
      </c>
      <c r="P115" s="101">
        <v>8119000000</v>
      </c>
      <c r="Q115" s="101">
        <v>1183000000</v>
      </c>
      <c r="R115" s="101">
        <v>1151145775.3017642</v>
      </c>
      <c r="S115" s="101">
        <f t="shared" si="9"/>
        <v>18073489.045496751</v>
      </c>
      <c r="T115" s="101">
        <f t="shared" si="5"/>
        <v>5497489.0454967506</v>
      </c>
      <c r="U115" s="101">
        <f t="shared" si="6"/>
        <v>5497489.0454967506</v>
      </c>
      <c r="V115" s="101">
        <v>204788</v>
      </c>
      <c r="W115" s="149">
        <f t="shared" si="7"/>
        <v>2.6844781166361069E-2</v>
      </c>
      <c r="Y115" s="255"/>
      <c r="AB115" s="254"/>
    </row>
    <row r="116" spans="2:28" x14ac:dyDescent="0.25">
      <c r="B116" t="s">
        <v>293</v>
      </c>
      <c r="C116">
        <f t="shared" si="8"/>
        <v>4544</v>
      </c>
      <c r="D116">
        <v>2534</v>
      </c>
      <c r="E116">
        <v>2010</v>
      </c>
      <c r="F116">
        <v>0</v>
      </c>
      <c r="G116">
        <v>101</v>
      </c>
      <c r="H116">
        <v>0</v>
      </c>
      <c r="I116">
        <v>86</v>
      </c>
      <c r="J116">
        <v>1622</v>
      </c>
      <c r="K116">
        <v>2390</v>
      </c>
      <c r="L116">
        <v>212</v>
      </c>
      <c r="M116">
        <v>361</v>
      </c>
      <c r="N116">
        <v>312</v>
      </c>
      <c r="O116">
        <v>96</v>
      </c>
      <c r="P116" s="101">
        <v>2509000000</v>
      </c>
      <c r="Q116" s="101">
        <v>447000000</v>
      </c>
      <c r="R116" s="101">
        <v>441295823.66589326</v>
      </c>
      <c r="S116" s="101">
        <f t="shared" si="9"/>
        <v>5873924.4791183295</v>
      </c>
      <c r="T116" s="101">
        <f t="shared" si="5"/>
        <v>1329924.4791183295</v>
      </c>
      <c r="U116" s="101">
        <f>IF(T116&gt;0,T116,0)</f>
        <v>1329924.4791183295</v>
      </c>
      <c r="V116" s="101">
        <v>56037</v>
      </c>
      <c r="W116" s="149">
        <f>T116/(V116*1000)</f>
        <v>2.3732970700043356E-2</v>
      </c>
      <c r="Y116" s="255"/>
      <c r="AB116" s="254"/>
    </row>
    <row r="117" spans="2:28" x14ac:dyDescent="0.25">
      <c r="B117" t="s">
        <v>128</v>
      </c>
      <c r="C117">
        <f t="shared" si="8"/>
        <v>4022</v>
      </c>
      <c r="D117">
        <v>1769</v>
      </c>
      <c r="E117">
        <v>2253</v>
      </c>
      <c r="F117">
        <v>6301</v>
      </c>
      <c r="G117">
        <v>125</v>
      </c>
      <c r="H117">
        <v>228</v>
      </c>
      <c r="I117">
        <v>0</v>
      </c>
      <c r="J117">
        <v>1539</v>
      </c>
      <c r="K117">
        <v>2151</v>
      </c>
      <c r="L117">
        <v>196</v>
      </c>
      <c r="M117">
        <v>49</v>
      </c>
      <c r="N117">
        <v>245</v>
      </c>
      <c r="O117">
        <v>359</v>
      </c>
      <c r="P117" s="101">
        <v>1831000000</v>
      </c>
      <c r="Q117" s="101">
        <v>431000000</v>
      </c>
      <c r="R117" s="101">
        <v>410377990.43062198</v>
      </c>
      <c r="S117" s="101">
        <f t="shared" si="9"/>
        <v>4620541.5454545459</v>
      </c>
      <c r="T117" s="101">
        <f t="shared" si="5"/>
        <v>598541.54545454588</v>
      </c>
      <c r="U117" s="101">
        <f t="shared" si="6"/>
        <v>598541.54545454588</v>
      </c>
      <c r="V117" s="101">
        <v>77020</v>
      </c>
      <c r="W117" s="149">
        <f t="shared" si="7"/>
        <v>7.7712483180283802E-3</v>
      </c>
      <c r="Y117" s="255"/>
      <c r="AB117" s="254"/>
    </row>
    <row r="118" spans="2:28" x14ac:dyDescent="0.25">
      <c r="B118" t="s">
        <v>182</v>
      </c>
      <c r="C118">
        <f t="shared" si="8"/>
        <v>3437</v>
      </c>
      <c r="D118">
        <v>2623</v>
      </c>
      <c r="E118">
        <v>814</v>
      </c>
      <c r="F118">
        <v>0</v>
      </c>
      <c r="G118">
        <v>12</v>
      </c>
      <c r="H118">
        <v>263</v>
      </c>
      <c r="I118">
        <v>61</v>
      </c>
      <c r="J118">
        <v>1327</v>
      </c>
      <c r="K118">
        <v>1284</v>
      </c>
      <c r="L118">
        <v>293</v>
      </c>
      <c r="M118">
        <v>197</v>
      </c>
      <c r="N118">
        <v>452</v>
      </c>
      <c r="O118">
        <v>28</v>
      </c>
      <c r="P118" s="101">
        <v>2161000000</v>
      </c>
      <c r="Q118" s="101">
        <v>148000000</v>
      </c>
      <c r="R118" s="101">
        <v>138417266.18705034</v>
      </c>
      <c r="S118" s="101">
        <f t="shared" si="9"/>
        <v>4231584.4532374106</v>
      </c>
      <c r="T118" s="101">
        <f t="shared" si="5"/>
        <v>794584.45323741063</v>
      </c>
      <c r="U118" s="101">
        <f t="shared" si="6"/>
        <v>794584.45323741063</v>
      </c>
      <c r="V118" s="101">
        <v>37281</v>
      </c>
      <c r="W118" s="149">
        <f t="shared" si="7"/>
        <v>2.1313388944433107E-2</v>
      </c>
      <c r="Y118" s="255"/>
      <c r="AB118" s="254"/>
    </row>
    <row r="119" spans="2:28" x14ac:dyDescent="0.25">
      <c r="B119" t="s">
        <v>252</v>
      </c>
      <c r="C119">
        <f t="shared" si="8"/>
        <v>6398</v>
      </c>
      <c r="D119">
        <v>5045</v>
      </c>
      <c r="E119">
        <v>1353</v>
      </c>
      <c r="F119">
        <v>0</v>
      </c>
      <c r="G119">
        <v>43</v>
      </c>
      <c r="H119">
        <v>66</v>
      </c>
      <c r="I119">
        <v>392</v>
      </c>
      <c r="J119">
        <v>3739</v>
      </c>
      <c r="K119">
        <v>6683</v>
      </c>
      <c r="L119">
        <v>501</v>
      </c>
      <c r="M119">
        <v>172</v>
      </c>
      <c r="N119">
        <v>256</v>
      </c>
      <c r="O119">
        <v>244</v>
      </c>
      <c r="P119" s="101">
        <v>7175000000</v>
      </c>
      <c r="Q119" s="101">
        <v>498000000</v>
      </c>
      <c r="R119" s="101">
        <v>465937694.70404983</v>
      </c>
      <c r="S119" s="101">
        <f t="shared" si="9"/>
        <v>14072223.274143303</v>
      </c>
      <c r="T119" s="101">
        <f t="shared" si="5"/>
        <v>7674223.2741433028</v>
      </c>
      <c r="U119" s="101">
        <f t="shared" si="6"/>
        <v>7674223.2741433028</v>
      </c>
      <c r="V119" s="101">
        <v>126704</v>
      </c>
      <c r="W119" s="149">
        <f t="shared" si="7"/>
        <v>6.0568121560039954E-2</v>
      </c>
      <c r="Y119" s="255"/>
      <c r="AB119" s="254"/>
    </row>
    <row r="120" spans="2:28" x14ac:dyDescent="0.25">
      <c r="B120" t="s">
        <v>253</v>
      </c>
      <c r="C120">
        <f t="shared" si="8"/>
        <v>7124</v>
      </c>
      <c r="D120">
        <v>5605</v>
      </c>
      <c r="E120">
        <v>1519</v>
      </c>
      <c r="F120">
        <v>798</v>
      </c>
      <c r="G120">
        <v>112</v>
      </c>
      <c r="H120">
        <v>0</v>
      </c>
      <c r="I120">
        <v>4</v>
      </c>
      <c r="J120">
        <v>3383</v>
      </c>
      <c r="K120">
        <v>4489</v>
      </c>
      <c r="L120">
        <v>406</v>
      </c>
      <c r="M120">
        <v>647</v>
      </c>
      <c r="N120">
        <v>642</v>
      </c>
      <c r="O120">
        <v>83</v>
      </c>
      <c r="P120" s="101">
        <v>8688000000</v>
      </c>
      <c r="Q120" s="101">
        <v>376000000</v>
      </c>
      <c r="R120" s="101">
        <v>318728476.82119203</v>
      </c>
      <c r="S120" s="101">
        <f t="shared" si="9"/>
        <v>16222737.536423841</v>
      </c>
      <c r="T120" s="101">
        <f t="shared" si="5"/>
        <v>9098737.5364238415</v>
      </c>
      <c r="U120" s="101">
        <f t="shared" si="6"/>
        <v>9098737.5364238415</v>
      </c>
      <c r="V120" s="101">
        <v>80475</v>
      </c>
      <c r="W120" s="149">
        <f t="shared" si="7"/>
        <v>0.11306290818793217</v>
      </c>
      <c r="Y120" s="255"/>
      <c r="AB120" s="254"/>
    </row>
    <row r="121" spans="2:28" x14ac:dyDescent="0.25">
      <c r="B121" t="s">
        <v>183</v>
      </c>
      <c r="C121">
        <f t="shared" si="8"/>
        <v>5090</v>
      </c>
      <c r="D121">
        <v>3855</v>
      </c>
      <c r="E121">
        <v>1235</v>
      </c>
      <c r="F121">
        <v>0</v>
      </c>
      <c r="G121">
        <v>0</v>
      </c>
      <c r="H121">
        <v>331</v>
      </c>
      <c r="I121">
        <v>18</v>
      </c>
      <c r="J121">
        <v>1543</v>
      </c>
      <c r="K121">
        <v>1993</v>
      </c>
      <c r="L121">
        <v>124</v>
      </c>
      <c r="M121">
        <v>258</v>
      </c>
      <c r="N121">
        <v>962</v>
      </c>
      <c r="O121">
        <v>185</v>
      </c>
      <c r="P121" s="101">
        <v>3234000000</v>
      </c>
      <c r="Q121" s="101">
        <v>287000000</v>
      </c>
      <c r="R121" s="101">
        <v>262021314.38721135</v>
      </c>
      <c r="S121" s="101">
        <f t="shared" si="9"/>
        <v>6540843.8525754884</v>
      </c>
      <c r="T121" s="101">
        <f t="shared" si="5"/>
        <v>1450843.8525754884</v>
      </c>
      <c r="U121" s="101">
        <f t="shared" si="6"/>
        <v>1450843.8525754884</v>
      </c>
      <c r="V121" s="101">
        <v>66282</v>
      </c>
      <c r="W121" s="149">
        <f t="shared" si="7"/>
        <v>2.1888957070931601E-2</v>
      </c>
      <c r="Y121" s="255"/>
      <c r="AB121" s="254"/>
    </row>
    <row r="122" spans="2:28" x14ac:dyDescent="0.25">
      <c r="B122" t="s">
        <v>129</v>
      </c>
      <c r="C122">
        <f t="shared" si="8"/>
        <v>16502</v>
      </c>
      <c r="D122">
        <v>7637</v>
      </c>
      <c r="E122">
        <v>8865</v>
      </c>
      <c r="F122">
        <v>3282</v>
      </c>
      <c r="G122">
        <v>43</v>
      </c>
      <c r="H122">
        <v>437</v>
      </c>
      <c r="I122">
        <v>119</v>
      </c>
      <c r="J122">
        <v>6624</v>
      </c>
      <c r="K122">
        <v>5988</v>
      </c>
      <c r="L122">
        <v>650</v>
      </c>
      <c r="M122">
        <v>272</v>
      </c>
      <c r="N122">
        <v>1721</v>
      </c>
      <c r="O122">
        <v>434</v>
      </c>
      <c r="P122" s="101">
        <v>7370000000</v>
      </c>
      <c r="Q122" s="101">
        <v>1274000000</v>
      </c>
      <c r="R122" s="101">
        <v>1223850497.0178926</v>
      </c>
      <c r="S122" s="101">
        <f t="shared" si="9"/>
        <v>17061513.509343937</v>
      </c>
      <c r="T122" s="101">
        <f t="shared" si="5"/>
        <v>559513.50934393704</v>
      </c>
      <c r="U122" s="101">
        <f t="shared" si="6"/>
        <v>559513.50934393704</v>
      </c>
      <c r="V122" s="101">
        <v>215158</v>
      </c>
      <c r="W122" s="149">
        <f t="shared" si="7"/>
        <v>2.6004773670694889E-3</v>
      </c>
      <c r="Y122" s="255"/>
      <c r="AB122" s="254"/>
    </row>
    <row r="123" spans="2:28" x14ac:dyDescent="0.25">
      <c r="B123" t="s">
        <v>405</v>
      </c>
      <c r="C123">
        <f t="shared" si="8"/>
        <v>27021</v>
      </c>
      <c r="D123">
        <v>14496</v>
      </c>
      <c r="E123">
        <v>12525</v>
      </c>
      <c r="F123">
        <v>1706</v>
      </c>
      <c r="G123">
        <v>0</v>
      </c>
      <c r="H123">
        <v>394</v>
      </c>
      <c r="I123">
        <v>732</v>
      </c>
      <c r="J123">
        <v>9291</v>
      </c>
      <c r="K123">
        <v>12311</v>
      </c>
      <c r="L123">
        <v>1377</v>
      </c>
      <c r="M123">
        <v>518</v>
      </c>
      <c r="N123">
        <v>1752</v>
      </c>
      <c r="O123">
        <v>147</v>
      </c>
      <c r="P123" s="101">
        <v>9327000000</v>
      </c>
      <c r="Q123" s="101">
        <v>2177000000</v>
      </c>
      <c r="R123" s="101">
        <v>2117929945.7326097</v>
      </c>
      <c r="S123" s="101">
        <f t="shared" si="9"/>
        <v>23552316.876171682</v>
      </c>
      <c r="T123" s="101">
        <f t="shared" si="5"/>
        <v>-3468683.123828318</v>
      </c>
      <c r="U123" s="101">
        <f t="shared" si="6"/>
        <v>0</v>
      </c>
      <c r="V123" s="101">
        <v>528461</v>
      </c>
      <c r="W123" s="149">
        <f t="shared" si="7"/>
        <v>-6.5637447679740184E-3</v>
      </c>
      <c r="Y123" s="255"/>
      <c r="AB123" s="254"/>
    </row>
    <row r="124" spans="2:28" x14ac:dyDescent="0.25">
      <c r="B124" t="s">
        <v>369</v>
      </c>
      <c r="C124">
        <f t="shared" si="8"/>
        <v>4205</v>
      </c>
      <c r="D124">
        <v>2938</v>
      </c>
      <c r="E124">
        <v>1267</v>
      </c>
      <c r="F124">
        <v>0</v>
      </c>
      <c r="G124">
        <v>0</v>
      </c>
      <c r="H124">
        <v>303</v>
      </c>
      <c r="I124">
        <v>0</v>
      </c>
      <c r="J124">
        <v>2222</v>
      </c>
      <c r="K124">
        <v>1592</v>
      </c>
      <c r="L124">
        <v>206</v>
      </c>
      <c r="M124">
        <v>39</v>
      </c>
      <c r="N124">
        <v>493</v>
      </c>
      <c r="O124">
        <v>116</v>
      </c>
      <c r="P124" s="101">
        <v>3221000000</v>
      </c>
      <c r="Q124" s="101">
        <v>404000000</v>
      </c>
      <c r="R124" s="101">
        <v>334522292.99363059</v>
      </c>
      <c r="S124" s="101">
        <f t="shared" si="9"/>
        <v>6846014.044585987</v>
      </c>
      <c r="T124" s="101">
        <f t="shared" si="5"/>
        <v>2641014.044585987</v>
      </c>
      <c r="U124" s="101">
        <f t="shared" si="6"/>
        <v>2641014.044585987</v>
      </c>
      <c r="V124" s="101">
        <v>43345</v>
      </c>
      <c r="W124" s="149">
        <f t="shared" si="7"/>
        <v>6.0930073701372406E-2</v>
      </c>
      <c r="Y124" s="255"/>
      <c r="AB124" s="254"/>
    </row>
    <row r="125" spans="2:28" x14ac:dyDescent="0.25">
      <c r="B125" t="s">
        <v>255</v>
      </c>
      <c r="C125">
        <f t="shared" si="8"/>
        <v>5327</v>
      </c>
      <c r="D125">
        <v>4118</v>
      </c>
      <c r="E125">
        <v>1209</v>
      </c>
      <c r="F125">
        <v>0</v>
      </c>
      <c r="G125">
        <v>0</v>
      </c>
      <c r="H125">
        <v>26</v>
      </c>
      <c r="I125">
        <v>21</v>
      </c>
      <c r="J125">
        <v>2404</v>
      </c>
      <c r="K125">
        <v>3218</v>
      </c>
      <c r="L125">
        <v>294</v>
      </c>
      <c r="M125">
        <v>115</v>
      </c>
      <c r="N125">
        <v>916</v>
      </c>
      <c r="O125">
        <v>95</v>
      </c>
      <c r="P125" s="101">
        <v>5684000000</v>
      </c>
      <c r="Q125" s="101">
        <v>394000000</v>
      </c>
      <c r="R125" s="101">
        <v>384353092.78350514</v>
      </c>
      <c r="S125" s="101">
        <f t="shared" si="9"/>
        <v>11173408.497422682</v>
      </c>
      <c r="T125" s="101">
        <f t="shared" si="5"/>
        <v>5846408.4974226821</v>
      </c>
      <c r="U125" s="101">
        <f t="shared" si="6"/>
        <v>5846408.4974226821</v>
      </c>
      <c r="V125" s="101">
        <v>64358</v>
      </c>
      <c r="W125" s="149">
        <f t="shared" si="7"/>
        <v>9.0841985416306947E-2</v>
      </c>
      <c r="Y125" s="255"/>
      <c r="AB125" s="254"/>
    </row>
    <row r="126" spans="2:28" x14ac:dyDescent="0.25">
      <c r="B126" t="s">
        <v>147</v>
      </c>
      <c r="C126">
        <f t="shared" si="8"/>
        <v>9380</v>
      </c>
      <c r="D126">
        <v>5953</v>
      </c>
      <c r="E126">
        <v>3427</v>
      </c>
      <c r="F126">
        <v>92</v>
      </c>
      <c r="G126">
        <v>0</v>
      </c>
      <c r="H126">
        <v>632</v>
      </c>
      <c r="I126">
        <v>0</v>
      </c>
      <c r="J126">
        <v>4405</v>
      </c>
      <c r="K126">
        <v>3977</v>
      </c>
      <c r="L126">
        <v>402</v>
      </c>
      <c r="M126">
        <v>433</v>
      </c>
      <c r="N126">
        <v>1033</v>
      </c>
      <c r="O126">
        <v>263</v>
      </c>
      <c r="P126" s="101">
        <v>5473000000</v>
      </c>
      <c r="Q126" s="101">
        <v>705000000</v>
      </c>
      <c r="R126" s="101">
        <v>640956425.40620387</v>
      </c>
      <c r="S126" s="101">
        <f t="shared" si="9"/>
        <v>11789975.659527328</v>
      </c>
      <c r="T126" s="101">
        <f t="shared" si="5"/>
        <v>2409975.6595273279</v>
      </c>
      <c r="U126" s="101">
        <f t="shared" si="6"/>
        <v>2409975.6595273279</v>
      </c>
      <c r="V126" s="101">
        <v>124264</v>
      </c>
      <c r="W126" s="149">
        <f t="shared" si="7"/>
        <v>1.9393997131327882E-2</v>
      </c>
      <c r="Y126" s="255"/>
      <c r="AB126" s="254"/>
    </row>
    <row r="127" spans="2:28" x14ac:dyDescent="0.25">
      <c r="B127" t="s">
        <v>370</v>
      </c>
      <c r="C127">
        <f t="shared" si="8"/>
        <v>24847</v>
      </c>
      <c r="D127">
        <v>21079</v>
      </c>
      <c r="E127">
        <v>3768</v>
      </c>
      <c r="F127">
        <v>3941</v>
      </c>
      <c r="G127">
        <v>313</v>
      </c>
      <c r="H127">
        <v>152</v>
      </c>
      <c r="I127">
        <v>817</v>
      </c>
      <c r="J127">
        <v>8972</v>
      </c>
      <c r="K127">
        <v>11376</v>
      </c>
      <c r="L127">
        <v>1238</v>
      </c>
      <c r="M127">
        <v>0</v>
      </c>
      <c r="N127">
        <v>1914</v>
      </c>
      <c r="O127">
        <v>140</v>
      </c>
      <c r="P127" s="101">
        <v>13327000000</v>
      </c>
      <c r="Q127" s="101">
        <v>2103000000</v>
      </c>
      <c r="R127" s="101">
        <v>2086152214.8916118</v>
      </c>
      <c r="S127" s="101">
        <f t="shared" si="9"/>
        <v>30285427.1795476</v>
      </c>
      <c r="T127" s="101">
        <f t="shared" si="5"/>
        <v>5438427.1795476004</v>
      </c>
      <c r="U127" s="101">
        <f t="shared" si="6"/>
        <v>5438427.1795476004</v>
      </c>
      <c r="V127" s="101">
        <v>434733</v>
      </c>
      <c r="W127" s="149">
        <f t="shared" si="7"/>
        <v>1.2509809882267048E-2</v>
      </c>
      <c r="Y127" s="255"/>
      <c r="AB127" s="254"/>
    </row>
    <row r="128" spans="2:28" x14ac:dyDescent="0.25">
      <c r="B128" t="s">
        <v>295</v>
      </c>
      <c r="C128">
        <f t="shared" si="8"/>
        <v>7025</v>
      </c>
      <c r="D128">
        <v>4714</v>
      </c>
      <c r="E128">
        <v>2311</v>
      </c>
      <c r="F128">
        <v>0</v>
      </c>
      <c r="G128">
        <v>0</v>
      </c>
      <c r="H128">
        <v>0</v>
      </c>
      <c r="I128">
        <v>258</v>
      </c>
      <c r="J128">
        <v>2619</v>
      </c>
      <c r="K128">
        <v>4682</v>
      </c>
      <c r="L128">
        <v>374</v>
      </c>
      <c r="M128">
        <v>410</v>
      </c>
      <c r="N128">
        <v>1003</v>
      </c>
      <c r="O128">
        <v>280</v>
      </c>
      <c r="P128" s="101">
        <v>5010000000</v>
      </c>
      <c r="Q128" s="101">
        <v>430000000</v>
      </c>
      <c r="R128" s="101">
        <v>422384196.1852861</v>
      </c>
      <c r="S128" s="101">
        <f t="shared" si="9"/>
        <v>10136062.27520436</v>
      </c>
      <c r="T128" s="101">
        <f t="shared" si="5"/>
        <v>3111062.2752043605</v>
      </c>
      <c r="U128" s="101">
        <f t="shared" si="6"/>
        <v>3111062.2752043605</v>
      </c>
      <c r="V128" s="101">
        <v>102479</v>
      </c>
      <c r="W128" s="149">
        <f t="shared" si="7"/>
        <v>3.0358046772552039E-2</v>
      </c>
      <c r="Y128" s="255"/>
      <c r="AB128" s="254"/>
    </row>
    <row r="129" spans="2:28" x14ac:dyDescent="0.25">
      <c r="B129" t="s">
        <v>722</v>
      </c>
      <c r="C129">
        <f t="shared" si="8"/>
        <v>27429</v>
      </c>
      <c r="D129">
        <v>12636</v>
      </c>
      <c r="E129">
        <v>14793</v>
      </c>
      <c r="F129">
        <v>1966</v>
      </c>
      <c r="G129">
        <v>337</v>
      </c>
      <c r="H129">
        <v>272</v>
      </c>
      <c r="I129">
        <v>760</v>
      </c>
      <c r="J129">
        <v>11296</v>
      </c>
      <c r="K129">
        <v>9072</v>
      </c>
      <c r="L129">
        <v>1183</v>
      </c>
      <c r="M129">
        <v>598</v>
      </c>
      <c r="N129">
        <v>2163</v>
      </c>
      <c r="O129">
        <v>1121</v>
      </c>
      <c r="P129" s="101">
        <v>11462000000</v>
      </c>
      <c r="Q129" s="101">
        <v>1952000000</v>
      </c>
      <c r="R129" s="101">
        <v>1872182194.6169772</v>
      </c>
      <c r="S129" s="101">
        <f t="shared" si="9"/>
        <v>26429809.014492754</v>
      </c>
      <c r="T129" s="101">
        <f t="shared" si="5"/>
        <v>-999190.98550724611</v>
      </c>
      <c r="U129" s="101">
        <f t="shared" si="6"/>
        <v>0</v>
      </c>
      <c r="V129" s="101">
        <v>376980</v>
      </c>
      <c r="W129" s="149">
        <f t="shared" si="7"/>
        <v>-2.650514577715651E-3</v>
      </c>
      <c r="Y129" s="255"/>
      <c r="AB129" s="254"/>
    </row>
    <row r="130" spans="2:28" x14ac:dyDescent="0.25">
      <c r="B130" t="s">
        <v>593</v>
      </c>
      <c r="C130">
        <f t="shared" si="8"/>
        <v>30077</v>
      </c>
      <c r="D130">
        <v>8283</v>
      </c>
      <c r="E130">
        <v>21794</v>
      </c>
      <c r="F130">
        <v>0</v>
      </c>
      <c r="G130">
        <v>0</v>
      </c>
      <c r="H130">
        <v>679</v>
      </c>
      <c r="I130">
        <v>6</v>
      </c>
      <c r="J130">
        <v>4879</v>
      </c>
      <c r="K130">
        <v>6159</v>
      </c>
      <c r="L130">
        <v>552</v>
      </c>
      <c r="M130">
        <v>514</v>
      </c>
      <c r="N130">
        <v>2928</v>
      </c>
      <c r="O130">
        <v>123</v>
      </c>
      <c r="P130" s="101">
        <v>5460000000</v>
      </c>
      <c r="Q130" s="101">
        <v>1908000000</v>
      </c>
      <c r="R130" s="101">
        <v>1908000000</v>
      </c>
      <c r="S130" s="101">
        <f t="shared" si="9"/>
        <v>16038204</v>
      </c>
      <c r="T130" s="101">
        <f t="shared" ref="T130:T193" si="10">SUM(S130,-C130*1000)</f>
        <v>-14038796</v>
      </c>
      <c r="U130" s="101">
        <f t="shared" ref="U130:U193" si="11">IF(T130&gt;0,T130,0)</f>
        <v>0</v>
      </c>
      <c r="V130" s="101">
        <v>218586</v>
      </c>
      <c r="W130" s="149">
        <f t="shared" ref="W130:W193" si="12">T130/(V130*1000)</f>
        <v>-6.4225503920653654E-2</v>
      </c>
      <c r="Y130" s="255"/>
      <c r="AB130" s="254"/>
    </row>
    <row r="131" spans="2:28" x14ac:dyDescent="0.25">
      <c r="B131" t="s">
        <v>184</v>
      </c>
      <c r="C131">
        <f t="shared" ref="C131:C194" si="13">SUM(D131:E131)</f>
        <v>4915</v>
      </c>
      <c r="D131">
        <v>3563</v>
      </c>
      <c r="E131">
        <v>1352</v>
      </c>
      <c r="F131">
        <v>1</v>
      </c>
      <c r="G131">
        <v>0</v>
      </c>
      <c r="H131">
        <v>0</v>
      </c>
      <c r="I131">
        <v>214</v>
      </c>
      <c r="J131">
        <v>1279</v>
      </c>
      <c r="K131">
        <v>1549</v>
      </c>
      <c r="L131">
        <v>205</v>
      </c>
      <c r="M131">
        <v>71</v>
      </c>
      <c r="N131">
        <v>442</v>
      </c>
      <c r="O131">
        <v>58</v>
      </c>
      <c r="P131" s="101">
        <v>2857000000</v>
      </c>
      <c r="Q131" s="101">
        <v>231000000</v>
      </c>
      <c r="R131" s="101">
        <v>210692307.69230768</v>
      </c>
      <c r="S131" s="101">
        <f t="shared" ref="S131:S194" si="14">0.1729%*SUM(P131,Q131,R131)</f>
        <v>5703439</v>
      </c>
      <c r="T131" s="101">
        <f t="shared" si="10"/>
        <v>788439</v>
      </c>
      <c r="U131" s="101">
        <f t="shared" si="11"/>
        <v>788439</v>
      </c>
      <c r="V131" s="101">
        <v>52275</v>
      </c>
      <c r="W131" s="149">
        <f t="shared" si="12"/>
        <v>1.5082525107604017E-2</v>
      </c>
      <c r="Y131" s="255"/>
      <c r="AB131" s="254"/>
    </row>
    <row r="132" spans="2:28" x14ac:dyDescent="0.25">
      <c r="B132" t="s">
        <v>371</v>
      </c>
      <c r="C132">
        <f t="shared" si="13"/>
        <v>9901</v>
      </c>
      <c r="D132">
        <v>7051</v>
      </c>
      <c r="E132">
        <v>2850</v>
      </c>
      <c r="F132">
        <v>78</v>
      </c>
      <c r="G132">
        <v>0</v>
      </c>
      <c r="H132">
        <v>160</v>
      </c>
      <c r="I132">
        <v>334</v>
      </c>
      <c r="J132">
        <v>4776</v>
      </c>
      <c r="K132">
        <v>3511</v>
      </c>
      <c r="L132">
        <v>492</v>
      </c>
      <c r="M132">
        <v>189</v>
      </c>
      <c r="N132">
        <v>1258</v>
      </c>
      <c r="O132">
        <v>163</v>
      </c>
      <c r="P132" s="101">
        <v>7923000000</v>
      </c>
      <c r="Q132" s="101">
        <v>867000000</v>
      </c>
      <c r="R132" s="101">
        <v>822915254.23728812</v>
      </c>
      <c r="S132" s="101">
        <f t="shared" si="14"/>
        <v>16620730.47457627</v>
      </c>
      <c r="T132" s="101">
        <f t="shared" si="10"/>
        <v>6719730.4745762702</v>
      </c>
      <c r="U132" s="101">
        <f t="shared" si="11"/>
        <v>6719730.4745762702</v>
      </c>
      <c r="V132" s="101">
        <v>149327</v>
      </c>
      <c r="W132" s="149">
        <f t="shared" si="12"/>
        <v>4.5000103628789638E-2</v>
      </c>
      <c r="Y132" s="255"/>
      <c r="AB132" s="254"/>
    </row>
    <row r="133" spans="2:28" x14ac:dyDescent="0.25">
      <c r="B133" t="s">
        <v>296</v>
      </c>
      <c r="C133">
        <f t="shared" si="13"/>
        <v>5174</v>
      </c>
      <c r="D133">
        <v>3774</v>
      </c>
      <c r="E133">
        <v>1400</v>
      </c>
      <c r="F133">
        <v>11</v>
      </c>
      <c r="G133">
        <v>11</v>
      </c>
      <c r="H133">
        <v>0</v>
      </c>
      <c r="I133">
        <v>0</v>
      </c>
      <c r="J133">
        <v>2433</v>
      </c>
      <c r="K133">
        <v>0</v>
      </c>
      <c r="L133">
        <v>261</v>
      </c>
      <c r="M133">
        <v>109</v>
      </c>
      <c r="N133">
        <v>496</v>
      </c>
      <c r="O133">
        <v>42</v>
      </c>
      <c r="P133" s="101">
        <v>4158000000</v>
      </c>
      <c r="Q133" s="101">
        <v>448000000</v>
      </c>
      <c r="R133" s="101">
        <v>439576968.27262044</v>
      </c>
      <c r="S133" s="101">
        <f t="shared" si="14"/>
        <v>8723802.5781433601</v>
      </c>
      <c r="T133" s="101">
        <f t="shared" si="10"/>
        <v>3549802.5781433601</v>
      </c>
      <c r="U133" s="101">
        <f t="shared" si="11"/>
        <v>3549802.5781433601</v>
      </c>
      <c r="V133" s="101">
        <v>67293</v>
      </c>
      <c r="W133" s="149">
        <f t="shared" si="12"/>
        <v>5.2751438903650603E-2</v>
      </c>
      <c r="Y133" s="255"/>
      <c r="AB133" s="254"/>
    </row>
    <row r="134" spans="2:28" x14ac:dyDescent="0.25">
      <c r="B134" t="s">
        <v>372</v>
      </c>
      <c r="C134">
        <f t="shared" si="13"/>
        <v>4109</v>
      </c>
      <c r="D134">
        <v>2758</v>
      </c>
      <c r="E134">
        <v>1351</v>
      </c>
      <c r="F134">
        <v>11</v>
      </c>
      <c r="G134">
        <v>10</v>
      </c>
      <c r="H134">
        <v>1524</v>
      </c>
      <c r="I134">
        <v>0</v>
      </c>
      <c r="J134">
        <v>1524</v>
      </c>
      <c r="K134">
        <v>1227</v>
      </c>
      <c r="L134">
        <v>168</v>
      </c>
      <c r="M134">
        <v>0</v>
      </c>
      <c r="N134">
        <v>923</v>
      </c>
      <c r="O134">
        <v>530</v>
      </c>
      <c r="P134" s="101">
        <v>3007000000</v>
      </c>
      <c r="Q134" s="101">
        <v>432000000</v>
      </c>
      <c r="R134" s="101">
        <v>432000000</v>
      </c>
      <c r="S134" s="101">
        <f t="shared" si="14"/>
        <v>6692959</v>
      </c>
      <c r="T134" s="101">
        <f t="shared" si="10"/>
        <v>2583959</v>
      </c>
      <c r="U134" s="101">
        <f t="shared" si="11"/>
        <v>2583959</v>
      </c>
      <c r="V134" s="101">
        <v>46009</v>
      </c>
      <c r="W134" s="149">
        <f t="shared" si="12"/>
        <v>5.6162033515181814E-2</v>
      </c>
      <c r="Y134" s="255"/>
      <c r="AB134" s="254"/>
    </row>
    <row r="135" spans="2:28" x14ac:dyDescent="0.25">
      <c r="B135" t="s">
        <v>256</v>
      </c>
      <c r="C135">
        <f t="shared" si="13"/>
        <v>24486</v>
      </c>
      <c r="D135">
        <v>12654</v>
      </c>
      <c r="E135">
        <v>11832</v>
      </c>
      <c r="F135">
        <v>6145</v>
      </c>
      <c r="G135">
        <v>321</v>
      </c>
      <c r="H135">
        <v>0</v>
      </c>
      <c r="I135">
        <v>-3</v>
      </c>
      <c r="J135">
        <v>8756</v>
      </c>
      <c r="K135">
        <v>12625</v>
      </c>
      <c r="L135">
        <v>1397</v>
      </c>
      <c r="M135">
        <v>54</v>
      </c>
      <c r="N135">
        <v>2331</v>
      </c>
      <c r="O135">
        <v>473</v>
      </c>
      <c r="P135" s="101">
        <v>19180000000</v>
      </c>
      <c r="Q135" s="101">
        <v>2648000000</v>
      </c>
      <c r="R135" s="101">
        <v>2584952380.9523807</v>
      </c>
      <c r="S135" s="101">
        <f t="shared" si="14"/>
        <v>42209994.666666672</v>
      </c>
      <c r="T135" s="101">
        <f t="shared" si="10"/>
        <v>17723994.666666672</v>
      </c>
      <c r="U135" s="101">
        <f t="shared" si="11"/>
        <v>17723994.666666672</v>
      </c>
      <c r="V135" s="101">
        <v>365980</v>
      </c>
      <c r="W135" s="149">
        <f t="shared" si="12"/>
        <v>4.8428861322112333E-2</v>
      </c>
      <c r="Y135" s="255"/>
      <c r="AB135" s="254"/>
    </row>
    <row r="136" spans="2:28" x14ac:dyDescent="0.25">
      <c r="B136" t="s">
        <v>594</v>
      </c>
      <c r="C136">
        <f t="shared" si="13"/>
        <v>19702</v>
      </c>
      <c r="D136">
        <v>11182</v>
      </c>
      <c r="E136">
        <v>8520</v>
      </c>
      <c r="F136">
        <v>60</v>
      </c>
      <c r="G136">
        <v>0</v>
      </c>
      <c r="H136">
        <v>169</v>
      </c>
      <c r="I136">
        <v>939</v>
      </c>
      <c r="J136">
        <v>9267</v>
      </c>
      <c r="K136">
        <v>9231</v>
      </c>
      <c r="L136">
        <v>1113</v>
      </c>
      <c r="M136">
        <v>1244</v>
      </c>
      <c r="N136">
        <v>3162</v>
      </c>
      <c r="O136">
        <v>1048</v>
      </c>
      <c r="P136" s="101">
        <v>14010000000</v>
      </c>
      <c r="Q136" s="101">
        <v>1924000000</v>
      </c>
      <c r="R136" s="101">
        <v>1854587920.8979154</v>
      </c>
      <c r="S136" s="101">
        <f t="shared" si="14"/>
        <v>30756468.515232496</v>
      </c>
      <c r="T136" s="101">
        <f t="shared" si="10"/>
        <v>11054468.515232496</v>
      </c>
      <c r="U136" s="101">
        <f t="shared" si="11"/>
        <v>11054468.515232496</v>
      </c>
      <c r="V136" s="101">
        <v>249373</v>
      </c>
      <c r="W136" s="149">
        <f t="shared" si="12"/>
        <v>4.432905132164467E-2</v>
      </c>
      <c r="Y136" s="255"/>
      <c r="AB136" s="254"/>
    </row>
    <row r="137" spans="2:28" x14ac:dyDescent="0.25">
      <c r="B137" t="s">
        <v>148</v>
      </c>
      <c r="C137">
        <f t="shared" si="13"/>
        <v>9381</v>
      </c>
      <c r="D137">
        <v>5669</v>
      </c>
      <c r="E137">
        <v>3712</v>
      </c>
      <c r="F137">
        <v>22</v>
      </c>
      <c r="G137">
        <v>0</v>
      </c>
      <c r="H137">
        <v>624</v>
      </c>
      <c r="I137">
        <v>37</v>
      </c>
      <c r="J137">
        <v>5076</v>
      </c>
      <c r="K137">
        <v>3569</v>
      </c>
      <c r="L137">
        <v>407</v>
      </c>
      <c r="M137">
        <v>280</v>
      </c>
      <c r="N137">
        <v>1519</v>
      </c>
      <c r="O137">
        <v>345</v>
      </c>
      <c r="P137" s="101">
        <v>4730000000</v>
      </c>
      <c r="Q137" s="101">
        <v>860000000</v>
      </c>
      <c r="R137" s="101">
        <v>858949297.49541843</v>
      </c>
      <c r="S137" s="101">
        <f t="shared" si="14"/>
        <v>11150233.335369579</v>
      </c>
      <c r="T137" s="101">
        <f t="shared" si="10"/>
        <v>1769233.3353695795</v>
      </c>
      <c r="U137" s="101">
        <f t="shared" si="11"/>
        <v>1769233.3353695795</v>
      </c>
      <c r="V137" s="101">
        <v>118347</v>
      </c>
      <c r="W137" s="149">
        <f t="shared" si="12"/>
        <v>1.4949541056127991E-2</v>
      </c>
      <c r="Y137" s="255"/>
      <c r="AB137" s="254"/>
    </row>
    <row r="138" spans="2:28" x14ac:dyDescent="0.25">
      <c r="B138" t="s">
        <v>257</v>
      </c>
      <c r="C138">
        <f t="shared" si="13"/>
        <v>12352</v>
      </c>
      <c r="D138">
        <v>6237</v>
      </c>
      <c r="E138">
        <v>6115</v>
      </c>
      <c r="F138">
        <v>0</v>
      </c>
      <c r="G138">
        <v>0</v>
      </c>
      <c r="H138">
        <v>447</v>
      </c>
      <c r="I138">
        <v>0</v>
      </c>
      <c r="J138">
        <v>4065</v>
      </c>
      <c r="K138">
        <v>6193</v>
      </c>
      <c r="L138">
        <v>566</v>
      </c>
      <c r="M138">
        <v>359</v>
      </c>
      <c r="N138">
        <v>848</v>
      </c>
      <c r="O138">
        <v>365</v>
      </c>
      <c r="P138" s="101">
        <v>6727000000</v>
      </c>
      <c r="Q138" s="101">
        <v>1996000000</v>
      </c>
      <c r="R138" s="101">
        <v>1996000000</v>
      </c>
      <c r="S138" s="101">
        <f t="shared" si="14"/>
        <v>18533151</v>
      </c>
      <c r="T138" s="101">
        <f t="shared" si="10"/>
        <v>6181151</v>
      </c>
      <c r="U138" s="101">
        <f t="shared" si="11"/>
        <v>6181151</v>
      </c>
      <c r="V138" s="101">
        <v>154984</v>
      </c>
      <c r="W138" s="149">
        <f t="shared" si="12"/>
        <v>3.9882510452691894E-2</v>
      </c>
      <c r="Y138" s="255"/>
      <c r="AB138" s="254"/>
    </row>
    <row r="139" spans="2:28" x14ac:dyDescent="0.25">
      <c r="B139" t="s">
        <v>109</v>
      </c>
      <c r="C139">
        <f t="shared" si="13"/>
        <v>16761</v>
      </c>
      <c r="D139">
        <v>9500</v>
      </c>
      <c r="E139">
        <v>7261</v>
      </c>
      <c r="F139">
        <v>2757</v>
      </c>
      <c r="G139">
        <v>87</v>
      </c>
      <c r="H139">
        <v>260</v>
      </c>
      <c r="I139">
        <v>241</v>
      </c>
      <c r="J139">
        <v>4955</v>
      </c>
      <c r="K139">
        <v>6366</v>
      </c>
      <c r="L139">
        <v>691</v>
      </c>
      <c r="M139">
        <v>1053</v>
      </c>
      <c r="N139">
        <v>1287</v>
      </c>
      <c r="O139">
        <v>150</v>
      </c>
      <c r="P139" s="101">
        <v>6402000000</v>
      </c>
      <c r="Q139" s="101">
        <v>1242000000</v>
      </c>
      <c r="R139" s="101">
        <v>1153400085.947572</v>
      </c>
      <c r="S139" s="101">
        <f t="shared" si="14"/>
        <v>15210704.748603353</v>
      </c>
      <c r="T139" s="101">
        <f t="shared" si="10"/>
        <v>-1550295.2513966467</v>
      </c>
      <c r="U139" s="101">
        <f t="shared" si="11"/>
        <v>0</v>
      </c>
      <c r="V139" s="101">
        <v>242658</v>
      </c>
      <c r="W139" s="149">
        <f t="shared" si="12"/>
        <v>-6.3888075043750736E-3</v>
      </c>
      <c r="Y139" s="255"/>
      <c r="AB139" s="254"/>
    </row>
    <row r="140" spans="2:28" x14ac:dyDescent="0.25">
      <c r="B140" t="s">
        <v>258</v>
      </c>
      <c r="C140">
        <f t="shared" si="13"/>
        <v>16322</v>
      </c>
      <c r="D140">
        <v>11163</v>
      </c>
      <c r="E140">
        <v>5159</v>
      </c>
      <c r="F140">
        <v>6981</v>
      </c>
      <c r="G140">
        <v>320</v>
      </c>
      <c r="H140">
        <v>468</v>
      </c>
      <c r="I140">
        <v>1180</v>
      </c>
      <c r="J140">
        <v>6120</v>
      </c>
      <c r="K140">
        <v>9489</v>
      </c>
      <c r="L140">
        <v>1023</v>
      </c>
      <c r="M140">
        <v>348</v>
      </c>
      <c r="N140">
        <v>2116</v>
      </c>
      <c r="O140">
        <v>656</v>
      </c>
      <c r="P140" s="101">
        <v>11415000000</v>
      </c>
      <c r="Q140" s="101">
        <v>1458000000</v>
      </c>
      <c r="R140" s="101">
        <v>1442610827.3748722</v>
      </c>
      <c r="S140" s="101">
        <f t="shared" si="14"/>
        <v>24751691.120531157</v>
      </c>
      <c r="T140" s="101">
        <f t="shared" si="10"/>
        <v>8429691.1205311567</v>
      </c>
      <c r="U140" s="101">
        <f t="shared" si="11"/>
        <v>8429691.1205311567</v>
      </c>
      <c r="V140" s="101">
        <v>315072</v>
      </c>
      <c r="W140" s="149">
        <f t="shared" si="12"/>
        <v>2.6754808807292165E-2</v>
      </c>
      <c r="Y140" s="255"/>
      <c r="AB140" s="254"/>
    </row>
    <row r="141" spans="2:28" x14ac:dyDescent="0.25">
      <c r="B141" t="s">
        <v>406</v>
      </c>
      <c r="C141">
        <f t="shared" si="13"/>
        <v>14504</v>
      </c>
      <c r="D141">
        <v>7831</v>
      </c>
      <c r="E141">
        <v>6673</v>
      </c>
      <c r="F141">
        <v>-2</v>
      </c>
      <c r="G141">
        <v>25</v>
      </c>
      <c r="H141">
        <v>3930</v>
      </c>
      <c r="I141">
        <v>92</v>
      </c>
      <c r="J141">
        <v>4581</v>
      </c>
      <c r="K141">
        <v>4021</v>
      </c>
      <c r="L141">
        <v>498</v>
      </c>
      <c r="M141">
        <v>13</v>
      </c>
      <c r="N141">
        <v>1445</v>
      </c>
      <c r="O141">
        <v>186</v>
      </c>
      <c r="P141" s="101">
        <v>6043000000</v>
      </c>
      <c r="Q141" s="101">
        <v>738500000</v>
      </c>
      <c r="R141" s="101">
        <v>681587448.08491004</v>
      </c>
      <c r="S141" s="101">
        <f t="shared" si="14"/>
        <v>12903678.197738811</v>
      </c>
      <c r="T141" s="101">
        <f t="shared" si="10"/>
        <v>-1600321.8022611886</v>
      </c>
      <c r="U141" s="101">
        <f t="shared" si="11"/>
        <v>0</v>
      </c>
      <c r="V141" s="101">
        <v>148024</v>
      </c>
      <c r="W141" s="149">
        <f t="shared" si="12"/>
        <v>-1.0811231977660303E-2</v>
      </c>
      <c r="Y141" s="255"/>
      <c r="AB141" s="254"/>
    </row>
    <row r="142" spans="2:28" x14ac:dyDescent="0.25">
      <c r="B142" t="s">
        <v>219</v>
      </c>
      <c r="C142">
        <f t="shared" si="13"/>
        <v>14792</v>
      </c>
      <c r="D142">
        <v>8837</v>
      </c>
      <c r="E142">
        <v>5955</v>
      </c>
      <c r="F142">
        <v>13</v>
      </c>
      <c r="G142">
        <v>0</v>
      </c>
      <c r="H142">
        <v>263</v>
      </c>
      <c r="I142">
        <v>185</v>
      </c>
      <c r="J142">
        <v>3453</v>
      </c>
      <c r="K142">
        <v>5715</v>
      </c>
      <c r="L142">
        <v>576</v>
      </c>
      <c r="M142">
        <v>159</v>
      </c>
      <c r="N142">
        <v>761</v>
      </c>
      <c r="O142">
        <v>376</v>
      </c>
      <c r="P142" s="101">
        <v>10530000000</v>
      </c>
      <c r="Q142" s="101">
        <v>1124000000</v>
      </c>
      <c r="R142" s="101">
        <v>1090257874.015748</v>
      </c>
      <c r="S142" s="101">
        <f t="shared" si="14"/>
        <v>22034821.864173226</v>
      </c>
      <c r="T142" s="101">
        <f t="shared" si="10"/>
        <v>7242821.8641732261</v>
      </c>
      <c r="U142" s="101">
        <f t="shared" si="11"/>
        <v>7242821.8641732261</v>
      </c>
      <c r="V142" s="101">
        <v>133230</v>
      </c>
      <c r="W142" s="149">
        <f t="shared" si="12"/>
        <v>5.4363295535339085E-2</v>
      </c>
      <c r="Y142" s="255"/>
      <c r="AB142" s="254"/>
    </row>
    <row r="143" spans="2:28" x14ac:dyDescent="0.25">
      <c r="B143" t="s">
        <v>259</v>
      </c>
      <c r="C143">
        <f t="shared" si="13"/>
        <v>5693</v>
      </c>
      <c r="D143">
        <v>3976</v>
      </c>
      <c r="E143">
        <v>1717</v>
      </c>
      <c r="F143">
        <v>5</v>
      </c>
      <c r="G143">
        <v>173</v>
      </c>
      <c r="H143">
        <v>109</v>
      </c>
      <c r="I143">
        <v>122</v>
      </c>
      <c r="J143">
        <v>4685</v>
      </c>
      <c r="K143">
        <v>6296</v>
      </c>
      <c r="L143">
        <v>525</v>
      </c>
      <c r="M143">
        <v>354</v>
      </c>
      <c r="N143">
        <v>758</v>
      </c>
      <c r="O143">
        <v>143</v>
      </c>
      <c r="P143" s="101">
        <v>8654000000</v>
      </c>
      <c r="Q143" s="101">
        <v>564000000</v>
      </c>
      <c r="R143" s="101">
        <v>542187845.30386734</v>
      </c>
      <c r="S143" s="101">
        <f t="shared" si="14"/>
        <v>16875364.784530386</v>
      </c>
      <c r="T143" s="101">
        <f t="shared" si="10"/>
        <v>11182364.784530386</v>
      </c>
      <c r="U143" s="101">
        <f t="shared" si="11"/>
        <v>11182364.784530386</v>
      </c>
      <c r="V143" s="101">
        <v>135552</v>
      </c>
      <c r="W143" s="149">
        <f t="shared" si="12"/>
        <v>8.2495018771618175E-2</v>
      </c>
      <c r="Y143" s="255"/>
      <c r="AB143" s="254"/>
    </row>
    <row r="144" spans="2:28" x14ac:dyDescent="0.25">
      <c r="B144" t="s">
        <v>330</v>
      </c>
      <c r="C144">
        <f t="shared" si="13"/>
        <v>5424</v>
      </c>
      <c r="D144">
        <v>3671</v>
      </c>
      <c r="E144">
        <v>1753</v>
      </c>
      <c r="F144">
        <v>838</v>
      </c>
      <c r="G144">
        <v>20</v>
      </c>
      <c r="H144">
        <v>435</v>
      </c>
      <c r="I144">
        <v>341</v>
      </c>
      <c r="J144">
        <v>3825</v>
      </c>
      <c r="K144">
        <v>3688</v>
      </c>
      <c r="L144">
        <v>291</v>
      </c>
      <c r="M144">
        <v>124</v>
      </c>
      <c r="N144">
        <v>1576</v>
      </c>
      <c r="O144">
        <v>149</v>
      </c>
      <c r="P144" s="101">
        <v>3627000000</v>
      </c>
      <c r="Q144" s="101">
        <v>457000000</v>
      </c>
      <c r="R144" s="101">
        <v>389080679.4055202</v>
      </c>
      <c r="S144" s="101">
        <f t="shared" si="14"/>
        <v>7733956.4946921449</v>
      </c>
      <c r="T144" s="101">
        <f t="shared" si="10"/>
        <v>2309956.4946921449</v>
      </c>
      <c r="U144" s="101">
        <f t="shared" si="11"/>
        <v>2309956.4946921449</v>
      </c>
      <c r="V144" s="101">
        <v>96995</v>
      </c>
      <c r="W144" s="149">
        <f t="shared" si="12"/>
        <v>2.3815212069613331E-2</v>
      </c>
      <c r="Y144" s="255"/>
      <c r="AB144" s="254"/>
    </row>
    <row r="145" spans="2:28" x14ac:dyDescent="0.25">
      <c r="B145" t="s">
        <v>220</v>
      </c>
      <c r="C145">
        <f t="shared" si="13"/>
        <v>5428</v>
      </c>
      <c r="D145" s="164">
        <v>3999</v>
      </c>
      <c r="E145" s="164">
        <v>1429</v>
      </c>
      <c r="F145" s="164">
        <v>1055</v>
      </c>
      <c r="G145" s="164">
        <v>0</v>
      </c>
      <c r="H145" s="164">
        <v>0</v>
      </c>
      <c r="I145" s="164">
        <v>187</v>
      </c>
      <c r="J145" s="164">
        <v>3872</v>
      </c>
      <c r="K145" s="164">
        <v>5415</v>
      </c>
      <c r="L145" s="164">
        <v>453</v>
      </c>
      <c r="M145" s="164">
        <v>262</v>
      </c>
      <c r="N145" s="164">
        <v>370</v>
      </c>
      <c r="O145" s="164">
        <v>131</v>
      </c>
      <c r="P145" s="101">
        <v>5782000000</v>
      </c>
      <c r="Q145" s="101">
        <v>468000000</v>
      </c>
      <c r="R145" s="101">
        <v>458698744.76987445</v>
      </c>
      <c r="S145" s="101">
        <f t="shared" si="14"/>
        <v>11599340.129707113</v>
      </c>
      <c r="T145" s="101">
        <f t="shared" si="10"/>
        <v>6171340.1297071129</v>
      </c>
      <c r="U145" s="101">
        <f t="shared" si="11"/>
        <v>6171340.1297071129</v>
      </c>
      <c r="V145" s="101">
        <v>100389</v>
      </c>
      <c r="W145" s="149">
        <f t="shared" si="12"/>
        <v>6.1474266400772123E-2</v>
      </c>
      <c r="Y145" s="255"/>
      <c r="AB145" s="254"/>
    </row>
    <row r="146" spans="2:28" x14ac:dyDescent="0.25">
      <c r="B146" t="s">
        <v>297</v>
      </c>
      <c r="C146">
        <f t="shared" si="13"/>
        <v>6451</v>
      </c>
      <c r="D146">
        <v>4980</v>
      </c>
      <c r="E146">
        <v>1471</v>
      </c>
      <c r="F146">
        <v>0</v>
      </c>
      <c r="G146">
        <v>3</v>
      </c>
      <c r="H146">
        <v>394</v>
      </c>
      <c r="I146">
        <v>53</v>
      </c>
      <c r="J146">
        <v>4029</v>
      </c>
      <c r="K146">
        <v>4392</v>
      </c>
      <c r="L146">
        <v>436</v>
      </c>
      <c r="M146">
        <v>105</v>
      </c>
      <c r="N146">
        <v>1446</v>
      </c>
      <c r="O146">
        <v>280</v>
      </c>
      <c r="P146" s="101">
        <v>5683000000</v>
      </c>
      <c r="Q146" s="101">
        <v>535000000</v>
      </c>
      <c r="R146" s="101">
        <v>507104283.05400378</v>
      </c>
      <c r="S146" s="101">
        <f t="shared" si="14"/>
        <v>11627705.305400373</v>
      </c>
      <c r="T146" s="101">
        <f t="shared" si="10"/>
        <v>5176705.3054003734</v>
      </c>
      <c r="U146" s="101">
        <f t="shared" si="11"/>
        <v>5176705.3054003734</v>
      </c>
      <c r="V146" s="101">
        <v>81165</v>
      </c>
      <c r="W146" s="149">
        <f t="shared" si="12"/>
        <v>6.3780019779466193E-2</v>
      </c>
      <c r="Y146" s="255"/>
      <c r="AB146" s="254"/>
    </row>
    <row r="147" spans="2:28" x14ac:dyDescent="0.25">
      <c r="B147" t="s">
        <v>149</v>
      </c>
      <c r="C147">
        <f t="shared" si="13"/>
        <v>13098</v>
      </c>
      <c r="D147">
        <v>7774</v>
      </c>
      <c r="E147">
        <v>5324</v>
      </c>
      <c r="F147">
        <v>1793</v>
      </c>
      <c r="G147">
        <v>152</v>
      </c>
      <c r="H147">
        <v>159</v>
      </c>
      <c r="I147">
        <v>535</v>
      </c>
      <c r="J147">
        <v>3347</v>
      </c>
      <c r="K147">
        <v>4959</v>
      </c>
      <c r="L147">
        <v>639</v>
      </c>
      <c r="M147">
        <v>764</v>
      </c>
      <c r="N147">
        <v>2374</v>
      </c>
      <c r="O147">
        <v>572</v>
      </c>
      <c r="P147" s="101">
        <v>7158000000</v>
      </c>
      <c r="Q147" s="101">
        <v>1271000000</v>
      </c>
      <c r="R147" s="101">
        <v>1169703859.0604026</v>
      </c>
      <c r="S147" s="101">
        <f t="shared" si="14"/>
        <v>16596158.972315436</v>
      </c>
      <c r="T147" s="101">
        <f t="shared" si="10"/>
        <v>3498158.9723154362</v>
      </c>
      <c r="U147" s="101">
        <f t="shared" si="11"/>
        <v>3498158.9723154362</v>
      </c>
      <c r="V147" s="101">
        <v>207193</v>
      </c>
      <c r="W147" s="149">
        <f t="shared" si="12"/>
        <v>1.6883577014259344E-2</v>
      </c>
      <c r="Y147" s="255"/>
      <c r="AB147" s="254"/>
    </row>
    <row r="148" spans="2:28" x14ac:dyDescent="0.25">
      <c r="B148" t="s">
        <v>331</v>
      </c>
      <c r="C148">
        <f t="shared" si="13"/>
        <v>2823</v>
      </c>
      <c r="D148">
        <v>2339</v>
      </c>
      <c r="E148">
        <v>484</v>
      </c>
      <c r="F148">
        <v>0</v>
      </c>
      <c r="G148">
        <v>0</v>
      </c>
      <c r="H148">
        <v>436</v>
      </c>
      <c r="I148">
        <v>0</v>
      </c>
      <c r="J148">
        <v>1675</v>
      </c>
      <c r="K148">
        <v>1394</v>
      </c>
      <c r="L148">
        <v>160</v>
      </c>
      <c r="M148">
        <v>181</v>
      </c>
      <c r="N148">
        <v>667</v>
      </c>
      <c r="O148">
        <v>162</v>
      </c>
      <c r="P148" s="101">
        <v>1856000000</v>
      </c>
      <c r="Q148" s="101">
        <v>265000000</v>
      </c>
      <c r="R148" s="101">
        <v>254617537.31343284</v>
      </c>
      <c r="S148" s="101">
        <f t="shared" si="14"/>
        <v>4107442.7220149254</v>
      </c>
      <c r="T148" s="101">
        <f t="shared" si="10"/>
        <v>1284442.7220149254</v>
      </c>
      <c r="U148" s="101">
        <f t="shared" si="11"/>
        <v>1284442.7220149254</v>
      </c>
      <c r="V148" s="101">
        <v>44352</v>
      </c>
      <c r="W148" s="149">
        <f t="shared" si="12"/>
        <v>2.8960198458128729E-2</v>
      </c>
      <c r="Y148" s="255"/>
      <c r="AB148" s="254"/>
    </row>
    <row r="149" spans="2:28" x14ac:dyDescent="0.25">
      <c r="B149" t="s">
        <v>298</v>
      </c>
      <c r="C149">
        <f t="shared" si="13"/>
        <v>18404</v>
      </c>
      <c r="D149">
        <v>11170</v>
      </c>
      <c r="E149">
        <v>7234</v>
      </c>
      <c r="F149">
        <v>3866</v>
      </c>
      <c r="G149">
        <v>95</v>
      </c>
      <c r="H149">
        <v>762</v>
      </c>
      <c r="I149">
        <v>610</v>
      </c>
      <c r="J149">
        <v>4645</v>
      </c>
      <c r="K149">
        <v>9015</v>
      </c>
      <c r="L149">
        <v>942</v>
      </c>
      <c r="M149">
        <v>441</v>
      </c>
      <c r="N149">
        <v>1261</v>
      </c>
      <c r="O149">
        <v>192</v>
      </c>
      <c r="P149" s="101">
        <v>11478000000</v>
      </c>
      <c r="Q149" s="101">
        <v>1080000000</v>
      </c>
      <c r="R149" s="101">
        <v>1042971428.5714287</v>
      </c>
      <c r="S149" s="101">
        <f t="shared" si="14"/>
        <v>23516079.600000001</v>
      </c>
      <c r="T149" s="101">
        <f t="shared" si="10"/>
        <v>5112079.6000000015</v>
      </c>
      <c r="U149" s="101">
        <f t="shared" si="11"/>
        <v>5112079.6000000015</v>
      </c>
      <c r="V149" s="101">
        <v>209351</v>
      </c>
      <c r="W149" s="149">
        <f t="shared" si="12"/>
        <v>2.4418701606393096E-2</v>
      </c>
      <c r="Y149" s="255"/>
      <c r="AB149" s="254"/>
    </row>
    <row r="150" spans="2:28" x14ac:dyDescent="0.25">
      <c r="B150" t="s">
        <v>407</v>
      </c>
      <c r="C150">
        <f t="shared" si="13"/>
        <v>14020</v>
      </c>
      <c r="D150">
        <v>8008</v>
      </c>
      <c r="E150">
        <v>6012</v>
      </c>
      <c r="F150">
        <v>444</v>
      </c>
      <c r="G150">
        <v>41</v>
      </c>
      <c r="H150">
        <v>270</v>
      </c>
      <c r="I150">
        <v>443</v>
      </c>
      <c r="J150">
        <v>5369</v>
      </c>
      <c r="K150">
        <v>6110</v>
      </c>
      <c r="L150">
        <v>521</v>
      </c>
      <c r="M150">
        <v>50</v>
      </c>
      <c r="N150">
        <v>1660</v>
      </c>
      <c r="O150">
        <v>315</v>
      </c>
      <c r="P150" s="101">
        <v>4759000000</v>
      </c>
      <c r="Q150" s="101">
        <v>743000000</v>
      </c>
      <c r="R150" s="101">
        <v>729136143.74568069</v>
      </c>
      <c r="S150" s="101">
        <f t="shared" si="14"/>
        <v>10773634.392536283</v>
      </c>
      <c r="T150" s="101">
        <f t="shared" si="10"/>
        <v>-3246365.6074637175</v>
      </c>
      <c r="U150" s="101">
        <f t="shared" si="11"/>
        <v>0</v>
      </c>
      <c r="V150" s="101">
        <v>224170</v>
      </c>
      <c r="W150" s="149">
        <f t="shared" si="12"/>
        <v>-1.4481713018975408E-2</v>
      </c>
      <c r="Y150" s="255"/>
      <c r="AB150" s="254"/>
    </row>
    <row r="151" spans="2:28" x14ac:dyDescent="0.25">
      <c r="B151" t="s">
        <v>260</v>
      </c>
      <c r="C151">
        <f t="shared" si="13"/>
        <v>4786</v>
      </c>
      <c r="D151">
        <v>3590</v>
      </c>
      <c r="E151">
        <v>1196</v>
      </c>
      <c r="F151">
        <v>0</v>
      </c>
      <c r="G151">
        <v>0</v>
      </c>
      <c r="H151">
        <v>0</v>
      </c>
      <c r="I151">
        <v>248</v>
      </c>
      <c r="J151">
        <v>1113</v>
      </c>
      <c r="K151">
        <v>3546</v>
      </c>
      <c r="L151">
        <v>254</v>
      </c>
      <c r="M151">
        <v>76</v>
      </c>
      <c r="N151">
        <v>1223</v>
      </c>
      <c r="O151">
        <v>45</v>
      </c>
      <c r="P151" s="101">
        <v>3631000000</v>
      </c>
      <c r="Q151" s="101">
        <v>477000000</v>
      </c>
      <c r="R151" s="101">
        <v>421583061.88925081</v>
      </c>
      <c r="S151" s="101">
        <f t="shared" si="14"/>
        <v>7831649.1140065147</v>
      </c>
      <c r="T151" s="101">
        <f t="shared" si="10"/>
        <v>3045649.1140065147</v>
      </c>
      <c r="U151" s="101">
        <f t="shared" si="11"/>
        <v>3045649.1140065147</v>
      </c>
      <c r="V151" s="101">
        <v>88835</v>
      </c>
      <c r="W151" s="149">
        <f t="shared" si="12"/>
        <v>3.4284337412129391E-2</v>
      </c>
      <c r="Y151" s="255"/>
      <c r="AB151" s="254"/>
    </row>
    <row r="152" spans="2:28" x14ac:dyDescent="0.25">
      <c r="B152" t="s">
        <v>299</v>
      </c>
      <c r="C152">
        <f t="shared" si="13"/>
        <v>6268</v>
      </c>
      <c r="D152">
        <v>3983</v>
      </c>
      <c r="E152">
        <v>2285</v>
      </c>
      <c r="F152">
        <v>17</v>
      </c>
      <c r="G152">
        <v>0</v>
      </c>
      <c r="H152">
        <v>0</v>
      </c>
      <c r="I152">
        <v>0</v>
      </c>
      <c r="J152">
        <v>3802</v>
      </c>
      <c r="K152">
        <v>4924</v>
      </c>
      <c r="L152">
        <v>373</v>
      </c>
      <c r="M152">
        <v>499</v>
      </c>
      <c r="N152">
        <v>1180</v>
      </c>
      <c r="O152">
        <v>169</v>
      </c>
      <c r="P152" s="101">
        <v>4452000000</v>
      </c>
      <c r="Q152" s="101">
        <v>474000000</v>
      </c>
      <c r="R152" s="101">
        <v>469363043.47826087</v>
      </c>
      <c r="S152" s="101">
        <f t="shared" si="14"/>
        <v>9328582.7021739129</v>
      </c>
      <c r="T152" s="101">
        <f t="shared" si="10"/>
        <v>3060582.7021739129</v>
      </c>
      <c r="U152" s="101">
        <f t="shared" si="11"/>
        <v>3060582.7021739129</v>
      </c>
      <c r="V152" s="101">
        <v>99392</v>
      </c>
      <c r="W152" s="149">
        <f t="shared" si="12"/>
        <v>3.0793048758188918E-2</v>
      </c>
      <c r="Y152" s="255"/>
      <c r="AB152" s="254"/>
    </row>
    <row r="153" spans="2:28" x14ac:dyDescent="0.25">
      <c r="B153" t="s">
        <v>474</v>
      </c>
      <c r="C153">
        <f t="shared" si="13"/>
        <v>12833</v>
      </c>
      <c r="D153">
        <v>7947</v>
      </c>
      <c r="E153">
        <v>4886</v>
      </c>
      <c r="F153">
        <v>0</v>
      </c>
      <c r="G153">
        <v>0</v>
      </c>
      <c r="H153">
        <v>339</v>
      </c>
      <c r="I153">
        <v>0</v>
      </c>
      <c r="J153">
        <v>6535</v>
      </c>
      <c r="K153">
        <v>6660</v>
      </c>
      <c r="L153">
        <v>706</v>
      </c>
      <c r="M153">
        <v>1215</v>
      </c>
      <c r="N153">
        <v>4555</v>
      </c>
      <c r="O153">
        <v>321</v>
      </c>
      <c r="P153" s="101">
        <v>9386000000</v>
      </c>
      <c r="Q153" s="101">
        <v>1086000000</v>
      </c>
      <c r="R153" s="101">
        <v>1013940705.8823529</v>
      </c>
      <c r="S153" s="101">
        <f t="shared" si="14"/>
        <v>19859191.48047059</v>
      </c>
      <c r="T153" s="101">
        <f t="shared" si="10"/>
        <v>7026191.4804705903</v>
      </c>
      <c r="U153" s="101">
        <f t="shared" si="11"/>
        <v>7026191.4804705903</v>
      </c>
      <c r="V153" s="101">
        <v>181616</v>
      </c>
      <c r="W153" s="149">
        <f t="shared" si="12"/>
        <v>3.868707316795101E-2</v>
      </c>
      <c r="Y153" s="255"/>
      <c r="AB153" s="254"/>
    </row>
    <row r="154" spans="2:28" x14ac:dyDescent="0.25">
      <c r="B154" t="s">
        <v>373</v>
      </c>
      <c r="C154">
        <f t="shared" si="13"/>
        <v>5998</v>
      </c>
      <c r="D154">
        <v>3694</v>
      </c>
      <c r="E154">
        <v>2304</v>
      </c>
      <c r="F154">
        <v>0</v>
      </c>
      <c r="G154">
        <v>0</v>
      </c>
      <c r="H154">
        <v>0</v>
      </c>
      <c r="I154">
        <v>26</v>
      </c>
      <c r="J154">
        <v>2448</v>
      </c>
      <c r="K154">
        <v>2018</v>
      </c>
      <c r="L154">
        <v>260</v>
      </c>
      <c r="M154">
        <v>0</v>
      </c>
      <c r="N154">
        <v>566</v>
      </c>
      <c r="O154">
        <v>146</v>
      </c>
      <c r="P154" s="101">
        <v>3842000000</v>
      </c>
      <c r="Q154" s="101">
        <v>513000000</v>
      </c>
      <c r="R154" s="101">
        <v>469760665.97294486</v>
      </c>
      <c r="S154" s="101">
        <f t="shared" si="14"/>
        <v>8342011.1914672228</v>
      </c>
      <c r="T154" s="101">
        <f t="shared" si="10"/>
        <v>2344011.1914672228</v>
      </c>
      <c r="U154" s="101">
        <f t="shared" si="11"/>
        <v>2344011.1914672228</v>
      </c>
      <c r="V154" s="101">
        <v>71570</v>
      </c>
      <c r="W154" s="149">
        <f t="shared" si="12"/>
        <v>3.2751309088545795E-2</v>
      </c>
      <c r="Y154" s="255"/>
      <c r="AB154" s="254"/>
    </row>
    <row r="155" spans="2:28" x14ac:dyDescent="0.25">
      <c r="B155" t="s">
        <v>975</v>
      </c>
      <c r="C155">
        <f t="shared" si="13"/>
        <v>24444</v>
      </c>
      <c r="D155">
        <v>14045</v>
      </c>
      <c r="E155">
        <v>10399</v>
      </c>
      <c r="F155">
        <v>44</v>
      </c>
      <c r="G155">
        <v>0</v>
      </c>
      <c r="H155">
        <v>668</v>
      </c>
      <c r="I155">
        <v>222</v>
      </c>
      <c r="J155">
        <v>10107</v>
      </c>
      <c r="K155">
        <v>8719</v>
      </c>
      <c r="L155">
        <v>1101</v>
      </c>
      <c r="M155">
        <v>288</v>
      </c>
      <c r="N155">
        <v>2120</v>
      </c>
      <c r="O155">
        <v>794</v>
      </c>
      <c r="P155" s="101">
        <v>13552000000</v>
      </c>
      <c r="Q155" s="101">
        <v>2291000000</v>
      </c>
      <c r="R155" s="101">
        <v>2291000000</v>
      </c>
      <c r="S155" s="101">
        <f t="shared" si="14"/>
        <v>31353686</v>
      </c>
      <c r="T155" s="101">
        <f t="shared" si="10"/>
        <v>6909686</v>
      </c>
      <c r="U155" s="101">
        <f t="shared" si="11"/>
        <v>6909686</v>
      </c>
      <c r="V155" s="101">
        <v>318206</v>
      </c>
      <c r="W155" s="149">
        <f t="shared" si="12"/>
        <v>2.1714505697566985E-2</v>
      </c>
      <c r="Y155" s="255"/>
      <c r="AB155" s="254"/>
    </row>
    <row r="156" spans="2:28" x14ac:dyDescent="0.25">
      <c r="B156" t="s">
        <v>408</v>
      </c>
      <c r="C156">
        <f t="shared" si="13"/>
        <v>7999</v>
      </c>
      <c r="D156">
        <v>5923</v>
      </c>
      <c r="E156">
        <v>2076</v>
      </c>
      <c r="F156">
        <v>21</v>
      </c>
      <c r="G156">
        <v>30</v>
      </c>
      <c r="H156">
        <v>142</v>
      </c>
      <c r="I156">
        <v>384</v>
      </c>
      <c r="J156">
        <v>5064</v>
      </c>
      <c r="K156">
        <v>5065</v>
      </c>
      <c r="L156">
        <v>398</v>
      </c>
      <c r="M156">
        <v>27</v>
      </c>
      <c r="N156">
        <v>433</v>
      </c>
      <c r="O156">
        <v>26</v>
      </c>
      <c r="P156" s="101">
        <v>4486000000</v>
      </c>
      <c r="Q156" s="101">
        <v>385000000</v>
      </c>
      <c r="R156" s="101">
        <v>362411994.78487611</v>
      </c>
      <c r="S156" s="101">
        <f t="shared" si="14"/>
        <v>9048569.3389830515</v>
      </c>
      <c r="T156" s="101">
        <f t="shared" si="10"/>
        <v>1049569.3389830515</v>
      </c>
      <c r="U156" s="101">
        <f t="shared" si="11"/>
        <v>1049569.3389830515</v>
      </c>
      <c r="V156" s="101">
        <v>155053</v>
      </c>
      <c r="W156" s="149">
        <f t="shared" si="12"/>
        <v>6.7691004945602566E-3</v>
      </c>
      <c r="Y156" s="255"/>
      <c r="AB156" s="254"/>
    </row>
    <row r="157" spans="2:28" x14ac:dyDescent="0.25">
      <c r="B157" t="s">
        <v>261</v>
      </c>
      <c r="C157">
        <f t="shared" si="13"/>
        <v>3419</v>
      </c>
      <c r="D157">
        <v>3102</v>
      </c>
      <c r="E157">
        <v>317</v>
      </c>
      <c r="F157">
        <v>0</v>
      </c>
      <c r="G157">
        <v>9</v>
      </c>
      <c r="H157">
        <v>27</v>
      </c>
      <c r="I157">
        <v>0</v>
      </c>
      <c r="J157">
        <v>1343</v>
      </c>
      <c r="K157">
        <v>2136</v>
      </c>
      <c r="L157">
        <v>166</v>
      </c>
      <c r="M157">
        <v>144</v>
      </c>
      <c r="N157">
        <v>278</v>
      </c>
      <c r="O157">
        <v>324</v>
      </c>
      <c r="P157" s="101">
        <v>2834000000</v>
      </c>
      <c r="Q157" s="101">
        <v>145000000</v>
      </c>
      <c r="R157" s="101">
        <v>139221014.49275362</v>
      </c>
      <c r="S157" s="101">
        <f t="shared" si="14"/>
        <v>5391404.1340579707</v>
      </c>
      <c r="T157" s="101">
        <f t="shared" si="10"/>
        <v>1972404.1340579707</v>
      </c>
      <c r="U157" s="101">
        <f t="shared" si="11"/>
        <v>1972404.1340579707</v>
      </c>
      <c r="V157" s="101">
        <v>31274</v>
      </c>
      <c r="W157" s="149">
        <f t="shared" si="12"/>
        <v>6.3068495685168854E-2</v>
      </c>
      <c r="Y157" s="255"/>
      <c r="AB157" s="254"/>
    </row>
    <row r="158" spans="2:28" x14ac:dyDescent="0.25">
      <c r="B158" t="s">
        <v>300</v>
      </c>
      <c r="C158">
        <f t="shared" si="13"/>
        <v>20101</v>
      </c>
      <c r="D158">
        <v>9370</v>
      </c>
      <c r="E158">
        <v>10731</v>
      </c>
      <c r="F158">
        <v>0</v>
      </c>
      <c r="G158">
        <v>0</v>
      </c>
      <c r="H158">
        <v>0</v>
      </c>
      <c r="I158">
        <v>476</v>
      </c>
      <c r="J158">
        <v>7214</v>
      </c>
      <c r="K158">
        <v>7429</v>
      </c>
      <c r="L158">
        <v>935</v>
      </c>
      <c r="M158">
        <v>47</v>
      </c>
      <c r="N158">
        <v>4170</v>
      </c>
      <c r="O158">
        <v>244</v>
      </c>
      <c r="P158" s="101">
        <v>12051000000</v>
      </c>
      <c r="Q158" s="101">
        <v>2130000000</v>
      </c>
      <c r="R158" s="101">
        <v>2111373197.8255732</v>
      </c>
      <c r="S158" s="101">
        <f t="shared" si="14"/>
        <v>28169513.259040415</v>
      </c>
      <c r="T158" s="101">
        <f t="shared" si="10"/>
        <v>8068513.2590404153</v>
      </c>
      <c r="U158" s="101">
        <f t="shared" si="11"/>
        <v>8068513.2590404153</v>
      </c>
      <c r="V158" s="101">
        <v>207717</v>
      </c>
      <c r="W158" s="149">
        <f t="shared" si="12"/>
        <v>3.8843779079422554E-2</v>
      </c>
      <c r="Y158" s="255"/>
      <c r="AB158" s="254"/>
    </row>
    <row r="159" spans="2:28" x14ac:dyDescent="0.25">
      <c r="B159" t="s">
        <v>724</v>
      </c>
      <c r="C159">
        <f t="shared" si="13"/>
        <v>5497</v>
      </c>
      <c r="D159">
        <v>4598</v>
      </c>
      <c r="E159">
        <v>899</v>
      </c>
      <c r="F159">
        <v>9</v>
      </c>
      <c r="G159">
        <v>0</v>
      </c>
      <c r="H159">
        <v>0</v>
      </c>
      <c r="I159">
        <v>90</v>
      </c>
      <c r="J159">
        <v>1223</v>
      </c>
      <c r="K159">
        <v>1654</v>
      </c>
      <c r="L159">
        <v>172</v>
      </c>
      <c r="M159">
        <v>120</v>
      </c>
      <c r="N159">
        <v>707</v>
      </c>
      <c r="O159">
        <v>117</v>
      </c>
      <c r="P159" s="101">
        <v>4986000000</v>
      </c>
      <c r="Q159" s="101">
        <v>275000000</v>
      </c>
      <c r="R159" s="101">
        <v>265695488.7218045</v>
      </c>
      <c r="S159" s="101">
        <f t="shared" si="14"/>
        <v>9555656.5</v>
      </c>
      <c r="T159" s="101">
        <f t="shared" si="10"/>
        <v>4058656.5</v>
      </c>
      <c r="U159" s="101">
        <f t="shared" si="11"/>
        <v>4058656.5</v>
      </c>
      <c r="V159" s="101">
        <v>33897</v>
      </c>
      <c r="W159" s="149">
        <f t="shared" si="12"/>
        <v>0.11973497654659704</v>
      </c>
      <c r="Y159" s="255"/>
      <c r="AB159" s="254"/>
    </row>
    <row r="160" spans="2:28" x14ac:dyDescent="0.25">
      <c r="B160" t="s">
        <v>130</v>
      </c>
      <c r="C160">
        <f t="shared" si="13"/>
        <v>38132</v>
      </c>
      <c r="D160">
        <v>16427</v>
      </c>
      <c r="E160">
        <v>21705</v>
      </c>
      <c r="F160">
        <v>5152</v>
      </c>
      <c r="G160">
        <v>287</v>
      </c>
      <c r="H160">
        <v>910</v>
      </c>
      <c r="I160">
        <v>618</v>
      </c>
      <c r="J160">
        <v>11616</v>
      </c>
      <c r="K160">
        <v>17596</v>
      </c>
      <c r="L160">
        <v>1662</v>
      </c>
      <c r="M160">
        <v>355</v>
      </c>
      <c r="N160">
        <v>3448</v>
      </c>
      <c r="O160">
        <v>1436</v>
      </c>
      <c r="P160" s="101">
        <v>15134000000</v>
      </c>
      <c r="Q160" s="101">
        <v>2818000000</v>
      </c>
      <c r="R160" s="101">
        <v>2746088489.0765557</v>
      </c>
      <c r="S160" s="101">
        <f t="shared" si="14"/>
        <v>35786994.99761337</v>
      </c>
      <c r="T160" s="101">
        <f t="shared" si="10"/>
        <v>-2345005.0023866296</v>
      </c>
      <c r="U160" s="101">
        <f t="shared" si="11"/>
        <v>0</v>
      </c>
      <c r="V160" s="101">
        <v>695117</v>
      </c>
      <c r="W160" s="149">
        <f t="shared" si="12"/>
        <v>-3.373539997420045E-3</v>
      </c>
      <c r="Y160" s="255"/>
      <c r="AB160" s="254"/>
    </row>
    <row r="161" spans="2:28" x14ac:dyDescent="0.25">
      <c r="B161" t="s">
        <v>301</v>
      </c>
      <c r="C161">
        <f t="shared" si="13"/>
        <v>64464</v>
      </c>
      <c r="D161">
        <v>26111</v>
      </c>
      <c r="E161">
        <v>38353</v>
      </c>
      <c r="F161">
        <v>19038</v>
      </c>
      <c r="G161">
        <v>786</v>
      </c>
      <c r="H161">
        <v>1436</v>
      </c>
      <c r="I161">
        <v>319</v>
      </c>
      <c r="J161">
        <v>11199</v>
      </c>
      <c r="K161">
        <v>20576</v>
      </c>
      <c r="L161">
        <v>1893</v>
      </c>
      <c r="M161">
        <v>0</v>
      </c>
      <c r="N161">
        <v>4872</v>
      </c>
      <c r="O161">
        <v>3681</v>
      </c>
      <c r="P161" s="101">
        <v>24187000000</v>
      </c>
      <c r="Q161" s="101">
        <v>2615000000</v>
      </c>
      <c r="R161" s="101">
        <v>2577727824.1091738</v>
      </c>
      <c r="S161" s="101">
        <f t="shared" si="14"/>
        <v>50797549.407884762</v>
      </c>
      <c r="T161" s="101">
        <f t="shared" si="10"/>
        <v>-13666450.592115238</v>
      </c>
      <c r="U161" s="101">
        <f t="shared" si="11"/>
        <v>0</v>
      </c>
      <c r="V161" s="101">
        <v>651148</v>
      </c>
      <c r="W161" s="149">
        <f t="shared" si="12"/>
        <v>-2.098824014220306E-2</v>
      </c>
      <c r="Y161" s="255"/>
      <c r="AB161" s="254"/>
    </row>
    <row r="162" spans="2:28" x14ac:dyDescent="0.25">
      <c r="B162" t="s">
        <v>302</v>
      </c>
      <c r="C162">
        <f t="shared" si="13"/>
        <v>8745</v>
      </c>
      <c r="D162">
        <v>5989</v>
      </c>
      <c r="E162">
        <v>2756</v>
      </c>
      <c r="F162">
        <v>26</v>
      </c>
      <c r="G162">
        <v>25</v>
      </c>
      <c r="H162">
        <v>247</v>
      </c>
      <c r="I162">
        <v>23</v>
      </c>
      <c r="J162">
        <v>1988</v>
      </c>
      <c r="K162">
        <v>4600</v>
      </c>
      <c r="L162">
        <v>407</v>
      </c>
      <c r="M162">
        <v>360</v>
      </c>
      <c r="N162">
        <v>376</v>
      </c>
      <c r="O162">
        <v>57</v>
      </c>
      <c r="P162" s="101">
        <v>5274000000</v>
      </c>
      <c r="Q162" s="101">
        <v>388000000</v>
      </c>
      <c r="R162" s="101">
        <v>387084905.66037732</v>
      </c>
      <c r="S162" s="101">
        <f t="shared" si="14"/>
        <v>10458867.801886793</v>
      </c>
      <c r="T162" s="101">
        <f t="shared" si="10"/>
        <v>1713867.8018867932</v>
      </c>
      <c r="U162" s="101">
        <f t="shared" si="11"/>
        <v>1713867.8018867932</v>
      </c>
      <c r="V162" s="101">
        <v>83216</v>
      </c>
      <c r="W162" s="149">
        <f t="shared" si="12"/>
        <v>2.0595411962684978E-2</v>
      </c>
      <c r="Y162" s="255"/>
      <c r="AB162" s="254"/>
    </row>
    <row r="163" spans="2:28" x14ac:dyDescent="0.25">
      <c r="B163" t="s">
        <v>303</v>
      </c>
      <c r="C163">
        <f t="shared" si="13"/>
        <v>15541</v>
      </c>
      <c r="D163">
        <v>10447</v>
      </c>
      <c r="E163">
        <v>5094</v>
      </c>
      <c r="F163">
        <v>322</v>
      </c>
      <c r="G163">
        <v>0</v>
      </c>
      <c r="H163">
        <v>497</v>
      </c>
      <c r="I163">
        <v>150</v>
      </c>
      <c r="J163">
        <v>8194</v>
      </c>
      <c r="K163">
        <v>12964</v>
      </c>
      <c r="L163">
        <v>1145</v>
      </c>
      <c r="M163">
        <v>808</v>
      </c>
      <c r="N163">
        <v>2132</v>
      </c>
      <c r="O163">
        <v>139</v>
      </c>
      <c r="P163" s="101">
        <v>14353000000</v>
      </c>
      <c r="Q163" s="101">
        <v>1201000000</v>
      </c>
      <c r="R163" s="101">
        <v>1169368724.2798355</v>
      </c>
      <c r="S163" s="101">
        <f t="shared" si="14"/>
        <v>28914704.524279837</v>
      </c>
      <c r="T163" s="101">
        <f t="shared" si="10"/>
        <v>13373704.524279837</v>
      </c>
      <c r="U163" s="101">
        <f t="shared" si="11"/>
        <v>13373704.524279837</v>
      </c>
      <c r="V163" s="101">
        <v>262454</v>
      </c>
      <c r="W163" s="149">
        <f t="shared" si="12"/>
        <v>5.0956375304929004E-2</v>
      </c>
      <c r="Y163" s="255"/>
      <c r="AB163" s="254"/>
    </row>
    <row r="164" spans="2:28" x14ac:dyDescent="0.25">
      <c r="B164" t="s">
        <v>429</v>
      </c>
      <c r="C164">
        <f t="shared" si="13"/>
        <v>29958</v>
      </c>
      <c r="D164">
        <v>13895</v>
      </c>
      <c r="E164">
        <v>16063</v>
      </c>
      <c r="F164">
        <v>2135</v>
      </c>
      <c r="G164">
        <v>0</v>
      </c>
      <c r="H164">
        <v>203</v>
      </c>
      <c r="I164">
        <v>500</v>
      </c>
      <c r="J164">
        <v>8135</v>
      </c>
      <c r="K164">
        <v>12295</v>
      </c>
      <c r="L164">
        <v>1248</v>
      </c>
      <c r="M164">
        <v>355</v>
      </c>
      <c r="N164">
        <v>4043</v>
      </c>
      <c r="O164">
        <v>778</v>
      </c>
      <c r="P164" s="101">
        <v>11387000000</v>
      </c>
      <c r="Q164" s="101">
        <v>2057000000</v>
      </c>
      <c r="R164" s="101">
        <v>1981600868.8569102</v>
      </c>
      <c r="S164" s="101">
        <f t="shared" si="14"/>
        <v>26670863.902253598</v>
      </c>
      <c r="T164" s="101">
        <f t="shared" si="10"/>
        <v>-3287136.097746402</v>
      </c>
      <c r="U164" s="101">
        <f t="shared" si="11"/>
        <v>0</v>
      </c>
      <c r="V164" s="101">
        <v>476997</v>
      </c>
      <c r="W164" s="149">
        <f t="shared" si="12"/>
        <v>-6.8913139867680549E-3</v>
      </c>
      <c r="Y164" s="255"/>
      <c r="AB164" s="254"/>
    </row>
    <row r="165" spans="2:28" x14ac:dyDescent="0.25">
      <c r="B165" t="s">
        <v>409</v>
      </c>
      <c r="C165">
        <f t="shared" si="13"/>
        <v>7113</v>
      </c>
      <c r="D165">
        <v>4838</v>
      </c>
      <c r="E165">
        <v>2275</v>
      </c>
      <c r="F165">
        <v>0</v>
      </c>
      <c r="G165">
        <v>0</v>
      </c>
      <c r="H165">
        <v>1303</v>
      </c>
      <c r="I165">
        <v>81</v>
      </c>
      <c r="J165">
        <v>4825</v>
      </c>
      <c r="K165">
        <v>3825</v>
      </c>
      <c r="L165">
        <v>413</v>
      </c>
      <c r="M165">
        <v>2</v>
      </c>
      <c r="N165">
        <v>1151</v>
      </c>
      <c r="O165">
        <v>47</v>
      </c>
      <c r="P165" s="101">
        <v>5390000000</v>
      </c>
      <c r="Q165" s="101">
        <v>764000000</v>
      </c>
      <c r="R165" s="101">
        <v>681843835.61643839</v>
      </c>
      <c r="S165" s="101">
        <f t="shared" si="14"/>
        <v>11819173.991780821</v>
      </c>
      <c r="T165" s="101">
        <f t="shared" si="10"/>
        <v>4706173.9917808212</v>
      </c>
      <c r="U165" s="101">
        <f t="shared" si="11"/>
        <v>4706173.9917808212</v>
      </c>
      <c r="V165" s="101">
        <v>116126</v>
      </c>
      <c r="W165" s="149">
        <f t="shared" si="12"/>
        <v>4.0526445341963223E-2</v>
      </c>
      <c r="Y165" s="255"/>
      <c r="AB165" s="254"/>
    </row>
    <row r="166" spans="2:28" x14ac:dyDescent="0.25">
      <c r="B166" t="s">
        <v>221</v>
      </c>
      <c r="C166">
        <f t="shared" si="13"/>
        <v>8787</v>
      </c>
      <c r="D166">
        <v>5245</v>
      </c>
      <c r="E166">
        <v>3542</v>
      </c>
      <c r="F166">
        <v>1</v>
      </c>
      <c r="G166">
        <v>24</v>
      </c>
      <c r="H166">
        <v>254</v>
      </c>
      <c r="I166">
        <v>53</v>
      </c>
      <c r="J166">
        <v>2080</v>
      </c>
      <c r="K166">
        <v>3016</v>
      </c>
      <c r="L166">
        <v>432</v>
      </c>
      <c r="M166">
        <v>45</v>
      </c>
      <c r="N166">
        <v>852</v>
      </c>
      <c r="O166">
        <v>124</v>
      </c>
      <c r="P166" s="101">
        <v>6128000000</v>
      </c>
      <c r="Q166" s="101">
        <v>619000000</v>
      </c>
      <c r="R166" s="101">
        <v>592442244.22442245</v>
      </c>
      <c r="S166" s="101">
        <f t="shared" si="14"/>
        <v>12689895.640264027</v>
      </c>
      <c r="T166" s="101">
        <f t="shared" si="10"/>
        <v>3902895.6402640268</v>
      </c>
      <c r="U166" s="101">
        <f t="shared" si="11"/>
        <v>3902895.6402640268</v>
      </c>
      <c r="V166" s="101">
        <v>88714</v>
      </c>
      <c r="W166" s="149">
        <f t="shared" si="12"/>
        <v>4.399413441242675E-2</v>
      </c>
      <c r="Y166" s="255"/>
      <c r="AB166" s="254"/>
    </row>
    <row r="167" spans="2:28" x14ac:dyDescent="0.25">
      <c r="B167" t="s">
        <v>185</v>
      </c>
      <c r="C167">
        <f t="shared" si="13"/>
        <v>13138</v>
      </c>
      <c r="D167">
        <v>9766</v>
      </c>
      <c r="E167">
        <v>3372</v>
      </c>
      <c r="F167">
        <v>0</v>
      </c>
      <c r="G167">
        <v>0</v>
      </c>
      <c r="H167">
        <v>111</v>
      </c>
      <c r="I167">
        <v>500</v>
      </c>
      <c r="J167">
        <v>4485</v>
      </c>
      <c r="K167">
        <v>4990</v>
      </c>
      <c r="L167">
        <v>566</v>
      </c>
      <c r="M167">
        <v>32</v>
      </c>
      <c r="N167">
        <v>2094</v>
      </c>
      <c r="O167">
        <v>307</v>
      </c>
      <c r="P167" s="101">
        <v>7545000000</v>
      </c>
      <c r="Q167" s="101">
        <v>677000000</v>
      </c>
      <c r="R167" s="101">
        <v>645104863.22188449</v>
      </c>
      <c r="S167" s="101">
        <f t="shared" si="14"/>
        <v>15331224.308510637</v>
      </c>
      <c r="T167" s="101">
        <f t="shared" si="10"/>
        <v>2193224.3085106369</v>
      </c>
      <c r="U167" s="101">
        <f t="shared" si="11"/>
        <v>2193224.3085106369</v>
      </c>
      <c r="V167" s="101">
        <v>143898</v>
      </c>
      <c r="W167" s="149">
        <f t="shared" si="12"/>
        <v>1.5241520441636694E-2</v>
      </c>
      <c r="Y167" s="255"/>
      <c r="AB167" s="254"/>
    </row>
    <row r="168" spans="2:28" x14ac:dyDescent="0.25">
      <c r="B168" t="s">
        <v>304</v>
      </c>
      <c r="C168">
        <f t="shared" si="13"/>
        <v>6892</v>
      </c>
      <c r="D168">
        <v>4139</v>
      </c>
      <c r="E168">
        <v>2753</v>
      </c>
      <c r="F168">
        <v>12</v>
      </c>
      <c r="G168">
        <v>10</v>
      </c>
      <c r="H168">
        <v>137</v>
      </c>
      <c r="I168">
        <v>120</v>
      </c>
      <c r="J168">
        <v>2242</v>
      </c>
      <c r="K168">
        <v>0</v>
      </c>
      <c r="L168">
        <v>264</v>
      </c>
      <c r="M168">
        <v>0</v>
      </c>
      <c r="N168">
        <v>651</v>
      </c>
      <c r="O168">
        <v>129</v>
      </c>
      <c r="P168" s="101">
        <v>4279000000</v>
      </c>
      <c r="Q168" s="101">
        <v>634000000</v>
      </c>
      <c r="R168" s="101">
        <v>621807692.30769229</v>
      </c>
      <c r="S168" s="101">
        <f t="shared" si="14"/>
        <v>9569682.5</v>
      </c>
      <c r="T168" s="101">
        <f t="shared" si="10"/>
        <v>2677682.5</v>
      </c>
      <c r="U168" s="101">
        <f t="shared" si="11"/>
        <v>2677682.5</v>
      </c>
      <c r="V168" s="101">
        <v>77580</v>
      </c>
      <c r="W168" s="149">
        <f t="shared" si="12"/>
        <v>3.4515113431296728E-2</v>
      </c>
      <c r="Y168" s="255"/>
      <c r="AB168" s="254"/>
    </row>
    <row r="169" spans="2:28" x14ac:dyDescent="0.25">
      <c r="B169" t="s">
        <v>186</v>
      </c>
      <c r="C169">
        <f t="shared" si="13"/>
        <v>5801</v>
      </c>
      <c r="D169">
        <v>4234</v>
      </c>
      <c r="E169">
        <v>1567</v>
      </c>
      <c r="F169">
        <v>16</v>
      </c>
      <c r="G169">
        <v>0</v>
      </c>
      <c r="H169">
        <v>1232</v>
      </c>
      <c r="I169">
        <v>51</v>
      </c>
      <c r="J169">
        <v>6057</v>
      </c>
      <c r="K169">
        <v>3552</v>
      </c>
      <c r="L169">
        <v>368</v>
      </c>
      <c r="M169">
        <v>333</v>
      </c>
      <c r="N169">
        <v>811</v>
      </c>
      <c r="O169">
        <v>331</v>
      </c>
      <c r="P169" s="101">
        <v>7126000000</v>
      </c>
      <c r="Q169" s="101">
        <v>746000000</v>
      </c>
      <c r="R169" s="101">
        <v>639643577.67316747</v>
      </c>
      <c r="S169" s="101">
        <f t="shared" si="14"/>
        <v>14716631.745796906</v>
      </c>
      <c r="T169" s="101">
        <f t="shared" si="10"/>
        <v>8915631.7457969058</v>
      </c>
      <c r="U169" s="101">
        <f t="shared" si="11"/>
        <v>8915631.7457969058</v>
      </c>
      <c r="V169" s="101">
        <v>107818</v>
      </c>
      <c r="W169" s="149">
        <f t="shared" si="12"/>
        <v>8.2691496278885765E-2</v>
      </c>
      <c r="Y169" s="255"/>
      <c r="AB169" s="254"/>
    </row>
    <row r="170" spans="2:28" x14ac:dyDescent="0.25">
      <c r="B170" t="s">
        <v>375</v>
      </c>
      <c r="C170">
        <f t="shared" si="13"/>
        <v>6437</v>
      </c>
      <c r="D170">
        <v>4105</v>
      </c>
      <c r="E170">
        <v>2332</v>
      </c>
      <c r="F170">
        <v>0</v>
      </c>
      <c r="G170">
        <v>0</v>
      </c>
      <c r="H170">
        <v>3257</v>
      </c>
      <c r="I170">
        <v>253</v>
      </c>
      <c r="J170">
        <v>2394</v>
      </c>
      <c r="K170">
        <v>3103</v>
      </c>
      <c r="L170">
        <v>0</v>
      </c>
      <c r="M170">
        <v>0</v>
      </c>
      <c r="N170">
        <v>640</v>
      </c>
      <c r="O170">
        <v>0</v>
      </c>
      <c r="P170" s="101">
        <v>3793000000</v>
      </c>
      <c r="Q170" s="101">
        <v>362000000</v>
      </c>
      <c r="R170" s="101">
        <v>343900000</v>
      </c>
      <c r="S170" s="101">
        <f t="shared" si="14"/>
        <v>7778598.1000000006</v>
      </c>
      <c r="T170" s="101">
        <f t="shared" si="10"/>
        <v>1341598.1000000006</v>
      </c>
      <c r="U170" s="101">
        <f t="shared" si="11"/>
        <v>1341598.1000000006</v>
      </c>
      <c r="V170" s="101">
        <v>78862</v>
      </c>
      <c r="W170" s="149">
        <f t="shared" si="12"/>
        <v>1.7011971545230917E-2</v>
      </c>
      <c r="Y170" s="255"/>
      <c r="AB170" s="254"/>
    </row>
    <row r="171" spans="2:28" x14ac:dyDescent="0.25">
      <c r="B171" t="s">
        <v>222</v>
      </c>
      <c r="C171">
        <f t="shared" si="13"/>
        <v>3609</v>
      </c>
      <c r="D171">
        <v>2756</v>
      </c>
      <c r="E171">
        <v>853</v>
      </c>
      <c r="F171">
        <v>0</v>
      </c>
      <c r="G171">
        <v>15</v>
      </c>
      <c r="H171">
        <v>52</v>
      </c>
      <c r="I171">
        <v>76</v>
      </c>
      <c r="J171">
        <v>1790</v>
      </c>
      <c r="K171">
        <v>1604</v>
      </c>
      <c r="L171">
        <v>171</v>
      </c>
      <c r="M171">
        <v>117</v>
      </c>
      <c r="N171">
        <v>768</v>
      </c>
      <c r="O171">
        <v>19</v>
      </c>
      <c r="P171" s="101">
        <v>2471000000</v>
      </c>
      <c r="Q171" s="101">
        <v>352000000</v>
      </c>
      <c r="R171" s="101">
        <v>300444444.44444442</v>
      </c>
      <c r="S171" s="101">
        <f t="shared" si="14"/>
        <v>5400435.444444445</v>
      </c>
      <c r="T171" s="101">
        <f t="shared" si="10"/>
        <v>1791435.444444445</v>
      </c>
      <c r="U171" s="101">
        <f t="shared" si="11"/>
        <v>1791435.444444445</v>
      </c>
      <c r="V171" s="101">
        <v>40683</v>
      </c>
      <c r="W171" s="149">
        <f t="shared" si="12"/>
        <v>4.4034005467749306E-2</v>
      </c>
      <c r="Y171" s="255"/>
      <c r="AB171" s="254"/>
    </row>
    <row r="172" spans="2:28" x14ac:dyDescent="0.25">
      <c r="B172" t="s">
        <v>150</v>
      </c>
      <c r="C172">
        <f t="shared" si="13"/>
        <v>5486</v>
      </c>
      <c r="D172">
        <v>4937</v>
      </c>
      <c r="E172">
        <v>549</v>
      </c>
      <c r="F172">
        <v>0</v>
      </c>
      <c r="G172">
        <v>0</v>
      </c>
      <c r="H172">
        <v>275</v>
      </c>
      <c r="I172">
        <v>94</v>
      </c>
      <c r="J172">
        <v>3421</v>
      </c>
      <c r="K172">
        <v>2300</v>
      </c>
      <c r="L172">
        <v>316</v>
      </c>
      <c r="M172">
        <v>3</v>
      </c>
      <c r="N172">
        <v>536</v>
      </c>
      <c r="O172">
        <v>184</v>
      </c>
      <c r="P172" s="101">
        <v>3461000000</v>
      </c>
      <c r="Q172" s="101">
        <v>374000000</v>
      </c>
      <c r="R172" s="101">
        <v>331678947.36842102</v>
      </c>
      <c r="S172" s="101">
        <f t="shared" si="14"/>
        <v>7204187.9000000004</v>
      </c>
      <c r="T172" s="101">
        <f t="shared" si="10"/>
        <v>1718187.9000000004</v>
      </c>
      <c r="U172" s="101">
        <f t="shared" si="11"/>
        <v>1718187.9000000004</v>
      </c>
      <c r="V172" s="101">
        <v>76826</v>
      </c>
      <c r="W172" s="149">
        <f t="shared" si="12"/>
        <v>2.2364666909639969E-2</v>
      </c>
      <c r="Y172" s="255"/>
      <c r="AB172" s="254"/>
    </row>
    <row r="173" spans="2:28" x14ac:dyDescent="0.25">
      <c r="B173" t="s">
        <v>187</v>
      </c>
      <c r="C173">
        <f t="shared" si="13"/>
        <v>6011</v>
      </c>
      <c r="D173">
        <v>3638</v>
      </c>
      <c r="E173">
        <v>2373</v>
      </c>
      <c r="F173">
        <v>0</v>
      </c>
      <c r="G173">
        <v>0</v>
      </c>
      <c r="H173">
        <v>650</v>
      </c>
      <c r="I173">
        <v>106</v>
      </c>
      <c r="J173">
        <v>3464</v>
      </c>
      <c r="K173">
        <v>3102</v>
      </c>
      <c r="L173">
        <v>324</v>
      </c>
      <c r="M173">
        <v>73</v>
      </c>
      <c r="N173">
        <v>1025</v>
      </c>
      <c r="O173">
        <v>635</v>
      </c>
      <c r="P173" s="101">
        <v>3896000000</v>
      </c>
      <c r="Q173" s="101">
        <v>576000000</v>
      </c>
      <c r="R173" s="101">
        <v>478398595.25899911</v>
      </c>
      <c r="S173" s="101">
        <f t="shared" si="14"/>
        <v>8559239.1712028086</v>
      </c>
      <c r="T173" s="101">
        <f t="shared" si="10"/>
        <v>2548239.1712028086</v>
      </c>
      <c r="U173" s="101">
        <f t="shared" si="11"/>
        <v>2548239.1712028086</v>
      </c>
      <c r="V173" s="101">
        <v>84282</v>
      </c>
      <c r="W173" s="149">
        <f t="shared" si="12"/>
        <v>3.0234678474677968E-2</v>
      </c>
      <c r="Y173" s="255"/>
      <c r="AB173" s="254"/>
    </row>
    <row r="174" spans="2:28" x14ac:dyDescent="0.25">
      <c r="B174" t="s">
        <v>410</v>
      </c>
      <c r="C174">
        <f t="shared" si="13"/>
        <v>5119</v>
      </c>
      <c r="D174">
        <v>2867</v>
      </c>
      <c r="E174">
        <v>2252</v>
      </c>
      <c r="F174">
        <v>114</v>
      </c>
      <c r="G174">
        <v>0</v>
      </c>
      <c r="H174">
        <v>865</v>
      </c>
      <c r="I174">
        <v>128</v>
      </c>
      <c r="J174">
        <v>3246</v>
      </c>
      <c r="K174">
        <v>2766</v>
      </c>
      <c r="L174">
        <v>275</v>
      </c>
      <c r="M174">
        <v>92</v>
      </c>
      <c r="N174">
        <v>391</v>
      </c>
      <c r="O174">
        <v>61</v>
      </c>
      <c r="P174" s="101">
        <v>3637000000</v>
      </c>
      <c r="Q174" s="101">
        <v>600000000</v>
      </c>
      <c r="R174" s="101">
        <v>572945891.78356719</v>
      </c>
      <c r="S174" s="101">
        <f t="shared" si="14"/>
        <v>8316396.4468937889</v>
      </c>
      <c r="T174" s="101">
        <f t="shared" si="10"/>
        <v>3197396.4468937889</v>
      </c>
      <c r="U174" s="101">
        <f t="shared" si="11"/>
        <v>3197396.4468937889</v>
      </c>
      <c r="V174" s="101">
        <v>80151</v>
      </c>
      <c r="W174" s="149">
        <f t="shared" si="12"/>
        <v>3.9892159135803532E-2</v>
      </c>
      <c r="Y174" s="255"/>
      <c r="AB174" s="254"/>
    </row>
    <row r="175" spans="2:28" x14ac:dyDescent="0.25">
      <c r="B175" t="s">
        <v>774</v>
      </c>
      <c r="C175">
        <f t="shared" si="13"/>
        <v>14553</v>
      </c>
      <c r="D175">
        <v>7293</v>
      </c>
      <c r="E175">
        <v>7260</v>
      </c>
      <c r="F175">
        <v>2308</v>
      </c>
      <c r="G175">
        <v>7</v>
      </c>
      <c r="H175">
        <v>420</v>
      </c>
      <c r="I175">
        <v>186</v>
      </c>
      <c r="J175">
        <v>5812</v>
      </c>
      <c r="K175">
        <v>6241</v>
      </c>
      <c r="L175">
        <v>685</v>
      </c>
      <c r="M175">
        <v>161</v>
      </c>
      <c r="N175">
        <v>2093</v>
      </c>
      <c r="O175">
        <v>418</v>
      </c>
      <c r="P175" s="101">
        <v>9892000000</v>
      </c>
      <c r="Q175" s="101">
        <v>1676000000</v>
      </c>
      <c r="R175" s="101">
        <v>1579788138.281002</v>
      </c>
      <c r="S175" s="101">
        <f t="shared" si="14"/>
        <v>22732525.691087853</v>
      </c>
      <c r="T175" s="101">
        <f t="shared" si="10"/>
        <v>8179525.6910878532</v>
      </c>
      <c r="U175" s="101">
        <f t="shared" si="11"/>
        <v>8179525.6910878532</v>
      </c>
      <c r="V175" s="101">
        <v>197824</v>
      </c>
      <c r="W175" s="149">
        <f t="shared" si="12"/>
        <v>4.1347489137252572E-2</v>
      </c>
      <c r="Y175" s="255"/>
      <c r="AB175" s="254"/>
    </row>
    <row r="176" spans="2:28" x14ac:dyDescent="0.25">
      <c r="B176" t="s">
        <v>305</v>
      </c>
      <c r="C176">
        <f t="shared" si="13"/>
        <v>7919</v>
      </c>
      <c r="D176">
        <v>5522</v>
      </c>
      <c r="E176">
        <v>2397</v>
      </c>
      <c r="F176">
        <v>0</v>
      </c>
      <c r="G176">
        <v>48</v>
      </c>
      <c r="H176">
        <v>54</v>
      </c>
      <c r="I176">
        <v>39</v>
      </c>
      <c r="J176">
        <v>3150</v>
      </c>
      <c r="K176">
        <v>6396</v>
      </c>
      <c r="L176">
        <v>444</v>
      </c>
      <c r="M176">
        <v>788</v>
      </c>
      <c r="N176">
        <v>1949</v>
      </c>
      <c r="O176">
        <v>300</v>
      </c>
      <c r="P176" s="101">
        <v>4928000000</v>
      </c>
      <c r="Q176" s="101">
        <v>533000000</v>
      </c>
      <c r="R176" s="101">
        <v>513941597.13945174</v>
      </c>
      <c r="S176" s="101">
        <f t="shared" si="14"/>
        <v>10330674.021454113</v>
      </c>
      <c r="T176" s="101">
        <f t="shared" si="10"/>
        <v>2411674.0214541126</v>
      </c>
      <c r="U176" s="101">
        <f t="shared" si="11"/>
        <v>2411674.0214541126</v>
      </c>
      <c r="V176" s="101">
        <v>128388</v>
      </c>
      <c r="W176" s="149">
        <f t="shared" si="12"/>
        <v>1.8784263493894386E-2</v>
      </c>
      <c r="Y176" s="255"/>
      <c r="AB176" s="254"/>
    </row>
    <row r="177" spans="2:28" x14ac:dyDescent="0.25">
      <c r="B177" t="s">
        <v>411</v>
      </c>
      <c r="C177">
        <f t="shared" si="13"/>
        <v>39687</v>
      </c>
      <c r="D177">
        <v>19157</v>
      </c>
      <c r="E177">
        <v>20530</v>
      </c>
      <c r="F177">
        <v>10036</v>
      </c>
      <c r="G177">
        <v>1188</v>
      </c>
      <c r="H177">
        <v>7441</v>
      </c>
      <c r="I177">
        <v>1290</v>
      </c>
      <c r="J177">
        <v>16188</v>
      </c>
      <c r="K177">
        <v>19744</v>
      </c>
      <c r="L177">
        <v>1987</v>
      </c>
      <c r="M177">
        <v>523</v>
      </c>
      <c r="N177">
        <v>3606</v>
      </c>
      <c r="O177">
        <v>842</v>
      </c>
      <c r="P177" s="101">
        <v>19433000000</v>
      </c>
      <c r="Q177" s="101">
        <v>3451000000</v>
      </c>
      <c r="R177" s="101">
        <v>3384029697.1478977</v>
      </c>
      <c r="S177" s="101">
        <f t="shared" si="14"/>
        <v>45417423.346368715</v>
      </c>
      <c r="T177" s="101">
        <f t="shared" si="10"/>
        <v>5730423.3463687152</v>
      </c>
      <c r="U177" s="101">
        <f t="shared" si="11"/>
        <v>5730423.3463687152</v>
      </c>
      <c r="V177" s="101">
        <v>605023</v>
      </c>
      <c r="W177" s="149">
        <f t="shared" si="12"/>
        <v>9.4714140559428572E-3</v>
      </c>
      <c r="Y177" s="255"/>
      <c r="AB177" s="254"/>
    </row>
    <row r="178" spans="2:28" x14ac:dyDescent="0.25">
      <c r="B178" t="s">
        <v>264</v>
      </c>
      <c r="C178">
        <f t="shared" si="13"/>
        <v>14423</v>
      </c>
      <c r="D178">
        <v>8892</v>
      </c>
      <c r="E178">
        <v>5531</v>
      </c>
      <c r="F178">
        <v>0</v>
      </c>
      <c r="G178">
        <v>0</v>
      </c>
      <c r="H178">
        <v>1575</v>
      </c>
      <c r="I178">
        <v>243</v>
      </c>
      <c r="J178">
        <v>4457</v>
      </c>
      <c r="K178">
        <v>5913</v>
      </c>
      <c r="L178">
        <v>582</v>
      </c>
      <c r="M178">
        <v>180</v>
      </c>
      <c r="N178">
        <v>2419</v>
      </c>
      <c r="O178">
        <v>344</v>
      </c>
      <c r="P178" s="101">
        <v>7253000000</v>
      </c>
      <c r="Q178" s="101">
        <v>1131000000</v>
      </c>
      <c r="R178" s="101">
        <v>1067827027.027027</v>
      </c>
      <c r="S178" s="101">
        <f t="shared" si="14"/>
        <v>16342208.92972973</v>
      </c>
      <c r="T178" s="101">
        <f t="shared" si="10"/>
        <v>1919208.9297297299</v>
      </c>
      <c r="U178" s="101">
        <f t="shared" si="11"/>
        <v>1919208.9297297299</v>
      </c>
      <c r="V178" s="101">
        <v>148110</v>
      </c>
      <c r="W178" s="149">
        <f t="shared" si="12"/>
        <v>1.2957996959892849E-2</v>
      </c>
      <c r="Y178" s="255"/>
      <c r="AB178" s="254"/>
    </row>
    <row r="179" spans="2:28" x14ac:dyDescent="0.25">
      <c r="B179" t="s">
        <v>412</v>
      </c>
      <c r="C179">
        <f t="shared" si="13"/>
        <v>5503</v>
      </c>
      <c r="D179">
        <v>4465</v>
      </c>
      <c r="E179">
        <v>1038</v>
      </c>
      <c r="F179">
        <v>238</v>
      </c>
      <c r="G179">
        <v>0</v>
      </c>
      <c r="H179">
        <v>139</v>
      </c>
      <c r="I179">
        <v>133</v>
      </c>
      <c r="J179">
        <v>3095</v>
      </c>
      <c r="K179">
        <v>2418</v>
      </c>
      <c r="L179">
        <v>134</v>
      </c>
      <c r="M179">
        <v>111</v>
      </c>
      <c r="N179">
        <v>235</v>
      </c>
      <c r="O179">
        <v>26</v>
      </c>
      <c r="P179" s="101">
        <v>3044000000</v>
      </c>
      <c r="Q179" s="101">
        <v>185000000</v>
      </c>
      <c r="R179" s="101">
        <v>169974619.28934011</v>
      </c>
      <c r="S179" s="101">
        <f t="shared" si="14"/>
        <v>5876827.1167512694</v>
      </c>
      <c r="T179" s="101">
        <f t="shared" si="10"/>
        <v>373827.11675126944</v>
      </c>
      <c r="U179" s="101">
        <f t="shared" si="11"/>
        <v>373827.11675126944</v>
      </c>
      <c r="V179" s="101">
        <v>60516</v>
      </c>
      <c r="W179" s="149">
        <f t="shared" si="12"/>
        <v>6.1773269342201972E-3</v>
      </c>
      <c r="Y179" s="255"/>
      <c r="AB179" s="254"/>
    </row>
    <row r="180" spans="2:28" x14ac:dyDescent="0.25">
      <c r="B180" t="s">
        <v>581</v>
      </c>
      <c r="C180">
        <f t="shared" si="13"/>
        <v>21423</v>
      </c>
      <c r="D180">
        <v>12250</v>
      </c>
      <c r="E180">
        <v>9173</v>
      </c>
      <c r="F180">
        <v>64</v>
      </c>
      <c r="G180">
        <v>0</v>
      </c>
      <c r="H180">
        <v>150</v>
      </c>
      <c r="I180">
        <v>287</v>
      </c>
      <c r="J180">
        <v>6888</v>
      </c>
      <c r="K180">
        <v>8059</v>
      </c>
      <c r="L180">
        <v>993</v>
      </c>
      <c r="M180">
        <v>89</v>
      </c>
      <c r="N180">
        <v>2812</v>
      </c>
      <c r="O180">
        <v>575</v>
      </c>
      <c r="P180" s="101">
        <v>14249000000</v>
      </c>
      <c r="Q180" s="101">
        <v>2781000000</v>
      </c>
      <c r="R180" s="101">
        <v>2554353472.6143422</v>
      </c>
      <c r="S180" s="101">
        <f t="shared" si="14"/>
        <v>33861347.154150195</v>
      </c>
      <c r="T180" s="101">
        <f t="shared" si="10"/>
        <v>12438347.154150195</v>
      </c>
      <c r="U180" s="101">
        <f t="shared" si="11"/>
        <v>12438347.154150195</v>
      </c>
      <c r="V180" s="101">
        <v>316012</v>
      </c>
      <c r="W180" s="149">
        <f t="shared" si="12"/>
        <v>3.9360363385410033E-2</v>
      </c>
      <c r="Y180" s="255"/>
      <c r="AB180" s="254"/>
    </row>
    <row r="181" spans="2:28" x14ac:dyDescent="0.25">
      <c r="B181" t="s">
        <v>110</v>
      </c>
      <c r="C181">
        <f t="shared" si="13"/>
        <v>9909</v>
      </c>
      <c r="D181">
        <v>4899</v>
      </c>
      <c r="E181">
        <v>5010</v>
      </c>
      <c r="F181">
        <v>1480</v>
      </c>
      <c r="G181">
        <v>64</v>
      </c>
      <c r="H181">
        <v>0</v>
      </c>
      <c r="I181">
        <v>188</v>
      </c>
      <c r="J181">
        <v>3023</v>
      </c>
      <c r="K181">
        <v>3375</v>
      </c>
      <c r="L181">
        <v>486</v>
      </c>
      <c r="M181">
        <v>241</v>
      </c>
      <c r="N181">
        <v>1354</v>
      </c>
      <c r="O181">
        <v>580</v>
      </c>
      <c r="P181" s="101">
        <v>4715000000</v>
      </c>
      <c r="Q181" s="101">
        <v>798000000</v>
      </c>
      <c r="R181" s="101">
        <v>767461731.49309921</v>
      </c>
      <c r="S181" s="101">
        <f t="shared" si="14"/>
        <v>10858918.333751569</v>
      </c>
      <c r="T181" s="101">
        <f t="shared" si="10"/>
        <v>949918.33375156857</v>
      </c>
      <c r="U181" s="101">
        <f>IF(T181&gt;0,T181,0)</f>
        <v>949918.33375156857</v>
      </c>
      <c r="V181" s="101">
        <v>139908</v>
      </c>
      <c r="W181" s="149">
        <f>T181/(V181*1000)</f>
        <v>6.7895926877059821E-3</v>
      </c>
      <c r="Y181" s="255"/>
      <c r="AB181" s="254"/>
    </row>
    <row r="182" spans="2:28" x14ac:dyDescent="0.25">
      <c r="B182" t="s">
        <v>725</v>
      </c>
      <c r="C182">
        <f t="shared" si="13"/>
        <v>17592</v>
      </c>
      <c r="D182">
        <v>9077</v>
      </c>
      <c r="E182">
        <v>8515</v>
      </c>
      <c r="F182">
        <v>5742</v>
      </c>
      <c r="G182">
        <v>228</v>
      </c>
      <c r="H182">
        <v>1750</v>
      </c>
      <c r="I182">
        <v>130</v>
      </c>
      <c r="J182">
        <v>6053</v>
      </c>
      <c r="K182">
        <v>0</v>
      </c>
      <c r="L182">
        <v>654</v>
      </c>
      <c r="M182">
        <v>2080</v>
      </c>
      <c r="N182">
        <v>841</v>
      </c>
      <c r="O182">
        <v>735</v>
      </c>
      <c r="P182" s="101">
        <v>6502000000</v>
      </c>
      <c r="Q182" s="101">
        <v>1136000000</v>
      </c>
      <c r="R182" s="101">
        <v>1080242201.8348625</v>
      </c>
      <c r="S182" s="101">
        <f t="shared" si="14"/>
        <v>15073840.766972477</v>
      </c>
      <c r="T182" s="101">
        <f t="shared" si="10"/>
        <v>-2518159.2330275234</v>
      </c>
      <c r="U182" s="101">
        <f t="shared" si="11"/>
        <v>0</v>
      </c>
      <c r="V182" s="101">
        <v>226329</v>
      </c>
      <c r="W182" s="149">
        <f t="shared" si="12"/>
        <v>-1.1126100645642067E-2</v>
      </c>
      <c r="Y182" s="255"/>
      <c r="AB182" s="254"/>
    </row>
    <row r="183" spans="2:28" x14ac:dyDescent="0.25">
      <c r="B183" t="s">
        <v>306</v>
      </c>
      <c r="C183">
        <f t="shared" si="13"/>
        <v>6386</v>
      </c>
      <c r="D183">
        <v>4013</v>
      </c>
      <c r="E183">
        <v>2373</v>
      </c>
      <c r="F183">
        <v>6</v>
      </c>
      <c r="G183">
        <v>0</v>
      </c>
      <c r="H183">
        <v>0</v>
      </c>
      <c r="I183">
        <v>0</v>
      </c>
      <c r="J183">
        <v>1735</v>
      </c>
      <c r="K183">
        <v>2535</v>
      </c>
      <c r="L183">
        <v>271</v>
      </c>
      <c r="M183">
        <v>40</v>
      </c>
      <c r="N183">
        <v>706</v>
      </c>
      <c r="O183">
        <v>35</v>
      </c>
      <c r="P183" s="101">
        <v>3722000000</v>
      </c>
      <c r="Q183" s="101">
        <v>476000000</v>
      </c>
      <c r="R183" s="101">
        <v>462903225.80645162</v>
      </c>
      <c r="S183" s="101">
        <f t="shared" si="14"/>
        <v>8058701.6774193551</v>
      </c>
      <c r="T183" s="101">
        <f t="shared" si="10"/>
        <v>1672701.6774193551</v>
      </c>
      <c r="U183" s="101">
        <f t="shared" si="11"/>
        <v>1672701.6774193551</v>
      </c>
      <c r="V183" s="101">
        <v>56409</v>
      </c>
      <c r="W183" s="149">
        <f t="shared" si="12"/>
        <v>2.9653099282372586E-2</v>
      </c>
      <c r="Y183" s="255"/>
      <c r="AB183" s="254"/>
    </row>
    <row r="184" spans="2:28" x14ac:dyDescent="0.25">
      <c r="B184" t="s">
        <v>111</v>
      </c>
      <c r="C184">
        <f t="shared" si="13"/>
        <v>7508</v>
      </c>
      <c r="D184">
        <v>4395</v>
      </c>
      <c r="E184">
        <v>3113</v>
      </c>
      <c r="F184">
        <v>0</v>
      </c>
      <c r="G184">
        <v>0</v>
      </c>
      <c r="H184">
        <v>1406</v>
      </c>
      <c r="I184">
        <v>70</v>
      </c>
      <c r="J184">
        <v>4057</v>
      </c>
      <c r="K184">
        <v>3392</v>
      </c>
      <c r="L184">
        <v>349</v>
      </c>
      <c r="M184">
        <v>319</v>
      </c>
      <c r="N184">
        <v>1154</v>
      </c>
      <c r="O184">
        <v>143</v>
      </c>
      <c r="P184" s="101">
        <v>4470000000</v>
      </c>
      <c r="Q184" s="101">
        <v>830000000</v>
      </c>
      <c r="R184" s="101">
        <v>705176752.546435</v>
      </c>
      <c r="S184" s="101">
        <f t="shared" si="14"/>
        <v>10382950.605152788</v>
      </c>
      <c r="T184" s="101">
        <f t="shared" si="10"/>
        <v>2874950.6051527876</v>
      </c>
      <c r="U184" s="101">
        <f t="shared" si="11"/>
        <v>2874950.6051527876</v>
      </c>
      <c r="V184" s="101">
        <v>107268</v>
      </c>
      <c r="W184" s="149">
        <f t="shared" si="12"/>
        <v>2.680156808323813E-2</v>
      </c>
      <c r="Y184" s="255"/>
      <c r="AB184" s="254"/>
    </row>
    <row r="185" spans="2:28" x14ac:dyDescent="0.25">
      <c r="B185" t="s">
        <v>595</v>
      </c>
      <c r="C185">
        <f t="shared" si="13"/>
        <v>22058</v>
      </c>
      <c r="D185">
        <v>12724</v>
      </c>
      <c r="E185">
        <v>9334</v>
      </c>
      <c r="F185">
        <v>142</v>
      </c>
      <c r="G185">
        <v>0</v>
      </c>
      <c r="H185">
        <v>403</v>
      </c>
      <c r="I185">
        <v>0</v>
      </c>
      <c r="J185">
        <v>5818</v>
      </c>
      <c r="K185">
        <v>6672</v>
      </c>
      <c r="L185">
        <v>703</v>
      </c>
      <c r="M185">
        <v>295</v>
      </c>
      <c r="N185">
        <v>2542</v>
      </c>
      <c r="O185">
        <v>394</v>
      </c>
      <c r="P185" s="101">
        <v>6693000000</v>
      </c>
      <c r="Q185" s="101">
        <v>1198000000</v>
      </c>
      <c r="R185" s="101">
        <v>1116546578.3664458</v>
      </c>
      <c r="S185" s="101">
        <f t="shared" si="14"/>
        <v>15574048.033995586</v>
      </c>
      <c r="T185" s="101">
        <f t="shared" si="10"/>
        <v>-6483951.9660044145</v>
      </c>
      <c r="U185" s="101">
        <f t="shared" si="11"/>
        <v>0</v>
      </c>
      <c r="V185" s="101">
        <v>296562</v>
      </c>
      <c r="W185" s="149">
        <f t="shared" si="12"/>
        <v>-2.1863731583966976E-2</v>
      </c>
      <c r="Y185" s="255"/>
      <c r="AB185" s="254"/>
    </row>
    <row r="186" spans="2:28" x14ac:dyDescent="0.25">
      <c r="B186" t="s">
        <v>377</v>
      </c>
      <c r="C186">
        <f t="shared" si="13"/>
        <v>21165</v>
      </c>
      <c r="D186">
        <v>4074</v>
      </c>
      <c r="E186">
        <v>17091</v>
      </c>
      <c r="F186">
        <v>6</v>
      </c>
      <c r="G186">
        <v>0</v>
      </c>
      <c r="H186">
        <v>169</v>
      </c>
      <c r="I186">
        <v>57</v>
      </c>
      <c r="J186">
        <v>6216</v>
      </c>
      <c r="K186">
        <v>5161</v>
      </c>
      <c r="L186">
        <v>455</v>
      </c>
      <c r="M186">
        <v>78</v>
      </c>
      <c r="N186">
        <v>2639</v>
      </c>
      <c r="O186">
        <v>306</v>
      </c>
      <c r="P186" s="101">
        <v>5548000000</v>
      </c>
      <c r="Q186" s="101">
        <v>2987000000</v>
      </c>
      <c r="R186" s="101">
        <v>2987000000</v>
      </c>
      <c r="S186" s="101">
        <f t="shared" si="14"/>
        <v>19921538</v>
      </c>
      <c r="T186" s="101">
        <f t="shared" si="10"/>
        <v>-1243462</v>
      </c>
      <c r="U186" s="101">
        <f t="shared" si="11"/>
        <v>0</v>
      </c>
      <c r="V186" s="101">
        <v>136406</v>
      </c>
      <c r="W186" s="149">
        <f t="shared" si="12"/>
        <v>-9.1158893303813614E-3</v>
      </c>
      <c r="Y186" s="255"/>
      <c r="AB186" s="254"/>
    </row>
    <row r="187" spans="2:28" x14ac:dyDescent="0.25">
      <c r="B187" t="s">
        <v>596</v>
      </c>
      <c r="C187">
        <f t="shared" si="13"/>
        <v>8772</v>
      </c>
      <c r="D187">
        <v>5602</v>
      </c>
      <c r="E187">
        <v>3170</v>
      </c>
      <c r="F187">
        <v>0</v>
      </c>
      <c r="G187">
        <v>0</v>
      </c>
      <c r="H187">
        <v>239</v>
      </c>
      <c r="I187">
        <v>14</v>
      </c>
      <c r="J187">
        <v>4356</v>
      </c>
      <c r="K187">
        <v>6045</v>
      </c>
      <c r="L187">
        <v>543</v>
      </c>
      <c r="M187">
        <v>1160</v>
      </c>
      <c r="N187">
        <v>3228</v>
      </c>
      <c r="O187">
        <v>108</v>
      </c>
      <c r="P187" s="101">
        <v>6874000000</v>
      </c>
      <c r="Q187" s="101">
        <v>1029000000</v>
      </c>
      <c r="R187" s="101">
        <v>953589916.83991683</v>
      </c>
      <c r="S187" s="101">
        <f t="shared" si="14"/>
        <v>15313043.966216216</v>
      </c>
      <c r="T187" s="101">
        <f t="shared" si="10"/>
        <v>6541043.9662162159</v>
      </c>
      <c r="U187" s="101">
        <f t="shared" si="11"/>
        <v>6541043.9662162159</v>
      </c>
      <c r="V187" s="101">
        <v>127550</v>
      </c>
      <c r="W187" s="149">
        <f t="shared" si="12"/>
        <v>5.1282194952694753E-2</v>
      </c>
      <c r="Y187" s="255"/>
      <c r="AB187" s="254"/>
    </row>
    <row r="188" spans="2:28" x14ac:dyDescent="0.25">
      <c r="B188" t="s">
        <v>188</v>
      </c>
      <c r="C188">
        <f t="shared" si="13"/>
        <v>7973</v>
      </c>
      <c r="D188">
        <v>5305</v>
      </c>
      <c r="E188">
        <v>2668</v>
      </c>
      <c r="F188">
        <v>0</v>
      </c>
      <c r="G188">
        <v>0</v>
      </c>
      <c r="H188">
        <v>409</v>
      </c>
      <c r="I188">
        <v>299</v>
      </c>
      <c r="J188">
        <v>4482</v>
      </c>
      <c r="K188">
        <v>3818</v>
      </c>
      <c r="L188">
        <v>661</v>
      </c>
      <c r="M188">
        <v>117</v>
      </c>
      <c r="N188">
        <v>837</v>
      </c>
      <c r="O188">
        <v>223</v>
      </c>
      <c r="P188" s="101">
        <v>4550000000</v>
      </c>
      <c r="Q188" s="101">
        <v>627000000</v>
      </c>
      <c r="R188" s="101">
        <v>585304239.40149629</v>
      </c>
      <c r="S188" s="101">
        <f t="shared" si="14"/>
        <v>9963024.0299251862</v>
      </c>
      <c r="T188" s="101">
        <f t="shared" si="10"/>
        <v>1990024.0299251862</v>
      </c>
      <c r="U188" s="101">
        <f t="shared" si="11"/>
        <v>1990024.0299251862</v>
      </c>
      <c r="V188" s="101">
        <v>119576</v>
      </c>
      <c r="W188" s="149">
        <f t="shared" si="12"/>
        <v>1.6642336505027649E-2</v>
      </c>
      <c r="Y188" s="255"/>
      <c r="AB188" s="254"/>
    </row>
    <row r="189" spans="2:28" x14ac:dyDescent="0.25">
      <c r="B189" t="s">
        <v>436</v>
      </c>
      <c r="C189">
        <f t="shared" si="13"/>
        <v>4342</v>
      </c>
      <c r="D189">
        <v>2700</v>
      </c>
      <c r="E189">
        <v>1642</v>
      </c>
      <c r="F189">
        <v>0</v>
      </c>
      <c r="G189">
        <v>0</v>
      </c>
      <c r="H189">
        <v>0</v>
      </c>
      <c r="I189">
        <v>0</v>
      </c>
      <c r="J189">
        <v>1780</v>
      </c>
      <c r="K189">
        <v>2043</v>
      </c>
      <c r="L189">
        <v>196</v>
      </c>
      <c r="M189">
        <v>103</v>
      </c>
      <c r="N189">
        <v>566</v>
      </c>
      <c r="O189">
        <v>82</v>
      </c>
      <c r="P189" s="101">
        <v>2388000000</v>
      </c>
      <c r="Q189" s="101">
        <v>281000000</v>
      </c>
      <c r="R189" s="101">
        <v>258659010.6007067</v>
      </c>
      <c r="S189" s="101">
        <f t="shared" si="14"/>
        <v>5061922.4293286223</v>
      </c>
      <c r="T189" s="101">
        <f t="shared" si="10"/>
        <v>719922.4293286223</v>
      </c>
      <c r="U189" s="101">
        <f t="shared" si="11"/>
        <v>719922.4293286223</v>
      </c>
      <c r="V189" s="101">
        <v>36874</v>
      </c>
      <c r="W189" s="149">
        <f t="shared" si="12"/>
        <v>1.9523849577713897E-2</v>
      </c>
      <c r="Y189" s="255"/>
      <c r="AB189" s="254"/>
    </row>
    <row r="190" spans="2:28" x14ac:dyDescent="0.25">
      <c r="B190" t="s">
        <v>413</v>
      </c>
      <c r="C190">
        <f t="shared" si="13"/>
        <v>2228</v>
      </c>
      <c r="D190">
        <v>1854</v>
      </c>
      <c r="E190">
        <v>374</v>
      </c>
      <c r="F190">
        <v>0</v>
      </c>
      <c r="G190">
        <v>0</v>
      </c>
      <c r="H190">
        <v>133</v>
      </c>
      <c r="I190">
        <v>39</v>
      </c>
      <c r="J190">
        <v>539</v>
      </c>
      <c r="K190">
        <v>959</v>
      </c>
      <c r="L190">
        <v>93</v>
      </c>
      <c r="M190">
        <v>1</v>
      </c>
      <c r="N190">
        <v>96</v>
      </c>
      <c r="O190">
        <v>79</v>
      </c>
      <c r="P190" s="101">
        <v>1555000000</v>
      </c>
      <c r="Q190" s="101">
        <v>89000000</v>
      </c>
      <c r="R190" s="101">
        <v>80594444.444444448</v>
      </c>
      <c r="S190" s="101">
        <f t="shared" si="14"/>
        <v>2981823.7944444446</v>
      </c>
      <c r="T190" s="101">
        <f t="shared" si="10"/>
        <v>753823.79444444459</v>
      </c>
      <c r="U190" s="101">
        <f t="shared" si="11"/>
        <v>753823.79444444459</v>
      </c>
      <c r="V190" s="101">
        <v>23736</v>
      </c>
      <c r="W190" s="149">
        <f t="shared" si="12"/>
        <v>3.1758670140059175E-2</v>
      </c>
      <c r="Y190" s="255"/>
      <c r="AB190" s="254"/>
    </row>
    <row r="191" spans="2:28" x14ac:dyDescent="0.25">
      <c r="B191" t="s">
        <v>189</v>
      </c>
      <c r="C191">
        <f t="shared" si="13"/>
        <v>5875</v>
      </c>
      <c r="D191">
        <v>3999</v>
      </c>
      <c r="E191">
        <v>1876</v>
      </c>
      <c r="F191">
        <v>0</v>
      </c>
      <c r="G191">
        <v>0</v>
      </c>
      <c r="H191">
        <v>0</v>
      </c>
      <c r="I191">
        <v>267</v>
      </c>
      <c r="J191">
        <v>2383</v>
      </c>
      <c r="K191">
        <v>3187</v>
      </c>
      <c r="L191">
        <v>522</v>
      </c>
      <c r="M191">
        <v>294</v>
      </c>
      <c r="N191">
        <v>1142</v>
      </c>
      <c r="O191">
        <v>1873</v>
      </c>
      <c r="P191" s="101">
        <v>3230000000</v>
      </c>
      <c r="Q191" s="101">
        <v>454000000</v>
      </c>
      <c r="R191" s="101">
        <v>431224080.26755852</v>
      </c>
      <c r="S191" s="101">
        <f t="shared" si="14"/>
        <v>7115222.4347826093</v>
      </c>
      <c r="T191" s="101">
        <f t="shared" si="10"/>
        <v>1240222.4347826093</v>
      </c>
      <c r="U191" s="101">
        <f t="shared" si="11"/>
        <v>1240222.4347826093</v>
      </c>
      <c r="V191" s="101">
        <v>75174</v>
      </c>
      <c r="W191" s="149">
        <f t="shared" si="12"/>
        <v>1.649802371541503E-2</v>
      </c>
      <c r="Y191" s="255"/>
      <c r="AB191" s="254"/>
    </row>
    <row r="192" spans="2:28" x14ac:dyDescent="0.25">
      <c r="B192" t="s">
        <v>414</v>
      </c>
      <c r="C192">
        <f t="shared" si="13"/>
        <v>4704</v>
      </c>
      <c r="D192">
        <v>2634</v>
      </c>
      <c r="E192">
        <v>2070</v>
      </c>
      <c r="F192">
        <v>0</v>
      </c>
      <c r="G192">
        <v>0</v>
      </c>
      <c r="H192">
        <v>45</v>
      </c>
      <c r="I192">
        <v>51</v>
      </c>
      <c r="J192">
        <v>2424</v>
      </c>
      <c r="K192">
        <v>1791</v>
      </c>
      <c r="L192">
        <v>125</v>
      </c>
      <c r="M192">
        <v>23</v>
      </c>
      <c r="N192">
        <v>466</v>
      </c>
      <c r="O192">
        <v>36</v>
      </c>
      <c r="P192" s="101">
        <v>2705000000</v>
      </c>
      <c r="Q192" s="101">
        <v>430000000</v>
      </c>
      <c r="R192" s="101">
        <v>397322074.78890228</v>
      </c>
      <c r="S192" s="101">
        <f t="shared" si="14"/>
        <v>6107384.8673100127</v>
      </c>
      <c r="T192" s="101">
        <f t="shared" si="10"/>
        <v>1403384.8673100127</v>
      </c>
      <c r="U192" s="101">
        <f t="shared" si="11"/>
        <v>1403384.8673100127</v>
      </c>
      <c r="V192" s="101">
        <v>54328</v>
      </c>
      <c r="W192" s="149">
        <f t="shared" si="12"/>
        <v>2.5831704964475274E-2</v>
      </c>
      <c r="Y192" s="255"/>
      <c r="AB192" s="254"/>
    </row>
    <row r="193" spans="2:28" x14ac:dyDescent="0.25">
      <c r="B193" t="s">
        <v>223</v>
      </c>
      <c r="C193">
        <f t="shared" si="13"/>
        <v>21067</v>
      </c>
      <c r="D193">
        <v>7661</v>
      </c>
      <c r="E193">
        <v>13406</v>
      </c>
      <c r="F193">
        <v>5264</v>
      </c>
      <c r="G193">
        <v>145</v>
      </c>
      <c r="H193">
        <v>88</v>
      </c>
      <c r="I193">
        <v>6</v>
      </c>
      <c r="J193">
        <v>5490</v>
      </c>
      <c r="K193">
        <v>9677</v>
      </c>
      <c r="L193">
        <v>1041</v>
      </c>
      <c r="M193">
        <v>408</v>
      </c>
      <c r="N193">
        <v>3419</v>
      </c>
      <c r="O193">
        <v>747</v>
      </c>
      <c r="P193" s="101">
        <v>10483000000</v>
      </c>
      <c r="Q193" s="101">
        <v>2061000000</v>
      </c>
      <c r="R193" s="101">
        <v>2039261677.5489702</v>
      </c>
      <c r="S193" s="101">
        <f t="shared" si="14"/>
        <v>25214459.440482169</v>
      </c>
      <c r="T193" s="101">
        <f t="shared" si="10"/>
        <v>4147459.4404821694</v>
      </c>
      <c r="U193" s="101">
        <f t="shared" si="11"/>
        <v>4147459.4404821694</v>
      </c>
      <c r="V193" s="101">
        <v>272832</v>
      </c>
      <c r="W193" s="149">
        <f t="shared" si="12"/>
        <v>1.5201513900430189E-2</v>
      </c>
      <c r="Y193" s="255"/>
      <c r="AB193" s="254"/>
    </row>
    <row r="194" spans="2:28" x14ac:dyDescent="0.25">
      <c r="B194" t="s">
        <v>307</v>
      </c>
      <c r="C194">
        <f t="shared" si="13"/>
        <v>9376</v>
      </c>
      <c r="D194">
        <v>7797</v>
      </c>
      <c r="E194">
        <v>1579</v>
      </c>
      <c r="F194">
        <v>0</v>
      </c>
      <c r="G194">
        <v>0</v>
      </c>
      <c r="H194">
        <v>120</v>
      </c>
      <c r="I194">
        <v>56</v>
      </c>
      <c r="J194">
        <v>2827</v>
      </c>
      <c r="K194">
        <v>3866</v>
      </c>
      <c r="L194">
        <v>343</v>
      </c>
      <c r="M194">
        <v>277</v>
      </c>
      <c r="N194">
        <v>1457</v>
      </c>
      <c r="O194">
        <v>582</v>
      </c>
      <c r="P194" s="101">
        <v>5345000000</v>
      </c>
      <c r="Q194" s="101">
        <v>651000000</v>
      </c>
      <c r="R194" s="101">
        <v>613343106.18066561</v>
      </c>
      <c r="S194" s="101">
        <f t="shared" si="14"/>
        <v>11427554.230586372</v>
      </c>
      <c r="T194" s="101">
        <f t="shared" ref="T194:T257" si="15">SUM(S194,-C194*1000)</f>
        <v>2051554.2305863723</v>
      </c>
      <c r="U194" s="101">
        <f t="shared" ref="U194:U257" si="16">IF(T194&gt;0,T194,0)</f>
        <v>2051554.2305863723</v>
      </c>
      <c r="V194" s="101">
        <v>88332</v>
      </c>
      <c r="W194" s="149">
        <f t="shared" ref="W194:W257" si="17">T194/(V194*1000)</f>
        <v>2.3225492806529597E-2</v>
      </c>
      <c r="Y194" s="255"/>
      <c r="AB194" s="254"/>
    </row>
    <row r="195" spans="2:28" x14ac:dyDescent="0.25">
      <c r="B195" t="s">
        <v>190</v>
      </c>
      <c r="C195">
        <f t="shared" ref="C195:C258" si="18">SUM(D195:E195)</f>
        <v>10992</v>
      </c>
      <c r="D195">
        <v>6342</v>
      </c>
      <c r="E195">
        <v>4650</v>
      </c>
      <c r="F195">
        <v>303</v>
      </c>
      <c r="G195">
        <v>0</v>
      </c>
      <c r="H195">
        <v>341</v>
      </c>
      <c r="I195">
        <v>206</v>
      </c>
      <c r="J195">
        <v>2317</v>
      </c>
      <c r="K195">
        <v>3507</v>
      </c>
      <c r="L195">
        <v>608</v>
      </c>
      <c r="M195">
        <v>750</v>
      </c>
      <c r="N195">
        <v>1517</v>
      </c>
      <c r="O195">
        <v>350</v>
      </c>
      <c r="P195" s="101">
        <v>7980000000</v>
      </c>
      <c r="Q195" s="101">
        <v>1224000000</v>
      </c>
      <c r="R195" s="101">
        <v>1188923866.552609</v>
      </c>
      <c r="S195" s="101">
        <f t="shared" ref="S195:S258" si="19">0.1729%*SUM(P195,Q195,R195)</f>
        <v>17969365.36526946</v>
      </c>
      <c r="T195" s="101">
        <f t="shared" si="15"/>
        <v>6977365.3652694598</v>
      </c>
      <c r="U195" s="101">
        <f t="shared" si="16"/>
        <v>6977365.3652694598</v>
      </c>
      <c r="V195" s="101">
        <v>129280</v>
      </c>
      <c r="W195" s="149">
        <f t="shared" si="17"/>
        <v>5.3970957342740253E-2</v>
      </c>
      <c r="Y195" s="255"/>
      <c r="AB195" s="254"/>
    </row>
    <row r="196" spans="2:28" x14ac:dyDescent="0.25">
      <c r="B196" t="s">
        <v>191</v>
      </c>
      <c r="C196">
        <f t="shared" si="18"/>
        <v>98702</v>
      </c>
      <c r="D196">
        <v>53775</v>
      </c>
      <c r="E196">
        <v>44927</v>
      </c>
      <c r="F196">
        <v>20543</v>
      </c>
      <c r="G196">
        <v>576</v>
      </c>
      <c r="H196">
        <v>1090</v>
      </c>
      <c r="I196">
        <v>172</v>
      </c>
      <c r="J196">
        <v>15656</v>
      </c>
      <c r="K196">
        <v>3272</v>
      </c>
      <c r="L196">
        <v>2666</v>
      </c>
      <c r="M196">
        <v>0</v>
      </c>
      <c r="N196">
        <v>14151</v>
      </c>
      <c r="O196">
        <v>2908</v>
      </c>
      <c r="P196" s="101">
        <v>30441000000</v>
      </c>
      <c r="Q196" s="101">
        <v>4481000000</v>
      </c>
      <c r="R196" s="101">
        <v>4372037987.4495745</v>
      </c>
      <c r="S196" s="101">
        <f t="shared" si="19"/>
        <v>67939391.680300325</v>
      </c>
      <c r="T196" s="101">
        <f t="shared" si="15"/>
        <v>-30762608.319699675</v>
      </c>
      <c r="U196" s="101">
        <f t="shared" si="16"/>
        <v>0</v>
      </c>
      <c r="V196" s="101">
        <v>1096989</v>
      </c>
      <c r="W196" s="149">
        <f t="shared" si="17"/>
        <v>-2.8042768268140953E-2</v>
      </c>
      <c r="Y196" s="255"/>
      <c r="AB196" s="254"/>
    </row>
    <row r="197" spans="2:28" x14ac:dyDescent="0.25">
      <c r="B197" t="s">
        <v>475</v>
      </c>
      <c r="C197">
        <f t="shared" si="18"/>
        <v>18499</v>
      </c>
      <c r="D197">
        <v>11557</v>
      </c>
      <c r="E197">
        <v>6942</v>
      </c>
      <c r="F197">
        <v>3545</v>
      </c>
      <c r="G197">
        <v>44</v>
      </c>
      <c r="H197">
        <v>355</v>
      </c>
      <c r="I197">
        <v>645</v>
      </c>
      <c r="J197">
        <v>6821</v>
      </c>
      <c r="K197">
        <v>13933</v>
      </c>
      <c r="L197">
        <v>1143</v>
      </c>
      <c r="M197">
        <v>542</v>
      </c>
      <c r="N197">
        <v>0</v>
      </c>
      <c r="O197">
        <v>563</v>
      </c>
      <c r="P197" s="101">
        <v>11126000000</v>
      </c>
      <c r="Q197" s="101">
        <v>1232000000</v>
      </c>
      <c r="R197" s="101">
        <v>1198797876.684361</v>
      </c>
      <c r="S197" s="101">
        <f t="shared" si="19"/>
        <v>23439703.528787259</v>
      </c>
      <c r="T197" s="101">
        <f t="shared" si="15"/>
        <v>4940703.528787259</v>
      </c>
      <c r="U197" s="101">
        <f t="shared" si="16"/>
        <v>4940703.528787259</v>
      </c>
      <c r="V197" s="101">
        <v>381863</v>
      </c>
      <c r="W197" s="149">
        <f t="shared" si="17"/>
        <v>1.2938419089535406E-2</v>
      </c>
      <c r="Y197" s="255"/>
      <c r="AB197" s="254"/>
    </row>
    <row r="198" spans="2:28" x14ac:dyDescent="0.25">
      <c r="B198" t="s">
        <v>597</v>
      </c>
      <c r="C198">
        <f t="shared" si="18"/>
        <v>10444</v>
      </c>
      <c r="D198">
        <v>6651</v>
      </c>
      <c r="E198">
        <v>3793</v>
      </c>
      <c r="F198">
        <v>363</v>
      </c>
      <c r="G198">
        <v>0</v>
      </c>
      <c r="H198">
        <v>781</v>
      </c>
      <c r="I198">
        <v>90</v>
      </c>
      <c r="J198">
        <v>4934</v>
      </c>
      <c r="K198">
        <v>5202</v>
      </c>
      <c r="L198">
        <v>500</v>
      </c>
      <c r="M198">
        <v>450</v>
      </c>
      <c r="N198">
        <v>1751</v>
      </c>
      <c r="O198">
        <v>315</v>
      </c>
      <c r="P198" s="101">
        <v>5506000000</v>
      </c>
      <c r="Q198" s="101">
        <v>963000000</v>
      </c>
      <c r="R198" s="101">
        <v>857394136.80781758</v>
      </c>
      <c r="S198" s="101">
        <f t="shared" si="19"/>
        <v>12667335.462540718</v>
      </c>
      <c r="T198" s="101">
        <f t="shared" si="15"/>
        <v>2223335.4625407178</v>
      </c>
      <c r="U198" s="101">
        <f t="shared" si="16"/>
        <v>2223335.4625407178</v>
      </c>
      <c r="V198" s="101">
        <v>208120</v>
      </c>
      <c r="W198" s="149">
        <f t="shared" si="17"/>
        <v>1.0682949560545444E-2</v>
      </c>
      <c r="Y198" s="255"/>
      <c r="AB198" s="254"/>
    </row>
    <row r="199" spans="2:28" x14ac:dyDescent="0.25">
      <c r="B199" t="s">
        <v>333</v>
      </c>
      <c r="C199">
        <f t="shared" si="18"/>
        <v>2510</v>
      </c>
      <c r="D199">
        <v>1861</v>
      </c>
      <c r="E199">
        <v>649</v>
      </c>
      <c r="F199">
        <v>519</v>
      </c>
      <c r="G199">
        <v>5</v>
      </c>
      <c r="H199">
        <v>6235</v>
      </c>
      <c r="I199">
        <v>28</v>
      </c>
      <c r="J199">
        <v>1142</v>
      </c>
      <c r="K199">
        <v>1325</v>
      </c>
      <c r="L199">
        <v>112</v>
      </c>
      <c r="M199">
        <v>119</v>
      </c>
      <c r="N199">
        <v>415</v>
      </c>
      <c r="O199">
        <v>245</v>
      </c>
      <c r="P199" s="101">
        <v>1948000000</v>
      </c>
      <c r="Q199" s="101">
        <v>273000000</v>
      </c>
      <c r="R199" s="101">
        <v>245496268.65671641</v>
      </c>
      <c r="S199" s="101">
        <f t="shared" si="19"/>
        <v>4264572.0485074632</v>
      </c>
      <c r="T199" s="101">
        <f t="shared" si="15"/>
        <v>1754572.0485074632</v>
      </c>
      <c r="U199" s="101">
        <f t="shared" si="16"/>
        <v>1754572.0485074632</v>
      </c>
      <c r="V199" s="101">
        <v>39609</v>
      </c>
      <c r="W199" s="149">
        <f t="shared" si="17"/>
        <v>4.4297307392447756E-2</v>
      </c>
      <c r="Y199" s="255"/>
      <c r="AB199" s="254"/>
    </row>
    <row r="200" spans="2:28" x14ac:dyDescent="0.25">
      <c r="B200" t="s">
        <v>112</v>
      </c>
      <c r="C200">
        <f t="shared" si="18"/>
        <v>6826</v>
      </c>
      <c r="D200">
        <v>4895</v>
      </c>
      <c r="E200">
        <v>1931</v>
      </c>
      <c r="F200">
        <v>0</v>
      </c>
      <c r="G200">
        <v>0</v>
      </c>
      <c r="H200">
        <v>507</v>
      </c>
      <c r="I200">
        <v>305</v>
      </c>
      <c r="J200">
        <v>4465</v>
      </c>
      <c r="K200">
        <v>3663</v>
      </c>
      <c r="L200">
        <v>317</v>
      </c>
      <c r="M200">
        <v>202</v>
      </c>
      <c r="N200">
        <v>0</v>
      </c>
      <c r="O200">
        <v>92</v>
      </c>
      <c r="P200" s="101">
        <v>5121000000</v>
      </c>
      <c r="Q200" s="101">
        <v>753000000</v>
      </c>
      <c r="R200" s="101">
        <v>722822519.08396947</v>
      </c>
      <c r="S200" s="101">
        <f t="shared" si="19"/>
        <v>11405906.135496182</v>
      </c>
      <c r="T200" s="101">
        <f t="shared" si="15"/>
        <v>4579906.1354961824</v>
      </c>
      <c r="U200" s="101">
        <f t="shared" si="16"/>
        <v>4579906.1354961824</v>
      </c>
      <c r="V200" s="101">
        <v>109899</v>
      </c>
      <c r="W200" s="149">
        <f t="shared" si="17"/>
        <v>4.1673774424664307E-2</v>
      </c>
      <c r="Y200" s="255"/>
      <c r="AB200" s="254"/>
    </row>
    <row r="201" spans="2:28" x14ac:dyDescent="0.25">
      <c r="B201" t="s">
        <v>430</v>
      </c>
      <c r="C201">
        <f t="shared" si="18"/>
        <v>13296</v>
      </c>
      <c r="D201">
        <v>6503</v>
      </c>
      <c r="E201">
        <v>6793</v>
      </c>
      <c r="F201">
        <v>0</v>
      </c>
      <c r="G201">
        <v>0</v>
      </c>
      <c r="H201">
        <v>574</v>
      </c>
      <c r="I201">
        <v>81</v>
      </c>
      <c r="J201">
        <v>3299</v>
      </c>
      <c r="K201">
        <v>6206</v>
      </c>
      <c r="L201">
        <v>649</v>
      </c>
      <c r="M201">
        <v>564</v>
      </c>
      <c r="N201">
        <v>1830</v>
      </c>
      <c r="O201">
        <v>753</v>
      </c>
      <c r="P201" s="101">
        <v>5865000000</v>
      </c>
      <c r="Q201" s="101">
        <v>1976000000</v>
      </c>
      <c r="R201" s="101">
        <v>1975412429.378531</v>
      </c>
      <c r="S201" s="101">
        <f t="shared" si="19"/>
        <v>16972577.09039548</v>
      </c>
      <c r="T201" s="101">
        <f t="shared" si="15"/>
        <v>3676577.0903954804</v>
      </c>
      <c r="U201" s="101">
        <f t="shared" si="16"/>
        <v>3676577.0903954804</v>
      </c>
      <c r="V201" s="101">
        <v>195262</v>
      </c>
      <c r="W201" s="149">
        <f t="shared" si="17"/>
        <v>1.8828943114356508E-2</v>
      </c>
      <c r="Y201" s="255"/>
      <c r="AB201" s="254"/>
    </row>
    <row r="202" spans="2:28" x14ac:dyDescent="0.25">
      <c r="B202" t="s">
        <v>308</v>
      </c>
      <c r="C202">
        <f t="shared" si="18"/>
        <v>15513</v>
      </c>
      <c r="D202">
        <v>11507</v>
      </c>
      <c r="E202">
        <v>4006</v>
      </c>
      <c r="F202">
        <v>6064</v>
      </c>
      <c r="G202">
        <v>224</v>
      </c>
      <c r="H202">
        <v>4899</v>
      </c>
      <c r="I202">
        <v>0</v>
      </c>
      <c r="J202">
        <v>4926</v>
      </c>
      <c r="K202">
        <v>7248</v>
      </c>
      <c r="L202">
        <v>538</v>
      </c>
      <c r="M202">
        <v>244</v>
      </c>
      <c r="N202">
        <v>2273</v>
      </c>
      <c r="O202">
        <v>659</v>
      </c>
      <c r="P202" s="101">
        <v>6611200000</v>
      </c>
      <c r="Q202" s="101">
        <v>897050000</v>
      </c>
      <c r="R202" s="101">
        <v>833579481.13207543</v>
      </c>
      <c r="S202" s="101">
        <f t="shared" si="19"/>
        <v>14423023.172877358</v>
      </c>
      <c r="T202" s="101">
        <f t="shared" si="15"/>
        <v>-1089976.8271226417</v>
      </c>
      <c r="U202" s="101">
        <f t="shared" si="16"/>
        <v>0</v>
      </c>
      <c r="V202" s="101">
        <v>156710</v>
      </c>
      <c r="W202" s="149">
        <f t="shared" si="17"/>
        <v>-6.9553750693806503E-3</v>
      </c>
      <c r="Y202" s="255"/>
      <c r="AB202" s="254"/>
    </row>
    <row r="203" spans="2:28" x14ac:dyDescent="0.25">
      <c r="B203" t="s">
        <v>433</v>
      </c>
      <c r="C203">
        <f t="shared" si="18"/>
        <v>6862</v>
      </c>
      <c r="D203">
        <v>5364</v>
      </c>
      <c r="E203">
        <v>1498</v>
      </c>
      <c r="F203">
        <v>0</v>
      </c>
      <c r="G203">
        <v>0</v>
      </c>
      <c r="H203">
        <v>27</v>
      </c>
      <c r="I203">
        <v>85</v>
      </c>
      <c r="J203">
        <v>2024</v>
      </c>
      <c r="K203">
        <v>3020</v>
      </c>
      <c r="L203">
        <v>333</v>
      </c>
      <c r="M203">
        <v>272</v>
      </c>
      <c r="N203">
        <v>512</v>
      </c>
      <c r="O203">
        <v>93</v>
      </c>
      <c r="P203" s="101">
        <v>5001000000</v>
      </c>
      <c r="Q203" s="101">
        <v>369000000</v>
      </c>
      <c r="R203" s="101">
        <v>346365192.58202565</v>
      </c>
      <c r="S203" s="101">
        <f t="shared" si="19"/>
        <v>9883595.417974323</v>
      </c>
      <c r="T203" s="101">
        <f t="shared" si="15"/>
        <v>3021595.417974323</v>
      </c>
      <c r="U203" s="101">
        <f t="shared" si="16"/>
        <v>3021595.417974323</v>
      </c>
      <c r="V203" s="101">
        <v>71438</v>
      </c>
      <c r="W203" s="149">
        <f t="shared" si="17"/>
        <v>4.2296752680286723E-2</v>
      </c>
      <c r="Y203" s="255"/>
      <c r="AB203" s="254"/>
    </row>
    <row r="204" spans="2:28" x14ac:dyDescent="0.25">
      <c r="B204" t="s">
        <v>192</v>
      </c>
      <c r="C204">
        <f t="shared" si="18"/>
        <v>6575</v>
      </c>
      <c r="D204">
        <v>4522</v>
      </c>
      <c r="E204">
        <v>2053</v>
      </c>
      <c r="F204">
        <v>0</v>
      </c>
      <c r="G204">
        <v>0</v>
      </c>
      <c r="H204">
        <v>1803</v>
      </c>
      <c r="I204">
        <v>0</v>
      </c>
      <c r="J204">
        <v>1951</v>
      </c>
      <c r="K204">
        <v>2282</v>
      </c>
      <c r="L204">
        <v>397</v>
      </c>
      <c r="M204">
        <v>409</v>
      </c>
      <c r="N204">
        <v>870</v>
      </c>
      <c r="O204">
        <v>133</v>
      </c>
      <c r="P204" s="101">
        <v>4806000000</v>
      </c>
      <c r="Q204" s="101">
        <v>594000000</v>
      </c>
      <c r="R204" s="101">
        <v>533814977.97356826</v>
      </c>
      <c r="S204" s="101">
        <f t="shared" si="19"/>
        <v>10259566.096916299</v>
      </c>
      <c r="T204" s="101">
        <f t="shared" si="15"/>
        <v>3684566.0969162993</v>
      </c>
      <c r="U204" s="101">
        <f t="shared" si="16"/>
        <v>3684566.0969162993</v>
      </c>
      <c r="V204" s="101">
        <v>95611</v>
      </c>
      <c r="W204" s="149">
        <f t="shared" si="17"/>
        <v>3.8537052189772089E-2</v>
      </c>
      <c r="Y204" s="255"/>
      <c r="AB204" s="254"/>
    </row>
    <row r="205" spans="2:28" x14ac:dyDescent="0.25">
      <c r="B205" t="s">
        <v>309</v>
      </c>
      <c r="C205">
        <f t="shared" si="18"/>
        <v>10202</v>
      </c>
      <c r="D205">
        <v>6793</v>
      </c>
      <c r="E205">
        <v>3409</v>
      </c>
      <c r="F205">
        <v>0</v>
      </c>
      <c r="G205">
        <v>9</v>
      </c>
      <c r="H205">
        <v>392</v>
      </c>
      <c r="I205">
        <v>143</v>
      </c>
      <c r="J205">
        <v>2666</v>
      </c>
      <c r="K205">
        <v>3735</v>
      </c>
      <c r="L205">
        <v>389</v>
      </c>
      <c r="M205">
        <v>0</v>
      </c>
      <c r="N205">
        <v>2836</v>
      </c>
      <c r="O205">
        <v>188</v>
      </c>
      <c r="P205" s="101">
        <v>6235000000</v>
      </c>
      <c r="Q205" s="101">
        <v>467000000</v>
      </c>
      <c r="R205" s="101">
        <v>465014877.78958553</v>
      </c>
      <c r="S205" s="101">
        <f t="shared" si="19"/>
        <v>12391768.723698193</v>
      </c>
      <c r="T205" s="101">
        <f t="shared" si="15"/>
        <v>2189768.7236981932</v>
      </c>
      <c r="U205" s="101">
        <f t="shared" si="16"/>
        <v>2189768.7236981932</v>
      </c>
      <c r="V205" s="101">
        <v>79570</v>
      </c>
      <c r="W205" s="149">
        <f t="shared" si="17"/>
        <v>2.7520029203194588E-2</v>
      </c>
      <c r="Y205" s="255"/>
      <c r="AB205" s="254"/>
    </row>
    <row r="206" spans="2:28" x14ac:dyDescent="0.25">
      <c r="B206" t="s">
        <v>378</v>
      </c>
      <c r="C206">
        <f t="shared" si="18"/>
        <v>7690</v>
      </c>
      <c r="D206">
        <v>3838</v>
      </c>
      <c r="E206">
        <v>3852</v>
      </c>
      <c r="F206">
        <v>8</v>
      </c>
      <c r="G206">
        <v>0</v>
      </c>
      <c r="H206">
        <v>589</v>
      </c>
      <c r="I206">
        <v>39</v>
      </c>
      <c r="J206">
        <v>1561</v>
      </c>
      <c r="K206">
        <v>1492</v>
      </c>
      <c r="L206">
        <v>261</v>
      </c>
      <c r="M206">
        <v>0</v>
      </c>
      <c r="N206">
        <v>939</v>
      </c>
      <c r="O206">
        <v>569</v>
      </c>
      <c r="P206" s="101">
        <v>3720000000</v>
      </c>
      <c r="Q206" s="101">
        <v>804000000</v>
      </c>
      <c r="R206" s="101">
        <v>804000000</v>
      </c>
      <c r="S206" s="101">
        <f t="shared" si="19"/>
        <v>9212112</v>
      </c>
      <c r="T206" s="101">
        <f t="shared" si="15"/>
        <v>1522112</v>
      </c>
      <c r="U206" s="101">
        <f t="shared" si="16"/>
        <v>1522112</v>
      </c>
      <c r="V206" s="101">
        <v>60684</v>
      </c>
      <c r="W206" s="149">
        <f t="shared" si="17"/>
        <v>2.5082591786961966E-2</v>
      </c>
      <c r="Y206" s="255"/>
      <c r="AB206" s="254"/>
    </row>
    <row r="207" spans="2:28" x14ac:dyDescent="0.25">
      <c r="B207" t="s">
        <v>379</v>
      </c>
      <c r="C207">
        <f t="shared" si="18"/>
        <v>9234</v>
      </c>
      <c r="D207">
        <v>6814</v>
      </c>
      <c r="E207">
        <v>2420</v>
      </c>
      <c r="F207">
        <v>1046</v>
      </c>
      <c r="G207">
        <v>104</v>
      </c>
      <c r="H207">
        <v>658</v>
      </c>
      <c r="I207">
        <v>97</v>
      </c>
      <c r="J207">
        <v>3290</v>
      </c>
      <c r="K207">
        <v>2666</v>
      </c>
      <c r="L207">
        <v>428</v>
      </c>
      <c r="M207">
        <v>0</v>
      </c>
      <c r="N207">
        <v>1237</v>
      </c>
      <c r="O207">
        <v>216</v>
      </c>
      <c r="P207" s="101">
        <v>6703000000</v>
      </c>
      <c r="Q207" s="101">
        <v>708000000</v>
      </c>
      <c r="R207" s="101">
        <v>708000000</v>
      </c>
      <c r="S207" s="101">
        <f t="shared" si="19"/>
        <v>14037751</v>
      </c>
      <c r="T207" s="101">
        <f t="shared" si="15"/>
        <v>4803751</v>
      </c>
      <c r="U207" s="101">
        <f t="shared" si="16"/>
        <v>4803751</v>
      </c>
      <c r="V207" s="101">
        <v>104082</v>
      </c>
      <c r="W207" s="149">
        <f t="shared" si="17"/>
        <v>4.6153523183643665E-2</v>
      </c>
      <c r="Y207" s="255"/>
      <c r="AB207" s="254"/>
    </row>
    <row r="208" spans="2:28" x14ac:dyDescent="0.25">
      <c r="B208" t="s">
        <v>121</v>
      </c>
      <c r="C208">
        <f t="shared" si="18"/>
        <v>14880</v>
      </c>
      <c r="D208">
        <v>7910</v>
      </c>
      <c r="E208">
        <v>6970</v>
      </c>
      <c r="F208">
        <v>2</v>
      </c>
      <c r="G208">
        <v>19</v>
      </c>
      <c r="H208">
        <v>120</v>
      </c>
      <c r="I208">
        <v>227</v>
      </c>
      <c r="J208">
        <v>4725</v>
      </c>
      <c r="K208">
        <v>4434</v>
      </c>
      <c r="L208">
        <v>533</v>
      </c>
      <c r="M208">
        <v>189</v>
      </c>
      <c r="N208">
        <v>1362</v>
      </c>
      <c r="O208">
        <v>54</v>
      </c>
      <c r="P208" s="101">
        <v>4523000000</v>
      </c>
      <c r="Q208" s="101">
        <v>742000000</v>
      </c>
      <c r="R208" s="101">
        <v>664773558.36849511</v>
      </c>
      <c r="S208" s="101">
        <f t="shared" si="19"/>
        <v>10252578.482419128</v>
      </c>
      <c r="T208" s="101">
        <f t="shared" si="15"/>
        <v>-4627421.5175808724</v>
      </c>
      <c r="U208" s="101">
        <f t="shared" si="16"/>
        <v>0</v>
      </c>
      <c r="V208" s="101">
        <v>194149</v>
      </c>
      <c r="W208" s="149">
        <f t="shared" si="17"/>
        <v>-2.3834382446373006E-2</v>
      </c>
      <c r="Y208" s="255"/>
      <c r="AB208" s="254"/>
    </row>
    <row r="209" spans="2:28" x14ac:dyDescent="0.25">
      <c r="B209" t="s">
        <v>193</v>
      </c>
      <c r="C209">
        <f t="shared" si="18"/>
        <v>5826</v>
      </c>
      <c r="D209">
        <v>3681</v>
      </c>
      <c r="E209">
        <v>2145</v>
      </c>
      <c r="F209">
        <v>0</v>
      </c>
      <c r="G209">
        <v>17</v>
      </c>
      <c r="H209">
        <v>813</v>
      </c>
      <c r="I209">
        <v>0</v>
      </c>
      <c r="J209">
        <v>1620</v>
      </c>
      <c r="K209">
        <v>2787</v>
      </c>
      <c r="L209">
        <v>266</v>
      </c>
      <c r="M209">
        <v>644</v>
      </c>
      <c r="N209">
        <v>930</v>
      </c>
      <c r="O209">
        <v>484</v>
      </c>
      <c r="P209" s="101">
        <v>3472000000</v>
      </c>
      <c r="Q209" s="101">
        <v>468000000</v>
      </c>
      <c r="R209" s="101">
        <v>431553047.40406322</v>
      </c>
      <c r="S209" s="101">
        <f t="shared" si="19"/>
        <v>7558415.2189616254</v>
      </c>
      <c r="T209" s="101">
        <f t="shared" si="15"/>
        <v>1732415.2189616254</v>
      </c>
      <c r="U209" s="101">
        <f t="shared" si="16"/>
        <v>1732415.2189616254</v>
      </c>
      <c r="V209" s="101">
        <v>94812</v>
      </c>
      <c r="W209" s="149">
        <f t="shared" si="17"/>
        <v>1.8272109215728236E-2</v>
      </c>
      <c r="Y209" s="255"/>
      <c r="AB209" s="254"/>
    </row>
    <row r="210" spans="2:28" x14ac:dyDescent="0.25">
      <c r="B210" t="s">
        <v>151</v>
      </c>
      <c r="C210">
        <f t="shared" si="18"/>
        <v>9531</v>
      </c>
      <c r="D210">
        <v>4903</v>
      </c>
      <c r="E210">
        <v>4628</v>
      </c>
      <c r="F210">
        <v>860</v>
      </c>
      <c r="G210">
        <v>0</v>
      </c>
      <c r="H210">
        <v>86</v>
      </c>
      <c r="I210">
        <v>95</v>
      </c>
      <c r="J210">
        <v>3185</v>
      </c>
      <c r="K210">
        <v>4088</v>
      </c>
      <c r="L210">
        <v>388</v>
      </c>
      <c r="M210">
        <v>170</v>
      </c>
      <c r="N210">
        <v>737</v>
      </c>
      <c r="O210">
        <v>63</v>
      </c>
      <c r="P210" s="101">
        <v>4925000000</v>
      </c>
      <c r="Q210" s="101">
        <v>790000000</v>
      </c>
      <c r="R210" s="101">
        <v>763944591.02902377</v>
      </c>
      <c r="S210" s="101">
        <f t="shared" si="19"/>
        <v>11202095.197889183</v>
      </c>
      <c r="T210" s="101">
        <f t="shared" si="15"/>
        <v>1671095.1978891827</v>
      </c>
      <c r="U210" s="101">
        <f t="shared" si="16"/>
        <v>1671095.1978891827</v>
      </c>
      <c r="V210" s="101">
        <v>130202</v>
      </c>
      <c r="W210" s="149">
        <f t="shared" si="17"/>
        <v>1.2834635396454607E-2</v>
      </c>
      <c r="Y210" s="255"/>
      <c r="AB210" s="254"/>
    </row>
    <row r="211" spans="2:28" x14ac:dyDescent="0.25">
      <c r="B211" t="s">
        <v>152</v>
      </c>
      <c r="C211">
        <f t="shared" si="18"/>
        <v>5107</v>
      </c>
      <c r="D211">
        <v>3724</v>
      </c>
      <c r="E211">
        <v>1383</v>
      </c>
      <c r="F211">
        <v>0</v>
      </c>
      <c r="G211">
        <v>0</v>
      </c>
      <c r="H211">
        <v>145</v>
      </c>
      <c r="I211">
        <v>35</v>
      </c>
      <c r="J211">
        <v>1872</v>
      </c>
      <c r="K211">
        <v>1838</v>
      </c>
      <c r="L211">
        <v>250</v>
      </c>
      <c r="M211">
        <v>55</v>
      </c>
      <c r="N211">
        <v>697</v>
      </c>
      <c r="O211">
        <v>123</v>
      </c>
      <c r="P211" s="101">
        <v>2890000000</v>
      </c>
      <c r="Q211" s="101">
        <v>301000000</v>
      </c>
      <c r="R211" s="101">
        <v>242472222.22222224</v>
      </c>
      <c r="S211" s="101">
        <f t="shared" si="19"/>
        <v>5936473.4722222229</v>
      </c>
      <c r="T211" s="101">
        <f t="shared" si="15"/>
        <v>829473.47222222295</v>
      </c>
      <c r="U211" s="101">
        <f t="shared" si="16"/>
        <v>829473.47222222295</v>
      </c>
      <c r="V211" s="101">
        <v>62294</v>
      </c>
      <c r="W211" s="149">
        <f t="shared" si="17"/>
        <v>1.3315463322667078E-2</v>
      </c>
      <c r="Y211" s="255"/>
      <c r="AB211" s="254"/>
    </row>
    <row r="212" spans="2:28" x14ac:dyDescent="0.25">
      <c r="B212" t="s">
        <v>153</v>
      </c>
      <c r="C212">
        <f t="shared" si="18"/>
        <v>4203</v>
      </c>
      <c r="D212">
        <v>2385</v>
      </c>
      <c r="E212">
        <v>1818</v>
      </c>
      <c r="F212">
        <v>3</v>
      </c>
      <c r="G212">
        <v>35</v>
      </c>
      <c r="H212">
        <v>1727</v>
      </c>
      <c r="I212">
        <v>73</v>
      </c>
      <c r="J212">
        <v>1862</v>
      </c>
      <c r="K212">
        <v>1544</v>
      </c>
      <c r="L212">
        <v>229</v>
      </c>
      <c r="M212">
        <v>249</v>
      </c>
      <c r="N212">
        <v>1072</v>
      </c>
      <c r="O212">
        <v>78</v>
      </c>
      <c r="P212" s="101">
        <v>3063000000</v>
      </c>
      <c r="Q212" s="101">
        <v>585000000</v>
      </c>
      <c r="R212" s="101">
        <v>527137468.56663871</v>
      </c>
      <c r="S212" s="101">
        <f t="shared" si="19"/>
        <v>7218812.6831517192</v>
      </c>
      <c r="T212" s="101">
        <f t="shared" si="15"/>
        <v>3015812.6831517192</v>
      </c>
      <c r="U212" s="101">
        <f t="shared" si="16"/>
        <v>3015812.6831517192</v>
      </c>
      <c r="V212" s="101">
        <v>81136</v>
      </c>
      <c r="W212" s="149">
        <f t="shared" si="17"/>
        <v>3.7169846716028881E-2</v>
      </c>
      <c r="Y212" s="255"/>
      <c r="AB212" s="254"/>
    </row>
    <row r="213" spans="2:28" x14ac:dyDescent="0.25">
      <c r="B213" t="s">
        <v>194</v>
      </c>
      <c r="C213">
        <f t="shared" si="18"/>
        <v>7005</v>
      </c>
      <c r="D213">
        <v>4645</v>
      </c>
      <c r="E213">
        <v>2360</v>
      </c>
      <c r="F213">
        <v>0</v>
      </c>
      <c r="G213">
        <v>16</v>
      </c>
      <c r="H213">
        <v>934</v>
      </c>
      <c r="I213">
        <v>174</v>
      </c>
      <c r="J213">
        <v>2464</v>
      </c>
      <c r="K213">
        <v>2879</v>
      </c>
      <c r="L213">
        <v>316</v>
      </c>
      <c r="M213">
        <v>0</v>
      </c>
      <c r="N213">
        <v>509</v>
      </c>
      <c r="O213">
        <v>291</v>
      </c>
      <c r="P213" s="101">
        <v>3640000000</v>
      </c>
      <c r="Q213" s="101">
        <v>896000000</v>
      </c>
      <c r="R213" s="101">
        <v>831854545.4545455</v>
      </c>
      <c r="S213" s="101">
        <f t="shared" si="19"/>
        <v>9281020.5090909097</v>
      </c>
      <c r="T213" s="101">
        <f t="shared" si="15"/>
        <v>2276020.5090909097</v>
      </c>
      <c r="U213" s="101">
        <f t="shared" si="16"/>
        <v>2276020.5090909097</v>
      </c>
      <c r="V213" s="101">
        <v>93805</v>
      </c>
      <c r="W213" s="149">
        <f t="shared" si="17"/>
        <v>2.4263317617300887E-2</v>
      </c>
      <c r="Y213" s="255"/>
      <c r="AB213" s="254"/>
    </row>
    <row r="214" spans="2:28" x14ac:dyDescent="0.25">
      <c r="B214" t="s">
        <v>380</v>
      </c>
      <c r="C214">
        <f t="shared" si="18"/>
        <v>14008</v>
      </c>
      <c r="D214">
        <v>7379</v>
      </c>
      <c r="E214">
        <v>6629</v>
      </c>
      <c r="F214">
        <v>2046</v>
      </c>
      <c r="G214">
        <v>91</v>
      </c>
      <c r="H214">
        <v>778</v>
      </c>
      <c r="I214">
        <v>208</v>
      </c>
      <c r="J214">
        <v>5645</v>
      </c>
      <c r="K214">
        <v>7099</v>
      </c>
      <c r="L214">
        <v>684</v>
      </c>
      <c r="M214">
        <v>0</v>
      </c>
      <c r="N214">
        <v>1778</v>
      </c>
      <c r="O214">
        <v>551</v>
      </c>
      <c r="P214" s="101">
        <v>9197000000</v>
      </c>
      <c r="Q214" s="101">
        <v>1700000000</v>
      </c>
      <c r="R214" s="101">
        <v>1662151144.559423</v>
      </c>
      <c r="S214" s="101">
        <f t="shared" si="19"/>
        <v>21714772.328943245</v>
      </c>
      <c r="T214" s="101">
        <f t="shared" si="15"/>
        <v>7706772.3289432451</v>
      </c>
      <c r="U214" s="101">
        <f t="shared" si="16"/>
        <v>7706772.3289432451</v>
      </c>
      <c r="V214" s="101">
        <v>220586</v>
      </c>
      <c r="W214" s="149">
        <f t="shared" si="17"/>
        <v>3.4937721926791572E-2</v>
      </c>
      <c r="Y214" s="255"/>
      <c r="AB214" s="254"/>
    </row>
    <row r="215" spans="2:28" x14ac:dyDescent="0.25">
      <c r="B215" t="s">
        <v>131</v>
      </c>
      <c r="C215">
        <f t="shared" si="18"/>
        <v>3287</v>
      </c>
      <c r="D215">
        <v>2815</v>
      </c>
      <c r="E215">
        <v>472</v>
      </c>
      <c r="F215">
        <v>0</v>
      </c>
      <c r="G215">
        <v>0</v>
      </c>
      <c r="H215">
        <v>492</v>
      </c>
      <c r="I215">
        <v>58</v>
      </c>
      <c r="J215">
        <v>2799</v>
      </c>
      <c r="K215">
        <v>2321</v>
      </c>
      <c r="L215">
        <v>293</v>
      </c>
      <c r="M215">
        <v>0</v>
      </c>
      <c r="N215">
        <v>418</v>
      </c>
      <c r="O215">
        <v>38</v>
      </c>
      <c r="P215" s="101">
        <v>3412000000</v>
      </c>
      <c r="Q215" s="101">
        <v>462000000</v>
      </c>
      <c r="R215" s="101">
        <v>393861452.5139665</v>
      </c>
      <c r="S215" s="101">
        <f t="shared" si="19"/>
        <v>7379132.4513966488</v>
      </c>
      <c r="T215" s="101">
        <f t="shared" si="15"/>
        <v>4092132.4513966488</v>
      </c>
      <c r="U215" s="101">
        <f t="shared" si="16"/>
        <v>4092132.4513966488</v>
      </c>
      <c r="V215" s="101">
        <v>94700</v>
      </c>
      <c r="W215" s="149">
        <f t="shared" si="17"/>
        <v>4.3211535917599249E-2</v>
      </c>
      <c r="Y215" s="255"/>
      <c r="AB215" s="254"/>
    </row>
    <row r="216" spans="2:28" x14ac:dyDescent="0.25">
      <c r="B216" t="s">
        <v>265</v>
      </c>
      <c r="C216">
        <f t="shared" si="18"/>
        <v>2632</v>
      </c>
      <c r="D216">
        <v>1881</v>
      </c>
      <c r="E216">
        <v>751</v>
      </c>
      <c r="F216">
        <v>2</v>
      </c>
      <c r="G216">
        <v>0</v>
      </c>
      <c r="H216">
        <v>310</v>
      </c>
      <c r="I216">
        <v>41</v>
      </c>
      <c r="J216">
        <v>1504</v>
      </c>
      <c r="K216">
        <v>1456</v>
      </c>
      <c r="L216">
        <v>149</v>
      </c>
      <c r="M216">
        <v>156</v>
      </c>
      <c r="N216">
        <v>66</v>
      </c>
      <c r="O216">
        <v>45</v>
      </c>
      <c r="P216" s="101">
        <v>1983000000</v>
      </c>
      <c r="Q216" s="101">
        <v>191000000</v>
      </c>
      <c r="R216" s="101">
        <v>186341463.41463414</v>
      </c>
      <c r="S216" s="101">
        <f t="shared" si="19"/>
        <v>4081030.3902439028</v>
      </c>
      <c r="T216" s="101">
        <f t="shared" si="15"/>
        <v>1449030.3902439028</v>
      </c>
      <c r="U216" s="101">
        <f t="shared" si="16"/>
        <v>1449030.3902439028</v>
      </c>
      <c r="V216" s="101">
        <v>36732</v>
      </c>
      <c r="W216" s="149">
        <f t="shared" si="17"/>
        <v>3.9448720196120626E-2</v>
      </c>
      <c r="Y216" s="255"/>
      <c r="AB216" s="254"/>
    </row>
    <row r="217" spans="2:28" x14ac:dyDescent="0.25">
      <c r="B217" t="s">
        <v>266</v>
      </c>
      <c r="C217">
        <f t="shared" si="18"/>
        <v>3461</v>
      </c>
      <c r="D217">
        <v>2447</v>
      </c>
      <c r="E217">
        <v>1014</v>
      </c>
      <c r="F217">
        <v>0</v>
      </c>
      <c r="G217">
        <v>0</v>
      </c>
      <c r="H217">
        <v>134</v>
      </c>
      <c r="I217">
        <v>36</v>
      </c>
      <c r="J217">
        <v>1203</v>
      </c>
      <c r="K217">
        <v>0</v>
      </c>
      <c r="L217">
        <v>142</v>
      </c>
      <c r="M217">
        <v>24</v>
      </c>
      <c r="N217">
        <v>221</v>
      </c>
      <c r="O217">
        <v>27</v>
      </c>
      <c r="P217" s="101">
        <v>1864000000</v>
      </c>
      <c r="Q217" s="101">
        <v>268000000</v>
      </c>
      <c r="R217" s="101">
        <v>243403441.68260038</v>
      </c>
      <c r="S217" s="101">
        <f t="shared" si="19"/>
        <v>4107072.5506692166</v>
      </c>
      <c r="T217" s="101">
        <f t="shared" si="15"/>
        <v>646072.55066921655</v>
      </c>
      <c r="U217" s="101">
        <f>IF(T217&gt;0,T217,0)</f>
        <v>646072.55066921655</v>
      </c>
      <c r="V217" s="101">
        <v>43565</v>
      </c>
      <c r="W217" s="149">
        <f>T217/(V217*1000)</f>
        <v>1.4830082650504225E-2</v>
      </c>
      <c r="Y217" s="255"/>
      <c r="AB217" s="254"/>
    </row>
    <row r="218" spans="2:28" x14ac:dyDescent="0.25">
      <c r="B218" t="s">
        <v>132</v>
      </c>
      <c r="C218">
        <f t="shared" si="18"/>
        <v>4830</v>
      </c>
      <c r="D218">
        <v>3295</v>
      </c>
      <c r="E218">
        <v>1535</v>
      </c>
      <c r="F218">
        <v>0</v>
      </c>
      <c r="G218">
        <v>0</v>
      </c>
      <c r="H218">
        <v>239</v>
      </c>
      <c r="I218">
        <v>35</v>
      </c>
      <c r="J218">
        <v>3272</v>
      </c>
      <c r="K218">
        <v>3058</v>
      </c>
      <c r="L218">
        <v>323</v>
      </c>
      <c r="M218">
        <v>148</v>
      </c>
      <c r="N218">
        <v>1027</v>
      </c>
      <c r="O218">
        <v>64</v>
      </c>
      <c r="P218" s="101">
        <v>4101000000</v>
      </c>
      <c r="Q218" s="101">
        <v>531000000</v>
      </c>
      <c r="R218" s="101">
        <v>447293036.75048357</v>
      </c>
      <c r="S218" s="101">
        <f t="shared" si="19"/>
        <v>8782097.6605415866</v>
      </c>
      <c r="T218" s="101">
        <f t="shared" si="15"/>
        <v>3952097.6605415866</v>
      </c>
      <c r="U218" s="101">
        <f t="shared" si="16"/>
        <v>3952097.6605415866</v>
      </c>
      <c r="V218" s="101">
        <v>98588</v>
      </c>
      <c r="W218" s="149">
        <f t="shared" si="17"/>
        <v>4.0087005117677474E-2</v>
      </c>
      <c r="Y218" s="255"/>
      <c r="AB218" s="254"/>
    </row>
    <row r="219" spans="2:28" x14ac:dyDescent="0.25">
      <c r="B219" t="s">
        <v>381</v>
      </c>
      <c r="C219">
        <f t="shared" si="18"/>
        <v>22980</v>
      </c>
      <c r="D219">
        <v>13152</v>
      </c>
      <c r="E219">
        <v>9828</v>
      </c>
      <c r="F219">
        <v>2583</v>
      </c>
      <c r="G219">
        <v>69</v>
      </c>
      <c r="H219">
        <v>261</v>
      </c>
      <c r="I219">
        <v>744</v>
      </c>
      <c r="J219">
        <v>8941</v>
      </c>
      <c r="K219">
        <v>12040</v>
      </c>
      <c r="L219">
        <v>1195</v>
      </c>
      <c r="M219">
        <v>198</v>
      </c>
      <c r="N219">
        <v>1833</v>
      </c>
      <c r="O219">
        <v>587</v>
      </c>
      <c r="P219" s="101">
        <v>14233000000</v>
      </c>
      <c r="Q219" s="101">
        <v>2057000000</v>
      </c>
      <c r="R219" s="101">
        <v>1927171673.8197424</v>
      </c>
      <c r="S219" s="101">
        <f t="shared" si="19"/>
        <v>31497489.824034337</v>
      </c>
      <c r="T219" s="101">
        <f t="shared" si="15"/>
        <v>8517489.824034337</v>
      </c>
      <c r="U219" s="101">
        <f t="shared" si="16"/>
        <v>8517489.824034337</v>
      </c>
      <c r="V219" s="101">
        <v>387598</v>
      </c>
      <c r="W219" s="149">
        <f t="shared" si="17"/>
        <v>2.1975061336834394E-2</v>
      </c>
      <c r="Y219" s="255"/>
      <c r="AB219" s="254"/>
    </row>
    <row r="220" spans="2:28" x14ac:dyDescent="0.25">
      <c r="B220" t="s">
        <v>195</v>
      </c>
      <c r="C220">
        <f t="shared" si="18"/>
        <v>9109</v>
      </c>
      <c r="D220">
        <v>6372</v>
      </c>
      <c r="E220">
        <v>2737</v>
      </c>
      <c r="F220">
        <v>0</v>
      </c>
      <c r="G220">
        <v>6</v>
      </c>
      <c r="H220">
        <v>382</v>
      </c>
      <c r="I220">
        <v>0</v>
      </c>
      <c r="J220">
        <v>4369</v>
      </c>
      <c r="K220">
        <v>3940</v>
      </c>
      <c r="L220">
        <v>470</v>
      </c>
      <c r="M220">
        <v>116</v>
      </c>
      <c r="N220">
        <v>841</v>
      </c>
      <c r="O220">
        <v>223</v>
      </c>
      <c r="P220" s="101">
        <v>5287000000</v>
      </c>
      <c r="Q220" s="101">
        <v>913000000</v>
      </c>
      <c r="R220" s="101">
        <v>845313823.85730219</v>
      </c>
      <c r="S220" s="101">
        <f t="shared" si="19"/>
        <v>12181347.601449275</v>
      </c>
      <c r="T220" s="101">
        <f t="shared" si="15"/>
        <v>3072347.6014492754</v>
      </c>
      <c r="U220" s="101">
        <f t="shared" si="16"/>
        <v>3072347.6014492754</v>
      </c>
      <c r="V220" s="101">
        <v>144008</v>
      </c>
      <c r="W220" s="149">
        <f t="shared" si="17"/>
        <v>2.1334561978843366E-2</v>
      </c>
      <c r="Y220" s="255"/>
      <c r="AB220" s="254"/>
    </row>
    <row r="221" spans="2:28" x14ac:dyDescent="0.25">
      <c r="B221" t="s">
        <v>267</v>
      </c>
      <c r="C221">
        <f t="shared" si="18"/>
        <v>7515</v>
      </c>
      <c r="D221">
        <v>2823</v>
      </c>
      <c r="E221">
        <v>4692</v>
      </c>
      <c r="F221">
        <v>1606</v>
      </c>
      <c r="G221">
        <v>0</v>
      </c>
      <c r="H221">
        <v>720</v>
      </c>
      <c r="I221">
        <v>77</v>
      </c>
      <c r="J221">
        <v>1249</v>
      </c>
      <c r="K221">
        <v>1763</v>
      </c>
      <c r="L221">
        <v>219</v>
      </c>
      <c r="M221">
        <v>131</v>
      </c>
      <c r="N221">
        <v>1278</v>
      </c>
      <c r="O221">
        <v>22</v>
      </c>
      <c r="P221" s="101">
        <v>3574000000</v>
      </c>
      <c r="Q221" s="101">
        <v>1015000000</v>
      </c>
      <c r="R221" s="101">
        <v>1015000000</v>
      </c>
      <c r="S221" s="101">
        <f t="shared" si="19"/>
        <v>9689316</v>
      </c>
      <c r="T221" s="101">
        <f t="shared" si="15"/>
        <v>2174316</v>
      </c>
      <c r="U221" s="101">
        <f t="shared" si="16"/>
        <v>2174316</v>
      </c>
      <c r="V221" s="101">
        <v>57443</v>
      </c>
      <c r="W221" s="149">
        <f t="shared" si="17"/>
        <v>3.7851713872882685E-2</v>
      </c>
      <c r="Y221" s="255"/>
      <c r="AB221" s="254"/>
    </row>
    <row r="222" spans="2:28" x14ac:dyDescent="0.25">
      <c r="B222" t="s">
        <v>224</v>
      </c>
      <c r="C222">
        <f t="shared" si="18"/>
        <v>3066</v>
      </c>
      <c r="D222">
        <v>2084</v>
      </c>
      <c r="E222">
        <v>982</v>
      </c>
      <c r="F222">
        <v>0</v>
      </c>
      <c r="G222">
        <v>12</v>
      </c>
      <c r="H222">
        <v>29</v>
      </c>
      <c r="I222">
        <v>35</v>
      </c>
      <c r="J222">
        <v>1678</v>
      </c>
      <c r="K222">
        <v>1288</v>
      </c>
      <c r="L222">
        <v>137</v>
      </c>
      <c r="M222">
        <v>4</v>
      </c>
      <c r="N222">
        <v>360</v>
      </c>
      <c r="O222">
        <v>77</v>
      </c>
      <c r="P222" s="101">
        <v>1785000000</v>
      </c>
      <c r="Q222" s="101">
        <v>190000000</v>
      </c>
      <c r="R222" s="101">
        <v>163359788.35978836</v>
      </c>
      <c r="S222" s="101">
        <f t="shared" si="19"/>
        <v>3697224.0740740742</v>
      </c>
      <c r="T222" s="101">
        <f t="shared" si="15"/>
        <v>631224.07407407416</v>
      </c>
      <c r="U222" s="101">
        <f t="shared" si="16"/>
        <v>631224.07407407416</v>
      </c>
      <c r="V222" s="101">
        <v>32576</v>
      </c>
      <c r="W222" s="149">
        <f t="shared" si="17"/>
        <v>1.9376966910427128E-2</v>
      </c>
      <c r="Y222" s="255"/>
      <c r="AB222" s="254"/>
    </row>
    <row r="223" spans="2:28" x14ac:dyDescent="0.25">
      <c r="B223" t="s">
        <v>196</v>
      </c>
      <c r="C223">
        <f t="shared" si="18"/>
        <v>9485</v>
      </c>
      <c r="D223">
        <v>6204</v>
      </c>
      <c r="E223">
        <v>3281</v>
      </c>
      <c r="F223">
        <v>0</v>
      </c>
      <c r="G223">
        <v>36</v>
      </c>
      <c r="H223">
        <v>0</v>
      </c>
      <c r="I223">
        <v>565</v>
      </c>
      <c r="J223">
        <v>1815</v>
      </c>
      <c r="K223">
        <v>6372</v>
      </c>
      <c r="L223">
        <v>589</v>
      </c>
      <c r="M223">
        <v>91</v>
      </c>
      <c r="N223">
        <v>1657</v>
      </c>
      <c r="O223">
        <v>790</v>
      </c>
      <c r="P223" s="101">
        <v>7671000000</v>
      </c>
      <c r="Q223" s="101">
        <v>1209000000</v>
      </c>
      <c r="R223" s="101">
        <v>1140920388.3495145</v>
      </c>
      <c r="S223" s="101">
        <f t="shared" si="19"/>
        <v>17326171.351456311</v>
      </c>
      <c r="T223" s="101">
        <f t="shared" si="15"/>
        <v>7841171.3514563106</v>
      </c>
      <c r="U223" s="101">
        <f t="shared" si="16"/>
        <v>7841171.3514563106</v>
      </c>
      <c r="V223" s="101">
        <v>142541</v>
      </c>
      <c r="W223" s="149">
        <f t="shared" si="17"/>
        <v>5.5009936449557047E-2</v>
      </c>
      <c r="Y223" s="255"/>
      <c r="AB223" s="254"/>
    </row>
    <row r="224" spans="2:28" x14ac:dyDescent="0.25">
      <c r="B224" t="s">
        <v>310</v>
      </c>
      <c r="C224">
        <f t="shared" si="18"/>
        <v>8925</v>
      </c>
      <c r="D224">
        <v>5592</v>
      </c>
      <c r="E224">
        <v>3333</v>
      </c>
      <c r="F224">
        <v>199</v>
      </c>
      <c r="G224">
        <v>0</v>
      </c>
      <c r="H224">
        <v>75</v>
      </c>
      <c r="I224">
        <v>342</v>
      </c>
      <c r="J224">
        <v>2489</v>
      </c>
      <c r="K224">
        <v>5136</v>
      </c>
      <c r="L224">
        <v>378</v>
      </c>
      <c r="M224">
        <v>364</v>
      </c>
      <c r="N224">
        <v>303</v>
      </c>
      <c r="O224">
        <v>722</v>
      </c>
      <c r="P224" s="101">
        <v>4782000000</v>
      </c>
      <c r="Q224" s="101">
        <v>605000000</v>
      </c>
      <c r="R224" s="101">
        <v>597462624.58471763</v>
      </c>
      <c r="S224" s="101">
        <f t="shared" si="19"/>
        <v>10347135.877906978</v>
      </c>
      <c r="T224" s="101">
        <f t="shared" si="15"/>
        <v>1422135.8779069781</v>
      </c>
      <c r="U224" s="101">
        <f t="shared" si="16"/>
        <v>1422135.8779069781</v>
      </c>
      <c r="V224" s="101">
        <v>107711</v>
      </c>
      <c r="W224" s="149">
        <f t="shared" si="17"/>
        <v>1.3203255729748847E-2</v>
      </c>
      <c r="Y224" s="255"/>
      <c r="AB224" s="254"/>
    </row>
    <row r="225" spans="2:28" x14ac:dyDescent="0.25">
      <c r="B225" t="s">
        <v>415</v>
      </c>
      <c r="C225">
        <f t="shared" si="18"/>
        <v>8909</v>
      </c>
      <c r="D225">
        <v>5189</v>
      </c>
      <c r="E225">
        <v>3720</v>
      </c>
      <c r="F225">
        <v>0</v>
      </c>
      <c r="G225">
        <v>0</v>
      </c>
      <c r="H225">
        <v>1536</v>
      </c>
      <c r="I225">
        <v>0</v>
      </c>
      <c r="J225">
        <v>5771</v>
      </c>
      <c r="K225">
        <v>3941</v>
      </c>
      <c r="L225">
        <v>462</v>
      </c>
      <c r="M225">
        <v>52</v>
      </c>
      <c r="N225">
        <v>794</v>
      </c>
      <c r="O225">
        <v>160</v>
      </c>
      <c r="P225" s="101">
        <v>6622000000</v>
      </c>
      <c r="Q225" s="101">
        <v>1018000000</v>
      </c>
      <c r="R225" s="101">
        <v>947617234.46893787</v>
      </c>
      <c r="S225" s="101">
        <f t="shared" si="19"/>
        <v>14847990.198396794</v>
      </c>
      <c r="T225" s="101">
        <f t="shared" si="15"/>
        <v>5938990.1983967945</v>
      </c>
      <c r="U225" s="101">
        <f t="shared" si="16"/>
        <v>5938990.1983967945</v>
      </c>
      <c r="V225" s="101">
        <v>130497</v>
      </c>
      <c r="W225" s="149">
        <f t="shared" si="17"/>
        <v>4.5510549655523071E-2</v>
      </c>
      <c r="Y225" s="255"/>
      <c r="AB225" s="254"/>
    </row>
    <row r="226" spans="2:28" x14ac:dyDescent="0.25">
      <c r="B226" t="s">
        <v>122</v>
      </c>
      <c r="C226">
        <f t="shared" si="18"/>
        <v>3253</v>
      </c>
      <c r="D226">
        <v>2171</v>
      </c>
      <c r="E226">
        <v>1082</v>
      </c>
      <c r="F226">
        <v>0</v>
      </c>
      <c r="G226">
        <v>0</v>
      </c>
      <c r="H226">
        <v>0</v>
      </c>
      <c r="I226">
        <v>0</v>
      </c>
      <c r="J226">
        <v>1108</v>
      </c>
      <c r="K226">
        <v>1668</v>
      </c>
      <c r="L226">
        <v>134</v>
      </c>
      <c r="M226">
        <v>55</v>
      </c>
      <c r="N226">
        <v>386</v>
      </c>
      <c r="O226">
        <v>30</v>
      </c>
      <c r="P226" s="101">
        <v>1065000000</v>
      </c>
      <c r="Q226" s="101">
        <v>127000000</v>
      </c>
      <c r="R226" s="101">
        <v>111320987.65432099</v>
      </c>
      <c r="S226" s="101">
        <f t="shared" si="19"/>
        <v>2253441.9876543209</v>
      </c>
      <c r="T226" s="101">
        <f t="shared" si="15"/>
        <v>-999558.0123456791</v>
      </c>
      <c r="U226" s="101">
        <f t="shared" si="16"/>
        <v>0</v>
      </c>
      <c r="V226" s="101">
        <v>67455</v>
      </c>
      <c r="W226" s="149">
        <f t="shared" si="17"/>
        <v>-1.4818145613307821E-2</v>
      </c>
      <c r="Y226" s="255"/>
      <c r="AB226" s="254"/>
    </row>
    <row r="227" spans="2:28" x14ac:dyDescent="0.25">
      <c r="B227" t="s">
        <v>311</v>
      </c>
      <c r="C227">
        <f t="shared" si="18"/>
        <v>11970</v>
      </c>
      <c r="D227">
        <v>7838</v>
      </c>
      <c r="E227">
        <v>4132</v>
      </c>
      <c r="F227">
        <v>18</v>
      </c>
      <c r="G227">
        <v>0</v>
      </c>
      <c r="H227">
        <v>255</v>
      </c>
      <c r="I227">
        <v>0</v>
      </c>
      <c r="J227">
        <v>5183</v>
      </c>
      <c r="K227">
        <v>7817</v>
      </c>
      <c r="L227">
        <v>711</v>
      </c>
      <c r="M227">
        <v>21</v>
      </c>
      <c r="N227">
        <v>4286</v>
      </c>
      <c r="O227">
        <v>160</v>
      </c>
      <c r="P227" s="101">
        <v>10506000000</v>
      </c>
      <c r="Q227" s="101">
        <v>1033000000</v>
      </c>
      <c r="R227" s="101">
        <v>997644345.23809528</v>
      </c>
      <c r="S227" s="101">
        <f t="shared" si="19"/>
        <v>21675858.072916664</v>
      </c>
      <c r="T227" s="101">
        <f t="shared" si="15"/>
        <v>9705858.0729166642</v>
      </c>
      <c r="U227" s="101">
        <f t="shared" si="16"/>
        <v>9705858.0729166642</v>
      </c>
      <c r="V227" s="101">
        <v>179004</v>
      </c>
      <c r="W227" s="149">
        <f t="shared" si="17"/>
        <v>5.4221459145698779E-2</v>
      </c>
      <c r="Y227" s="255"/>
      <c r="AB227" s="254"/>
    </row>
    <row r="228" spans="2:28" x14ac:dyDescent="0.25">
      <c r="B228" t="s">
        <v>268</v>
      </c>
      <c r="C228">
        <f t="shared" si="18"/>
        <v>18338</v>
      </c>
      <c r="D228">
        <v>12309</v>
      </c>
      <c r="E228">
        <v>6029</v>
      </c>
      <c r="F228">
        <v>3545</v>
      </c>
      <c r="G228">
        <v>255</v>
      </c>
      <c r="H228">
        <v>169</v>
      </c>
      <c r="I228">
        <v>728</v>
      </c>
      <c r="J228">
        <v>9081</v>
      </c>
      <c r="K228">
        <v>15883</v>
      </c>
      <c r="L228">
        <v>1493</v>
      </c>
      <c r="M228">
        <v>645</v>
      </c>
      <c r="N228">
        <v>2945</v>
      </c>
      <c r="O228">
        <v>404</v>
      </c>
      <c r="P228" s="101">
        <v>16407000000</v>
      </c>
      <c r="Q228" s="101">
        <v>1714000000</v>
      </c>
      <c r="R228" s="101">
        <v>1617577620.6578543</v>
      </c>
      <c r="S228" s="101">
        <f t="shared" si="19"/>
        <v>34128000.706117436</v>
      </c>
      <c r="T228" s="101">
        <f t="shared" si="15"/>
        <v>15790000.706117436</v>
      </c>
      <c r="U228" s="101">
        <f t="shared" si="16"/>
        <v>15790000.706117436</v>
      </c>
      <c r="V228" s="101">
        <v>368045</v>
      </c>
      <c r="W228" s="149">
        <f t="shared" si="17"/>
        <v>4.290236440141134E-2</v>
      </c>
      <c r="Y228" s="255"/>
      <c r="AB228" s="254"/>
    </row>
    <row r="229" spans="2:28" x14ac:dyDescent="0.25">
      <c r="B229" t="s">
        <v>197</v>
      </c>
      <c r="C229">
        <f t="shared" si="18"/>
        <v>4508</v>
      </c>
      <c r="D229">
        <v>3008</v>
      </c>
      <c r="E229">
        <v>1500</v>
      </c>
      <c r="F229">
        <v>0</v>
      </c>
      <c r="G229">
        <v>0</v>
      </c>
      <c r="H229">
        <v>1408</v>
      </c>
      <c r="I229">
        <v>80</v>
      </c>
      <c r="J229">
        <v>2626</v>
      </c>
      <c r="K229">
        <v>1698</v>
      </c>
      <c r="L229">
        <v>364</v>
      </c>
      <c r="M229">
        <v>421</v>
      </c>
      <c r="N229">
        <v>609</v>
      </c>
      <c r="O229">
        <v>212</v>
      </c>
      <c r="P229" s="101">
        <v>5095000000</v>
      </c>
      <c r="Q229" s="101">
        <v>473000000</v>
      </c>
      <c r="R229" s="101">
        <v>437376569.0376569</v>
      </c>
      <c r="S229" s="101">
        <f t="shared" si="19"/>
        <v>10383296.087866109</v>
      </c>
      <c r="T229" s="101">
        <f t="shared" si="15"/>
        <v>5875296.0878661089</v>
      </c>
      <c r="U229" s="101">
        <f t="shared" si="16"/>
        <v>5875296.0878661089</v>
      </c>
      <c r="V229" s="101">
        <v>79870</v>
      </c>
      <c r="W229" s="149">
        <f t="shared" si="17"/>
        <v>7.356073729643306E-2</v>
      </c>
      <c r="Y229" s="255"/>
      <c r="AB229" s="254"/>
    </row>
    <row r="230" spans="2:28" x14ac:dyDescent="0.25">
      <c r="B230" t="s">
        <v>154</v>
      </c>
      <c r="C230">
        <f t="shared" si="18"/>
        <v>9056</v>
      </c>
      <c r="D230">
        <v>5565</v>
      </c>
      <c r="E230">
        <v>3491</v>
      </c>
      <c r="F230">
        <v>4</v>
      </c>
      <c r="G230">
        <v>43</v>
      </c>
      <c r="H230">
        <v>374</v>
      </c>
      <c r="I230">
        <v>145</v>
      </c>
      <c r="J230">
        <v>3928</v>
      </c>
      <c r="K230">
        <v>2989</v>
      </c>
      <c r="L230">
        <v>444</v>
      </c>
      <c r="M230">
        <v>196</v>
      </c>
      <c r="N230">
        <v>1252</v>
      </c>
      <c r="O230">
        <v>264</v>
      </c>
      <c r="P230" s="101">
        <v>5940000000</v>
      </c>
      <c r="Q230" s="101">
        <v>892000000</v>
      </c>
      <c r="R230" s="101">
        <v>786736017.89709175</v>
      </c>
      <c r="S230" s="101">
        <f t="shared" si="19"/>
        <v>13172794.574944071</v>
      </c>
      <c r="T230" s="101">
        <f t="shared" si="15"/>
        <v>4116794.5749440715</v>
      </c>
      <c r="U230" s="101">
        <f t="shared" si="16"/>
        <v>4116794.5749440715</v>
      </c>
      <c r="V230" s="101">
        <v>122651</v>
      </c>
      <c r="W230" s="149">
        <f t="shared" si="17"/>
        <v>3.3565112187785434E-2</v>
      </c>
      <c r="Y230" s="255"/>
      <c r="AB230" s="254"/>
    </row>
    <row r="231" spans="2:28" x14ac:dyDescent="0.25">
      <c r="B231" t="s">
        <v>334</v>
      </c>
      <c r="C231">
        <f t="shared" si="18"/>
        <v>4048</v>
      </c>
      <c r="D231">
        <v>2118</v>
      </c>
      <c r="E231">
        <v>1930</v>
      </c>
      <c r="F231">
        <v>0</v>
      </c>
      <c r="G231">
        <v>0</v>
      </c>
      <c r="H231">
        <v>122</v>
      </c>
      <c r="I231">
        <v>0</v>
      </c>
      <c r="J231">
        <v>2527</v>
      </c>
      <c r="K231">
        <v>2813</v>
      </c>
      <c r="L231">
        <v>250</v>
      </c>
      <c r="M231">
        <v>346</v>
      </c>
      <c r="N231">
        <v>966</v>
      </c>
      <c r="O231">
        <v>1265</v>
      </c>
      <c r="P231" s="101">
        <v>2458000000</v>
      </c>
      <c r="Q231" s="101">
        <v>520000000</v>
      </c>
      <c r="R231" s="101">
        <v>493790322.58064514</v>
      </c>
      <c r="S231" s="101">
        <f t="shared" si="19"/>
        <v>6002725.4677419355</v>
      </c>
      <c r="T231" s="101">
        <f t="shared" si="15"/>
        <v>1954725.4677419355</v>
      </c>
      <c r="U231" s="101">
        <f t="shared" si="16"/>
        <v>1954725.4677419355</v>
      </c>
      <c r="V231" s="101">
        <v>76939</v>
      </c>
      <c r="W231" s="149">
        <f t="shared" si="17"/>
        <v>2.5406172003040531E-2</v>
      </c>
      <c r="Y231" s="255"/>
      <c r="AB231" s="254"/>
    </row>
    <row r="232" spans="2:28" x14ac:dyDescent="0.25">
      <c r="B232" t="s">
        <v>198</v>
      </c>
      <c r="C232">
        <f t="shared" si="18"/>
        <v>8126</v>
      </c>
      <c r="D232">
        <v>5914</v>
      </c>
      <c r="E232">
        <v>2212</v>
      </c>
      <c r="F232">
        <v>24</v>
      </c>
      <c r="G232">
        <v>0</v>
      </c>
      <c r="H232">
        <v>788</v>
      </c>
      <c r="I232">
        <v>236</v>
      </c>
      <c r="J232">
        <v>5062</v>
      </c>
      <c r="K232">
        <v>4198</v>
      </c>
      <c r="L232">
        <v>402</v>
      </c>
      <c r="M232">
        <v>295</v>
      </c>
      <c r="N232">
        <v>424</v>
      </c>
      <c r="O232">
        <v>25</v>
      </c>
      <c r="P232" s="101">
        <v>6013000000</v>
      </c>
      <c r="Q232" s="101">
        <v>471000000</v>
      </c>
      <c r="R232" s="101">
        <v>435424468.08510637</v>
      </c>
      <c r="S232" s="101">
        <f t="shared" si="19"/>
        <v>11963684.905319149</v>
      </c>
      <c r="T232" s="101">
        <f t="shared" si="15"/>
        <v>3837684.9053191487</v>
      </c>
      <c r="U232" s="101">
        <f t="shared" si="16"/>
        <v>3837684.9053191487</v>
      </c>
      <c r="V232" s="101">
        <v>103948</v>
      </c>
      <c r="W232" s="149">
        <f t="shared" si="17"/>
        <v>3.6919276035317167E-2</v>
      </c>
      <c r="Y232" s="255"/>
      <c r="AB232" s="254"/>
    </row>
    <row r="233" spans="2:28" x14ac:dyDescent="0.25">
      <c r="B233" t="s">
        <v>225</v>
      </c>
      <c r="C233">
        <f t="shared" si="18"/>
        <v>1155</v>
      </c>
      <c r="D233">
        <v>658</v>
      </c>
      <c r="E233">
        <v>497</v>
      </c>
      <c r="F233">
        <v>0</v>
      </c>
      <c r="G233">
        <v>0</v>
      </c>
      <c r="H233">
        <v>70</v>
      </c>
      <c r="I233">
        <v>0</v>
      </c>
      <c r="J233">
        <v>1378</v>
      </c>
      <c r="K233">
        <v>0</v>
      </c>
      <c r="L233">
        <v>110</v>
      </c>
      <c r="M233">
        <v>0</v>
      </c>
      <c r="N233">
        <v>190</v>
      </c>
      <c r="O233">
        <v>43</v>
      </c>
      <c r="P233" s="101">
        <v>1017000000</v>
      </c>
      <c r="Q233" s="101">
        <v>179000000</v>
      </c>
      <c r="R233" s="101">
        <v>176478873.23943663</v>
      </c>
      <c r="S233" s="101">
        <f t="shared" si="19"/>
        <v>2373015.971830986</v>
      </c>
      <c r="T233" s="101">
        <f t="shared" si="15"/>
        <v>1218015.971830986</v>
      </c>
      <c r="U233" s="101">
        <f t="shared" si="16"/>
        <v>1218015.971830986</v>
      </c>
      <c r="V233" s="101">
        <v>19464</v>
      </c>
      <c r="W233" s="149">
        <f t="shared" si="17"/>
        <v>6.2577885934596483E-2</v>
      </c>
      <c r="Y233" s="255"/>
      <c r="AB233" s="254"/>
    </row>
    <row r="234" spans="2:28" x14ac:dyDescent="0.25">
      <c r="B234" t="s">
        <v>382</v>
      </c>
      <c r="C234">
        <f t="shared" si="18"/>
        <v>3020</v>
      </c>
      <c r="D234">
        <v>1957</v>
      </c>
      <c r="E234">
        <v>1063</v>
      </c>
      <c r="F234">
        <v>0</v>
      </c>
      <c r="G234">
        <v>0</v>
      </c>
      <c r="H234">
        <v>351</v>
      </c>
      <c r="I234">
        <v>0</v>
      </c>
      <c r="J234">
        <v>1374</v>
      </c>
      <c r="K234">
        <v>765</v>
      </c>
      <c r="L234">
        <v>151</v>
      </c>
      <c r="M234">
        <v>0</v>
      </c>
      <c r="N234">
        <v>464</v>
      </c>
      <c r="O234">
        <v>136</v>
      </c>
      <c r="P234" s="101">
        <v>2303000000</v>
      </c>
      <c r="Q234" s="101">
        <v>295000000</v>
      </c>
      <c r="R234" s="101">
        <v>245000000</v>
      </c>
      <c r="S234" s="101">
        <f t="shared" si="19"/>
        <v>4915547</v>
      </c>
      <c r="T234" s="101">
        <f t="shared" si="15"/>
        <v>1895547</v>
      </c>
      <c r="U234" s="101">
        <f t="shared" si="16"/>
        <v>1895547</v>
      </c>
      <c r="V234" s="101">
        <v>45192</v>
      </c>
      <c r="W234" s="149">
        <f t="shared" si="17"/>
        <v>4.1944304301646307E-2</v>
      </c>
      <c r="Y234" s="255"/>
      <c r="AB234" s="254"/>
    </row>
    <row r="235" spans="2:28" x14ac:dyDescent="0.25">
      <c r="B235" t="s">
        <v>199</v>
      </c>
      <c r="C235">
        <f t="shared" si="18"/>
        <v>9833</v>
      </c>
      <c r="D235">
        <v>7168</v>
      </c>
      <c r="E235">
        <v>2665</v>
      </c>
      <c r="F235">
        <v>21</v>
      </c>
      <c r="G235">
        <v>0</v>
      </c>
      <c r="H235">
        <v>532</v>
      </c>
      <c r="I235">
        <v>247</v>
      </c>
      <c r="J235">
        <v>4472</v>
      </c>
      <c r="K235">
        <v>4772</v>
      </c>
      <c r="L235">
        <v>587</v>
      </c>
      <c r="M235">
        <v>774</v>
      </c>
      <c r="N235">
        <v>731</v>
      </c>
      <c r="O235">
        <v>206</v>
      </c>
      <c r="P235" s="101">
        <v>7168000000</v>
      </c>
      <c r="Q235" s="101">
        <v>592000000</v>
      </c>
      <c r="R235" s="101">
        <v>583627287.85357738</v>
      </c>
      <c r="S235" s="101">
        <f t="shared" si="19"/>
        <v>14426131.580698837</v>
      </c>
      <c r="T235" s="101">
        <f t="shared" si="15"/>
        <v>4593131.5806988366</v>
      </c>
      <c r="U235" s="101">
        <f t="shared" si="16"/>
        <v>4593131.5806988366</v>
      </c>
      <c r="V235" s="101">
        <v>162617</v>
      </c>
      <c r="W235" s="149">
        <f t="shared" si="17"/>
        <v>2.8245088648166161E-2</v>
      </c>
      <c r="Y235" s="255"/>
      <c r="AB235" s="254"/>
    </row>
    <row r="236" spans="2:28" x14ac:dyDescent="0.25">
      <c r="B236" t="s">
        <v>226</v>
      </c>
      <c r="C236">
        <f t="shared" si="18"/>
        <v>5024</v>
      </c>
      <c r="D236">
        <v>5024</v>
      </c>
      <c r="E236">
        <v>0</v>
      </c>
      <c r="F236">
        <v>24</v>
      </c>
      <c r="G236">
        <v>26</v>
      </c>
      <c r="H236">
        <v>182</v>
      </c>
      <c r="I236">
        <v>182</v>
      </c>
      <c r="J236">
        <v>1678</v>
      </c>
      <c r="K236">
        <v>2195</v>
      </c>
      <c r="L236">
        <v>185</v>
      </c>
      <c r="M236">
        <v>549</v>
      </c>
      <c r="N236">
        <v>1109</v>
      </c>
      <c r="O236">
        <v>85</v>
      </c>
      <c r="P236" s="101">
        <v>3380000000</v>
      </c>
      <c r="Q236" s="101">
        <v>326000000</v>
      </c>
      <c r="R236" s="101">
        <v>300044585.98726118</v>
      </c>
      <c r="S236" s="101">
        <f t="shared" si="19"/>
        <v>6926451.0891719749</v>
      </c>
      <c r="T236" s="101">
        <f t="shared" si="15"/>
        <v>1902451.0891719749</v>
      </c>
      <c r="U236" s="101">
        <f t="shared" si="16"/>
        <v>1902451.0891719749</v>
      </c>
      <c r="V236" s="101">
        <v>60432</v>
      </c>
      <c r="W236" s="149">
        <f t="shared" si="17"/>
        <v>3.1480855989740118E-2</v>
      </c>
      <c r="Y236" s="255"/>
      <c r="AB236" s="254"/>
    </row>
    <row r="237" spans="2:28" x14ac:dyDescent="0.25">
      <c r="B237" t="s">
        <v>312</v>
      </c>
      <c r="C237">
        <f t="shared" si="18"/>
        <v>13470</v>
      </c>
      <c r="D237">
        <v>6481</v>
      </c>
      <c r="E237">
        <v>6989</v>
      </c>
      <c r="F237">
        <v>334</v>
      </c>
      <c r="G237">
        <v>0</v>
      </c>
      <c r="H237">
        <v>0</v>
      </c>
      <c r="I237">
        <v>0</v>
      </c>
      <c r="J237">
        <v>4897</v>
      </c>
      <c r="K237">
        <v>7304</v>
      </c>
      <c r="L237">
        <v>608</v>
      </c>
      <c r="M237">
        <v>260</v>
      </c>
      <c r="N237">
        <v>2801</v>
      </c>
      <c r="O237">
        <v>195</v>
      </c>
      <c r="P237" s="101">
        <v>7142000000</v>
      </c>
      <c r="Q237" s="101">
        <v>1421000000</v>
      </c>
      <c r="R237" s="101">
        <v>1419470398.2777181</v>
      </c>
      <c r="S237" s="101">
        <f t="shared" si="19"/>
        <v>17259691.318622176</v>
      </c>
      <c r="T237" s="101">
        <f t="shared" si="15"/>
        <v>3789691.3186221756</v>
      </c>
      <c r="U237" s="101">
        <f t="shared" si="16"/>
        <v>3789691.3186221756</v>
      </c>
      <c r="V237" s="101">
        <v>163829</v>
      </c>
      <c r="W237" s="149">
        <f t="shared" si="17"/>
        <v>2.3131993228440482E-2</v>
      </c>
      <c r="Y237" s="255"/>
      <c r="AB237" s="254"/>
    </row>
    <row r="238" spans="2:28" x14ac:dyDescent="0.25">
      <c r="B238" t="s">
        <v>155</v>
      </c>
      <c r="C238">
        <f t="shared" si="18"/>
        <v>7916</v>
      </c>
      <c r="D238">
        <v>4268</v>
      </c>
      <c r="E238">
        <v>3648</v>
      </c>
      <c r="F238">
        <v>1</v>
      </c>
      <c r="G238">
        <v>16</v>
      </c>
      <c r="H238">
        <v>566</v>
      </c>
      <c r="I238">
        <v>324</v>
      </c>
      <c r="J238">
        <v>2944</v>
      </c>
      <c r="K238">
        <v>16</v>
      </c>
      <c r="L238">
        <v>441</v>
      </c>
      <c r="M238">
        <v>591</v>
      </c>
      <c r="N238">
        <v>1745</v>
      </c>
      <c r="O238">
        <v>187</v>
      </c>
      <c r="P238" s="101">
        <v>5354000000</v>
      </c>
      <c r="Q238" s="101">
        <v>933000000</v>
      </c>
      <c r="R238" s="101">
        <v>881587587.00696063</v>
      </c>
      <c r="S238" s="101">
        <f t="shared" si="19"/>
        <v>12394487.937935036</v>
      </c>
      <c r="T238" s="101">
        <f t="shared" si="15"/>
        <v>4478487.9379350357</v>
      </c>
      <c r="U238" s="101">
        <f t="shared" si="16"/>
        <v>4478487.9379350357</v>
      </c>
      <c r="V238" s="101">
        <v>128736</v>
      </c>
      <c r="W238" s="149">
        <f t="shared" si="17"/>
        <v>3.4788155123159303E-2</v>
      </c>
      <c r="Y238" s="255"/>
      <c r="AB238" s="254"/>
    </row>
    <row r="239" spans="2:28" x14ac:dyDescent="0.25">
      <c r="B239" t="s">
        <v>726</v>
      </c>
      <c r="C239">
        <f t="shared" si="18"/>
        <v>13275</v>
      </c>
      <c r="D239">
        <v>6972</v>
      </c>
      <c r="E239">
        <v>6303</v>
      </c>
      <c r="F239">
        <v>4042</v>
      </c>
      <c r="G239">
        <v>53</v>
      </c>
      <c r="H239">
        <v>338</v>
      </c>
      <c r="I239">
        <v>102</v>
      </c>
      <c r="J239">
        <v>5702</v>
      </c>
      <c r="K239">
        <v>10653</v>
      </c>
      <c r="L239">
        <v>841</v>
      </c>
      <c r="M239">
        <v>0</v>
      </c>
      <c r="N239">
        <v>2617</v>
      </c>
      <c r="O239">
        <v>360</v>
      </c>
      <c r="P239" s="101">
        <v>9924000000</v>
      </c>
      <c r="Q239" s="101">
        <v>1152000000</v>
      </c>
      <c r="R239" s="101">
        <v>1149467018.4696569</v>
      </c>
      <c r="S239" s="101">
        <f t="shared" si="19"/>
        <v>21137832.474934038</v>
      </c>
      <c r="T239" s="101">
        <f t="shared" si="15"/>
        <v>7862832.4749340378</v>
      </c>
      <c r="U239" s="101">
        <f t="shared" si="16"/>
        <v>7862832.4749340378</v>
      </c>
      <c r="V239" s="101">
        <v>227418</v>
      </c>
      <c r="W239" s="149">
        <f t="shared" si="17"/>
        <v>3.457436295690771E-2</v>
      </c>
      <c r="Y239" s="255"/>
      <c r="AB239" s="254"/>
    </row>
    <row r="240" spans="2:28" x14ac:dyDescent="0.25">
      <c r="B240" t="s">
        <v>416</v>
      </c>
      <c r="C240">
        <f t="shared" si="18"/>
        <v>3656</v>
      </c>
      <c r="D240">
        <v>2890</v>
      </c>
      <c r="E240">
        <v>766</v>
      </c>
      <c r="F240">
        <v>0</v>
      </c>
      <c r="G240">
        <v>0</v>
      </c>
      <c r="H240">
        <v>562</v>
      </c>
      <c r="I240">
        <v>149</v>
      </c>
      <c r="J240">
        <v>2212</v>
      </c>
      <c r="K240">
        <v>2481</v>
      </c>
      <c r="L240">
        <v>248</v>
      </c>
      <c r="M240">
        <v>39</v>
      </c>
      <c r="N240">
        <v>821</v>
      </c>
      <c r="O240">
        <v>112</v>
      </c>
      <c r="P240" s="101">
        <v>2963000000</v>
      </c>
      <c r="Q240" s="101">
        <v>248000000</v>
      </c>
      <c r="R240" s="101">
        <v>221553319.9195171</v>
      </c>
      <c r="S240" s="101">
        <f t="shared" si="19"/>
        <v>5934884.6901408453</v>
      </c>
      <c r="T240" s="101">
        <f t="shared" si="15"/>
        <v>2278884.6901408453</v>
      </c>
      <c r="U240" s="101">
        <f t="shared" si="16"/>
        <v>2278884.6901408453</v>
      </c>
      <c r="V240" s="101">
        <v>68671</v>
      </c>
      <c r="W240" s="149">
        <f t="shared" si="17"/>
        <v>3.3185546885014711E-2</v>
      </c>
      <c r="Y240" s="255"/>
      <c r="AB240" s="254"/>
    </row>
    <row r="241" spans="2:28" x14ac:dyDescent="0.25">
      <c r="B241" t="s">
        <v>417</v>
      </c>
      <c r="C241">
        <f t="shared" si="18"/>
        <v>16978</v>
      </c>
      <c r="D241">
        <v>9451</v>
      </c>
      <c r="E241">
        <v>7527</v>
      </c>
      <c r="F241">
        <v>3348</v>
      </c>
      <c r="G241">
        <v>325</v>
      </c>
      <c r="H241">
        <v>942</v>
      </c>
      <c r="I241">
        <v>1141</v>
      </c>
      <c r="J241">
        <v>5728</v>
      </c>
      <c r="K241">
        <v>8342</v>
      </c>
      <c r="L241">
        <v>862</v>
      </c>
      <c r="M241">
        <v>131</v>
      </c>
      <c r="N241">
        <v>1385</v>
      </c>
      <c r="O241">
        <v>531</v>
      </c>
      <c r="P241" s="101">
        <v>8460000000</v>
      </c>
      <c r="Q241" s="101">
        <v>1946000000</v>
      </c>
      <c r="R241" s="101">
        <v>1896050288.1089575</v>
      </c>
      <c r="S241" s="101">
        <f t="shared" si="19"/>
        <v>21270244.948140386</v>
      </c>
      <c r="T241" s="101">
        <f t="shared" si="15"/>
        <v>4292244.9481403865</v>
      </c>
      <c r="U241" s="101">
        <f t="shared" si="16"/>
        <v>4292244.9481403865</v>
      </c>
      <c r="V241" s="101">
        <v>274451</v>
      </c>
      <c r="W241" s="149">
        <f t="shared" si="17"/>
        <v>1.5639385347987023E-2</v>
      </c>
      <c r="Y241" s="255"/>
      <c r="AB241" s="254"/>
    </row>
    <row r="242" spans="2:28" x14ac:dyDescent="0.25">
      <c r="B242" t="s">
        <v>383</v>
      </c>
      <c r="C242">
        <f t="shared" si="18"/>
        <v>14050</v>
      </c>
      <c r="D242">
        <v>8113</v>
      </c>
      <c r="E242">
        <v>5937</v>
      </c>
      <c r="F242">
        <v>2518</v>
      </c>
      <c r="G242">
        <v>117</v>
      </c>
      <c r="H242">
        <v>242</v>
      </c>
      <c r="I242">
        <v>635</v>
      </c>
      <c r="J242">
        <v>13526</v>
      </c>
      <c r="K242">
        <v>9815</v>
      </c>
      <c r="L242">
        <v>950</v>
      </c>
      <c r="M242">
        <v>0</v>
      </c>
      <c r="N242">
        <v>2266</v>
      </c>
      <c r="O242">
        <v>805</v>
      </c>
      <c r="P242" s="101">
        <v>10236000000</v>
      </c>
      <c r="Q242" s="101">
        <v>2135000000</v>
      </c>
      <c r="R242" s="101">
        <v>2038102180.5273833</v>
      </c>
      <c r="S242" s="101">
        <f t="shared" si="19"/>
        <v>24913337.670131847</v>
      </c>
      <c r="T242" s="101">
        <f t="shared" si="15"/>
        <v>10863337.670131847</v>
      </c>
      <c r="U242" s="101">
        <f t="shared" si="16"/>
        <v>10863337.670131847</v>
      </c>
      <c r="V242" s="101">
        <v>305467</v>
      </c>
      <c r="W242" s="149">
        <f t="shared" si="17"/>
        <v>3.5563048283879593E-2</v>
      </c>
      <c r="Y242" s="255"/>
      <c r="AB242" s="254"/>
    </row>
    <row r="243" spans="2:28" x14ac:dyDescent="0.25">
      <c r="B243" t="s">
        <v>314</v>
      </c>
      <c r="C243">
        <f t="shared" si="18"/>
        <v>332530</v>
      </c>
      <c r="D243">
        <v>68605</v>
      </c>
      <c r="E243">
        <v>263925</v>
      </c>
      <c r="F243">
        <v>189214</v>
      </c>
      <c r="G243">
        <v>8607</v>
      </c>
      <c r="H243">
        <v>15785</v>
      </c>
      <c r="I243">
        <v>3162</v>
      </c>
      <c r="J243">
        <v>95701</v>
      </c>
      <c r="K243">
        <v>108777</v>
      </c>
      <c r="L243">
        <v>10588</v>
      </c>
      <c r="M243">
        <v>4761</v>
      </c>
      <c r="N243">
        <v>40768</v>
      </c>
      <c r="O243">
        <v>12361</v>
      </c>
      <c r="P243" s="101">
        <v>104954000000</v>
      </c>
      <c r="Q243" s="101">
        <v>36714000000</v>
      </c>
      <c r="R243" s="101">
        <v>36714000000</v>
      </c>
      <c r="S243" s="101">
        <f t="shared" si="19"/>
        <v>308422478</v>
      </c>
      <c r="T243" s="101">
        <f t="shared" si="15"/>
        <v>-24107522</v>
      </c>
      <c r="U243" s="101">
        <f t="shared" si="16"/>
        <v>0</v>
      </c>
      <c r="V243" s="101">
        <v>4410137</v>
      </c>
      <c r="W243" s="149">
        <f t="shared" si="17"/>
        <v>-5.4663884591340363E-3</v>
      </c>
      <c r="Y243" s="255"/>
      <c r="AB243" s="254"/>
    </row>
    <row r="244" spans="2:28" x14ac:dyDescent="0.25">
      <c r="B244" t="s">
        <v>200</v>
      </c>
      <c r="C244">
        <f t="shared" si="18"/>
        <v>498</v>
      </c>
      <c r="D244">
        <v>435</v>
      </c>
      <c r="E244">
        <v>63</v>
      </c>
      <c r="F244">
        <v>0</v>
      </c>
      <c r="G244">
        <v>0</v>
      </c>
      <c r="H244">
        <v>0</v>
      </c>
      <c r="I244">
        <v>0</v>
      </c>
      <c r="J244">
        <v>160</v>
      </c>
      <c r="K244">
        <v>205</v>
      </c>
      <c r="L244">
        <v>34</v>
      </c>
      <c r="M244">
        <v>68</v>
      </c>
      <c r="N244">
        <v>3</v>
      </c>
      <c r="O244">
        <v>0</v>
      </c>
      <c r="P244" s="101">
        <v>533000000</v>
      </c>
      <c r="Q244" s="101">
        <v>25000000</v>
      </c>
      <c r="R244" s="101">
        <v>25000000</v>
      </c>
      <c r="S244" s="101">
        <f t="shared" si="19"/>
        <v>1008007</v>
      </c>
      <c r="T244" s="101">
        <f t="shared" si="15"/>
        <v>510007</v>
      </c>
      <c r="U244" s="101">
        <f t="shared" si="16"/>
        <v>510007</v>
      </c>
      <c r="V244" s="101">
        <v>9337</v>
      </c>
      <c r="W244" s="149">
        <f t="shared" si="17"/>
        <v>5.4622148441683623E-2</v>
      </c>
      <c r="Y244" s="255"/>
      <c r="AB244" s="254"/>
    </row>
    <row r="245" spans="2:28" x14ac:dyDescent="0.25">
      <c r="B245" t="s">
        <v>384</v>
      </c>
      <c r="C245">
        <f t="shared" si="18"/>
        <v>4110</v>
      </c>
      <c r="D245">
        <v>2872</v>
      </c>
      <c r="E245">
        <v>1238</v>
      </c>
      <c r="F245">
        <v>0</v>
      </c>
      <c r="G245">
        <v>0</v>
      </c>
      <c r="H245">
        <v>159</v>
      </c>
      <c r="I245">
        <v>0</v>
      </c>
      <c r="J245">
        <v>2525</v>
      </c>
      <c r="K245">
        <v>2501</v>
      </c>
      <c r="L245">
        <v>405</v>
      </c>
      <c r="M245">
        <v>21</v>
      </c>
      <c r="N245">
        <v>502</v>
      </c>
      <c r="O245">
        <v>220</v>
      </c>
      <c r="P245" s="101">
        <v>3485000000</v>
      </c>
      <c r="Q245" s="101">
        <v>440000000</v>
      </c>
      <c r="R245" s="101">
        <v>389626168.22429907</v>
      </c>
      <c r="S245" s="101">
        <f t="shared" si="19"/>
        <v>7459988.6448598141</v>
      </c>
      <c r="T245" s="101">
        <f t="shared" si="15"/>
        <v>3349988.6448598141</v>
      </c>
      <c r="U245" s="101">
        <f t="shared" si="16"/>
        <v>3349988.6448598141</v>
      </c>
      <c r="V245" s="101">
        <v>76220</v>
      </c>
      <c r="W245" s="149">
        <f t="shared" si="17"/>
        <v>4.3951569730514485E-2</v>
      </c>
      <c r="Y245" s="255"/>
      <c r="AB245" s="254"/>
    </row>
    <row r="246" spans="2:28" x14ac:dyDescent="0.25">
      <c r="B246" t="s">
        <v>269</v>
      </c>
      <c r="C246">
        <f t="shared" si="18"/>
        <v>12310</v>
      </c>
      <c r="D246">
        <v>8555</v>
      </c>
      <c r="E246">
        <v>3755</v>
      </c>
      <c r="F246">
        <v>10</v>
      </c>
      <c r="G246">
        <v>135</v>
      </c>
      <c r="H246">
        <v>5267</v>
      </c>
      <c r="I246">
        <v>0</v>
      </c>
      <c r="J246">
        <v>5484</v>
      </c>
      <c r="K246">
        <v>7584</v>
      </c>
      <c r="L246">
        <v>567</v>
      </c>
      <c r="M246">
        <v>176</v>
      </c>
      <c r="N246">
        <v>2952</v>
      </c>
      <c r="O246">
        <v>320</v>
      </c>
      <c r="P246" s="101">
        <v>7730000000</v>
      </c>
      <c r="Q246" s="101">
        <v>936000000</v>
      </c>
      <c r="R246" s="101">
        <v>857146608.31509852</v>
      </c>
      <c r="S246" s="101">
        <f t="shared" si="19"/>
        <v>16465520.485776804</v>
      </c>
      <c r="T246" s="101">
        <f t="shared" si="15"/>
        <v>4155520.4857768044</v>
      </c>
      <c r="U246" s="101">
        <f t="shared" si="16"/>
        <v>4155520.4857768044</v>
      </c>
      <c r="V246" s="101">
        <v>174955</v>
      </c>
      <c r="W246" s="149">
        <f t="shared" si="17"/>
        <v>2.3751938988750276E-2</v>
      </c>
      <c r="Y246" s="255"/>
      <c r="AB246" s="254"/>
    </row>
    <row r="247" spans="2:28" x14ac:dyDescent="0.25">
      <c r="B247" t="s">
        <v>201</v>
      </c>
      <c r="C247">
        <f t="shared" si="18"/>
        <v>2172</v>
      </c>
      <c r="D247">
        <v>1539</v>
      </c>
      <c r="E247">
        <v>633</v>
      </c>
      <c r="F247">
        <v>0</v>
      </c>
      <c r="G247">
        <v>0</v>
      </c>
      <c r="H247">
        <v>161</v>
      </c>
      <c r="I247">
        <v>43</v>
      </c>
      <c r="J247">
        <v>1129</v>
      </c>
      <c r="K247">
        <v>956</v>
      </c>
      <c r="L247">
        <v>132</v>
      </c>
      <c r="M247">
        <v>203</v>
      </c>
      <c r="N247">
        <v>133</v>
      </c>
      <c r="O247">
        <v>252</v>
      </c>
      <c r="P247" s="101">
        <v>1625000000</v>
      </c>
      <c r="Q247" s="101">
        <v>166000000</v>
      </c>
      <c r="R247" s="101">
        <v>153462235.64954683</v>
      </c>
      <c r="S247" s="101">
        <f t="shared" si="19"/>
        <v>3361975.2054380667</v>
      </c>
      <c r="T247" s="101">
        <f t="shared" si="15"/>
        <v>1189975.2054380667</v>
      </c>
      <c r="U247" s="101">
        <f t="shared" si="16"/>
        <v>1189975.2054380667</v>
      </c>
      <c r="V247" s="101">
        <v>27930</v>
      </c>
      <c r="W247" s="149">
        <f t="shared" si="17"/>
        <v>4.2605628551309227E-2</v>
      </c>
      <c r="Y247" s="255"/>
      <c r="AB247" s="254"/>
    </row>
    <row r="248" spans="2:28" x14ac:dyDescent="0.25">
      <c r="B248" t="s">
        <v>315</v>
      </c>
      <c r="C248">
        <f t="shared" si="18"/>
        <v>16367</v>
      </c>
      <c r="D248">
        <v>8234</v>
      </c>
      <c r="E248">
        <v>8133</v>
      </c>
      <c r="F248">
        <v>4288</v>
      </c>
      <c r="G248">
        <v>159</v>
      </c>
      <c r="H248">
        <v>444</v>
      </c>
      <c r="I248">
        <v>140</v>
      </c>
      <c r="J248">
        <v>10817</v>
      </c>
      <c r="K248">
        <v>13753</v>
      </c>
      <c r="L248">
        <v>1096</v>
      </c>
      <c r="M248">
        <v>0</v>
      </c>
      <c r="N248">
        <v>1345</v>
      </c>
      <c r="O248">
        <v>1913</v>
      </c>
      <c r="P248" s="101">
        <v>10839000000</v>
      </c>
      <c r="Q248" s="101">
        <v>1614000000</v>
      </c>
      <c r="R248" s="101">
        <v>1580752808.988764</v>
      </c>
      <c r="S248" s="101">
        <f t="shared" si="19"/>
        <v>24264358.606741574</v>
      </c>
      <c r="T248" s="101">
        <f t="shared" si="15"/>
        <v>7897358.6067415737</v>
      </c>
      <c r="U248" s="101">
        <f t="shared" si="16"/>
        <v>7897358.6067415737</v>
      </c>
      <c r="V248" s="101">
        <v>356568</v>
      </c>
      <c r="W248" s="149">
        <f t="shared" si="17"/>
        <v>2.2148253928399558E-2</v>
      </c>
      <c r="Y248" s="255"/>
      <c r="AB248" s="254"/>
    </row>
    <row r="249" spans="2:28" x14ac:dyDescent="0.25">
      <c r="B249" t="s">
        <v>133</v>
      </c>
      <c r="C249">
        <f t="shared" si="18"/>
        <v>628</v>
      </c>
      <c r="D249">
        <v>426</v>
      </c>
      <c r="E249">
        <v>202</v>
      </c>
      <c r="F249">
        <v>0</v>
      </c>
      <c r="G249">
        <v>0</v>
      </c>
      <c r="H249">
        <v>1819</v>
      </c>
      <c r="I249">
        <v>0</v>
      </c>
      <c r="J249">
        <v>209</v>
      </c>
      <c r="K249">
        <v>379</v>
      </c>
      <c r="L249">
        <v>22</v>
      </c>
      <c r="M249">
        <v>31</v>
      </c>
      <c r="N249">
        <v>95</v>
      </c>
      <c r="O249">
        <v>71</v>
      </c>
      <c r="P249" s="101">
        <v>504000000</v>
      </c>
      <c r="Q249" s="101">
        <v>56000000</v>
      </c>
      <c r="R249" s="101">
        <v>56000000</v>
      </c>
      <c r="S249" s="101">
        <f t="shared" si="19"/>
        <v>1065064</v>
      </c>
      <c r="T249" s="101">
        <f t="shared" si="15"/>
        <v>437064</v>
      </c>
      <c r="U249" s="101">
        <f t="shared" si="16"/>
        <v>437064</v>
      </c>
      <c r="V249" s="101">
        <v>9893</v>
      </c>
      <c r="W249" s="149">
        <f t="shared" si="17"/>
        <v>4.4179116547053469E-2</v>
      </c>
      <c r="Y249" s="255"/>
      <c r="AB249" s="254"/>
    </row>
    <row r="250" spans="2:28" x14ac:dyDescent="0.25">
      <c r="B250" t="s">
        <v>335</v>
      </c>
      <c r="C250">
        <f t="shared" si="18"/>
        <v>11078</v>
      </c>
      <c r="D250">
        <v>7397</v>
      </c>
      <c r="E250">
        <v>3681</v>
      </c>
      <c r="F250">
        <v>2581</v>
      </c>
      <c r="G250">
        <v>163</v>
      </c>
      <c r="H250">
        <v>13741</v>
      </c>
      <c r="I250">
        <v>300</v>
      </c>
      <c r="J250">
        <v>7301</v>
      </c>
      <c r="K250">
        <v>4699</v>
      </c>
      <c r="L250">
        <v>432</v>
      </c>
      <c r="M250">
        <v>612</v>
      </c>
      <c r="N250">
        <v>1101</v>
      </c>
      <c r="O250">
        <v>1085</v>
      </c>
      <c r="P250" s="101">
        <v>6801000000</v>
      </c>
      <c r="Q250" s="101">
        <v>1097000000</v>
      </c>
      <c r="R250" s="101">
        <v>914678804.85527551</v>
      </c>
      <c r="S250" s="101">
        <f t="shared" si="19"/>
        <v>15237121.653594773</v>
      </c>
      <c r="T250" s="101">
        <f t="shared" si="15"/>
        <v>4159121.6535947733</v>
      </c>
      <c r="U250" s="101">
        <f t="shared" si="16"/>
        <v>4159121.6535947733</v>
      </c>
      <c r="V250" s="101">
        <v>160939</v>
      </c>
      <c r="W250" s="149">
        <f t="shared" si="17"/>
        <v>2.5842845137566239E-2</v>
      </c>
      <c r="Y250" s="255"/>
      <c r="AB250" s="254"/>
    </row>
    <row r="251" spans="2:28" x14ac:dyDescent="0.25">
      <c r="B251" t="s">
        <v>441</v>
      </c>
      <c r="C251">
        <f t="shared" si="18"/>
        <v>138875</v>
      </c>
      <c r="D251">
        <v>49525</v>
      </c>
      <c r="E251">
        <v>89350</v>
      </c>
      <c r="F251">
        <v>104749</v>
      </c>
      <c r="G251">
        <v>149</v>
      </c>
      <c r="H251">
        <v>14853</v>
      </c>
      <c r="I251">
        <v>2586</v>
      </c>
      <c r="J251">
        <v>50744</v>
      </c>
      <c r="K251">
        <v>106427</v>
      </c>
      <c r="L251">
        <v>9700</v>
      </c>
      <c r="M251">
        <v>2091</v>
      </c>
      <c r="N251">
        <v>18003</v>
      </c>
      <c r="O251">
        <v>7213</v>
      </c>
      <c r="P251" s="101">
        <v>95483000000</v>
      </c>
      <c r="Q251" s="101">
        <v>15238000000</v>
      </c>
      <c r="R251" s="101">
        <v>15050760202.865992</v>
      </c>
      <c r="S251" s="101">
        <f t="shared" si="19"/>
        <v>217459373.39075533</v>
      </c>
      <c r="T251" s="101">
        <f t="shared" si="15"/>
        <v>78584373.390755326</v>
      </c>
      <c r="U251" s="101">
        <f t="shared" si="16"/>
        <v>78584373.390755326</v>
      </c>
      <c r="V251" s="101">
        <v>3069163</v>
      </c>
      <c r="W251" s="149">
        <f t="shared" si="17"/>
        <v>2.5604496532362513E-2</v>
      </c>
      <c r="Y251" s="255"/>
      <c r="AB251" s="254"/>
    </row>
    <row r="252" spans="2:28" x14ac:dyDescent="0.25">
      <c r="B252" t="s">
        <v>476</v>
      </c>
      <c r="C252">
        <f t="shared" si="18"/>
        <v>49707</v>
      </c>
      <c r="D252">
        <v>37668</v>
      </c>
      <c r="E252">
        <v>12039</v>
      </c>
      <c r="F252">
        <v>23438</v>
      </c>
      <c r="G252">
        <v>627</v>
      </c>
      <c r="H252">
        <v>2678</v>
      </c>
      <c r="I252">
        <v>1083</v>
      </c>
      <c r="J252">
        <v>12218</v>
      </c>
      <c r="K252">
        <v>47210</v>
      </c>
      <c r="L252">
        <v>2334</v>
      </c>
      <c r="M252">
        <v>185</v>
      </c>
      <c r="N252">
        <v>6249</v>
      </c>
      <c r="O252">
        <v>28664</v>
      </c>
      <c r="P252" s="101">
        <v>29397000000</v>
      </c>
      <c r="Q252" s="101">
        <v>4966000000</v>
      </c>
      <c r="R252" s="101">
        <v>4825413821.8151541</v>
      </c>
      <c r="S252" s="101">
        <f t="shared" si="19"/>
        <v>67756767.497918412</v>
      </c>
      <c r="T252" s="101">
        <f t="shared" si="15"/>
        <v>18049767.497918412</v>
      </c>
      <c r="U252" s="101">
        <f t="shared" si="16"/>
        <v>18049767.497918412</v>
      </c>
      <c r="V252" s="101">
        <v>850744</v>
      </c>
      <c r="W252" s="149">
        <f t="shared" si="17"/>
        <v>2.1216449951946076E-2</v>
      </c>
      <c r="Y252" s="255"/>
      <c r="AB252" s="254"/>
    </row>
    <row r="253" spans="2:28" x14ac:dyDescent="0.25">
      <c r="B253" t="s">
        <v>418</v>
      </c>
      <c r="C253">
        <f t="shared" si="18"/>
        <v>2254</v>
      </c>
      <c r="D253">
        <v>1996</v>
      </c>
      <c r="E253">
        <v>258</v>
      </c>
      <c r="F253">
        <v>2</v>
      </c>
      <c r="G253">
        <v>0</v>
      </c>
      <c r="H253">
        <v>94</v>
      </c>
      <c r="I253">
        <v>57</v>
      </c>
      <c r="J253">
        <v>1438</v>
      </c>
      <c r="K253">
        <v>1261</v>
      </c>
      <c r="L253">
        <v>117</v>
      </c>
      <c r="M253">
        <v>22</v>
      </c>
      <c r="N253">
        <v>258</v>
      </c>
      <c r="O253">
        <v>11</v>
      </c>
      <c r="P253" s="101">
        <v>1280000000</v>
      </c>
      <c r="Q253" s="101">
        <v>94000000</v>
      </c>
      <c r="R253" s="101">
        <v>82606060.606060609</v>
      </c>
      <c r="S253" s="101">
        <f t="shared" si="19"/>
        <v>2518471.8787878789</v>
      </c>
      <c r="T253" s="101">
        <f t="shared" si="15"/>
        <v>264471.8787878789</v>
      </c>
      <c r="U253" s="101">
        <f t="shared" si="16"/>
        <v>264471.8787878789</v>
      </c>
      <c r="V253" s="101">
        <v>33235</v>
      </c>
      <c r="W253" s="149">
        <f t="shared" si="17"/>
        <v>7.9576313761961451E-3</v>
      </c>
      <c r="Y253" s="255"/>
      <c r="AB253" s="254"/>
    </row>
    <row r="254" spans="2:28" x14ac:dyDescent="0.25">
      <c r="B254" t="s">
        <v>385</v>
      </c>
      <c r="C254">
        <f t="shared" si="18"/>
        <v>8026</v>
      </c>
      <c r="D254">
        <v>6457</v>
      </c>
      <c r="E254">
        <v>1569</v>
      </c>
      <c r="F254">
        <v>0</v>
      </c>
      <c r="G254">
        <v>0</v>
      </c>
      <c r="H254">
        <v>121</v>
      </c>
      <c r="I254">
        <v>38</v>
      </c>
      <c r="J254">
        <v>1977</v>
      </c>
      <c r="K254">
        <v>3453</v>
      </c>
      <c r="L254">
        <v>327</v>
      </c>
      <c r="M254">
        <v>5</v>
      </c>
      <c r="N254">
        <v>493</v>
      </c>
      <c r="O254">
        <v>104</v>
      </c>
      <c r="P254" s="101">
        <v>5698000000</v>
      </c>
      <c r="Q254" s="101">
        <v>365000000</v>
      </c>
      <c r="R254" s="101">
        <v>328550624.13314843</v>
      </c>
      <c r="S254" s="101">
        <f t="shared" si="19"/>
        <v>11050991.029126214</v>
      </c>
      <c r="T254" s="101">
        <f t="shared" si="15"/>
        <v>3024991.0291262139</v>
      </c>
      <c r="U254" s="101">
        <f t="shared" si="16"/>
        <v>3024991.0291262139</v>
      </c>
      <c r="V254" s="101">
        <v>83319</v>
      </c>
      <c r="W254" s="149">
        <f t="shared" si="17"/>
        <v>3.6306137005079439E-2</v>
      </c>
      <c r="Y254" s="255"/>
      <c r="AB254" s="254"/>
    </row>
    <row r="255" spans="2:28" x14ac:dyDescent="0.25">
      <c r="B255" t="s">
        <v>419</v>
      </c>
      <c r="C255">
        <f t="shared" si="18"/>
        <v>58026</v>
      </c>
      <c r="D255">
        <v>19396</v>
      </c>
      <c r="E255">
        <v>38630</v>
      </c>
      <c r="F255">
        <v>5726</v>
      </c>
      <c r="G255">
        <v>67</v>
      </c>
      <c r="H255">
        <v>440</v>
      </c>
      <c r="I255">
        <v>670</v>
      </c>
      <c r="J255">
        <v>11094</v>
      </c>
      <c r="K255">
        <v>14196</v>
      </c>
      <c r="L255">
        <v>1163</v>
      </c>
      <c r="M255">
        <v>456</v>
      </c>
      <c r="N255">
        <v>4497</v>
      </c>
      <c r="O255">
        <v>745</v>
      </c>
      <c r="P255" s="101">
        <v>11754000000</v>
      </c>
      <c r="Q255" s="101">
        <v>3213000000</v>
      </c>
      <c r="R255" s="101">
        <v>3213000000</v>
      </c>
      <c r="S255" s="101">
        <f t="shared" si="19"/>
        <v>31433220</v>
      </c>
      <c r="T255" s="101">
        <f t="shared" si="15"/>
        <v>-26592780</v>
      </c>
      <c r="U255" s="101">
        <f t="shared" si="16"/>
        <v>0</v>
      </c>
      <c r="V255" s="101">
        <v>457878</v>
      </c>
      <c r="W255" s="149">
        <f t="shared" si="17"/>
        <v>-5.8078309069228048E-2</v>
      </c>
      <c r="Y255" s="255"/>
      <c r="AB255" s="254"/>
    </row>
    <row r="256" spans="2:28" x14ac:dyDescent="0.25">
      <c r="B256" t="s">
        <v>316</v>
      </c>
      <c r="C256">
        <f t="shared" si="18"/>
        <v>4949</v>
      </c>
      <c r="D256">
        <v>2511</v>
      </c>
      <c r="E256">
        <v>2438</v>
      </c>
      <c r="F256">
        <v>0</v>
      </c>
      <c r="G256">
        <v>43</v>
      </c>
      <c r="H256">
        <v>0</v>
      </c>
      <c r="I256">
        <v>274</v>
      </c>
      <c r="J256">
        <v>3391</v>
      </c>
      <c r="K256">
        <v>3748</v>
      </c>
      <c r="L256">
        <v>291</v>
      </c>
      <c r="M256">
        <v>211</v>
      </c>
      <c r="N256">
        <v>628</v>
      </c>
      <c r="O256">
        <v>247</v>
      </c>
      <c r="P256" s="101">
        <v>3305000000</v>
      </c>
      <c r="Q256" s="101">
        <v>644000000</v>
      </c>
      <c r="R256" s="101">
        <v>625557275.54179561</v>
      </c>
      <c r="S256" s="101">
        <f t="shared" si="19"/>
        <v>7909409.5294117648</v>
      </c>
      <c r="T256" s="101">
        <f t="shared" si="15"/>
        <v>2960409.5294117648</v>
      </c>
      <c r="U256" s="101">
        <f t="shared" si="16"/>
        <v>2960409.5294117648</v>
      </c>
      <c r="V256" s="101">
        <v>95110</v>
      </c>
      <c r="W256" s="149">
        <f t="shared" si="17"/>
        <v>3.1126164750412837E-2</v>
      </c>
      <c r="Y256" s="255"/>
      <c r="AB256" s="254"/>
    </row>
    <row r="257" spans="2:28" x14ac:dyDescent="0.25">
      <c r="B257" t="s">
        <v>336</v>
      </c>
      <c r="C257">
        <f t="shared" si="18"/>
        <v>7716</v>
      </c>
      <c r="D257">
        <v>5234</v>
      </c>
      <c r="E257">
        <v>2482</v>
      </c>
      <c r="F257">
        <v>3887</v>
      </c>
      <c r="G257">
        <v>263</v>
      </c>
      <c r="H257">
        <v>12825</v>
      </c>
      <c r="I257">
        <v>322</v>
      </c>
      <c r="J257">
        <v>5415</v>
      </c>
      <c r="K257">
        <v>3910</v>
      </c>
      <c r="L257">
        <v>502</v>
      </c>
      <c r="M257">
        <v>256</v>
      </c>
      <c r="N257">
        <v>734</v>
      </c>
      <c r="O257">
        <v>1580</v>
      </c>
      <c r="P257" s="101">
        <v>5945000000</v>
      </c>
      <c r="Q257" s="101">
        <v>688000000</v>
      </c>
      <c r="R257" s="101">
        <v>613038805.97014928</v>
      </c>
      <c r="S257" s="101">
        <f t="shared" si="19"/>
        <v>12528401.095522389</v>
      </c>
      <c r="T257" s="101">
        <f t="shared" si="15"/>
        <v>4812401.0955223888</v>
      </c>
      <c r="U257" s="101">
        <f t="shared" si="16"/>
        <v>4812401.0955223888</v>
      </c>
      <c r="V257" s="101">
        <v>112323</v>
      </c>
      <c r="W257" s="149">
        <f t="shared" si="17"/>
        <v>4.2844307003217404E-2</v>
      </c>
      <c r="Y257" s="255"/>
      <c r="AB257" s="254"/>
    </row>
    <row r="258" spans="2:28" x14ac:dyDescent="0.25">
      <c r="B258" t="s">
        <v>134</v>
      </c>
      <c r="C258">
        <f t="shared" si="18"/>
        <v>15647</v>
      </c>
      <c r="D258">
        <v>7300</v>
      </c>
      <c r="E258">
        <v>8347</v>
      </c>
      <c r="F258">
        <v>3579</v>
      </c>
      <c r="G258">
        <v>0</v>
      </c>
      <c r="H258">
        <v>9</v>
      </c>
      <c r="I258">
        <v>370</v>
      </c>
      <c r="J258">
        <v>7824</v>
      </c>
      <c r="K258">
        <v>6610</v>
      </c>
      <c r="L258">
        <v>754</v>
      </c>
      <c r="M258">
        <v>510</v>
      </c>
      <c r="N258">
        <v>2037</v>
      </c>
      <c r="O258">
        <v>868</v>
      </c>
      <c r="P258" s="101">
        <v>7130000000</v>
      </c>
      <c r="Q258" s="101">
        <v>1332000000</v>
      </c>
      <c r="R258" s="101">
        <v>1247387373.3437257</v>
      </c>
      <c r="S258" s="101">
        <f t="shared" si="19"/>
        <v>16787530.768511303</v>
      </c>
      <c r="T258" s="101">
        <f t="shared" ref="T258:T321" si="20">SUM(S258,-C258*1000)</f>
        <v>1140530.7685113028</v>
      </c>
      <c r="U258" s="101">
        <f t="shared" ref="U258:U321" si="21">IF(T258&gt;0,T258,0)</f>
        <v>1140530.7685113028</v>
      </c>
      <c r="V258" s="101">
        <v>244808</v>
      </c>
      <c r="W258" s="149">
        <f t="shared" ref="W258:W321" si="22">T258/(V258*1000)</f>
        <v>4.6588786661845311E-3</v>
      </c>
      <c r="Y258" s="255"/>
      <c r="AB258" s="254"/>
    </row>
    <row r="259" spans="2:28" x14ac:dyDescent="0.25">
      <c r="B259" t="s">
        <v>227</v>
      </c>
      <c r="C259">
        <f t="shared" ref="C259:C322" si="23">SUM(D259:E259)</f>
        <v>10460</v>
      </c>
      <c r="D259">
        <v>6404</v>
      </c>
      <c r="E259">
        <v>4056</v>
      </c>
      <c r="F259">
        <v>17</v>
      </c>
      <c r="G259">
        <v>0</v>
      </c>
      <c r="H259">
        <v>0</v>
      </c>
      <c r="I259">
        <v>157</v>
      </c>
      <c r="J259">
        <v>4933</v>
      </c>
      <c r="K259">
        <v>5782</v>
      </c>
      <c r="L259">
        <v>573</v>
      </c>
      <c r="M259">
        <v>566</v>
      </c>
      <c r="N259">
        <v>887</v>
      </c>
      <c r="O259">
        <v>18</v>
      </c>
      <c r="P259" s="101">
        <v>9009000000</v>
      </c>
      <c r="Q259" s="101">
        <v>1077000000</v>
      </c>
      <c r="R259" s="101">
        <v>1066472140.7624633</v>
      </c>
      <c r="S259" s="101">
        <f t="shared" ref="S259:S322" si="24">0.1729%*SUM(P259,Q259,R259)</f>
        <v>19282624.3313783</v>
      </c>
      <c r="T259" s="101">
        <f t="shared" si="20"/>
        <v>8822624.3313782997</v>
      </c>
      <c r="U259" s="101">
        <f t="shared" si="21"/>
        <v>8822624.3313782997</v>
      </c>
      <c r="V259" s="101">
        <v>141826</v>
      </c>
      <c r="W259" s="149">
        <f t="shared" si="22"/>
        <v>6.220738321166993E-2</v>
      </c>
      <c r="Y259" s="255"/>
      <c r="AB259" s="254"/>
    </row>
    <row r="260" spans="2:28" x14ac:dyDescent="0.25">
      <c r="B260" t="s">
        <v>386</v>
      </c>
      <c r="C260">
        <f t="shared" si="23"/>
        <v>4557</v>
      </c>
      <c r="D260">
        <v>3229</v>
      </c>
      <c r="E260">
        <v>1328</v>
      </c>
      <c r="F260">
        <v>0</v>
      </c>
      <c r="G260">
        <v>0</v>
      </c>
      <c r="H260">
        <v>468</v>
      </c>
      <c r="I260">
        <v>111</v>
      </c>
      <c r="J260">
        <v>1888</v>
      </c>
      <c r="K260">
        <v>1870</v>
      </c>
      <c r="L260">
        <v>207</v>
      </c>
      <c r="M260">
        <v>0</v>
      </c>
      <c r="N260">
        <v>572</v>
      </c>
      <c r="O260">
        <v>246</v>
      </c>
      <c r="P260" s="101">
        <v>3243000000</v>
      </c>
      <c r="Q260" s="101">
        <v>519000000</v>
      </c>
      <c r="R260" s="101">
        <v>469595192.30769229</v>
      </c>
      <c r="S260" s="101">
        <f t="shared" si="24"/>
        <v>7316428.0875000004</v>
      </c>
      <c r="T260" s="101">
        <f t="shared" si="20"/>
        <v>2759428.0875000004</v>
      </c>
      <c r="U260" s="101">
        <f t="shared" si="21"/>
        <v>2759428.0875000004</v>
      </c>
      <c r="V260" s="101">
        <v>58845</v>
      </c>
      <c r="W260" s="149">
        <f t="shared" si="22"/>
        <v>4.6893161483558508E-2</v>
      </c>
      <c r="Y260" s="255"/>
      <c r="AB260" s="254"/>
    </row>
    <row r="261" spans="2:28" x14ac:dyDescent="0.25">
      <c r="B261" t="s">
        <v>387</v>
      </c>
      <c r="C261">
        <f t="shared" si="23"/>
        <v>5199</v>
      </c>
      <c r="D261">
        <v>2659</v>
      </c>
      <c r="E261">
        <v>2540</v>
      </c>
      <c r="F261">
        <v>0</v>
      </c>
      <c r="G261">
        <v>10</v>
      </c>
      <c r="H261">
        <v>0</v>
      </c>
      <c r="I261">
        <v>0</v>
      </c>
      <c r="J261">
        <v>1531</v>
      </c>
      <c r="K261">
        <v>2317</v>
      </c>
      <c r="L261">
        <v>234</v>
      </c>
      <c r="M261">
        <v>0</v>
      </c>
      <c r="N261">
        <v>714</v>
      </c>
      <c r="O261">
        <v>150</v>
      </c>
      <c r="P261" s="101">
        <v>3486000000</v>
      </c>
      <c r="Q261" s="101">
        <v>746000000</v>
      </c>
      <c r="R261" s="101">
        <v>746000000</v>
      </c>
      <c r="S261" s="101">
        <f t="shared" si="24"/>
        <v>8606962</v>
      </c>
      <c r="T261" s="101">
        <f t="shared" si="20"/>
        <v>3407962</v>
      </c>
      <c r="U261" s="101">
        <f t="shared" si="21"/>
        <v>3407962</v>
      </c>
      <c r="V261" s="101">
        <v>50120</v>
      </c>
      <c r="W261" s="149">
        <f t="shared" si="22"/>
        <v>6.7996049481245019E-2</v>
      </c>
      <c r="Y261" s="255"/>
      <c r="AB261" s="254"/>
    </row>
    <row r="262" spans="2:28" x14ac:dyDescent="0.25">
      <c r="B262" t="s">
        <v>123</v>
      </c>
      <c r="C262">
        <f t="shared" si="23"/>
        <v>8478</v>
      </c>
      <c r="D262">
        <v>5246</v>
      </c>
      <c r="E262">
        <v>3232</v>
      </c>
      <c r="F262">
        <v>0</v>
      </c>
      <c r="G262">
        <v>0</v>
      </c>
      <c r="H262">
        <v>331</v>
      </c>
      <c r="I262">
        <v>63</v>
      </c>
      <c r="J262">
        <v>2823</v>
      </c>
      <c r="K262">
        <v>3415</v>
      </c>
      <c r="L262">
        <v>358</v>
      </c>
      <c r="M262">
        <v>61</v>
      </c>
      <c r="N262">
        <v>409</v>
      </c>
      <c r="O262">
        <v>189</v>
      </c>
      <c r="P262" s="101">
        <v>3464000000</v>
      </c>
      <c r="Q262" s="101">
        <v>474000000</v>
      </c>
      <c r="R262" s="101">
        <v>417632432.43243241</v>
      </c>
      <c r="S262" s="101">
        <f t="shared" si="24"/>
        <v>7530888.4756756751</v>
      </c>
      <c r="T262" s="101">
        <f t="shared" si="20"/>
        <v>-947111.52432432491</v>
      </c>
      <c r="U262" s="101">
        <f t="shared" si="21"/>
        <v>0</v>
      </c>
      <c r="V262" s="101">
        <v>157526</v>
      </c>
      <c r="W262" s="149">
        <f t="shared" si="22"/>
        <v>-6.0124139781643979E-3</v>
      </c>
      <c r="Y262" s="255"/>
      <c r="AB262" s="254"/>
    </row>
    <row r="263" spans="2:28" x14ac:dyDescent="0.25">
      <c r="B263" t="s">
        <v>156</v>
      </c>
      <c r="C263">
        <f t="shared" si="23"/>
        <v>4664</v>
      </c>
      <c r="D263">
        <v>2520</v>
      </c>
      <c r="E263">
        <v>2144</v>
      </c>
      <c r="F263">
        <v>0</v>
      </c>
      <c r="G263">
        <v>0</v>
      </c>
      <c r="H263">
        <v>186</v>
      </c>
      <c r="I263">
        <v>61</v>
      </c>
      <c r="J263">
        <v>1737</v>
      </c>
      <c r="K263">
        <v>1399</v>
      </c>
      <c r="L263">
        <v>224</v>
      </c>
      <c r="M263">
        <v>309</v>
      </c>
      <c r="N263">
        <v>852</v>
      </c>
      <c r="O263">
        <v>263</v>
      </c>
      <c r="P263" s="101">
        <v>2072000000</v>
      </c>
      <c r="Q263" s="101">
        <v>548000000</v>
      </c>
      <c r="R263" s="101">
        <v>472179389.31297708</v>
      </c>
      <c r="S263" s="101">
        <f t="shared" si="24"/>
        <v>5346378.1641221372</v>
      </c>
      <c r="T263" s="101">
        <f t="shared" si="20"/>
        <v>682378.16412213724</v>
      </c>
      <c r="U263" s="101">
        <f t="shared" si="21"/>
        <v>682378.16412213724</v>
      </c>
      <c r="V263" s="101">
        <v>53876</v>
      </c>
      <c r="W263" s="149">
        <f t="shared" si="22"/>
        <v>1.266571690775368E-2</v>
      </c>
      <c r="Y263" s="255"/>
      <c r="AB263" s="254"/>
    </row>
    <row r="264" spans="2:28" x14ac:dyDescent="0.25">
      <c r="B264" t="s">
        <v>270</v>
      </c>
      <c r="C264">
        <f t="shared" si="23"/>
        <v>5484</v>
      </c>
      <c r="D264">
        <v>4405</v>
      </c>
      <c r="E264">
        <v>1079</v>
      </c>
      <c r="F264">
        <v>0</v>
      </c>
      <c r="G264">
        <v>0</v>
      </c>
      <c r="H264">
        <v>71</v>
      </c>
      <c r="I264">
        <v>112</v>
      </c>
      <c r="J264">
        <v>1917</v>
      </c>
      <c r="K264">
        <v>3417</v>
      </c>
      <c r="L264">
        <v>245</v>
      </c>
      <c r="M264">
        <v>8</v>
      </c>
      <c r="N264">
        <v>547</v>
      </c>
      <c r="O264">
        <v>57</v>
      </c>
      <c r="P264" s="101">
        <v>3287000000</v>
      </c>
      <c r="Q264" s="101">
        <v>284000000</v>
      </c>
      <c r="R264" s="101">
        <v>260464088.39779004</v>
      </c>
      <c r="S264" s="101">
        <f t="shared" si="24"/>
        <v>6624601.408839779</v>
      </c>
      <c r="T264" s="101">
        <f t="shared" si="20"/>
        <v>1140601.408839779</v>
      </c>
      <c r="U264" s="101">
        <f t="shared" si="21"/>
        <v>1140601.408839779</v>
      </c>
      <c r="V264" s="101">
        <v>71151</v>
      </c>
      <c r="W264" s="149">
        <f t="shared" si="22"/>
        <v>1.6030715082567763E-2</v>
      </c>
      <c r="Y264" s="255"/>
      <c r="AB264" s="254"/>
    </row>
    <row r="265" spans="2:28" x14ac:dyDescent="0.25">
      <c r="B265" t="s">
        <v>388</v>
      </c>
      <c r="C265">
        <f t="shared" si="23"/>
        <v>5487</v>
      </c>
      <c r="D265">
        <v>3283</v>
      </c>
      <c r="E265">
        <v>2204</v>
      </c>
      <c r="F265">
        <v>0</v>
      </c>
      <c r="G265">
        <v>0</v>
      </c>
      <c r="H265">
        <v>90</v>
      </c>
      <c r="I265">
        <v>83</v>
      </c>
      <c r="J265">
        <v>1744</v>
      </c>
      <c r="K265">
        <v>3996</v>
      </c>
      <c r="L265">
        <v>253</v>
      </c>
      <c r="M265">
        <v>19</v>
      </c>
      <c r="N265">
        <v>719</v>
      </c>
      <c r="O265">
        <v>89</v>
      </c>
      <c r="P265" s="101">
        <v>3398000000</v>
      </c>
      <c r="Q265" s="101">
        <v>642000000</v>
      </c>
      <c r="R265" s="101">
        <v>590379391.10070264</v>
      </c>
      <c r="S265" s="101">
        <f t="shared" si="24"/>
        <v>8005925.9672131147</v>
      </c>
      <c r="T265" s="101">
        <f t="shared" si="20"/>
        <v>2518925.9672131147</v>
      </c>
      <c r="U265" s="101">
        <f t="shared" si="21"/>
        <v>2518925.9672131147</v>
      </c>
      <c r="V265" s="101">
        <v>75717</v>
      </c>
      <c r="W265" s="149">
        <f t="shared" si="22"/>
        <v>3.3267640915687555E-2</v>
      </c>
      <c r="Y265" s="255"/>
      <c r="AB265" s="254"/>
    </row>
    <row r="266" spans="2:28" x14ac:dyDescent="0.25">
      <c r="B266" t="s">
        <v>157</v>
      </c>
      <c r="C266">
        <f t="shared" si="23"/>
        <v>8196</v>
      </c>
      <c r="D266">
        <v>4942</v>
      </c>
      <c r="E266">
        <v>3254</v>
      </c>
      <c r="F266">
        <v>18</v>
      </c>
      <c r="G266">
        <v>0</v>
      </c>
      <c r="H266">
        <v>1824</v>
      </c>
      <c r="I266">
        <v>0</v>
      </c>
      <c r="J266">
        <v>4729</v>
      </c>
      <c r="K266">
        <v>4183</v>
      </c>
      <c r="L266">
        <v>516</v>
      </c>
      <c r="M266">
        <v>563</v>
      </c>
      <c r="N266">
        <v>2842</v>
      </c>
      <c r="O266">
        <v>620</v>
      </c>
      <c r="P266" s="101">
        <v>6273000000</v>
      </c>
      <c r="Q266" s="101">
        <v>923000000</v>
      </c>
      <c r="R266" s="101">
        <v>825030711.20689654</v>
      </c>
      <c r="S266" s="101">
        <f t="shared" si="24"/>
        <v>13868362.099676725</v>
      </c>
      <c r="T266" s="101">
        <f t="shared" si="20"/>
        <v>5672362.0996767245</v>
      </c>
      <c r="U266" s="101">
        <f t="shared" si="21"/>
        <v>5672362.0996767245</v>
      </c>
      <c r="V266" s="101">
        <v>172787</v>
      </c>
      <c r="W266" s="149">
        <f t="shared" si="22"/>
        <v>3.2828639305484353E-2</v>
      </c>
      <c r="Y266" s="255"/>
      <c r="AB266" s="254"/>
    </row>
    <row r="267" spans="2:28" x14ac:dyDescent="0.25">
      <c r="B267" t="s">
        <v>727</v>
      </c>
      <c r="C267">
        <f t="shared" si="23"/>
        <v>6054</v>
      </c>
      <c r="D267">
        <v>3925</v>
      </c>
      <c r="E267">
        <v>2129</v>
      </c>
      <c r="F267">
        <v>0</v>
      </c>
      <c r="G267">
        <v>0</v>
      </c>
      <c r="H267">
        <v>230</v>
      </c>
      <c r="I267">
        <v>0</v>
      </c>
      <c r="J267">
        <v>2802</v>
      </c>
      <c r="K267">
        <v>3454</v>
      </c>
      <c r="L267">
        <v>291</v>
      </c>
      <c r="M267">
        <v>63</v>
      </c>
      <c r="N267">
        <v>476</v>
      </c>
      <c r="O267">
        <v>33</v>
      </c>
      <c r="P267" s="101">
        <v>3385000000</v>
      </c>
      <c r="Q267" s="101">
        <v>338000000</v>
      </c>
      <c r="R267" s="101">
        <v>324519940.91580504</v>
      </c>
      <c r="S267" s="101">
        <f t="shared" si="24"/>
        <v>6998161.9778434271</v>
      </c>
      <c r="T267" s="101">
        <f t="shared" si="20"/>
        <v>944161.9778434271</v>
      </c>
      <c r="U267" s="101">
        <f t="shared" si="21"/>
        <v>944161.9778434271</v>
      </c>
      <c r="V267" s="101">
        <v>78848</v>
      </c>
      <c r="W267" s="149">
        <f t="shared" si="22"/>
        <v>1.1974456902437945E-2</v>
      </c>
      <c r="Y267" s="255"/>
      <c r="AB267" s="254"/>
    </row>
    <row r="268" spans="2:28" x14ac:dyDescent="0.25">
      <c r="B268" t="s">
        <v>228</v>
      </c>
      <c r="C268">
        <f t="shared" si="23"/>
        <v>14607</v>
      </c>
      <c r="D268">
        <v>10828</v>
      </c>
      <c r="E268">
        <v>3779</v>
      </c>
      <c r="F268">
        <v>86</v>
      </c>
      <c r="G268">
        <v>100</v>
      </c>
      <c r="H268">
        <v>909</v>
      </c>
      <c r="I268">
        <v>433</v>
      </c>
      <c r="J268">
        <v>7026</v>
      </c>
      <c r="K268">
        <v>8213</v>
      </c>
      <c r="L268">
        <v>984</v>
      </c>
      <c r="M268">
        <v>557</v>
      </c>
      <c r="N268">
        <v>5460</v>
      </c>
      <c r="O268">
        <v>606</v>
      </c>
      <c r="P268" s="101">
        <v>13080000000</v>
      </c>
      <c r="Q268" s="101">
        <v>1171000000</v>
      </c>
      <c r="R268" s="101">
        <v>1091893984.2209074</v>
      </c>
      <c r="S268" s="101">
        <f t="shared" si="24"/>
        <v>26527863.698717948</v>
      </c>
      <c r="T268" s="101">
        <f t="shared" si="20"/>
        <v>11920863.698717948</v>
      </c>
      <c r="U268" s="101">
        <f t="shared" si="21"/>
        <v>11920863.698717948</v>
      </c>
      <c r="V268" s="101">
        <v>180851</v>
      </c>
      <c r="W268" s="149">
        <f t="shared" si="22"/>
        <v>6.5915387245400622E-2</v>
      </c>
      <c r="Y268" s="255"/>
      <c r="AB268" s="254"/>
    </row>
    <row r="269" spans="2:28" x14ac:dyDescent="0.25">
      <c r="B269" t="s">
        <v>438</v>
      </c>
      <c r="C269">
        <f t="shared" si="23"/>
        <v>24162</v>
      </c>
      <c r="D269">
        <v>12948</v>
      </c>
      <c r="E269">
        <v>11214</v>
      </c>
      <c r="F269">
        <v>1476</v>
      </c>
      <c r="G269">
        <v>108</v>
      </c>
      <c r="H269">
        <v>3251</v>
      </c>
      <c r="I269">
        <v>1346</v>
      </c>
      <c r="J269">
        <v>8767</v>
      </c>
      <c r="K269">
        <v>10932</v>
      </c>
      <c r="L269">
        <v>1195</v>
      </c>
      <c r="M269">
        <v>722</v>
      </c>
      <c r="N269">
        <v>2712</v>
      </c>
      <c r="O269">
        <v>1964</v>
      </c>
      <c r="P269" s="101">
        <v>12085000000</v>
      </c>
      <c r="Q269" s="101">
        <v>2499000000</v>
      </c>
      <c r="R269" s="101">
        <v>2296966417.9104476</v>
      </c>
      <c r="S269" s="101">
        <f t="shared" si="24"/>
        <v>29187190.936567165</v>
      </c>
      <c r="T269" s="101">
        <f t="shared" si="20"/>
        <v>5025190.936567165</v>
      </c>
      <c r="U269" s="101">
        <f t="shared" si="21"/>
        <v>5025190.936567165</v>
      </c>
      <c r="V269" s="101">
        <v>362394</v>
      </c>
      <c r="W269" s="149">
        <f t="shared" si="22"/>
        <v>1.3866650486948363E-2</v>
      </c>
      <c r="Y269" s="255"/>
      <c r="AB269" s="254"/>
    </row>
    <row r="270" spans="2:28" x14ac:dyDescent="0.25">
      <c r="B270" t="s">
        <v>337</v>
      </c>
      <c r="C270">
        <f t="shared" si="23"/>
        <v>20111</v>
      </c>
      <c r="D270">
        <v>8327</v>
      </c>
      <c r="E270">
        <v>11784</v>
      </c>
      <c r="F270">
        <v>922</v>
      </c>
      <c r="G270">
        <v>0</v>
      </c>
      <c r="H270">
        <v>767</v>
      </c>
      <c r="I270">
        <v>452</v>
      </c>
      <c r="J270">
        <v>6086</v>
      </c>
      <c r="K270">
        <v>9005</v>
      </c>
      <c r="L270">
        <v>688</v>
      </c>
      <c r="M270">
        <v>854</v>
      </c>
      <c r="N270">
        <v>2648</v>
      </c>
      <c r="O270">
        <v>177</v>
      </c>
      <c r="P270" s="101">
        <v>6299000000</v>
      </c>
      <c r="Q270" s="101">
        <v>2095000000</v>
      </c>
      <c r="R270" s="101">
        <v>2095000000</v>
      </c>
      <c r="S270" s="101">
        <f t="shared" si="24"/>
        <v>18135481</v>
      </c>
      <c r="T270" s="101">
        <f t="shared" si="20"/>
        <v>-1975519</v>
      </c>
      <c r="U270" s="101">
        <f t="shared" si="21"/>
        <v>0</v>
      </c>
      <c r="V270" s="101">
        <v>230035</v>
      </c>
      <c r="W270" s="149">
        <f t="shared" si="22"/>
        <v>-8.5879061881887538E-3</v>
      </c>
      <c r="Y270" s="255"/>
      <c r="AB270" s="254"/>
    </row>
    <row r="271" spans="2:28" x14ac:dyDescent="0.25">
      <c r="B271" t="s">
        <v>135</v>
      </c>
      <c r="C271">
        <f t="shared" si="23"/>
        <v>2554</v>
      </c>
      <c r="D271">
        <v>1377</v>
      </c>
      <c r="E271">
        <v>1177</v>
      </c>
      <c r="F271">
        <v>0</v>
      </c>
      <c r="G271">
        <v>100</v>
      </c>
      <c r="H271">
        <v>4368</v>
      </c>
      <c r="I271">
        <v>0</v>
      </c>
      <c r="J271">
        <v>928</v>
      </c>
      <c r="K271">
        <v>897</v>
      </c>
      <c r="L271">
        <v>136</v>
      </c>
      <c r="M271">
        <v>44</v>
      </c>
      <c r="N271">
        <v>646</v>
      </c>
      <c r="O271">
        <v>22</v>
      </c>
      <c r="P271" s="101">
        <v>1581000000</v>
      </c>
      <c r="Q271" s="101">
        <v>235000000</v>
      </c>
      <c r="R271" s="101">
        <v>235000000</v>
      </c>
      <c r="S271" s="101">
        <f t="shared" si="24"/>
        <v>3546179</v>
      </c>
      <c r="T271" s="101">
        <f t="shared" si="20"/>
        <v>992179</v>
      </c>
      <c r="U271" s="101">
        <f t="shared" si="21"/>
        <v>992179</v>
      </c>
      <c r="V271" s="101">
        <v>29203</v>
      </c>
      <c r="W271" s="149">
        <f t="shared" si="22"/>
        <v>3.3975242269629835E-2</v>
      </c>
      <c r="Y271" s="255"/>
      <c r="AB271" s="254"/>
    </row>
    <row r="272" spans="2:28" x14ac:dyDescent="0.25">
      <c r="B272" t="s">
        <v>271</v>
      </c>
      <c r="C272">
        <f t="shared" si="23"/>
        <v>2069</v>
      </c>
      <c r="D272">
        <v>1271</v>
      </c>
      <c r="E272">
        <v>798</v>
      </c>
      <c r="F272">
        <v>4635</v>
      </c>
      <c r="G272">
        <v>150</v>
      </c>
      <c r="H272">
        <v>9848</v>
      </c>
      <c r="I272">
        <v>82</v>
      </c>
      <c r="J272">
        <v>3511</v>
      </c>
      <c r="K272">
        <v>2148</v>
      </c>
      <c r="L272">
        <v>172</v>
      </c>
      <c r="M272">
        <v>70</v>
      </c>
      <c r="N272">
        <v>1470</v>
      </c>
      <c r="O272">
        <v>610</v>
      </c>
      <c r="P272" s="101">
        <v>3929000000</v>
      </c>
      <c r="Q272" s="101">
        <v>683000000</v>
      </c>
      <c r="R272" s="101">
        <v>683000000</v>
      </c>
      <c r="S272" s="101">
        <f t="shared" si="24"/>
        <v>9155055</v>
      </c>
      <c r="T272" s="101">
        <f t="shared" si="20"/>
        <v>7086055</v>
      </c>
      <c r="U272" s="101">
        <f t="shared" si="21"/>
        <v>7086055</v>
      </c>
      <c r="V272" s="101">
        <v>75011</v>
      </c>
      <c r="W272" s="149">
        <f t="shared" si="22"/>
        <v>9.446687819119863E-2</v>
      </c>
      <c r="Y272" s="255"/>
      <c r="AB272" s="254"/>
    </row>
    <row r="273" spans="2:28" x14ac:dyDescent="0.25">
      <c r="B273" t="s">
        <v>317</v>
      </c>
      <c r="C273">
        <f t="shared" si="23"/>
        <v>8608</v>
      </c>
      <c r="D273">
        <v>5844</v>
      </c>
      <c r="E273">
        <v>2764</v>
      </c>
      <c r="F273">
        <v>31</v>
      </c>
      <c r="G273">
        <v>90</v>
      </c>
      <c r="H273">
        <v>171</v>
      </c>
      <c r="I273">
        <v>10</v>
      </c>
      <c r="J273">
        <v>3386</v>
      </c>
      <c r="K273">
        <v>0</v>
      </c>
      <c r="L273">
        <v>471</v>
      </c>
      <c r="M273">
        <v>0</v>
      </c>
      <c r="N273">
        <v>1011</v>
      </c>
      <c r="O273">
        <v>329</v>
      </c>
      <c r="P273" s="101">
        <v>7697000000</v>
      </c>
      <c r="Q273" s="101">
        <v>852000000</v>
      </c>
      <c r="R273" s="101">
        <v>824786240.78624082</v>
      </c>
      <c r="S273" s="101">
        <f t="shared" si="24"/>
        <v>16207276.410319412</v>
      </c>
      <c r="T273" s="101">
        <f t="shared" si="20"/>
        <v>7599276.4103194121</v>
      </c>
      <c r="U273" s="101">
        <f t="shared" si="21"/>
        <v>7599276.4103194121</v>
      </c>
      <c r="V273" s="101">
        <v>109389</v>
      </c>
      <c r="W273" s="149">
        <f t="shared" si="22"/>
        <v>6.9470206422212577E-2</v>
      </c>
      <c r="Y273" s="255"/>
      <c r="AB273" s="254"/>
    </row>
    <row r="274" spans="2:28" x14ac:dyDescent="0.25">
      <c r="B274" t="s">
        <v>338</v>
      </c>
      <c r="C274">
        <f t="shared" si="23"/>
        <v>6008</v>
      </c>
      <c r="D274">
        <v>3311</v>
      </c>
      <c r="E274">
        <v>2697</v>
      </c>
      <c r="F274">
        <v>10</v>
      </c>
      <c r="G274">
        <v>12</v>
      </c>
      <c r="H274">
        <v>637</v>
      </c>
      <c r="I274">
        <v>85</v>
      </c>
      <c r="J274">
        <v>2510</v>
      </c>
      <c r="K274">
        <v>2848</v>
      </c>
      <c r="L274">
        <v>328</v>
      </c>
      <c r="M274">
        <v>537</v>
      </c>
      <c r="N274">
        <v>1225</v>
      </c>
      <c r="O274">
        <v>124</v>
      </c>
      <c r="P274" s="101">
        <v>2949000000</v>
      </c>
      <c r="Q274" s="101">
        <v>525000000</v>
      </c>
      <c r="R274" s="101">
        <v>467678571.42857146</v>
      </c>
      <c r="S274" s="101">
        <f t="shared" si="24"/>
        <v>6815162.2500000009</v>
      </c>
      <c r="T274" s="101">
        <f t="shared" si="20"/>
        <v>807162.25000000093</v>
      </c>
      <c r="U274" s="101">
        <f t="shared" si="21"/>
        <v>807162.25000000093</v>
      </c>
      <c r="V274" s="101">
        <v>104266</v>
      </c>
      <c r="W274" s="149">
        <f t="shared" si="22"/>
        <v>7.7413754243953053E-3</v>
      </c>
      <c r="Y274" s="255"/>
      <c r="AB274" s="254"/>
    </row>
    <row r="275" spans="2:28" x14ac:dyDescent="0.25">
      <c r="B275" t="s">
        <v>202</v>
      </c>
      <c r="C275">
        <f t="shared" si="23"/>
        <v>12026</v>
      </c>
      <c r="D275">
        <v>6148</v>
      </c>
      <c r="E275">
        <v>5878</v>
      </c>
      <c r="F275">
        <v>2226</v>
      </c>
      <c r="G275">
        <v>35</v>
      </c>
      <c r="H275">
        <v>229</v>
      </c>
      <c r="I275">
        <v>836</v>
      </c>
      <c r="J275">
        <v>4690</v>
      </c>
      <c r="K275">
        <v>5025</v>
      </c>
      <c r="L275">
        <v>550</v>
      </c>
      <c r="M275">
        <v>332</v>
      </c>
      <c r="N275">
        <v>939</v>
      </c>
      <c r="O275">
        <v>480</v>
      </c>
      <c r="P275" s="101">
        <v>5718000000</v>
      </c>
      <c r="Q275" s="101">
        <v>1105000000</v>
      </c>
      <c r="R275" s="101">
        <v>1076744292.237443</v>
      </c>
      <c r="S275" s="101">
        <f t="shared" si="24"/>
        <v>13658657.881278539</v>
      </c>
      <c r="T275" s="101">
        <f t="shared" si="20"/>
        <v>1632657.8812785391</v>
      </c>
      <c r="U275" s="101">
        <f t="shared" si="21"/>
        <v>1632657.8812785391</v>
      </c>
      <c r="V275" s="101">
        <v>176376</v>
      </c>
      <c r="W275" s="149">
        <f t="shared" si="22"/>
        <v>9.2566895795263473E-3</v>
      </c>
      <c r="Y275" s="255"/>
      <c r="AB275" s="254"/>
    </row>
    <row r="276" spans="2:28" x14ac:dyDescent="0.25">
      <c r="B276" t="s">
        <v>389</v>
      </c>
      <c r="C276">
        <f t="shared" si="23"/>
        <v>50361</v>
      </c>
      <c r="D276">
        <v>23525</v>
      </c>
      <c r="E276">
        <v>26836</v>
      </c>
      <c r="F276">
        <v>22057</v>
      </c>
      <c r="G276">
        <v>723</v>
      </c>
      <c r="H276">
        <v>908</v>
      </c>
      <c r="I276">
        <v>3070</v>
      </c>
      <c r="J276">
        <v>13500</v>
      </c>
      <c r="K276">
        <v>30273</v>
      </c>
      <c r="L276">
        <v>2956</v>
      </c>
      <c r="M276">
        <v>237</v>
      </c>
      <c r="N276">
        <v>4706</v>
      </c>
      <c r="O276">
        <v>1242</v>
      </c>
      <c r="P276" s="101">
        <v>32931000000</v>
      </c>
      <c r="Q276" s="101">
        <v>7263000000</v>
      </c>
      <c r="R276" s="101">
        <v>6993526541.8192062</v>
      </c>
      <c r="S276" s="101">
        <f t="shared" si="24"/>
        <v>81587233.390805408</v>
      </c>
      <c r="T276" s="101">
        <f t="shared" si="20"/>
        <v>31226233.390805408</v>
      </c>
      <c r="U276" s="101">
        <f t="shared" si="21"/>
        <v>31226233.390805408</v>
      </c>
      <c r="V276" s="101">
        <v>1069764</v>
      </c>
      <c r="W276" s="149">
        <f t="shared" si="22"/>
        <v>2.918983382391388E-2</v>
      </c>
      <c r="Y276" s="255"/>
      <c r="AB276" s="254"/>
    </row>
    <row r="277" spans="2:28" x14ac:dyDescent="0.25">
      <c r="B277" t="s">
        <v>158</v>
      </c>
      <c r="C277">
        <f t="shared" si="23"/>
        <v>5006</v>
      </c>
      <c r="D277">
        <v>2904</v>
      </c>
      <c r="E277">
        <v>2102</v>
      </c>
      <c r="F277">
        <v>0</v>
      </c>
      <c r="G277">
        <v>0</v>
      </c>
      <c r="H277">
        <v>281</v>
      </c>
      <c r="I277">
        <v>-441</v>
      </c>
      <c r="J277">
        <v>2014</v>
      </c>
      <c r="K277">
        <v>1470</v>
      </c>
      <c r="L277">
        <v>247</v>
      </c>
      <c r="M277">
        <v>0</v>
      </c>
      <c r="N277">
        <v>828</v>
      </c>
      <c r="O277">
        <v>342</v>
      </c>
      <c r="P277" s="101">
        <v>3153000000</v>
      </c>
      <c r="Q277" s="101">
        <v>645000000</v>
      </c>
      <c r="R277" s="101">
        <v>631079136.69064748</v>
      </c>
      <c r="S277" s="101">
        <f t="shared" si="24"/>
        <v>7657877.8273381293</v>
      </c>
      <c r="T277" s="101">
        <f t="shared" si="20"/>
        <v>2651877.8273381293</v>
      </c>
      <c r="U277" s="101">
        <f t="shared" si="21"/>
        <v>2651877.8273381293</v>
      </c>
      <c r="V277" s="101">
        <v>62493</v>
      </c>
      <c r="W277" s="149">
        <f t="shared" si="22"/>
        <v>4.2434797934778765E-2</v>
      </c>
      <c r="Y277" s="255"/>
      <c r="AB277" s="254"/>
    </row>
    <row r="278" spans="2:28" x14ac:dyDescent="0.25">
      <c r="B278" t="s">
        <v>159</v>
      </c>
      <c r="C278">
        <f t="shared" si="23"/>
        <v>8689</v>
      </c>
      <c r="D278">
        <v>5733</v>
      </c>
      <c r="E278">
        <v>2956</v>
      </c>
      <c r="F278">
        <v>0</v>
      </c>
      <c r="G278">
        <v>0</v>
      </c>
      <c r="H278">
        <v>86</v>
      </c>
      <c r="I278">
        <v>0</v>
      </c>
      <c r="J278">
        <v>3935</v>
      </c>
      <c r="K278">
        <v>2603</v>
      </c>
      <c r="L278">
        <v>423</v>
      </c>
      <c r="M278">
        <v>733</v>
      </c>
      <c r="N278">
        <v>972</v>
      </c>
      <c r="O278">
        <v>110</v>
      </c>
      <c r="P278" s="101">
        <v>4439000000</v>
      </c>
      <c r="Q278" s="101">
        <v>631000000</v>
      </c>
      <c r="R278" s="101">
        <v>535237079.57342082</v>
      </c>
      <c r="S278" s="101">
        <f t="shared" si="24"/>
        <v>9691454.9105824437</v>
      </c>
      <c r="T278" s="101">
        <f t="shared" si="20"/>
        <v>1002454.9105824437</v>
      </c>
      <c r="U278" s="101">
        <f t="shared" si="21"/>
        <v>1002454.9105824437</v>
      </c>
      <c r="V278" s="101">
        <v>121693</v>
      </c>
      <c r="W278" s="149">
        <f t="shared" si="22"/>
        <v>8.237572502793453E-3</v>
      </c>
      <c r="Y278" s="255"/>
      <c r="AB278" s="254"/>
    </row>
    <row r="279" spans="2:28" x14ac:dyDescent="0.25">
      <c r="B279" t="s">
        <v>113</v>
      </c>
      <c r="C279">
        <f t="shared" si="23"/>
        <v>6550</v>
      </c>
      <c r="D279">
        <v>4958</v>
      </c>
      <c r="E279">
        <v>1592</v>
      </c>
      <c r="F279">
        <v>0</v>
      </c>
      <c r="G279">
        <v>0</v>
      </c>
      <c r="H279">
        <v>732</v>
      </c>
      <c r="I279">
        <v>0</v>
      </c>
      <c r="J279">
        <v>2898</v>
      </c>
      <c r="K279">
        <v>2869</v>
      </c>
      <c r="L279">
        <v>387</v>
      </c>
      <c r="M279">
        <v>450</v>
      </c>
      <c r="N279">
        <v>908</v>
      </c>
      <c r="O279">
        <v>288</v>
      </c>
      <c r="P279" s="101">
        <v>5833000000</v>
      </c>
      <c r="Q279" s="101">
        <v>556000000</v>
      </c>
      <c r="R279" s="101">
        <v>489597981.49705631</v>
      </c>
      <c r="S279" s="101">
        <f t="shared" si="24"/>
        <v>11893095.91000841</v>
      </c>
      <c r="T279" s="101">
        <f t="shared" si="20"/>
        <v>5343095.91000841</v>
      </c>
      <c r="U279" s="101">
        <f t="shared" si="21"/>
        <v>5343095.91000841</v>
      </c>
      <c r="V279" s="101">
        <v>114365</v>
      </c>
      <c r="W279" s="149">
        <f t="shared" si="22"/>
        <v>4.6719677436352115E-2</v>
      </c>
      <c r="Y279" s="255"/>
      <c r="AB279" s="254"/>
    </row>
    <row r="280" spans="2:28" x14ac:dyDescent="0.25">
      <c r="B280" t="s">
        <v>136</v>
      </c>
      <c r="C280">
        <f t="shared" si="23"/>
        <v>8705</v>
      </c>
      <c r="D280">
        <v>6072</v>
      </c>
      <c r="E280">
        <v>2633</v>
      </c>
      <c r="F280">
        <v>0</v>
      </c>
      <c r="G280">
        <v>0</v>
      </c>
      <c r="H280">
        <v>456</v>
      </c>
      <c r="I280">
        <v>40</v>
      </c>
      <c r="J280">
        <v>2215</v>
      </c>
      <c r="K280">
        <v>3424</v>
      </c>
      <c r="L280">
        <v>379</v>
      </c>
      <c r="M280">
        <v>13</v>
      </c>
      <c r="N280">
        <v>341</v>
      </c>
      <c r="O280">
        <v>205</v>
      </c>
      <c r="P280" s="101">
        <v>4013000000</v>
      </c>
      <c r="Q280" s="101">
        <v>475000000</v>
      </c>
      <c r="R280" s="101">
        <v>410532030.40173727</v>
      </c>
      <c r="S280" s="101">
        <f t="shared" si="24"/>
        <v>8469561.880564604</v>
      </c>
      <c r="T280" s="101">
        <f t="shared" si="20"/>
        <v>-235438.11943539605</v>
      </c>
      <c r="U280" s="101">
        <f t="shared" si="21"/>
        <v>0</v>
      </c>
      <c r="V280" s="101">
        <v>111288</v>
      </c>
      <c r="W280" s="149">
        <f t="shared" si="22"/>
        <v>-2.1155750793921723E-3</v>
      </c>
      <c r="Y280" s="255"/>
      <c r="AB280" s="254"/>
    </row>
    <row r="281" spans="2:28" x14ac:dyDescent="0.25">
      <c r="B281" t="s">
        <v>272</v>
      </c>
      <c r="C281">
        <f t="shared" si="23"/>
        <v>3710</v>
      </c>
      <c r="D281">
        <v>2693</v>
      </c>
      <c r="E281">
        <v>1017</v>
      </c>
      <c r="F281">
        <v>0</v>
      </c>
      <c r="G281">
        <v>17</v>
      </c>
      <c r="H281">
        <v>101</v>
      </c>
      <c r="I281">
        <v>3</v>
      </c>
      <c r="J281">
        <v>975</v>
      </c>
      <c r="K281">
        <v>1771</v>
      </c>
      <c r="L281">
        <v>182</v>
      </c>
      <c r="M281">
        <v>21</v>
      </c>
      <c r="N281">
        <v>368</v>
      </c>
      <c r="O281">
        <v>72</v>
      </c>
      <c r="P281" s="101">
        <v>2589000000</v>
      </c>
      <c r="Q281" s="101">
        <v>188000000</v>
      </c>
      <c r="R281" s="101">
        <v>180436781.60919541</v>
      </c>
      <c r="S281" s="101">
        <f t="shared" si="24"/>
        <v>5113408.1954022991</v>
      </c>
      <c r="T281" s="101">
        <f t="shared" si="20"/>
        <v>1403408.1954022991</v>
      </c>
      <c r="U281" s="101">
        <f t="shared" si="21"/>
        <v>1403408.1954022991</v>
      </c>
      <c r="V281" s="101">
        <v>34771</v>
      </c>
      <c r="W281" s="149">
        <f t="shared" si="22"/>
        <v>4.036145625384082E-2</v>
      </c>
      <c r="Y281" s="255"/>
      <c r="AB281" s="254"/>
    </row>
    <row r="282" spans="2:28" x14ac:dyDescent="0.25">
      <c r="B282" t="s">
        <v>273</v>
      </c>
      <c r="C282">
        <f t="shared" si="23"/>
        <v>8780</v>
      </c>
      <c r="D282">
        <v>4957</v>
      </c>
      <c r="E282">
        <v>3823</v>
      </c>
      <c r="F282">
        <v>6</v>
      </c>
      <c r="G282">
        <v>34</v>
      </c>
      <c r="H282">
        <v>164</v>
      </c>
      <c r="I282">
        <v>1</v>
      </c>
      <c r="J282">
        <v>3686</v>
      </c>
      <c r="K282">
        <v>4231</v>
      </c>
      <c r="L282">
        <v>524</v>
      </c>
      <c r="M282">
        <v>267</v>
      </c>
      <c r="N282">
        <v>537</v>
      </c>
      <c r="O282">
        <v>426</v>
      </c>
      <c r="P282" s="101">
        <v>5783000000</v>
      </c>
      <c r="Q282" s="101">
        <v>906000000</v>
      </c>
      <c r="R282" s="101">
        <v>878054287.47686613</v>
      </c>
      <c r="S282" s="101">
        <f t="shared" si="24"/>
        <v>13083436.863047501</v>
      </c>
      <c r="T282" s="101">
        <f t="shared" si="20"/>
        <v>4303436.8630475011</v>
      </c>
      <c r="U282" s="101">
        <f t="shared" si="21"/>
        <v>4303436.8630475011</v>
      </c>
      <c r="V282" s="101">
        <v>95053</v>
      </c>
      <c r="W282" s="149">
        <f t="shared" si="22"/>
        <v>4.5274077231097401E-2</v>
      </c>
      <c r="Y282" s="255"/>
      <c r="AB282" s="254"/>
    </row>
    <row r="283" spans="2:28" x14ac:dyDescent="0.25">
      <c r="B283" t="s">
        <v>431</v>
      </c>
      <c r="C283">
        <f t="shared" si="23"/>
        <v>5614</v>
      </c>
      <c r="D283">
        <v>2889</v>
      </c>
      <c r="E283">
        <v>2725</v>
      </c>
      <c r="F283">
        <v>0</v>
      </c>
      <c r="G283">
        <v>19</v>
      </c>
      <c r="H283">
        <v>120</v>
      </c>
      <c r="I283">
        <v>75</v>
      </c>
      <c r="J283">
        <v>2233</v>
      </c>
      <c r="K283">
        <v>1943</v>
      </c>
      <c r="L283">
        <v>191</v>
      </c>
      <c r="M283">
        <v>443</v>
      </c>
      <c r="N283">
        <v>900</v>
      </c>
      <c r="O283">
        <v>827</v>
      </c>
      <c r="P283" s="101">
        <v>2265000000</v>
      </c>
      <c r="Q283" s="101">
        <v>538000000</v>
      </c>
      <c r="R283" s="101">
        <v>529782077.39307535</v>
      </c>
      <c r="S283" s="101">
        <f t="shared" si="24"/>
        <v>5762380.2118126275</v>
      </c>
      <c r="T283" s="101">
        <f t="shared" si="20"/>
        <v>148380.2118126275</v>
      </c>
      <c r="U283" s="101">
        <f t="shared" si="21"/>
        <v>148380.2118126275</v>
      </c>
      <c r="V283" s="101">
        <v>80935</v>
      </c>
      <c r="W283" s="149">
        <f t="shared" si="22"/>
        <v>1.8333256540758326E-3</v>
      </c>
      <c r="Y283" s="255"/>
      <c r="AB283" s="254"/>
    </row>
    <row r="284" spans="2:28" x14ac:dyDescent="0.25">
      <c r="B284" t="s">
        <v>728</v>
      </c>
      <c r="C284">
        <f t="shared" si="23"/>
        <v>170429</v>
      </c>
      <c r="D284">
        <v>69008</v>
      </c>
      <c r="E284">
        <v>101421</v>
      </c>
      <c r="F284">
        <v>66081</v>
      </c>
      <c r="G284">
        <v>689</v>
      </c>
      <c r="H284">
        <v>7028</v>
      </c>
      <c r="I284">
        <v>1049</v>
      </c>
      <c r="J284">
        <v>46583</v>
      </c>
      <c r="K284">
        <v>55004</v>
      </c>
      <c r="L284">
        <v>6097</v>
      </c>
      <c r="M284">
        <v>1477</v>
      </c>
      <c r="N284">
        <v>21642</v>
      </c>
      <c r="O284">
        <v>4605</v>
      </c>
      <c r="P284" s="101">
        <v>75433000000</v>
      </c>
      <c r="Q284" s="101">
        <v>14604000000</v>
      </c>
      <c r="R284" s="101">
        <v>14604000000</v>
      </c>
      <c r="S284" s="101">
        <f t="shared" si="24"/>
        <v>180924289</v>
      </c>
      <c r="T284" s="101">
        <f t="shared" si="20"/>
        <v>10495289</v>
      </c>
      <c r="U284" s="101">
        <f t="shared" si="21"/>
        <v>10495289</v>
      </c>
      <c r="V284" s="101">
        <v>1816154</v>
      </c>
      <c r="W284" s="149">
        <f t="shared" si="22"/>
        <v>5.7788541059844043E-3</v>
      </c>
      <c r="Y284" s="255"/>
      <c r="AB284" s="254"/>
    </row>
    <row r="285" spans="2:28" x14ac:dyDescent="0.25">
      <c r="B285" t="s">
        <v>230</v>
      </c>
      <c r="C285">
        <f t="shared" si="23"/>
        <v>14724</v>
      </c>
      <c r="D285">
        <v>10575</v>
      </c>
      <c r="E285">
        <v>4149</v>
      </c>
      <c r="F285">
        <v>21</v>
      </c>
      <c r="G285">
        <v>0</v>
      </c>
      <c r="H285">
        <v>2442</v>
      </c>
      <c r="I285">
        <v>558</v>
      </c>
      <c r="J285">
        <v>6727</v>
      </c>
      <c r="K285">
        <v>6320</v>
      </c>
      <c r="L285">
        <v>867</v>
      </c>
      <c r="M285">
        <v>1172</v>
      </c>
      <c r="N285">
        <v>2364</v>
      </c>
      <c r="O285">
        <v>252</v>
      </c>
      <c r="P285" s="101">
        <v>10514000000</v>
      </c>
      <c r="Q285" s="101">
        <v>1099000000</v>
      </c>
      <c r="R285" s="101">
        <v>1017186987.1043376</v>
      </c>
      <c r="S285" s="101">
        <f t="shared" si="24"/>
        <v>21837593.300703399</v>
      </c>
      <c r="T285" s="101">
        <f t="shared" si="20"/>
        <v>7113593.3007033989</v>
      </c>
      <c r="U285" s="101">
        <f t="shared" si="21"/>
        <v>7113593.3007033989</v>
      </c>
      <c r="V285" s="101">
        <v>150725</v>
      </c>
      <c r="W285" s="149">
        <f t="shared" si="22"/>
        <v>4.7195842101200189E-2</v>
      </c>
      <c r="Y285" s="255"/>
      <c r="AB285" s="254"/>
    </row>
    <row r="286" spans="2:28" x14ac:dyDescent="0.25">
      <c r="B286" t="s">
        <v>421</v>
      </c>
      <c r="C286">
        <f t="shared" si="23"/>
        <v>2325</v>
      </c>
      <c r="D286">
        <v>1704</v>
      </c>
      <c r="E286">
        <v>621</v>
      </c>
      <c r="F286">
        <v>550</v>
      </c>
      <c r="G286">
        <v>0</v>
      </c>
      <c r="H286">
        <v>1765</v>
      </c>
      <c r="I286">
        <v>66</v>
      </c>
      <c r="J286">
        <v>1254</v>
      </c>
      <c r="K286">
        <v>2009</v>
      </c>
      <c r="L286">
        <v>135</v>
      </c>
      <c r="M286">
        <v>6</v>
      </c>
      <c r="N286">
        <v>151</v>
      </c>
      <c r="O286">
        <v>48</v>
      </c>
      <c r="P286" s="101">
        <v>1351000000</v>
      </c>
      <c r="Q286" s="101">
        <v>110000000</v>
      </c>
      <c r="R286" s="101">
        <v>100958904.10958904</v>
      </c>
      <c r="S286" s="101">
        <f t="shared" si="24"/>
        <v>2700626.9452054799</v>
      </c>
      <c r="T286" s="101">
        <f t="shared" si="20"/>
        <v>375626.94520547986</v>
      </c>
      <c r="U286" s="101">
        <f t="shared" si="21"/>
        <v>375626.94520547986</v>
      </c>
      <c r="V286" s="101">
        <v>45025</v>
      </c>
      <c r="W286" s="149">
        <f t="shared" si="22"/>
        <v>8.3426306542027737E-3</v>
      </c>
      <c r="Y286" s="255"/>
      <c r="AB286" s="254"/>
    </row>
    <row r="287" spans="2:28" x14ac:dyDescent="0.25">
      <c r="B287" t="s">
        <v>422</v>
      </c>
      <c r="C287">
        <f t="shared" si="23"/>
        <v>6074</v>
      </c>
      <c r="D287">
        <v>3626</v>
      </c>
      <c r="E287">
        <v>2448</v>
      </c>
      <c r="F287">
        <v>3314</v>
      </c>
      <c r="G287">
        <v>392</v>
      </c>
      <c r="H287">
        <v>2626</v>
      </c>
      <c r="I287">
        <v>650</v>
      </c>
      <c r="J287">
        <v>2405</v>
      </c>
      <c r="K287">
        <v>1770</v>
      </c>
      <c r="L287">
        <v>178</v>
      </c>
      <c r="M287">
        <v>141</v>
      </c>
      <c r="N287">
        <v>246</v>
      </c>
      <c r="O287">
        <v>441</v>
      </c>
      <c r="P287" s="101">
        <v>2703000000</v>
      </c>
      <c r="Q287" s="101">
        <v>277000000</v>
      </c>
      <c r="R287" s="101">
        <v>264846435.10054845</v>
      </c>
      <c r="S287" s="101">
        <f t="shared" si="24"/>
        <v>5610339.4862888483</v>
      </c>
      <c r="T287" s="101">
        <f t="shared" si="20"/>
        <v>-463660.51371115167</v>
      </c>
      <c r="U287" s="101">
        <f>IF(T287&gt;0,T287,0)</f>
        <v>0</v>
      </c>
      <c r="V287" s="101">
        <v>75743</v>
      </c>
      <c r="W287" s="149">
        <f>T287/(V287*1000)</f>
        <v>-6.1214965569247543E-3</v>
      </c>
      <c r="Y287" s="255"/>
      <c r="AB287" s="254"/>
    </row>
    <row r="288" spans="2:28" x14ac:dyDescent="0.25">
      <c r="B288" t="s">
        <v>391</v>
      </c>
      <c r="C288">
        <f t="shared" si="23"/>
        <v>9105</v>
      </c>
      <c r="D288">
        <v>5776</v>
      </c>
      <c r="E288">
        <v>3329</v>
      </c>
      <c r="F288">
        <v>695</v>
      </c>
      <c r="G288">
        <v>74</v>
      </c>
      <c r="H288">
        <v>0</v>
      </c>
      <c r="I288">
        <v>159</v>
      </c>
      <c r="J288">
        <v>3351</v>
      </c>
      <c r="K288">
        <v>4405</v>
      </c>
      <c r="L288">
        <v>377</v>
      </c>
      <c r="M288">
        <v>165</v>
      </c>
      <c r="N288">
        <v>433</v>
      </c>
      <c r="O288">
        <v>213</v>
      </c>
      <c r="P288" s="101">
        <v>5389000000</v>
      </c>
      <c r="Q288" s="101">
        <v>661000000</v>
      </c>
      <c r="R288" s="101">
        <v>642085843.37349391</v>
      </c>
      <c r="S288" s="101">
        <f t="shared" si="24"/>
        <v>11570616.423192771</v>
      </c>
      <c r="T288" s="101">
        <f t="shared" si="20"/>
        <v>2465616.4231927712</v>
      </c>
      <c r="U288" s="101">
        <f t="shared" si="21"/>
        <v>2465616.4231927712</v>
      </c>
      <c r="V288" s="101">
        <v>109136</v>
      </c>
      <c r="W288" s="149">
        <f t="shared" si="22"/>
        <v>2.259214579233957E-2</v>
      </c>
      <c r="Y288" s="255"/>
      <c r="AB288" s="254"/>
    </row>
    <row r="289" spans="2:28" x14ac:dyDescent="0.25">
      <c r="B289" t="s">
        <v>124</v>
      </c>
      <c r="C289">
        <f t="shared" si="23"/>
        <v>8809</v>
      </c>
      <c r="D289">
        <v>5057</v>
      </c>
      <c r="E289">
        <v>3752</v>
      </c>
      <c r="F289">
        <v>0</v>
      </c>
      <c r="G289">
        <v>13</v>
      </c>
      <c r="H289">
        <v>0</v>
      </c>
      <c r="I289">
        <v>0</v>
      </c>
      <c r="J289">
        <v>2229</v>
      </c>
      <c r="K289">
        <v>3956</v>
      </c>
      <c r="L289">
        <v>346</v>
      </c>
      <c r="M289">
        <v>232</v>
      </c>
      <c r="N289">
        <v>997</v>
      </c>
      <c r="O289">
        <v>29</v>
      </c>
      <c r="P289" s="101">
        <v>2710000000</v>
      </c>
      <c r="Q289" s="101">
        <v>453000000</v>
      </c>
      <c r="R289" s="101">
        <v>434028600.61287028</v>
      </c>
      <c r="S289" s="101">
        <f t="shared" si="24"/>
        <v>6219262.4504596526</v>
      </c>
      <c r="T289" s="101">
        <f t="shared" si="20"/>
        <v>-2589737.5495403474</v>
      </c>
      <c r="U289" s="101">
        <f t="shared" si="21"/>
        <v>0</v>
      </c>
      <c r="V289" s="101">
        <v>139327</v>
      </c>
      <c r="W289" s="149">
        <f t="shared" si="22"/>
        <v>-1.8587478016036715E-2</v>
      </c>
      <c r="Y289" s="255"/>
      <c r="AB289" s="254"/>
    </row>
    <row r="290" spans="2:28" x14ac:dyDescent="0.25">
      <c r="B290" t="s">
        <v>231</v>
      </c>
      <c r="C290">
        <f t="shared" si="23"/>
        <v>15397</v>
      </c>
      <c r="D290">
        <v>8652</v>
      </c>
      <c r="E290">
        <v>6745</v>
      </c>
      <c r="F290">
        <v>2479</v>
      </c>
      <c r="G290">
        <v>100</v>
      </c>
      <c r="H290">
        <v>84</v>
      </c>
      <c r="I290">
        <v>1302</v>
      </c>
      <c r="J290">
        <v>3868</v>
      </c>
      <c r="K290">
        <v>8875</v>
      </c>
      <c r="L290">
        <v>891</v>
      </c>
      <c r="M290">
        <v>1016</v>
      </c>
      <c r="N290">
        <v>1513</v>
      </c>
      <c r="O290">
        <v>131</v>
      </c>
      <c r="P290" s="101">
        <v>11119000000</v>
      </c>
      <c r="Q290" s="101">
        <v>1500000000</v>
      </c>
      <c r="R290" s="101">
        <v>1492682926.8292682</v>
      </c>
      <c r="S290" s="101">
        <f t="shared" si="24"/>
        <v>24399099.780487806</v>
      </c>
      <c r="T290" s="101">
        <f t="shared" si="20"/>
        <v>9002099.7804878056</v>
      </c>
      <c r="U290" s="101">
        <f t="shared" si="21"/>
        <v>9002099.7804878056</v>
      </c>
      <c r="V290" s="101">
        <v>253948</v>
      </c>
      <c r="W290" s="149">
        <f t="shared" si="22"/>
        <v>3.5448594911114899E-2</v>
      </c>
      <c r="Y290" s="255"/>
      <c r="AB290" s="254"/>
    </row>
    <row r="291" spans="2:28" x14ac:dyDescent="0.25">
      <c r="B291" t="s">
        <v>339</v>
      </c>
      <c r="C291">
        <f t="shared" si="23"/>
        <v>6200</v>
      </c>
      <c r="D291">
        <v>4505</v>
      </c>
      <c r="E291">
        <v>1695</v>
      </c>
      <c r="F291">
        <v>7164</v>
      </c>
      <c r="G291">
        <v>169</v>
      </c>
      <c r="H291">
        <v>12131</v>
      </c>
      <c r="I291">
        <v>141</v>
      </c>
      <c r="J291">
        <v>2603</v>
      </c>
      <c r="K291">
        <v>3726</v>
      </c>
      <c r="L291">
        <v>312</v>
      </c>
      <c r="M291">
        <v>543</v>
      </c>
      <c r="N291">
        <v>1058</v>
      </c>
      <c r="O291">
        <v>336</v>
      </c>
      <c r="P291" s="101">
        <v>5644000000</v>
      </c>
      <c r="Q291" s="101">
        <v>837000000</v>
      </c>
      <c r="R291" s="101">
        <v>711094179.20209289</v>
      </c>
      <c r="S291" s="101">
        <f t="shared" si="24"/>
        <v>12435130.835840419</v>
      </c>
      <c r="T291" s="101">
        <f t="shared" si="20"/>
        <v>6235130.8358404189</v>
      </c>
      <c r="U291" s="101">
        <f t="shared" si="21"/>
        <v>6235130.8358404189</v>
      </c>
      <c r="V291" s="101">
        <v>93551</v>
      </c>
      <c r="W291" s="149">
        <f t="shared" si="22"/>
        <v>6.6649536999502074E-2</v>
      </c>
      <c r="Y291" s="255"/>
      <c r="AB291" s="254"/>
    </row>
    <row r="292" spans="2:28" x14ac:dyDescent="0.25">
      <c r="B292" t="s">
        <v>392</v>
      </c>
      <c r="C292">
        <f t="shared" si="23"/>
        <v>15016</v>
      </c>
      <c r="D292">
        <v>8155</v>
      </c>
      <c r="E292">
        <v>6861</v>
      </c>
      <c r="F292">
        <v>692</v>
      </c>
      <c r="G292">
        <v>0</v>
      </c>
      <c r="H292">
        <v>378</v>
      </c>
      <c r="I292">
        <v>717</v>
      </c>
      <c r="J292">
        <v>3734</v>
      </c>
      <c r="K292">
        <v>5439</v>
      </c>
      <c r="L292">
        <v>785</v>
      </c>
      <c r="M292">
        <v>126</v>
      </c>
      <c r="N292">
        <v>1425</v>
      </c>
      <c r="O292">
        <v>147</v>
      </c>
      <c r="P292" s="101">
        <v>9200000000</v>
      </c>
      <c r="Q292" s="101">
        <v>1853000000</v>
      </c>
      <c r="R292" s="101">
        <v>1853000000</v>
      </c>
      <c r="S292" s="101">
        <f t="shared" si="24"/>
        <v>22314474</v>
      </c>
      <c r="T292" s="101">
        <f t="shared" si="20"/>
        <v>7298474</v>
      </c>
      <c r="U292" s="101">
        <f t="shared" si="21"/>
        <v>7298474</v>
      </c>
      <c r="V292" s="101">
        <v>151061</v>
      </c>
      <c r="W292" s="149">
        <f t="shared" si="22"/>
        <v>4.8314747022725917E-2</v>
      </c>
      <c r="Y292" s="255"/>
      <c r="AB292" s="254"/>
    </row>
    <row r="293" spans="2:28" x14ac:dyDescent="0.25">
      <c r="B293" t="s">
        <v>274</v>
      </c>
      <c r="C293">
        <f t="shared" si="23"/>
        <v>19147</v>
      </c>
      <c r="D293">
        <v>9665</v>
      </c>
      <c r="E293">
        <v>9482</v>
      </c>
      <c r="F293">
        <v>316</v>
      </c>
      <c r="G293">
        <v>72</v>
      </c>
      <c r="H293">
        <v>917</v>
      </c>
      <c r="I293">
        <v>773</v>
      </c>
      <c r="J293">
        <v>6011</v>
      </c>
      <c r="K293">
        <v>12059</v>
      </c>
      <c r="L293">
        <v>735</v>
      </c>
      <c r="M293">
        <v>407</v>
      </c>
      <c r="N293">
        <v>1245</v>
      </c>
      <c r="O293">
        <v>152</v>
      </c>
      <c r="P293" s="101">
        <v>12477000000</v>
      </c>
      <c r="Q293" s="101">
        <v>1635000000</v>
      </c>
      <c r="R293" s="101">
        <v>1623607997.5764921</v>
      </c>
      <c r="S293" s="101">
        <f t="shared" si="24"/>
        <v>27206866.227809757</v>
      </c>
      <c r="T293" s="101">
        <f t="shared" si="20"/>
        <v>8059866.227809757</v>
      </c>
      <c r="U293" s="101">
        <f t="shared" si="21"/>
        <v>8059866.227809757</v>
      </c>
      <c r="V293" s="101">
        <v>236804</v>
      </c>
      <c r="W293" s="149">
        <f t="shared" si="22"/>
        <v>3.4036022313008889E-2</v>
      </c>
      <c r="Y293" s="255"/>
      <c r="AB293" s="254"/>
    </row>
    <row r="294" spans="2:28" x14ac:dyDescent="0.25">
      <c r="B294" t="s">
        <v>423</v>
      </c>
      <c r="C294">
        <f t="shared" si="23"/>
        <v>41940</v>
      </c>
      <c r="D294">
        <v>17784</v>
      </c>
      <c r="E294">
        <v>24156</v>
      </c>
      <c r="F294">
        <v>2743</v>
      </c>
      <c r="G294">
        <v>0</v>
      </c>
      <c r="H294">
        <v>2800</v>
      </c>
      <c r="I294">
        <v>1069</v>
      </c>
      <c r="J294">
        <v>8202</v>
      </c>
      <c r="K294">
        <v>10867</v>
      </c>
      <c r="L294">
        <v>1700</v>
      </c>
      <c r="M294">
        <v>423</v>
      </c>
      <c r="N294">
        <v>3906</v>
      </c>
      <c r="O294">
        <v>1260</v>
      </c>
      <c r="P294" s="101">
        <v>13754000000</v>
      </c>
      <c r="Q294" s="101">
        <v>3858000000</v>
      </c>
      <c r="R294" s="101">
        <v>2451750000</v>
      </c>
      <c r="S294" s="101">
        <f t="shared" si="24"/>
        <v>34690223.75</v>
      </c>
      <c r="T294" s="101">
        <f t="shared" si="20"/>
        <v>-7249776.25</v>
      </c>
      <c r="U294" s="101">
        <f t="shared" si="21"/>
        <v>0</v>
      </c>
      <c r="V294" s="101">
        <v>533410</v>
      </c>
      <c r="W294" s="149">
        <f t="shared" si="22"/>
        <v>-1.3591376708348176E-2</v>
      </c>
      <c r="Y294" s="255"/>
      <c r="AB294" s="254"/>
    </row>
    <row r="295" spans="2:28" x14ac:dyDescent="0.25">
      <c r="B295" t="s">
        <v>424</v>
      </c>
      <c r="C295">
        <f t="shared" si="23"/>
        <v>16212</v>
      </c>
      <c r="D295">
        <v>6979</v>
      </c>
      <c r="E295">
        <v>9233</v>
      </c>
      <c r="F295">
        <v>526</v>
      </c>
      <c r="G295">
        <v>0</v>
      </c>
      <c r="H295">
        <v>740</v>
      </c>
      <c r="I295">
        <v>209</v>
      </c>
      <c r="J295">
        <v>4860</v>
      </c>
      <c r="K295">
        <v>5075</v>
      </c>
      <c r="L295">
        <v>489</v>
      </c>
      <c r="M295">
        <v>45</v>
      </c>
      <c r="N295">
        <v>1242</v>
      </c>
      <c r="O295">
        <v>607</v>
      </c>
      <c r="P295" s="101">
        <v>6021000000</v>
      </c>
      <c r="Q295" s="101">
        <v>1716000000</v>
      </c>
      <c r="R295" s="101">
        <v>1716000000</v>
      </c>
      <c r="S295" s="101">
        <f t="shared" si="24"/>
        <v>16344237</v>
      </c>
      <c r="T295" s="101">
        <f t="shared" si="20"/>
        <v>132237</v>
      </c>
      <c r="U295" s="101">
        <f t="shared" si="21"/>
        <v>132237</v>
      </c>
      <c r="V295" s="101">
        <v>170857</v>
      </c>
      <c r="W295" s="149">
        <f t="shared" si="22"/>
        <v>7.7396302170821218E-4</v>
      </c>
      <c r="Y295" s="255"/>
      <c r="AB295" s="254"/>
    </row>
    <row r="296" spans="2:28" x14ac:dyDescent="0.25">
      <c r="B296" t="s">
        <v>598</v>
      </c>
      <c r="C296">
        <f t="shared" si="23"/>
        <v>15061</v>
      </c>
      <c r="D296">
        <v>9133</v>
      </c>
      <c r="E296">
        <v>5928</v>
      </c>
      <c r="F296">
        <v>0</v>
      </c>
      <c r="G296">
        <v>0</v>
      </c>
      <c r="H296">
        <v>0</v>
      </c>
      <c r="I296">
        <v>0</v>
      </c>
      <c r="J296">
        <v>0</v>
      </c>
      <c r="K296">
        <v>0</v>
      </c>
      <c r="L296">
        <v>0</v>
      </c>
      <c r="M296">
        <v>0</v>
      </c>
      <c r="N296" t="s">
        <v>718</v>
      </c>
      <c r="O296">
        <v>0</v>
      </c>
      <c r="P296" s="101">
        <v>9491000000</v>
      </c>
      <c r="Q296" s="101">
        <v>1355000000</v>
      </c>
      <c r="R296" s="101">
        <v>1279276461.8800888</v>
      </c>
      <c r="S296" s="101">
        <f t="shared" si="24"/>
        <v>20964603.002590675</v>
      </c>
      <c r="T296" s="101">
        <f t="shared" si="20"/>
        <v>5903603.0025906749</v>
      </c>
      <c r="U296" s="101">
        <f t="shared" si="21"/>
        <v>5903603.0025906749</v>
      </c>
      <c r="V296" s="101">
        <v>209870</v>
      </c>
      <c r="W296" s="149">
        <f t="shared" si="22"/>
        <v>2.8129808941681399E-2</v>
      </c>
      <c r="Y296" s="255"/>
      <c r="AB296" s="254"/>
    </row>
    <row r="297" spans="2:28" x14ac:dyDescent="0.25">
      <c r="B297" t="s">
        <v>318</v>
      </c>
      <c r="C297">
        <f t="shared" si="23"/>
        <v>22536</v>
      </c>
      <c r="D297">
        <v>11911</v>
      </c>
      <c r="E297">
        <v>10625</v>
      </c>
      <c r="F297">
        <v>3160</v>
      </c>
      <c r="G297">
        <v>280</v>
      </c>
      <c r="H297">
        <v>552</v>
      </c>
      <c r="I297">
        <v>-6</v>
      </c>
      <c r="J297">
        <v>6282</v>
      </c>
      <c r="K297">
        <v>12176</v>
      </c>
      <c r="L297">
        <v>1030</v>
      </c>
      <c r="M297">
        <v>808</v>
      </c>
      <c r="N297">
        <v>2331</v>
      </c>
      <c r="O297">
        <v>98</v>
      </c>
      <c r="P297" s="101">
        <v>9993000000</v>
      </c>
      <c r="Q297" s="101">
        <v>1416000000</v>
      </c>
      <c r="R297" s="101">
        <v>1391213407.821229</v>
      </c>
      <c r="S297" s="101">
        <f t="shared" si="24"/>
        <v>22131568.982122906</v>
      </c>
      <c r="T297" s="101">
        <f t="shared" si="20"/>
        <v>-404431.01787709445</v>
      </c>
      <c r="U297" s="101">
        <f t="shared" si="21"/>
        <v>0</v>
      </c>
      <c r="V297" s="101">
        <v>369592</v>
      </c>
      <c r="W297" s="149">
        <f t="shared" si="22"/>
        <v>-1.0942634523395918E-3</v>
      </c>
      <c r="Y297" s="255"/>
      <c r="AB297" s="254"/>
    </row>
    <row r="298" spans="2:28" x14ac:dyDescent="0.25">
      <c r="B298" t="s">
        <v>137</v>
      </c>
      <c r="C298">
        <f t="shared" si="23"/>
        <v>723</v>
      </c>
      <c r="D298">
        <v>369</v>
      </c>
      <c r="E298">
        <v>354</v>
      </c>
      <c r="F298">
        <v>0</v>
      </c>
      <c r="G298">
        <v>45</v>
      </c>
      <c r="H298">
        <v>1892</v>
      </c>
      <c r="I298">
        <v>14</v>
      </c>
      <c r="J298">
        <v>191</v>
      </c>
      <c r="K298">
        <v>521</v>
      </c>
      <c r="L298">
        <v>143</v>
      </c>
      <c r="M298">
        <v>14</v>
      </c>
      <c r="N298">
        <v>290</v>
      </c>
      <c r="O298">
        <v>0</v>
      </c>
      <c r="P298" s="101">
        <v>549000000</v>
      </c>
      <c r="Q298" s="101">
        <v>102000000</v>
      </c>
      <c r="R298" s="101">
        <v>102000000</v>
      </c>
      <c r="S298" s="101">
        <f t="shared" si="24"/>
        <v>1301937</v>
      </c>
      <c r="T298" s="101">
        <f t="shared" si="20"/>
        <v>578937</v>
      </c>
      <c r="U298" s="101">
        <f t="shared" si="21"/>
        <v>578937</v>
      </c>
      <c r="V298" s="101">
        <v>11044</v>
      </c>
      <c r="W298" s="149">
        <f t="shared" si="22"/>
        <v>5.2420952553422676E-2</v>
      </c>
      <c r="Y298" s="255"/>
      <c r="AB298" s="254"/>
    </row>
    <row r="299" spans="2:28" x14ac:dyDescent="0.25">
      <c r="B299" t="s">
        <v>340</v>
      </c>
      <c r="C299">
        <f t="shared" si="23"/>
        <v>15701</v>
      </c>
      <c r="D299">
        <v>7018</v>
      </c>
      <c r="E299">
        <v>8683</v>
      </c>
      <c r="F299">
        <v>2996</v>
      </c>
      <c r="G299">
        <v>196</v>
      </c>
      <c r="H299">
        <v>1264</v>
      </c>
      <c r="I299">
        <v>435</v>
      </c>
      <c r="J299">
        <v>6482</v>
      </c>
      <c r="K299">
        <v>8111</v>
      </c>
      <c r="L299">
        <v>593</v>
      </c>
      <c r="M299">
        <v>546</v>
      </c>
      <c r="N299">
        <v>1178</v>
      </c>
      <c r="O299">
        <v>793</v>
      </c>
      <c r="P299" s="101">
        <v>5504000000</v>
      </c>
      <c r="Q299" s="101">
        <v>1243000000</v>
      </c>
      <c r="R299" s="101">
        <v>1183176470.5882354</v>
      </c>
      <c r="S299" s="101">
        <f t="shared" si="24"/>
        <v>13711275.117647061</v>
      </c>
      <c r="T299" s="101">
        <f t="shared" si="20"/>
        <v>-1989724.8823529389</v>
      </c>
      <c r="U299" s="101">
        <f t="shared" si="21"/>
        <v>0</v>
      </c>
      <c r="V299" s="101">
        <v>295716</v>
      </c>
      <c r="W299" s="149">
        <f t="shared" si="22"/>
        <v>-6.7284992437099747E-3</v>
      </c>
      <c r="Y299" s="255"/>
      <c r="AB299" s="254"/>
    </row>
    <row r="300" spans="2:28" x14ac:dyDescent="0.25">
      <c r="B300" t="s">
        <v>425</v>
      </c>
      <c r="C300">
        <f t="shared" si="23"/>
        <v>2972</v>
      </c>
      <c r="D300">
        <v>2439</v>
      </c>
      <c r="E300">
        <v>533</v>
      </c>
      <c r="F300">
        <v>3</v>
      </c>
      <c r="G300">
        <v>0</v>
      </c>
      <c r="H300">
        <v>76</v>
      </c>
      <c r="I300">
        <v>0</v>
      </c>
      <c r="J300">
        <v>2013</v>
      </c>
      <c r="K300">
        <v>1510</v>
      </c>
      <c r="L300">
        <v>138</v>
      </c>
      <c r="M300">
        <v>32</v>
      </c>
      <c r="N300">
        <v>202</v>
      </c>
      <c r="O300">
        <v>85</v>
      </c>
      <c r="P300" s="101">
        <v>1876000000</v>
      </c>
      <c r="Q300" s="101">
        <v>126000000</v>
      </c>
      <c r="R300" s="101">
        <v>111325301.20481928</v>
      </c>
      <c r="S300" s="101">
        <f t="shared" si="24"/>
        <v>3653939.4457831327</v>
      </c>
      <c r="T300" s="101">
        <f t="shared" si="20"/>
        <v>681939.44578313269</v>
      </c>
      <c r="U300" s="101">
        <f t="shared" si="21"/>
        <v>681939.44578313269</v>
      </c>
      <c r="V300" s="101">
        <v>36082</v>
      </c>
      <c r="W300" s="149">
        <f t="shared" si="22"/>
        <v>1.8899713036503871E-2</v>
      </c>
      <c r="Y300" s="255"/>
      <c r="AB300" s="254"/>
    </row>
    <row r="301" spans="2:28" s="164" customFormat="1" x14ac:dyDescent="0.25">
      <c r="B301" s="164" t="s">
        <v>827</v>
      </c>
      <c r="C301">
        <f t="shared" si="23"/>
        <v>14462</v>
      </c>
      <c r="D301" s="164">
        <v>11401</v>
      </c>
      <c r="E301" s="164">
        <v>3061</v>
      </c>
      <c r="F301" s="164">
        <v>439</v>
      </c>
      <c r="G301" s="164">
        <v>45</v>
      </c>
      <c r="H301" s="164">
        <v>2025</v>
      </c>
      <c r="I301" s="164">
        <v>664</v>
      </c>
      <c r="J301" s="164">
        <v>7806</v>
      </c>
      <c r="K301" s="164">
        <v>10939</v>
      </c>
      <c r="L301" s="164">
        <v>906</v>
      </c>
      <c r="M301" s="164">
        <v>496</v>
      </c>
      <c r="N301" s="164">
        <v>2913</v>
      </c>
      <c r="O301" s="164">
        <v>1331</v>
      </c>
      <c r="P301" s="187">
        <v>12415000000</v>
      </c>
      <c r="Q301" s="187">
        <v>1170000000</v>
      </c>
      <c r="R301" s="187">
        <v>1123567378.9795027</v>
      </c>
      <c r="S301" s="187">
        <f t="shared" si="24"/>
        <v>25431112.998255562</v>
      </c>
      <c r="T301" s="187">
        <f t="shared" si="20"/>
        <v>10969112.998255562</v>
      </c>
      <c r="U301" s="187">
        <f t="shared" si="21"/>
        <v>10969112.998255562</v>
      </c>
      <c r="V301" s="187">
        <v>243857</v>
      </c>
      <c r="W301" s="243">
        <f t="shared" si="22"/>
        <v>4.4981743391641668E-2</v>
      </c>
      <c r="Z301" s="187"/>
      <c r="AA301" s="187"/>
      <c r="AB301" s="256"/>
    </row>
    <row r="302" spans="2:28" x14ac:dyDescent="0.25">
      <c r="B302" t="s">
        <v>319</v>
      </c>
      <c r="C302">
        <f t="shared" si="23"/>
        <v>8140</v>
      </c>
      <c r="D302">
        <v>6939</v>
      </c>
      <c r="E302">
        <v>1201</v>
      </c>
      <c r="F302">
        <v>3</v>
      </c>
      <c r="G302">
        <v>25</v>
      </c>
      <c r="H302">
        <v>208</v>
      </c>
      <c r="I302">
        <v>269</v>
      </c>
      <c r="J302">
        <v>2799</v>
      </c>
      <c r="K302">
        <v>4774</v>
      </c>
      <c r="L302">
        <v>335</v>
      </c>
      <c r="M302">
        <v>323</v>
      </c>
      <c r="N302">
        <v>225</v>
      </c>
      <c r="O302">
        <v>228</v>
      </c>
      <c r="P302" s="101">
        <v>5627000000</v>
      </c>
      <c r="Q302" s="101">
        <v>283000000</v>
      </c>
      <c r="R302" s="101">
        <v>270203478.26086956</v>
      </c>
      <c r="S302" s="101">
        <f t="shared" si="24"/>
        <v>10685571.813913045</v>
      </c>
      <c r="T302" s="101">
        <f t="shared" si="20"/>
        <v>2545571.8139130455</v>
      </c>
      <c r="U302" s="101">
        <f t="shared" si="21"/>
        <v>2545571.8139130455</v>
      </c>
      <c r="V302" s="101">
        <v>78784</v>
      </c>
      <c r="W302" s="149">
        <f t="shared" si="22"/>
        <v>3.2310771399180614E-2</v>
      </c>
      <c r="Y302" s="255"/>
      <c r="AB302" s="254"/>
    </row>
    <row r="303" spans="2:28" x14ac:dyDescent="0.25">
      <c r="B303" t="s">
        <v>203</v>
      </c>
      <c r="C303">
        <f t="shared" si="23"/>
        <v>7370</v>
      </c>
      <c r="D303">
        <v>4664</v>
      </c>
      <c r="E303">
        <v>2706</v>
      </c>
      <c r="F303">
        <v>0</v>
      </c>
      <c r="G303">
        <v>0</v>
      </c>
      <c r="H303">
        <v>237</v>
      </c>
      <c r="I303">
        <v>119</v>
      </c>
      <c r="J303">
        <v>2578</v>
      </c>
      <c r="K303">
        <v>2158</v>
      </c>
      <c r="L303">
        <v>316</v>
      </c>
      <c r="M303">
        <v>168</v>
      </c>
      <c r="N303">
        <v>1519</v>
      </c>
      <c r="O303">
        <v>223</v>
      </c>
      <c r="P303" s="101">
        <v>4557000000</v>
      </c>
      <c r="Q303" s="101">
        <v>663000000</v>
      </c>
      <c r="R303" s="101">
        <v>577187981.51001537</v>
      </c>
      <c r="S303" s="101">
        <f t="shared" si="24"/>
        <v>10023338.020030817</v>
      </c>
      <c r="T303" s="101">
        <f t="shared" si="20"/>
        <v>2653338.020030817</v>
      </c>
      <c r="U303" s="101">
        <f t="shared" si="21"/>
        <v>2653338.020030817</v>
      </c>
      <c r="V303" s="101">
        <v>77218</v>
      </c>
      <c r="W303" s="149">
        <f t="shared" si="22"/>
        <v>3.4361651687829481E-2</v>
      </c>
      <c r="Y303" s="255"/>
      <c r="AB303" s="254"/>
    </row>
    <row r="304" spans="2:28" x14ac:dyDescent="0.25">
      <c r="B304" t="s">
        <v>393</v>
      </c>
      <c r="C304">
        <f t="shared" si="23"/>
        <v>9968</v>
      </c>
      <c r="D304">
        <v>6460</v>
      </c>
      <c r="E304">
        <v>3508</v>
      </c>
      <c r="F304">
        <v>0</v>
      </c>
      <c r="G304">
        <v>0</v>
      </c>
      <c r="H304">
        <v>525</v>
      </c>
      <c r="I304">
        <v>49</v>
      </c>
      <c r="J304">
        <v>4034</v>
      </c>
      <c r="K304">
        <v>3125</v>
      </c>
      <c r="L304">
        <v>541</v>
      </c>
      <c r="M304">
        <v>19</v>
      </c>
      <c r="N304">
        <v>1400</v>
      </c>
      <c r="O304">
        <v>282</v>
      </c>
      <c r="P304" s="101">
        <v>6582000000</v>
      </c>
      <c r="Q304" s="101">
        <v>702000000</v>
      </c>
      <c r="R304" s="101">
        <v>625360465.11627901</v>
      </c>
      <c r="S304" s="101">
        <f t="shared" si="24"/>
        <v>13675284.244186046</v>
      </c>
      <c r="T304" s="101">
        <f t="shared" si="20"/>
        <v>3707284.2441860456</v>
      </c>
      <c r="U304" s="101">
        <f t="shared" si="21"/>
        <v>3707284.2441860456</v>
      </c>
      <c r="V304" s="101">
        <v>106446</v>
      </c>
      <c r="W304" s="149">
        <f t="shared" si="22"/>
        <v>3.4827839883002136E-2</v>
      </c>
      <c r="Y304" s="255"/>
      <c r="AB304" s="254"/>
    </row>
    <row r="305" spans="2:28" x14ac:dyDescent="0.25">
      <c r="B305" t="s">
        <v>599</v>
      </c>
      <c r="C305">
        <f t="shared" si="23"/>
        <v>8191</v>
      </c>
      <c r="D305">
        <v>5541</v>
      </c>
      <c r="E305">
        <v>2650</v>
      </c>
      <c r="F305">
        <v>461</v>
      </c>
      <c r="G305">
        <v>0</v>
      </c>
      <c r="H305">
        <v>0</v>
      </c>
      <c r="I305">
        <v>116</v>
      </c>
      <c r="J305">
        <v>5994</v>
      </c>
      <c r="K305">
        <v>5696</v>
      </c>
      <c r="L305">
        <v>489</v>
      </c>
      <c r="M305">
        <v>251</v>
      </c>
      <c r="N305">
        <v>1150</v>
      </c>
      <c r="O305">
        <v>1529</v>
      </c>
      <c r="P305" s="101">
        <v>4940000000</v>
      </c>
      <c r="Q305" s="101">
        <v>763000000</v>
      </c>
      <c r="R305" s="101">
        <v>637708445.04021442</v>
      </c>
      <c r="S305" s="101">
        <f t="shared" si="24"/>
        <v>10963084.901474532</v>
      </c>
      <c r="T305" s="101">
        <f t="shared" si="20"/>
        <v>2772084.9014745317</v>
      </c>
      <c r="U305" s="101">
        <f t="shared" si="21"/>
        <v>2772084.9014745317</v>
      </c>
      <c r="V305" s="101">
        <v>166865</v>
      </c>
      <c r="W305" s="149">
        <f t="shared" si="22"/>
        <v>1.6612740247952128E-2</v>
      </c>
      <c r="Y305" s="255"/>
      <c r="AB305" s="254"/>
    </row>
    <row r="306" spans="2:28" x14ac:dyDescent="0.25">
      <c r="B306" t="s">
        <v>394</v>
      </c>
      <c r="C306">
        <f t="shared" si="23"/>
        <v>4493</v>
      </c>
      <c r="D306">
        <v>3662</v>
      </c>
      <c r="E306">
        <v>831</v>
      </c>
      <c r="F306">
        <v>0</v>
      </c>
      <c r="G306">
        <v>3</v>
      </c>
      <c r="H306">
        <v>166</v>
      </c>
      <c r="I306">
        <v>39</v>
      </c>
      <c r="J306">
        <v>1667</v>
      </c>
      <c r="K306">
        <v>1794</v>
      </c>
      <c r="L306">
        <v>250</v>
      </c>
      <c r="M306">
        <v>57</v>
      </c>
      <c r="N306">
        <v>724</v>
      </c>
      <c r="O306">
        <v>245</v>
      </c>
      <c r="P306" s="101">
        <v>3925000000</v>
      </c>
      <c r="Q306" s="101">
        <v>226000000</v>
      </c>
      <c r="R306" s="101">
        <v>215727272.72727275</v>
      </c>
      <c r="S306" s="101">
        <f t="shared" si="24"/>
        <v>7550071.4545454551</v>
      </c>
      <c r="T306" s="101">
        <f t="shared" si="20"/>
        <v>3057071.4545454551</v>
      </c>
      <c r="U306" s="101">
        <f t="shared" si="21"/>
        <v>3057071.4545454551</v>
      </c>
      <c r="V306" s="101">
        <v>47573</v>
      </c>
      <c r="W306" s="149">
        <f t="shared" si="22"/>
        <v>6.426064058490015E-2</v>
      </c>
      <c r="Y306" s="255"/>
      <c r="AB306" s="254"/>
    </row>
    <row r="307" spans="2:28" x14ac:dyDescent="0.25">
      <c r="B307" t="s">
        <v>395</v>
      </c>
      <c r="C307">
        <f t="shared" si="23"/>
        <v>14273</v>
      </c>
      <c r="D307">
        <v>6805</v>
      </c>
      <c r="E307">
        <v>7468</v>
      </c>
      <c r="F307">
        <v>1453</v>
      </c>
      <c r="G307">
        <v>107</v>
      </c>
      <c r="H307">
        <v>597</v>
      </c>
      <c r="I307">
        <v>414</v>
      </c>
      <c r="J307">
        <v>4496</v>
      </c>
      <c r="K307">
        <v>4714</v>
      </c>
      <c r="L307">
        <v>600</v>
      </c>
      <c r="M307">
        <v>422</v>
      </c>
      <c r="N307">
        <v>2025</v>
      </c>
      <c r="O307">
        <v>186</v>
      </c>
      <c r="P307" s="101">
        <v>7600000000</v>
      </c>
      <c r="Q307" s="101">
        <v>1869000000</v>
      </c>
      <c r="R307" s="101">
        <v>1869000000</v>
      </c>
      <c r="S307" s="101">
        <f t="shared" si="24"/>
        <v>19603402</v>
      </c>
      <c r="T307" s="101">
        <f t="shared" si="20"/>
        <v>5330402</v>
      </c>
      <c r="U307" s="101">
        <f t="shared" si="21"/>
        <v>5330402</v>
      </c>
      <c r="V307" s="101">
        <v>183558</v>
      </c>
      <c r="W307" s="149">
        <f t="shared" si="22"/>
        <v>2.9039333616622538E-2</v>
      </c>
      <c r="Y307" s="255"/>
      <c r="AB307" s="254"/>
    </row>
    <row r="308" spans="2:28" x14ac:dyDescent="0.25">
      <c r="B308" t="s">
        <v>320</v>
      </c>
      <c r="C308">
        <f t="shared" si="23"/>
        <v>9755</v>
      </c>
      <c r="D308">
        <v>4516</v>
      </c>
      <c r="E308">
        <v>5239</v>
      </c>
      <c r="F308">
        <v>0</v>
      </c>
      <c r="G308">
        <v>37</v>
      </c>
      <c r="H308">
        <v>29</v>
      </c>
      <c r="I308">
        <v>0</v>
      </c>
      <c r="J308">
        <v>3033</v>
      </c>
      <c r="K308">
        <v>4845</v>
      </c>
      <c r="L308">
        <v>401</v>
      </c>
      <c r="M308">
        <v>424</v>
      </c>
      <c r="N308">
        <v>1228</v>
      </c>
      <c r="O308">
        <v>153</v>
      </c>
      <c r="P308" s="101">
        <v>5014000000</v>
      </c>
      <c r="Q308" s="101">
        <v>829000000</v>
      </c>
      <c r="R308" s="101">
        <v>821813622.29102159</v>
      </c>
      <c r="S308" s="101">
        <f t="shared" si="24"/>
        <v>11523462.752941176</v>
      </c>
      <c r="T308" s="101">
        <f t="shared" si="20"/>
        <v>1768462.7529411763</v>
      </c>
      <c r="U308" s="101">
        <f t="shared" si="21"/>
        <v>1768462.7529411763</v>
      </c>
      <c r="V308" s="101">
        <v>106117</v>
      </c>
      <c r="W308" s="149">
        <f t="shared" si="22"/>
        <v>1.6665216251318605E-2</v>
      </c>
      <c r="Y308" s="255"/>
      <c r="AB308" s="254"/>
    </row>
    <row r="309" spans="2:28" x14ac:dyDescent="0.25">
      <c r="B309" t="s">
        <v>204</v>
      </c>
      <c r="C309">
        <f t="shared" si="23"/>
        <v>13850</v>
      </c>
      <c r="D309">
        <v>7367</v>
      </c>
      <c r="E309">
        <v>6483</v>
      </c>
      <c r="F309">
        <v>1247</v>
      </c>
      <c r="G309">
        <v>114</v>
      </c>
      <c r="H309">
        <v>361</v>
      </c>
      <c r="I309">
        <v>276</v>
      </c>
      <c r="J309">
        <v>2498</v>
      </c>
      <c r="K309">
        <v>5630</v>
      </c>
      <c r="L309">
        <v>536</v>
      </c>
      <c r="M309">
        <v>608</v>
      </c>
      <c r="N309">
        <v>713</v>
      </c>
      <c r="O309">
        <v>57</v>
      </c>
      <c r="P309" s="101">
        <v>6270000000</v>
      </c>
      <c r="Q309" s="101">
        <v>1021000000</v>
      </c>
      <c r="R309" s="101">
        <v>1008491577.3353752</v>
      </c>
      <c r="S309" s="101">
        <f t="shared" si="24"/>
        <v>14349820.937212864</v>
      </c>
      <c r="T309" s="101">
        <f t="shared" si="20"/>
        <v>499820.93721286394</v>
      </c>
      <c r="U309" s="101">
        <f t="shared" si="21"/>
        <v>499820.93721286394</v>
      </c>
      <c r="V309" s="101">
        <v>147678</v>
      </c>
      <c r="W309" s="149">
        <f t="shared" si="22"/>
        <v>3.3845321389297249E-3</v>
      </c>
      <c r="Y309" s="255"/>
      <c r="AB309" s="254"/>
    </row>
    <row r="310" spans="2:28" x14ac:dyDescent="0.25">
      <c r="B310" t="s">
        <v>321</v>
      </c>
      <c r="C310">
        <f t="shared" si="23"/>
        <v>11744</v>
      </c>
      <c r="D310">
        <v>8445</v>
      </c>
      <c r="E310">
        <v>3299</v>
      </c>
      <c r="F310">
        <v>22</v>
      </c>
      <c r="G310">
        <v>129</v>
      </c>
      <c r="H310">
        <v>1786</v>
      </c>
      <c r="I310">
        <v>381</v>
      </c>
      <c r="J310">
        <v>2648</v>
      </c>
      <c r="K310">
        <v>5267</v>
      </c>
      <c r="L310">
        <v>522</v>
      </c>
      <c r="M310">
        <v>43</v>
      </c>
      <c r="N310">
        <v>1666</v>
      </c>
      <c r="O310">
        <v>132</v>
      </c>
      <c r="P310" s="101">
        <v>8877000000</v>
      </c>
      <c r="Q310" s="101">
        <v>506000000</v>
      </c>
      <c r="R310" s="101">
        <v>389200000</v>
      </c>
      <c r="S310" s="101">
        <f t="shared" si="24"/>
        <v>16896133.800000001</v>
      </c>
      <c r="T310" s="101">
        <f t="shared" si="20"/>
        <v>5152133.8000000007</v>
      </c>
      <c r="U310" s="101">
        <f t="shared" si="21"/>
        <v>5152133.8000000007</v>
      </c>
      <c r="V310" s="101">
        <v>85961</v>
      </c>
      <c r="W310" s="149">
        <f t="shared" si="22"/>
        <v>5.9935712706925243E-2</v>
      </c>
      <c r="Y310" s="255"/>
      <c r="AB310" s="254"/>
    </row>
    <row r="311" spans="2:28" x14ac:dyDescent="0.25">
      <c r="B311" t="s">
        <v>275</v>
      </c>
      <c r="C311">
        <f t="shared" si="23"/>
        <v>3935</v>
      </c>
      <c r="D311">
        <v>3174</v>
      </c>
      <c r="E311">
        <v>761</v>
      </c>
      <c r="F311">
        <v>318</v>
      </c>
      <c r="G311">
        <v>15</v>
      </c>
      <c r="H311">
        <v>662</v>
      </c>
      <c r="I311">
        <v>98</v>
      </c>
      <c r="J311">
        <v>1277</v>
      </c>
      <c r="K311">
        <v>1976</v>
      </c>
      <c r="L311">
        <v>221</v>
      </c>
      <c r="M311">
        <v>279</v>
      </c>
      <c r="N311">
        <v>1278</v>
      </c>
      <c r="O311">
        <v>134</v>
      </c>
      <c r="P311" s="101">
        <v>3529000000</v>
      </c>
      <c r="Q311" s="101">
        <v>165000000</v>
      </c>
      <c r="R311" s="101">
        <v>146884272.99703264</v>
      </c>
      <c r="S311" s="101">
        <f t="shared" si="24"/>
        <v>6640888.9080118695</v>
      </c>
      <c r="T311" s="101">
        <f t="shared" si="20"/>
        <v>2705888.9080118695</v>
      </c>
      <c r="U311" s="101">
        <f t="shared" si="21"/>
        <v>2705888.9080118695</v>
      </c>
      <c r="V311" s="101">
        <v>62990</v>
      </c>
      <c r="W311" s="149">
        <f t="shared" si="22"/>
        <v>4.295743622816113E-2</v>
      </c>
      <c r="Y311" s="255"/>
      <c r="AB311" s="254"/>
    </row>
    <row r="312" spans="2:28" x14ac:dyDescent="0.25">
      <c r="B312" t="s">
        <v>426</v>
      </c>
      <c r="C312">
        <f t="shared" si="23"/>
        <v>12075</v>
      </c>
      <c r="D312">
        <v>7062</v>
      </c>
      <c r="E312">
        <v>5013</v>
      </c>
      <c r="F312">
        <v>2810</v>
      </c>
      <c r="G312">
        <v>0</v>
      </c>
      <c r="H312">
        <v>0</v>
      </c>
      <c r="I312">
        <v>1455</v>
      </c>
      <c r="J312">
        <v>0</v>
      </c>
      <c r="K312">
        <v>6797</v>
      </c>
      <c r="L312">
        <v>655</v>
      </c>
      <c r="M312">
        <v>0</v>
      </c>
      <c r="N312">
        <v>1333</v>
      </c>
      <c r="O312">
        <v>817</v>
      </c>
      <c r="P312" s="101">
        <v>7720000000</v>
      </c>
      <c r="Q312" s="101">
        <v>1372000000</v>
      </c>
      <c r="R312" s="101">
        <v>1332609785.6854024</v>
      </c>
      <c r="S312" s="101">
        <f t="shared" si="24"/>
        <v>18024150.319450062</v>
      </c>
      <c r="T312" s="101">
        <f t="shared" si="20"/>
        <v>5949150.3194500618</v>
      </c>
      <c r="U312" s="101">
        <f t="shared" si="21"/>
        <v>5949150.3194500618</v>
      </c>
      <c r="V312" s="101">
        <v>197727</v>
      </c>
      <c r="W312" s="149">
        <f t="shared" si="22"/>
        <v>3.0087698288296803E-2</v>
      </c>
      <c r="Y312" s="255"/>
      <c r="AB312" s="254"/>
    </row>
    <row r="313" spans="2:28" x14ac:dyDescent="0.25">
      <c r="B313" t="s">
        <v>828</v>
      </c>
      <c r="C313">
        <f t="shared" si="23"/>
        <v>15562</v>
      </c>
      <c r="D313">
        <v>8844</v>
      </c>
      <c r="E313">
        <v>6718</v>
      </c>
      <c r="F313">
        <v>179</v>
      </c>
      <c r="G313">
        <v>0</v>
      </c>
      <c r="H313">
        <v>284</v>
      </c>
      <c r="I313">
        <v>41</v>
      </c>
      <c r="J313">
        <v>9174</v>
      </c>
      <c r="K313">
        <v>5807</v>
      </c>
      <c r="L313">
        <v>706</v>
      </c>
      <c r="M313">
        <v>765</v>
      </c>
      <c r="N313">
        <v>1752</v>
      </c>
      <c r="O313">
        <v>704</v>
      </c>
      <c r="P313" s="101">
        <v>8308000000</v>
      </c>
      <c r="Q313" s="101">
        <v>1368000000</v>
      </c>
      <c r="R313" s="101">
        <v>1240841142.8571429</v>
      </c>
      <c r="S313" s="101">
        <f t="shared" si="24"/>
        <v>18875218.336000003</v>
      </c>
      <c r="T313" s="101">
        <f t="shared" si="20"/>
        <v>3313218.3360000029</v>
      </c>
      <c r="U313" s="101">
        <f t="shared" si="21"/>
        <v>3313218.3360000029</v>
      </c>
      <c r="V313" s="101">
        <v>157672</v>
      </c>
      <c r="W313" s="149">
        <f t="shared" si="22"/>
        <v>2.1013358973058012E-2</v>
      </c>
      <c r="Y313" s="255"/>
      <c r="AB313" s="254"/>
    </row>
    <row r="314" spans="2:28" x14ac:dyDescent="0.25">
      <c r="B314" t="s">
        <v>205</v>
      </c>
      <c r="C314">
        <f t="shared" si="23"/>
        <v>4380</v>
      </c>
      <c r="D314">
        <v>2760</v>
      </c>
      <c r="E314">
        <v>1620</v>
      </c>
      <c r="F314">
        <v>0</v>
      </c>
      <c r="G314">
        <v>0</v>
      </c>
      <c r="H314">
        <v>235</v>
      </c>
      <c r="I314">
        <v>159</v>
      </c>
      <c r="J314">
        <v>2643</v>
      </c>
      <c r="K314">
        <v>2389</v>
      </c>
      <c r="L314">
        <v>244</v>
      </c>
      <c r="M314">
        <v>24</v>
      </c>
      <c r="N314">
        <v>1108</v>
      </c>
      <c r="O314">
        <v>397</v>
      </c>
      <c r="P314" s="101">
        <v>3172000000</v>
      </c>
      <c r="Q314" s="101">
        <v>403000000</v>
      </c>
      <c r="R314" s="101">
        <v>353336328.62644416</v>
      </c>
      <c r="S314" s="101">
        <f t="shared" si="24"/>
        <v>6792093.5121951224</v>
      </c>
      <c r="T314" s="101">
        <f t="shared" si="20"/>
        <v>2412093.5121951224</v>
      </c>
      <c r="U314" s="101">
        <f t="shared" si="21"/>
        <v>2412093.5121951224</v>
      </c>
      <c r="V314" s="101">
        <v>62377</v>
      </c>
      <c r="W314" s="149">
        <f t="shared" si="22"/>
        <v>3.8669597963914941E-2</v>
      </c>
      <c r="Y314" s="255"/>
      <c r="AB314" s="254"/>
    </row>
    <row r="315" spans="2:28" x14ac:dyDescent="0.25">
      <c r="B315" t="s">
        <v>601</v>
      </c>
      <c r="C315">
        <f t="shared" si="23"/>
        <v>15822</v>
      </c>
      <c r="D315">
        <v>9706</v>
      </c>
      <c r="E315">
        <v>6116</v>
      </c>
      <c r="F315">
        <v>14</v>
      </c>
      <c r="G315">
        <v>0</v>
      </c>
      <c r="H315">
        <v>0</v>
      </c>
      <c r="I315">
        <v>65</v>
      </c>
      <c r="J315">
        <v>6417</v>
      </c>
      <c r="K315">
        <v>9397</v>
      </c>
      <c r="L315">
        <v>768</v>
      </c>
      <c r="M315">
        <v>745</v>
      </c>
      <c r="N315">
        <v>1866</v>
      </c>
      <c r="O315">
        <v>227</v>
      </c>
      <c r="P315" s="101">
        <v>8243000000</v>
      </c>
      <c r="Q315" s="101">
        <v>1270000000</v>
      </c>
      <c r="R315" s="101">
        <v>1134936507.9365079</v>
      </c>
      <c r="S315" s="101">
        <f t="shared" si="24"/>
        <v>18410282.222222224</v>
      </c>
      <c r="T315" s="101">
        <f t="shared" si="20"/>
        <v>2588282.2222222239</v>
      </c>
      <c r="U315" s="101">
        <f>IF(T315&gt;0,T315,0)</f>
        <v>2588282.2222222239</v>
      </c>
      <c r="V315" s="101">
        <v>225238</v>
      </c>
      <c r="W315" s="149">
        <f>T315/(V315*1000)</f>
        <v>1.1491321278923734E-2</v>
      </c>
      <c r="Y315" s="255"/>
      <c r="AB315" s="254"/>
    </row>
    <row r="316" spans="2:28" x14ac:dyDescent="0.25">
      <c r="B316" t="s">
        <v>114</v>
      </c>
      <c r="C316">
        <f t="shared" si="23"/>
        <v>4564</v>
      </c>
      <c r="D316">
        <v>3365</v>
      </c>
      <c r="E316">
        <v>1199</v>
      </c>
      <c r="F316">
        <v>0</v>
      </c>
      <c r="G316">
        <v>0</v>
      </c>
      <c r="H316">
        <v>2454</v>
      </c>
      <c r="I316">
        <v>0</v>
      </c>
      <c r="J316">
        <v>2194</v>
      </c>
      <c r="K316">
        <v>2362</v>
      </c>
      <c r="L316">
        <v>225</v>
      </c>
      <c r="M316">
        <v>354</v>
      </c>
      <c r="N316">
        <v>382</v>
      </c>
      <c r="O316">
        <v>105</v>
      </c>
      <c r="P316" s="101">
        <v>3355000000</v>
      </c>
      <c r="Q316" s="101">
        <v>426000000</v>
      </c>
      <c r="R316" s="101">
        <v>355086903.30477357</v>
      </c>
      <c r="S316" s="101">
        <f t="shared" si="24"/>
        <v>7151294.2558139535</v>
      </c>
      <c r="T316" s="101">
        <f t="shared" si="20"/>
        <v>2587294.2558139535</v>
      </c>
      <c r="U316" s="101">
        <f t="shared" si="21"/>
        <v>2587294.2558139535</v>
      </c>
      <c r="V316" s="101">
        <v>71207</v>
      </c>
      <c r="W316" s="149">
        <f t="shared" si="22"/>
        <v>3.6334830224752528E-2</v>
      </c>
      <c r="Y316" s="255"/>
      <c r="AB316" s="254"/>
    </row>
    <row r="317" spans="2:28" x14ac:dyDescent="0.25">
      <c r="B317" t="s">
        <v>206</v>
      </c>
      <c r="C317">
        <f t="shared" si="23"/>
        <v>3436</v>
      </c>
      <c r="D317">
        <v>2866</v>
      </c>
      <c r="E317">
        <v>570</v>
      </c>
      <c r="F317">
        <v>37</v>
      </c>
      <c r="G317">
        <v>0</v>
      </c>
      <c r="H317">
        <v>0</v>
      </c>
      <c r="I317">
        <v>119</v>
      </c>
      <c r="J317">
        <v>1705</v>
      </c>
      <c r="K317">
        <v>1500</v>
      </c>
      <c r="L317">
        <v>183</v>
      </c>
      <c r="M317">
        <v>64</v>
      </c>
      <c r="N317">
        <v>278</v>
      </c>
      <c r="O317">
        <v>52</v>
      </c>
      <c r="P317" s="101">
        <v>2098000000</v>
      </c>
      <c r="Q317" s="101">
        <v>111000000</v>
      </c>
      <c r="R317" s="101">
        <v>109479452.05479452</v>
      </c>
      <c r="S317" s="101">
        <f t="shared" si="24"/>
        <v>4008650.9726027395</v>
      </c>
      <c r="T317" s="101">
        <f t="shared" si="20"/>
        <v>572650.97260273946</v>
      </c>
      <c r="U317" s="101">
        <f t="shared" si="21"/>
        <v>572650.97260273946</v>
      </c>
      <c r="V317" s="101">
        <v>54590</v>
      </c>
      <c r="W317" s="149">
        <f t="shared" si="22"/>
        <v>1.0490034303036078E-2</v>
      </c>
      <c r="Y317" s="255"/>
      <c r="AB317" s="254"/>
    </row>
    <row r="318" spans="2:28" x14ac:dyDescent="0.25">
      <c r="B318" t="s">
        <v>602</v>
      </c>
      <c r="C318">
        <f t="shared" si="23"/>
        <v>6633</v>
      </c>
      <c r="D318">
        <v>4101</v>
      </c>
      <c r="E318">
        <v>2532</v>
      </c>
      <c r="F318">
        <v>0</v>
      </c>
      <c r="G318">
        <v>0</v>
      </c>
      <c r="H318">
        <v>436</v>
      </c>
      <c r="I318">
        <v>0</v>
      </c>
      <c r="J318">
        <v>3910</v>
      </c>
      <c r="K318">
        <v>3890</v>
      </c>
      <c r="L318">
        <v>259</v>
      </c>
      <c r="M318">
        <v>82</v>
      </c>
      <c r="N318">
        <v>2546</v>
      </c>
      <c r="O318">
        <v>35</v>
      </c>
      <c r="P318" s="101">
        <v>3069000000</v>
      </c>
      <c r="Q318" s="101">
        <v>606000000</v>
      </c>
      <c r="R318" s="101">
        <v>527655821.91780823</v>
      </c>
      <c r="S318" s="101">
        <f t="shared" si="24"/>
        <v>7266391.9160958901</v>
      </c>
      <c r="T318" s="101">
        <f t="shared" si="20"/>
        <v>633391.9160958901</v>
      </c>
      <c r="U318" s="101">
        <f t="shared" si="21"/>
        <v>633391.9160958901</v>
      </c>
      <c r="V318" s="101">
        <v>124452</v>
      </c>
      <c r="W318" s="149">
        <f t="shared" si="22"/>
        <v>5.0894474664600819E-3</v>
      </c>
      <c r="Y318" s="255"/>
      <c r="AB318" s="254"/>
    </row>
    <row r="319" spans="2:28" x14ac:dyDescent="0.25">
      <c r="B319" t="s">
        <v>322</v>
      </c>
      <c r="C319">
        <f t="shared" si="23"/>
        <v>35416</v>
      </c>
      <c r="D319">
        <v>15335</v>
      </c>
      <c r="E319">
        <v>20081</v>
      </c>
      <c r="F319">
        <v>270</v>
      </c>
      <c r="G319">
        <v>0</v>
      </c>
      <c r="H319">
        <v>406</v>
      </c>
      <c r="I319">
        <v>789</v>
      </c>
      <c r="J319">
        <v>16584</v>
      </c>
      <c r="K319">
        <v>14514</v>
      </c>
      <c r="L319">
        <v>1539</v>
      </c>
      <c r="M319">
        <v>758</v>
      </c>
      <c r="N319">
        <v>6111</v>
      </c>
      <c r="O319">
        <v>381</v>
      </c>
      <c r="P319" s="101">
        <v>19577000000</v>
      </c>
      <c r="Q319" s="101">
        <v>4975000000</v>
      </c>
      <c r="R319" s="101">
        <v>4975000000</v>
      </c>
      <c r="S319" s="101">
        <f t="shared" si="24"/>
        <v>51052183</v>
      </c>
      <c r="T319" s="101">
        <f t="shared" si="20"/>
        <v>15636183</v>
      </c>
      <c r="U319" s="101">
        <f t="shared" si="21"/>
        <v>15636183</v>
      </c>
      <c r="V319" s="101">
        <v>362214</v>
      </c>
      <c r="W319" s="149">
        <f t="shared" si="22"/>
        <v>4.3168356275571897E-2</v>
      </c>
      <c r="Y319" s="255"/>
      <c r="AB319" s="254"/>
    </row>
    <row r="320" spans="2:28" x14ac:dyDescent="0.25">
      <c r="B320" t="s">
        <v>138</v>
      </c>
      <c r="C320">
        <f t="shared" si="23"/>
        <v>4907</v>
      </c>
      <c r="D320">
        <v>3069</v>
      </c>
      <c r="E320">
        <v>1838</v>
      </c>
      <c r="F320">
        <v>0</v>
      </c>
      <c r="G320">
        <v>0</v>
      </c>
      <c r="H320">
        <v>232</v>
      </c>
      <c r="I320">
        <v>103</v>
      </c>
      <c r="J320">
        <v>2301</v>
      </c>
      <c r="K320">
        <v>3181</v>
      </c>
      <c r="L320">
        <v>288</v>
      </c>
      <c r="M320">
        <v>119</v>
      </c>
      <c r="N320">
        <v>1030</v>
      </c>
      <c r="O320">
        <v>66</v>
      </c>
      <c r="P320" s="101">
        <v>3435000000</v>
      </c>
      <c r="Q320" s="101">
        <v>501000000</v>
      </c>
      <c r="R320" s="101">
        <v>429355464.7599591</v>
      </c>
      <c r="S320" s="101">
        <f t="shared" si="24"/>
        <v>7547699.5985699696</v>
      </c>
      <c r="T320" s="101">
        <f t="shared" si="20"/>
        <v>2640699.5985699696</v>
      </c>
      <c r="U320" s="101">
        <f t="shared" si="21"/>
        <v>2640699.5985699696</v>
      </c>
      <c r="V320" s="101">
        <v>101381</v>
      </c>
      <c r="W320" s="149">
        <f t="shared" si="22"/>
        <v>2.6047283007367944E-2</v>
      </c>
      <c r="Y320" s="255"/>
      <c r="AB320" s="254"/>
    </row>
    <row r="321" spans="2:28" x14ac:dyDescent="0.25">
      <c r="B321" t="s">
        <v>160</v>
      </c>
      <c r="C321">
        <f t="shared" si="23"/>
        <v>5179</v>
      </c>
      <c r="D321">
        <v>3528</v>
      </c>
      <c r="E321">
        <v>1651</v>
      </c>
      <c r="F321">
        <v>0</v>
      </c>
      <c r="G321">
        <v>0</v>
      </c>
      <c r="H321">
        <v>432</v>
      </c>
      <c r="I321">
        <v>56</v>
      </c>
      <c r="J321">
        <v>3368</v>
      </c>
      <c r="K321">
        <v>2149</v>
      </c>
      <c r="L321">
        <v>301</v>
      </c>
      <c r="M321">
        <v>268</v>
      </c>
      <c r="N321">
        <v>2161</v>
      </c>
      <c r="O321">
        <v>137</v>
      </c>
      <c r="P321" s="101">
        <v>3832000000</v>
      </c>
      <c r="Q321" s="101">
        <v>482000000</v>
      </c>
      <c r="R321" s="101">
        <v>436348017.62114537</v>
      </c>
      <c r="S321" s="101">
        <f t="shared" si="24"/>
        <v>8213351.7224669605</v>
      </c>
      <c r="T321" s="101">
        <f t="shared" si="20"/>
        <v>3034351.7224669605</v>
      </c>
      <c r="U321" s="101">
        <f t="shared" si="21"/>
        <v>3034351.7224669605</v>
      </c>
      <c r="V321" s="101">
        <v>84672</v>
      </c>
      <c r="W321" s="149">
        <f t="shared" si="22"/>
        <v>3.5836542451660063E-2</v>
      </c>
      <c r="Y321" s="255"/>
      <c r="AB321" s="254"/>
    </row>
    <row r="322" spans="2:28" x14ac:dyDescent="0.25">
      <c r="B322" t="s">
        <v>207</v>
      </c>
      <c r="C322">
        <f t="shared" si="23"/>
        <v>10361</v>
      </c>
      <c r="D322">
        <v>6417</v>
      </c>
      <c r="E322">
        <v>3944</v>
      </c>
      <c r="F322">
        <v>0</v>
      </c>
      <c r="G322">
        <v>0</v>
      </c>
      <c r="H322">
        <v>140</v>
      </c>
      <c r="I322">
        <v>822</v>
      </c>
      <c r="J322">
        <v>4393</v>
      </c>
      <c r="K322">
        <v>4084</v>
      </c>
      <c r="L322">
        <v>516</v>
      </c>
      <c r="M322">
        <v>0</v>
      </c>
      <c r="N322">
        <v>1474</v>
      </c>
      <c r="O322">
        <v>731</v>
      </c>
      <c r="P322" s="101">
        <v>6405000000</v>
      </c>
      <c r="Q322" s="101">
        <v>914000000</v>
      </c>
      <c r="R322" s="101">
        <v>879791812.86549699</v>
      </c>
      <c r="S322" s="101">
        <f t="shared" si="24"/>
        <v>14175711.044444444</v>
      </c>
      <c r="T322" s="101">
        <f t="shared" ref="T322:T344" si="25">SUM(S322,-C322*1000)</f>
        <v>3814711.0444444437</v>
      </c>
      <c r="U322" s="101">
        <f t="shared" ref="U322:U344" si="26">IF(T322&gt;0,T322,0)</f>
        <v>3814711.0444444437</v>
      </c>
      <c r="V322" s="101">
        <v>145229</v>
      </c>
      <c r="W322" s="149">
        <f t="shared" ref="W322:W344" si="27">T322/(V322*1000)</f>
        <v>2.6266868493513305E-2</v>
      </c>
      <c r="Y322" s="255"/>
      <c r="AB322" s="254"/>
    </row>
    <row r="323" spans="2:28" x14ac:dyDescent="0.25">
      <c r="B323" t="s">
        <v>277</v>
      </c>
      <c r="C323">
        <f t="shared" ref="C323:C344" si="28">SUM(D323:E323)</f>
        <v>9071</v>
      </c>
      <c r="D323">
        <v>6959</v>
      </c>
      <c r="E323">
        <v>2112</v>
      </c>
      <c r="F323">
        <v>0</v>
      </c>
      <c r="G323">
        <v>0</v>
      </c>
      <c r="H323">
        <v>1315</v>
      </c>
      <c r="I323">
        <v>198</v>
      </c>
      <c r="J323">
        <v>2983</v>
      </c>
      <c r="K323">
        <v>3455</v>
      </c>
      <c r="L323">
        <v>316</v>
      </c>
      <c r="M323">
        <v>315</v>
      </c>
      <c r="N323">
        <v>632</v>
      </c>
      <c r="O323">
        <v>469</v>
      </c>
      <c r="P323" s="101">
        <v>5828000000</v>
      </c>
      <c r="Q323" s="101">
        <v>533000000</v>
      </c>
      <c r="R323" s="101">
        <v>507190315.31531531</v>
      </c>
      <c r="S323" s="101">
        <f t="shared" ref="S323:S344" si="29">0.1729%*SUM(P323,Q323,R323)</f>
        <v>11875101.055180181</v>
      </c>
      <c r="T323" s="101">
        <f t="shared" si="25"/>
        <v>2804101.0551801808</v>
      </c>
      <c r="U323" s="101">
        <f t="shared" si="26"/>
        <v>2804101.0551801808</v>
      </c>
      <c r="V323" s="101">
        <v>67361</v>
      </c>
      <c r="W323" s="149">
        <f t="shared" si="27"/>
        <v>4.1627960617867624E-2</v>
      </c>
      <c r="Y323" s="255"/>
      <c r="AB323" s="254"/>
    </row>
    <row r="324" spans="2:28" x14ac:dyDescent="0.25">
      <c r="B324" t="s">
        <v>232</v>
      </c>
      <c r="C324">
        <f t="shared" si="28"/>
        <v>5957</v>
      </c>
      <c r="D324">
        <v>4584</v>
      </c>
      <c r="E324">
        <v>1373</v>
      </c>
      <c r="F324">
        <v>34</v>
      </c>
      <c r="G324">
        <v>19</v>
      </c>
      <c r="H324">
        <v>72</v>
      </c>
      <c r="I324">
        <v>0</v>
      </c>
      <c r="J324">
        <v>2612</v>
      </c>
      <c r="K324">
        <v>3157</v>
      </c>
      <c r="L324">
        <v>384</v>
      </c>
      <c r="M324">
        <v>195</v>
      </c>
      <c r="N324">
        <v>721</v>
      </c>
      <c r="O324">
        <v>177</v>
      </c>
      <c r="P324" s="101">
        <v>4234000000</v>
      </c>
      <c r="Q324" s="101">
        <v>309000000</v>
      </c>
      <c r="R324" s="101">
        <v>277034482.75862068</v>
      </c>
      <c r="S324" s="101">
        <f t="shared" si="29"/>
        <v>8333839.6206896547</v>
      </c>
      <c r="T324" s="101">
        <f t="shared" si="25"/>
        <v>2376839.6206896547</v>
      </c>
      <c r="U324" s="101">
        <f t="shared" si="26"/>
        <v>2376839.6206896547</v>
      </c>
      <c r="V324" s="101">
        <v>65795</v>
      </c>
      <c r="W324" s="149">
        <f t="shared" si="27"/>
        <v>3.6124927740552544E-2</v>
      </c>
      <c r="Y324" s="255"/>
      <c r="AB324" s="254"/>
    </row>
    <row r="325" spans="2:28" x14ac:dyDescent="0.25">
      <c r="B325" t="s">
        <v>208</v>
      </c>
      <c r="C325">
        <f t="shared" si="28"/>
        <v>6710</v>
      </c>
      <c r="D325">
        <v>3778</v>
      </c>
      <c r="E325">
        <v>2932</v>
      </c>
      <c r="F325">
        <v>0</v>
      </c>
      <c r="G325">
        <v>50</v>
      </c>
      <c r="H325">
        <v>1055</v>
      </c>
      <c r="I325">
        <v>0</v>
      </c>
      <c r="J325">
        <v>3822</v>
      </c>
      <c r="K325">
        <v>2768</v>
      </c>
      <c r="L325">
        <v>334</v>
      </c>
      <c r="M325">
        <v>256</v>
      </c>
      <c r="N325">
        <v>1000</v>
      </c>
      <c r="O325">
        <v>491</v>
      </c>
      <c r="P325" s="101">
        <v>3809000000</v>
      </c>
      <c r="Q325" s="101">
        <v>712000000</v>
      </c>
      <c r="R325" s="101">
        <v>643247988.29553771</v>
      </c>
      <c r="S325" s="101">
        <f t="shared" si="29"/>
        <v>8928984.7717629857</v>
      </c>
      <c r="T325" s="101">
        <f t="shared" si="25"/>
        <v>2218984.7717629857</v>
      </c>
      <c r="U325" s="101">
        <f t="shared" si="26"/>
        <v>2218984.7717629857</v>
      </c>
      <c r="V325" s="101">
        <v>122379</v>
      </c>
      <c r="W325" s="149">
        <f t="shared" si="27"/>
        <v>1.813207144823038E-2</v>
      </c>
      <c r="Y325" s="255"/>
      <c r="AB325" s="254"/>
    </row>
    <row r="326" spans="2:28" x14ac:dyDescent="0.25">
      <c r="B326" t="s">
        <v>396</v>
      </c>
      <c r="C326">
        <f t="shared" si="28"/>
        <v>5526</v>
      </c>
      <c r="D326">
        <v>3448</v>
      </c>
      <c r="E326">
        <v>2078</v>
      </c>
      <c r="F326">
        <v>0</v>
      </c>
      <c r="G326">
        <v>0</v>
      </c>
      <c r="H326">
        <v>677</v>
      </c>
      <c r="I326">
        <v>123</v>
      </c>
      <c r="J326">
        <v>2142</v>
      </c>
      <c r="K326">
        <v>2616</v>
      </c>
      <c r="L326">
        <v>265</v>
      </c>
      <c r="M326">
        <v>70</v>
      </c>
      <c r="N326">
        <v>776</v>
      </c>
      <c r="O326">
        <v>108</v>
      </c>
      <c r="P326" s="101">
        <v>3252000000</v>
      </c>
      <c r="Q326" s="101">
        <v>642000000</v>
      </c>
      <c r="R326" s="101">
        <v>408450000</v>
      </c>
      <c r="S326" s="101">
        <f t="shared" si="29"/>
        <v>7438936.0500000007</v>
      </c>
      <c r="T326" s="101">
        <f t="shared" si="25"/>
        <v>1912936.0500000007</v>
      </c>
      <c r="U326" s="101">
        <f t="shared" si="26"/>
        <v>1912936.0500000007</v>
      </c>
      <c r="V326" s="101">
        <v>69887</v>
      </c>
      <c r="W326" s="149">
        <f t="shared" si="27"/>
        <v>2.7371843833617137E-2</v>
      </c>
      <c r="Y326" s="255"/>
      <c r="AB326" s="254"/>
    </row>
    <row r="327" spans="2:28" x14ac:dyDescent="0.25">
      <c r="B327" t="s">
        <v>233</v>
      </c>
      <c r="C327">
        <f t="shared" si="28"/>
        <v>16049</v>
      </c>
      <c r="D327">
        <v>10035</v>
      </c>
      <c r="E327">
        <v>6014</v>
      </c>
      <c r="F327">
        <v>2043</v>
      </c>
      <c r="G327">
        <v>104</v>
      </c>
      <c r="H327">
        <v>149</v>
      </c>
      <c r="I327">
        <v>333</v>
      </c>
      <c r="J327">
        <v>6717</v>
      </c>
      <c r="K327">
        <v>6342</v>
      </c>
      <c r="L327">
        <v>766</v>
      </c>
      <c r="M327">
        <v>880</v>
      </c>
      <c r="N327">
        <v>1625</v>
      </c>
      <c r="O327">
        <v>322</v>
      </c>
      <c r="P327" s="101">
        <v>9139000000</v>
      </c>
      <c r="Q327" s="101">
        <v>1140000000</v>
      </c>
      <c r="R327" s="101">
        <v>1090277146.7514765</v>
      </c>
      <c r="S327" s="101">
        <f t="shared" si="29"/>
        <v>19657480.186733302</v>
      </c>
      <c r="T327" s="101">
        <f t="shared" si="25"/>
        <v>3608480.1867333017</v>
      </c>
      <c r="U327" s="101">
        <f t="shared" si="26"/>
        <v>3608480.1867333017</v>
      </c>
      <c r="V327" s="101">
        <v>183593</v>
      </c>
      <c r="W327" s="149">
        <f t="shared" si="27"/>
        <v>1.9654780883439464E-2</v>
      </c>
      <c r="Y327" s="255"/>
      <c r="AB327" s="254"/>
    </row>
    <row r="328" spans="2:28" x14ac:dyDescent="0.25">
      <c r="B328" t="s">
        <v>278</v>
      </c>
      <c r="C328">
        <f t="shared" si="28"/>
        <v>3850</v>
      </c>
      <c r="D328">
        <v>2822</v>
      </c>
      <c r="E328">
        <v>1028</v>
      </c>
      <c r="F328">
        <v>0</v>
      </c>
      <c r="G328">
        <v>0</v>
      </c>
      <c r="H328">
        <v>92</v>
      </c>
      <c r="I328">
        <v>107</v>
      </c>
      <c r="J328">
        <v>2054</v>
      </c>
      <c r="K328">
        <v>2511</v>
      </c>
      <c r="L328">
        <v>210</v>
      </c>
      <c r="M328">
        <v>159</v>
      </c>
      <c r="N328">
        <v>444</v>
      </c>
      <c r="O328">
        <v>47</v>
      </c>
      <c r="P328" s="101">
        <v>3003000000</v>
      </c>
      <c r="Q328" s="101">
        <v>301000000</v>
      </c>
      <c r="R328" s="101">
        <v>281597560.97560972</v>
      </c>
      <c r="S328" s="101">
        <f t="shared" si="29"/>
        <v>6199498.1829268299</v>
      </c>
      <c r="T328" s="101">
        <f t="shared" si="25"/>
        <v>2349498.1829268299</v>
      </c>
      <c r="U328" s="101">
        <f t="shared" si="26"/>
        <v>2349498.1829268299</v>
      </c>
      <c r="V328" s="101">
        <v>52703</v>
      </c>
      <c r="W328" s="149">
        <f t="shared" si="27"/>
        <v>4.4579970455701383E-2</v>
      </c>
      <c r="Y328" s="255"/>
      <c r="AB328" s="254"/>
    </row>
    <row r="329" spans="2:28" x14ac:dyDescent="0.25">
      <c r="B329" t="s">
        <v>234</v>
      </c>
      <c r="C329">
        <f t="shared" si="28"/>
        <v>3028</v>
      </c>
      <c r="D329">
        <v>2124</v>
      </c>
      <c r="E329">
        <v>904</v>
      </c>
      <c r="F329">
        <v>0</v>
      </c>
      <c r="G329">
        <v>0</v>
      </c>
      <c r="H329">
        <v>332</v>
      </c>
      <c r="I329">
        <v>110</v>
      </c>
      <c r="J329">
        <v>1485</v>
      </c>
      <c r="K329">
        <v>1839</v>
      </c>
      <c r="L329">
        <v>165</v>
      </c>
      <c r="M329">
        <v>256</v>
      </c>
      <c r="N329">
        <v>817</v>
      </c>
      <c r="O329">
        <v>34</v>
      </c>
      <c r="P329" s="101">
        <v>2549000000</v>
      </c>
      <c r="Q329" s="101">
        <v>235000000</v>
      </c>
      <c r="R329" s="101">
        <v>231398467.4329502</v>
      </c>
      <c r="S329" s="101">
        <f t="shared" si="29"/>
        <v>5213623.9501915704</v>
      </c>
      <c r="T329" s="101">
        <f t="shared" si="25"/>
        <v>2185623.9501915704</v>
      </c>
      <c r="U329" s="101">
        <f t="shared" si="26"/>
        <v>2185623.9501915704</v>
      </c>
      <c r="V329" s="101">
        <v>54652</v>
      </c>
      <c r="W329" s="149">
        <f t="shared" si="27"/>
        <v>3.9991655386656853E-2</v>
      </c>
      <c r="Y329" s="255"/>
      <c r="AB329" s="254"/>
    </row>
    <row r="330" spans="2:28" x14ac:dyDescent="0.25">
      <c r="B330" t="s">
        <v>279</v>
      </c>
      <c r="C330">
        <f t="shared" si="28"/>
        <v>39256</v>
      </c>
      <c r="D330">
        <v>21519</v>
      </c>
      <c r="E330">
        <v>17737</v>
      </c>
      <c r="F330">
        <v>5191</v>
      </c>
      <c r="G330">
        <v>316</v>
      </c>
      <c r="H330">
        <v>2745</v>
      </c>
      <c r="I330">
        <v>570</v>
      </c>
      <c r="J330">
        <v>22486</v>
      </c>
      <c r="K330">
        <v>23950</v>
      </c>
      <c r="L330">
        <v>2072</v>
      </c>
      <c r="M330">
        <v>1248</v>
      </c>
      <c r="N330">
        <v>5296</v>
      </c>
      <c r="O330">
        <v>998</v>
      </c>
      <c r="P330" s="101">
        <v>25888000000</v>
      </c>
      <c r="Q330" s="101">
        <v>3655000000</v>
      </c>
      <c r="R330" s="101">
        <v>3603270907.7912793</v>
      </c>
      <c r="S330" s="101">
        <f t="shared" si="29"/>
        <v>57309902.399571121</v>
      </c>
      <c r="T330" s="101">
        <f t="shared" si="25"/>
        <v>18053902.399571121</v>
      </c>
      <c r="U330" s="101">
        <f t="shared" si="26"/>
        <v>18053902.399571121</v>
      </c>
      <c r="V330" s="101">
        <v>689680</v>
      </c>
      <c r="W330" s="149">
        <f t="shared" si="27"/>
        <v>2.6177216099598541E-2</v>
      </c>
      <c r="Y330" s="255"/>
      <c r="AB330" s="254"/>
    </row>
    <row r="331" spans="2:28" x14ac:dyDescent="0.25">
      <c r="B331" t="s">
        <v>209</v>
      </c>
      <c r="C331">
        <f t="shared" si="28"/>
        <v>8312</v>
      </c>
      <c r="D331">
        <v>3926</v>
      </c>
      <c r="E331">
        <v>4386</v>
      </c>
      <c r="F331">
        <v>655</v>
      </c>
      <c r="G331">
        <v>0</v>
      </c>
      <c r="H331">
        <v>276</v>
      </c>
      <c r="I331">
        <v>376</v>
      </c>
      <c r="J331">
        <v>4578</v>
      </c>
      <c r="K331">
        <v>0</v>
      </c>
      <c r="L331">
        <v>399</v>
      </c>
      <c r="M331">
        <v>649</v>
      </c>
      <c r="N331">
        <v>1688</v>
      </c>
      <c r="O331">
        <v>568</v>
      </c>
      <c r="P331" s="101">
        <v>4343000000</v>
      </c>
      <c r="Q331" s="101">
        <v>847000000</v>
      </c>
      <c r="R331" s="101">
        <v>789446782.92242932</v>
      </c>
      <c r="S331" s="101">
        <f t="shared" si="29"/>
        <v>10338463.48767288</v>
      </c>
      <c r="T331" s="101">
        <f t="shared" si="25"/>
        <v>2026463.4876728803</v>
      </c>
      <c r="U331" s="101">
        <f t="shared" si="26"/>
        <v>2026463.4876728803</v>
      </c>
      <c r="V331" s="101">
        <v>100486</v>
      </c>
      <c r="W331" s="149">
        <f t="shared" si="27"/>
        <v>2.0166625078845615E-2</v>
      </c>
      <c r="Y331" s="255"/>
      <c r="AB331" s="254"/>
    </row>
    <row r="332" spans="2:28" x14ac:dyDescent="0.25">
      <c r="B332" t="s">
        <v>280</v>
      </c>
      <c r="C332">
        <f t="shared" si="28"/>
        <v>4191</v>
      </c>
      <c r="D332">
        <v>2920</v>
      </c>
      <c r="E332">
        <v>1271</v>
      </c>
      <c r="F332">
        <v>10557</v>
      </c>
      <c r="G332">
        <v>192</v>
      </c>
      <c r="H332">
        <v>5203</v>
      </c>
      <c r="I332">
        <v>67</v>
      </c>
      <c r="J332">
        <v>2213</v>
      </c>
      <c r="K332">
        <v>2338</v>
      </c>
      <c r="L332">
        <v>257</v>
      </c>
      <c r="M332">
        <v>216</v>
      </c>
      <c r="N332">
        <v>1065</v>
      </c>
      <c r="O332">
        <v>124</v>
      </c>
      <c r="P332" s="101">
        <v>4583000000</v>
      </c>
      <c r="Q332" s="101">
        <v>331000000</v>
      </c>
      <c r="R332" s="101">
        <v>304584690.55374593</v>
      </c>
      <c r="S332" s="101">
        <f t="shared" si="29"/>
        <v>9022932.9299674276</v>
      </c>
      <c r="T332" s="101">
        <f t="shared" si="25"/>
        <v>4831932.9299674276</v>
      </c>
      <c r="U332" s="101">
        <f t="shared" si="26"/>
        <v>4831932.9299674276</v>
      </c>
      <c r="V332" s="101">
        <v>81166</v>
      </c>
      <c r="W332" s="149">
        <f t="shared" si="27"/>
        <v>5.9531490155575337E-2</v>
      </c>
      <c r="Y332" s="255"/>
      <c r="AB332" s="254"/>
    </row>
    <row r="333" spans="2:28" x14ac:dyDescent="0.25">
      <c r="B333" t="s">
        <v>432</v>
      </c>
      <c r="C333">
        <f t="shared" si="28"/>
        <v>10754</v>
      </c>
      <c r="D333">
        <v>5392</v>
      </c>
      <c r="E333">
        <v>5362</v>
      </c>
      <c r="F333">
        <v>0</v>
      </c>
      <c r="G333">
        <v>0</v>
      </c>
      <c r="H333">
        <v>4276</v>
      </c>
      <c r="I333">
        <v>61</v>
      </c>
      <c r="J333">
        <v>1427</v>
      </c>
      <c r="K333">
        <v>2356</v>
      </c>
      <c r="L333">
        <v>281</v>
      </c>
      <c r="M333">
        <v>122</v>
      </c>
      <c r="N333">
        <v>930</v>
      </c>
      <c r="O333">
        <v>144</v>
      </c>
      <c r="P333" s="101">
        <v>3751000000</v>
      </c>
      <c r="Q333" s="101">
        <v>1285000000</v>
      </c>
      <c r="R333" s="101">
        <v>1285000000</v>
      </c>
      <c r="S333" s="101">
        <f t="shared" si="29"/>
        <v>10929009</v>
      </c>
      <c r="T333" s="101">
        <f t="shared" si="25"/>
        <v>175009</v>
      </c>
      <c r="U333" s="101">
        <f t="shared" si="26"/>
        <v>175009</v>
      </c>
      <c r="V333" s="101">
        <v>96436</v>
      </c>
      <c r="W333" s="149">
        <f t="shared" si="27"/>
        <v>1.8147683437720354E-3</v>
      </c>
      <c r="Y333" s="255"/>
      <c r="AB333" s="254"/>
    </row>
    <row r="334" spans="2:28" x14ac:dyDescent="0.25">
      <c r="B334" t="s">
        <v>235</v>
      </c>
      <c r="C334">
        <f t="shared" si="28"/>
        <v>14637</v>
      </c>
      <c r="D334">
        <v>8567</v>
      </c>
      <c r="E334">
        <v>6070</v>
      </c>
      <c r="F334">
        <v>2794</v>
      </c>
      <c r="G334">
        <v>147</v>
      </c>
      <c r="H334">
        <v>371</v>
      </c>
      <c r="I334">
        <v>181</v>
      </c>
      <c r="J334">
        <v>5662</v>
      </c>
      <c r="K334">
        <v>9554</v>
      </c>
      <c r="L334">
        <v>1046</v>
      </c>
      <c r="M334">
        <v>1920</v>
      </c>
      <c r="N334">
        <v>3300</v>
      </c>
      <c r="O334">
        <v>186</v>
      </c>
      <c r="P334" s="101">
        <v>14975000000</v>
      </c>
      <c r="Q334" s="101">
        <v>1621000000</v>
      </c>
      <c r="R334" s="101">
        <v>1581122364.2172525</v>
      </c>
      <c r="S334" s="101">
        <f t="shared" si="29"/>
        <v>31428244.567731626</v>
      </c>
      <c r="T334" s="101">
        <f t="shared" si="25"/>
        <v>16791244.567731626</v>
      </c>
      <c r="U334" s="101">
        <f t="shared" si="26"/>
        <v>16791244.567731626</v>
      </c>
      <c r="V334" s="101">
        <v>223622</v>
      </c>
      <c r="W334" s="149">
        <f t="shared" si="27"/>
        <v>7.5087623613649943E-2</v>
      </c>
      <c r="Y334" s="255"/>
      <c r="AB334" s="254"/>
    </row>
    <row r="335" spans="2:28" x14ac:dyDescent="0.25">
      <c r="B335" t="s">
        <v>210</v>
      </c>
      <c r="C335">
        <f t="shared" si="28"/>
        <v>13954</v>
      </c>
      <c r="D335">
        <v>8159</v>
      </c>
      <c r="E335">
        <v>5795</v>
      </c>
      <c r="F335">
        <v>1282</v>
      </c>
      <c r="G335">
        <v>35</v>
      </c>
      <c r="H335">
        <v>367</v>
      </c>
      <c r="I335">
        <v>215</v>
      </c>
      <c r="J335">
        <v>4863</v>
      </c>
      <c r="K335">
        <v>3677</v>
      </c>
      <c r="L335">
        <v>490</v>
      </c>
      <c r="M335">
        <v>133</v>
      </c>
      <c r="N335">
        <v>1671</v>
      </c>
      <c r="O335">
        <v>204</v>
      </c>
      <c r="P335" s="101">
        <v>6122000000</v>
      </c>
      <c r="Q335" s="101">
        <v>947000000</v>
      </c>
      <c r="R335" s="101">
        <v>924976744.18604648</v>
      </c>
      <c r="S335" s="101">
        <f t="shared" si="29"/>
        <v>13821585.790697675</v>
      </c>
      <c r="T335" s="101">
        <f t="shared" si="25"/>
        <v>-132414.2093023248</v>
      </c>
      <c r="U335" s="101">
        <f t="shared" si="26"/>
        <v>0</v>
      </c>
      <c r="V335" s="101">
        <v>166912</v>
      </c>
      <c r="W335" s="149">
        <f t="shared" si="27"/>
        <v>-7.933174924650403E-4</v>
      </c>
      <c r="Y335" s="255"/>
      <c r="AB335" s="254"/>
    </row>
    <row r="336" spans="2:28" x14ac:dyDescent="0.25">
      <c r="B336" t="s">
        <v>324</v>
      </c>
      <c r="C336">
        <f t="shared" si="28"/>
        <v>44379</v>
      </c>
      <c r="D336">
        <v>26492</v>
      </c>
      <c r="E336">
        <v>17887</v>
      </c>
      <c r="F336">
        <v>1985</v>
      </c>
      <c r="G336">
        <v>134</v>
      </c>
      <c r="H336">
        <v>368</v>
      </c>
      <c r="I336">
        <v>645</v>
      </c>
      <c r="J336">
        <v>7932</v>
      </c>
      <c r="K336">
        <v>18140</v>
      </c>
      <c r="L336">
        <v>1651</v>
      </c>
      <c r="M336">
        <v>836</v>
      </c>
      <c r="N336">
        <v>3509</v>
      </c>
      <c r="O336">
        <v>218</v>
      </c>
      <c r="P336" s="101">
        <v>20423000000</v>
      </c>
      <c r="Q336" s="101">
        <v>2273000000</v>
      </c>
      <c r="R336" s="101">
        <v>2248243414.3870316</v>
      </c>
      <c r="S336" s="101">
        <f t="shared" si="29"/>
        <v>43128596.863475181</v>
      </c>
      <c r="T336" s="101">
        <f t="shared" si="25"/>
        <v>-1250403.1365248188</v>
      </c>
      <c r="U336" s="101">
        <f t="shared" si="26"/>
        <v>0</v>
      </c>
      <c r="V336" s="101">
        <v>482328</v>
      </c>
      <c r="W336" s="149">
        <f t="shared" si="27"/>
        <v>-2.5924332332454654E-3</v>
      </c>
      <c r="Y336" s="255"/>
      <c r="AB336" s="254"/>
    </row>
    <row r="337" spans="2:28" x14ac:dyDescent="0.25">
      <c r="B337" t="s">
        <v>325</v>
      </c>
      <c r="C337">
        <f t="shared" si="28"/>
        <v>5190</v>
      </c>
      <c r="D337">
        <v>2147</v>
      </c>
      <c r="E337">
        <v>3043</v>
      </c>
      <c r="F337">
        <v>0</v>
      </c>
      <c r="G337">
        <v>0</v>
      </c>
      <c r="H337">
        <v>0</v>
      </c>
      <c r="I337">
        <v>0</v>
      </c>
      <c r="J337">
        <v>1137</v>
      </c>
      <c r="K337">
        <v>874</v>
      </c>
      <c r="L337">
        <v>118</v>
      </c>
      <c r="M337">
        <v>1</v>
      </c>
      <c r="N337">
        <v>249</v>
      </c>
      <c r="O337">
        <v>94</v>
      </c>
      <c r="P337" s="101">
        <v>1826000000</v>
      </c>
      <c r="Q337" s="101">
        <v>432000000</v>
      </c>
      <c r="R337" s="101">
        <v>432000000</v>
      </c>
      <c r="S337" s="101">
        <f t="shared" si="29"/>
        <v>4651010</v>
      </c>
      <c r="T337" s="101">
        <f t="shared" si="25"/>
        <v>-538990</v>
      </c>
      <c r="U337" s="101">
        <f t="shared" si="26"/>
        <v>0</v>
      </c>
      <c r="V337" s="101">
        <v>28479</v>
      </c>
      <c r="W337" s="149">
        <f t="shared" si="27"/>
        <v>-1.8925875206292356E-2</v>
      </c>
      <c r="Y337" s="255"/>
      <c r="AB337" s="254"/>
    </row>
    <row r="338" spans="2:28" x14ac:dyDescent="0.25">
      <c r="B338" t="s">
        <v>326</v>
      </c>
      <c r="C338">
        <f t="shared" si="28"/>
        <v>11494</v>
      </c>
      <c r="D338">
        <v>8418</v>
      </c>
      <c r="E338">
        <v>3076</v>
      </c>
      <c r="F338">
        <v>0</v>
      </c>
      <c r="G338">
        <v>21</v>
      </c>
      <c r="H338">
        <v>379</v>
      </c>
      <c r="I338">
        <v>143</v>
      </c>
      <c r="J338">
        <v>4076</v>
      </c>
      <c r="K338">
        <v>5222</v>
      </c>
      <c r="L338">
        <v>528</v>
      </c>
      <c r="M338">
        <v>324</v>
      </c>
      <c r="N338">
        <v>1898</v>
      </c>
      <c r="O338">
        <v>36</v>
      </c>
      <c r="P338" s="101">
        <v>7602000000</v>
      </c>
      <c r="Q338" s="101">
        <v>1048000000</v>
      </c>
      <c r="R338" s="101">
        <v>1030736434.1085271</v>
      </c>
      <c r="S338" s="101">
        <f t="shared" si="29"/>
        <v>16737993.294573642</v>
      </c>
      <c r="T338" s="101">
        <f t="shared" si="25"/>
        <v>5243993.2945736423</v>
      </c>
      <c r="U338" s="101">
        <f t="shared" si="26"/>
        <v>5243993.2945736423</v>
      </c>
      <c r="V338" s="101">
        <v>152237</v>
      </c>
      <c r="W338" s="149">
        <f t="shared" si="27"/>
        <v>3.44462469345405E-2</v>
      </c>
      <c r="Y338" s="255"/>
      <c r="AB338" s="254"/>
    </row>
    <row r="339" spans="2:28" x14ac:dyDescent="0.25">
      <c r="B339" t="s">
        <v>397</v>
      </c>
      <c r="C339">
        <f t="shared" si="28"/>
        <v>5919</v>
      </c>
      <c r="D339">
        <v>4252</v>
      </c>
      <c r="E339">
        <v>1667</v>
      </c>
      <c r="F339">
        <v>1</v>
      </c>
      <c r="G339">
        <v>0</v>
      </c>
      <c r="H339">
        <v>129</v>
      </c>
      <c r="I339">
        <v>80</v>
      </c>
      <c r="J339">
        <v>2713</v>
      </c>
      <c r="K339">
        <v>2870</v>
      </c>
      <c r="L339">
        <v>194</v>
      </c>
      <c r="M339">
        <v>0</v>
      </c>
      <c r="N339">
        <v>1389</v>
      </c>
      <c r="O339">
        <v>136</v>
      </c>
      <c r="P339" s="101">
        <v>3946000000</v>
      </c>
      <c r="Q339" s="101">
        <v>599000000</v>
      </c>
      <c r="R339" s="101">
        <v>517018981.01898098</v>
      </c>
      <c r="S339" s="101">
        <f t="shared" si="29"/>
        <v>8752230.8181818184</v>
      </c>
      <c r="T339" s="101">
        <f t="shared" si="25"/>
        <v>2833230.8181818184</v>
      </c>
      <c r="U339" s="101">
        <f t="shared" si="26"/>
        <v>2833230.8181818184</v>
      </c>
      <c r="V339" s="101">
        <v>65713</v>
      </c>
      <c r="W339" s="149">
        <f t="shared" si="27"/>
        <v>4.3115225574571522E-2</v>
      </c>
      <c r="Y339" s="255"/>
      <c r="AB339" s="254"/>
    </row>
    <row r="340" spans="2:28" x14ac:dyDescent="0.25">
      <c r="B340" t="s">
        <v>211</v>
      </c>
      <c r="C340">
        <f t="shared" si="28"/>
        <v>14375</v>
      </c>
      <c r="D340">
        <v>8251</v>
      </c>
      <c r="E340">
        <v>6124</v>
      </c>
      <c r="F340">
        <v>2994</v>
      </c>
      <c r="G340">
        <v>92</v>
      </c>
      <c r="H340">
        <v>214</v>
      </c>
      <c r="I340">
        <v>342</v>
      </c>
      <c r="J340">
        <v>3808</v>
      </c>
      <c r="K340">
        <v>5993</v>
      </c>
      <c r="L340">
        <v>615</v>
      </c>
      <c r="M340">
        <v>145</v>
      </c>
      <c r="N340">
        <v>1529</v>
      </c>
      <c r="O340">
        <v>341</v>
      </c>
      <c r="P340" s="101">
        <v>7358000000</v>
      </c>
      <c r="Q340" s="101">
        <v>951000000</v>
      </c>
      <c r="R340" s="101">
        <v>902140360.16949153</v>
      </c>
      <c r="S340" s="101">
        <f t="shared" si="29"/>
        <v>15926061.68273305</v>
      </c>
      <c r="T340" s="101">
        <f t="shared" si="25"/>
        <v>1551061.6827330496</v>
      </c>
      <c r="U340" s="101">
        <f t="shared" si="26"/>
        <v>1551061.6827330496</v>
      </c>
      <c r="V340" s="101">
        <v>213771</v>
      </c>
      <c r="W340" s="149">
        <f t="shared" si="27"/>
        <v>7.2557160827850815E-3</v>
      </c>
      <c r="Y340" s="255"/>
      <c r="AB340" s="254"/>
    </row>
    <row r="341" spans="2:28" x14ac:dyDescent="0.25">
      <c r="B341" t="s">
        <v>161</v>
      </c>
      <c r="C341">
        <f t="shared" si="28"/>
        <v>5559</v>
      </c>
      <c r="D341">
        <v>2373</v>
      </c>
      <c r="E341">
        <v>3186</v>
      </c>
      <c r="F341">
        <v>0</v>
      </c>
      <c r="G341">
        <v>17</v>
      </c>
      <c r="H341">
        <v>108</v>
      </c>
      <c r="I341">
        <v>57</v>
      </c>
      <c r="J341">
        <v>3147</v>
      </c>
      <c r="K341">
        <v>1869</v>
      </c>
      <c r="L341">
        <v>284</v>
      </c>
      <c r="M341">
        <v>458</v>
      </c>
      <c r="N341">
        <v>2219</v>
      </c>
      <c r="O341">
        <v>427</v>
      </c>
      <c r="P341" s="101">
        <v>2656000000</v>
      </c>
      <c r="Q341" s="101">
        <v>789000000</v>
      </c>
      <c r="R341" s="101">
        <v>729930481.28342247</v>
      </c>
      <c r="S341" s="101">
        <f t="shared" si="29"/>
        <v>7218454.8021390373</v>
      </c>
      <c r="T341" s="101">
        <f t="shared" si="25"/>
        <v>1659454.8021390373</v>
      </c>
      <c r="U341" s="101">
        <f t="shared" si="26"/>
        <v>1659454.8021390373</v>
      </c>
      <c r="V341" s="101">
        <v>83001</v>
      </c>
      <c r="W341" s="149">
        <f t="shared" si="27"/>
        <v>1.9993190469259854E-2</v>
      </c>
      <c r="Y341" s="255"/>
      <c r="AB341" s="254"/>
    </row>
    <row r="342" spans="2:28" x14ac:dyDescent="0.25">
      <c r="B342" t="s">
        <v>327</v>
      </c>
      <c r="C342">
        <f t="shared" si="28"/>
        <v>11505</v>
      </c>
      <c r="D342">
        <v>5466</v>
      </c>
      <c r="E342">
        <v>6039</v>
      </c>
      <c r="F342">
        <v>257</v>
      </c>
      <c r="G342">
        <v>97</v>
      </c>
      <c r="H342">
        <v>0</v>
      </c>
      <c r="I342">
        <v>88</v>
      </c>
      <c r="J342">
        <v>7136</v>
      </c>
      <c r="K342">
        <v>6817</v>
      </c>
      <c r="L342">
        <v>571</v>
      </c>
      <c r="M342">
        <v>630</v>
      </c>
      <c r="N342">
        <v>1533</v>
      </c>
      <c r="O342">
        <v>479</v>
      </c>
      <c r="P342" s="101">
        <v>6203000000</v>
      </c>
      <c r="Q342" s="101">
        <v>937000000</v>
      </c>
      <c r="R342" s="101">
        <v>928974304.06852257</v>
      </c>
      <c r="S342" s="101">
        <f t="shared" si="29"/>
        <v>13951256.571734475</v>
      </c>
      <c r="T342" s="101">
        <f t="shared" si="25"/>
        <v>2446256.571734475</v>
      </c>
      <c r="U342" s="101">
        <f t="shared" si="26"/>
        <v>2446256.571734475</v>
      </c>
      <c r="V342" s="101">
        <v>173573</v>
      </c>
      <c r="W342" s="149">
        <f t="shared" si="27"/>
        <v>1.4093531665261734E-2</v>
      </c>
      <c r="Y342" s="255"/>
      <c r="AB342" s="254"/>
    </row>
    <row r="343" spans="2:28" x14ac:dyDescent="0.25">
      <c r="B343" t="s">
        <v>162</v>
      </c>
      <c r="C343">
        <f t="shared" si="28"/>
        <v>51808</v>
      </c>
      <c r="D343">
        <v>19729</v>
      </c>
      <c r="E343">
        <v>32079</v>
      </c>
      <c r="F343">
        <v>12618</v>
      </c>
      <c r="G343">
        <v>356</v>
      </c>
      <c r="H343">
        <v>582</v>
      </c>
      <c r="I343">
        <v>545</v>
      </c>
      <c r="J343">
        <v>7798</v>
      </c>
      <c r="K343">
        <v>17900</v>
      </c>
      <c r="L343">
        <v>1926</v>
      </c>
      <c r="M343">
        <v>1701</v>
      </c>
      <c r="N343">
        <v>5976</v>
      </c>
      <c r="O343">
        <v>674</v>
      </c>
      <c r="P343" s="101">
        <v>20826000000</v>
      </c>
      <c r="Q343" s="101">
        <v>2754850000</v>
      </c>
      <c r="R343" s="101">
        <v>3927000000</v>
      </c>
      <c r="S343" s="101">
        <f t="shared" si="29"/>
        <v>47561072.649999999</v>
      </c>
      <c r="T343" s="101">
        <f t="shared" si="25"/>
        <v>-4246927.3500000015</v>
      </c>
      <c r="U343" s="101">
        <f t="shared" si="26"/>
        <v>0</v>
      </c>
      <c r="V343" s="101">
        <v>748225</v>
      </c>
      <c r="W343" s="149">
        <f t="shared" si="27"/>
        <v>-5.6760030071168451E-3</v>
      </c>
      <c r="Y343" s="255"/>
      <c r="AB343" s="254"/>
    </row>
    <row r="344" spans="2:28" x14ac:dyDescent="0.25">
      <c r="B344" t="s">
        <v>440</v>
      </c>
      <c r="C344">
        <f t="shared" si="28"/>
        <v>5284576</v>
      </c>
      <c r="D344">
        <v>2733874</v>
      </c>
      <c r="E344">
        <v>2550702</v>
      </c>
      <c r="F344">
        <v>1265345</v>
      </c>
      <c r="G344">
        <f t="shared" ref="G344" si="30">SUM(G2:G343)</f>
        <v>40184</v>
      </c>
      <c r="H344">
        <v>580953</v>
      </c>
      <c r="I344">
        <v>94102</v>
      </c>
      <c r="J344">
        <v>1850440</v>
      </c>
      <c r="K344">
        <v>2381370</v>
      </c>
      <c r="L344">
        <v>246553</v>
      </c>
      <c r="M344">
        <v>128738</v>
      </c>
      <c r="N344">
        <v>718886</v>
      </c>
      <c r="O344">
        <v>220628</v>
      </c>
      <c r="P344" s="101">
        <v>2987029200000</v>
      </c>
      <c r="Q344" s="101">
        <v>471877750000</v>
      </c>
      <c r="R344" s="101">
        <v>455862156007.63165</v>
      </c>
      <c r="S344" s="101">
        <f t="shared" si="29"/>
        <v>6768635784.2871962</v>
      </c>
      <c r="T344" s="101">
        <f t="shared" si="25"/>
        <v>1484059784.2871962</v>
      </c>
      <c r="U344" s="101">
        <f t="shared" si="26"/>
        <v>1484059784.2871962</v>
      </c>
      <c r="V344" s="101">
        <v>76593826</v>
      </c>
      <c r="W344" s="149">
        <f t="shared" si="27"/>
        <v>1.9375710312306324E-2</v>
      </c>
    </row>
    <row r="345" spans="2:28" x14ac:dyDescent="0.25">
      <c r="Y345" s="149"/>
    </row>
    <row r="346" spans="2:28" x14ac:dyDescent="0.25">
      <c r="W346" s="102">
        <f>COUNTIF(W2:W343,"&lt;0")</f>
        <v>38</v>
      </c>
      <c r="Y346" s="255"/>
      <c r="AB346" s="254"/>
    </row>
    <row r="347" spans="2:28" x14ac:dyDescent="0.25">
      <c r="W347" s="149"/>
      <c r="Y347" s="255"/>
      <c r="AB347" s="254"/>
    </row>
    <row r="348" spans="2:28" x14ac:dyDescent="0.25">
      <c r="W348" s="149"/>
      <c r="Y348" s="255"/>
      <c r="AB348" s="254"/>
    </row>
    <row r="349" spans="2:28" x14ac:dyDescent="0.25">
      <c r="W349" s="149"/>
    </row>
    <row r="350" spans="2:28" x14ac:dyDescent="0.25">
      <c r="P350"/>
      <c r="Q350"/>
      <c r="R350"/>
      <c r="W350" s="149"/>
      <c r="Y350" s="149"/>
    </row>
    <row r="352" spans="2:28" x14ac:dyDescent="0.25">
      <c r="W352" s="149"/>
      <c r="Y352" s="149"/>
    </row>
    <row r="353" spans="3:25" x14ac:dyDescent="0.25">
      <c r="Y353" s="149"/>
    </row>
    <row r="354" spans="3:25" x14ac:dyDescent="0.25">
      <c r="W354" s="149"/>
    </row>
    <row r="355" spans="3:25" x14ac:dyDescent="0.25">
      <c r="C355" s="102"/>
      <c r="D355" s="102"/>
      <c r="E355" s="102"/>
      <c r="F355" s="102"/>
      <c r="G355" s="102"/>
      <c r="H355" s="102"/>
      <c r="I355" s="102"/>
      <c r="J355" s="102"/>
      <c r="K355" s="102"/>
      <c r="L355" s="102"/>
      <c r="M355" s="102"/>
      <c r="N355" s="102"/>
      <c r="O355" s="102"/>
      <c r="P355" s="102"/>
      <c r="Q355" s="102"/>
      <c r="R355" s="102"/>
      <c r="W355" s="149"/>
      <c r="X355" s="102"/>
      <c r="Y355" s="149"/>
    </row>
    <row r="356" spans="3:25" x14ac:dyDescent="0.25">
      <c r="Y356" s="149"/>
    </row>
    <row r="357" spans="3:25" x14ac:dyDescent="0.25">
      <c r="W357" s="149"/>
    </row>
    <row r="358" spans="3:25" x14ac:dyDescent="0.25">
      <c r="C358" s="102"/>
      <c r="D358" s="102"/>
      <c r="E358" s="102"/>
      <c r="F358" s="102"/>
      <c r="G358" s="102"/>
      <c r="H358" s="102"/>
      <c r="I358" s="102"/>
      <c r="J358" s="102"/>
      <c r="K358" s="102"/>
      <c r="L358" s="102"/>
      <c r="M358" s="102"/>
      <c r="N358" s="102"/>
      <c r="O358" s="102"/>
      <c r="P358" s="102"/>
      <c r="Q358" s="102"/>
      <c r="R358" s="102"/>
      <c r="W358" s="149"/>
      <c r="X358" s="102"/>
      <c r="Y358" s="149"/>
    </row>
    <row r="359" spans="3:25" x14ac:dyDescent="0.25">
      <c r="Y359" s="149"/>
    </row>
    <row r="360" spans="3:25" x14ac:dyDescent="0.25">
      <c r="W360" s="149"/>
    </row>
    <row r="361" spans="3:25" x14ac:dyDescent="0.25">
      <c r="C361" s="102"/>
      <c r="D361" s="102"/>
      <c r="E361" s="102"/>
      <c r="F361" s="102"/>
      <c r="G361" s="102"/>
      <c r="H361" s="102"/>
      <c r="I361" s="102"/>
      <c r="J361" s="102"/>
      <c r="K361" s="102"/>
      <c r="L361" s="102"/>
      <c r="M361" s="102"/>
      <c r="N361" s="102"/>
      <c r="O361" s="102"/>
      <c r="P361" s="102"/>
      <c r="Q361" s="102"/>
      <c r="R361" s="102"/>
      <c r="W361" s="149"/>
      <c r="X361" s="102"/>
      <c r="Y361" s="149"/>
    </row>
    <row r="362" spans="3:25" x14ac:dyDescent="0.25">
      <c r="Y362" s="149"/>
    </row>
    <row r="363" spans="3:25" x14ac:dyDescent="0.25">
      <c r="W363" s="149"/>
    </row>
    <row r="364" spans="3:25" x14ac:dyDescent="0.25">
      <c r="C364" s="102"/>
      <c r="D364" s="102"/>
      <c r="E364" s="102"/>
      <c r="F364" s="102"/>
      <c r="G364" s="102"/>
      <c r="H364" s="102"/>
      <c r="I364" s="102"/>
      <c r="J364" s="102"/>
      <c r="K364" s="102"/>
      <c r="L364" s="102"/>
      <c r="M364" s="102"/>
      <c r="N364" s="102"/>
      <c r="O364" s="102"/>
      <c r="P364" s="102"/>
      <c r="Q364" s="102"/>
      <c r="R364" s="102"/>
      <c r="W364" s="149"/>
      <c r="X364" s="102"/>
    </row>
  </sheetData>
  <sheetProtection algorithmName="SHA-512" hashValue="qBEDeqkIRabs/NiixN2fuq4CagAw2ufoQAlHR5jhGxE2HXOXCLWZEuRb1UW1PyeKJ+hLgpbUDI/Jf+Eish/3QQ==" saltValue="rhazSdDPk5RvSvlNdgewsw==" spinCount="100000" sheet="1" objects="1" scenarios="1"/>
  <sortState xmlns:xlrd2="http://schemas.microsoft.com/office/spreadsheetml/2017/richdata2" ref="Y2:AB343">
    <sortCondition ref="Y2:Y343"/>
  </sortState>
  <pageMargins left="0.7" right="0.7" top="0.75" bottom="0.75" header="0.3" footer="0.3"/>
  <pageSetup paperSize="9" orientation="portrait" verticalDpi="0"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66711-A4CB-4056-A08C-E9E15D6A9EA9}">
  <dimension ref="A1:AM346"/>
  <sheetViews>
    <sheetView workbookViewId="0">
      <pane xSplit="2" ySplit="1" topLeftCell="C2" activePane="bottomRight" state="frozen"/>
      <selection pane="topRight" activeCell="C1" sqref="C1"/>
      <selection pane="bottomLeft" activeCell="A2" sqref="A2"/>
      <selection pane="bottomRight" activeCell="B155" sqref="B155"/>
    </sheetView>
  </sheetViews>
  <sheetFormatPr defaultRowHeight="12.5" x14ac:dyDescent="0.25"/>
  <cols>
    <col min="1" max="1" width="10.08984375" bestFit="1" customWidth="1"/>
    <col min="2" max="2" width="27.7265625" bestFit="1" customWidth="1"/>
    <col min="3" max="3" width="23.54296875" bestFit="1" customWidth="1"/>
    <col min="4" max="4" width="31.7265625" bestFit="1" customWidth="1"/>
    <col min="5" max="5" width="35.26953125" bestFit="1" customWidth="1"/>
    <col min="6" max="6" width="16.54296875" bestFit="1" customWidth="1"/>
    <col min="7" max="7" width="16.81640625" bestFit="1" customWidth="1"/>
    <col min="8" max="8" width="17.6328125" bestFit="1" customWidth="1"/>
    <col min="9" max="9" width="18.90625" bestFit="1" customWidth="1"/>
    <col min="10" max="10" width="12.1796875" bestFit="1" customWidth="1"/>
    <col min="11" max="11" width="35.90625" bestFit="1" customWidth="1"/>
    <col min="12" max="12" width="27.1796875" bestFit="1" customWidth="1"/>
    <col min="13" max="13" width="21.26953125" bestFit="1" customWidth="1"/>
    <col min="14" max="14" width="24" bestFit="1" customWidth="1"/>
    <col min="15" max="15" width="15.08984375" bestFit="1" customWidth="1"/>
    <col min="16" max="16" width="23" bestFit="1" customWidth="1"/>
    <col min="17" max="17" width="35.08984375" bestFit="1" customWidth="1"/>
    <col min="18" max="18" width="35.6328125" bestFit="1" customWidth="1"/>
    <col min="19" max="19" width="36" bestFit="1" customWidth="1"/>
    <col min="20" max="21" width="32.1796875" bestFit="1" customWidth="1"/>
    <col min="22" max="22" width="25.7265625" bestFit="1" customWidth="1"/>
    <col min="23" max="23" width="32.453125" bestFit="1" customWidth="1"/>
    <col min="25" max="26" width="27.7265625" bestFit="1" customWidth="1"/>
    <col min="27" max="28" width="13.54296875" bestFit="1" customWidth="1"/>
    <col min="29" max="29" width="14.54296875" bestFit="1" customWidth="1"/>
    <col min="30" max="30" width="13.54296875" bestFit="1" customWidth="1"/>
    <col min="33" max="33" width="27.7265625" bestFit="1" customWidth="1"/>
    <col min="34" max="35" width="11.81640625" bestFit="1" customWidth="1"/>
    <col min="36" max="36" width="12.08984375" bestFit="1" customWidth="1"/>
    <col min="37" max="38" width="13.54296875" bestFit="1" customWidth="1"/>
    <col min="39" max="39" width="14.54296875" bestFit="1" customWidth="1"/>
  </cols>
  <sheetData>
    <row r="1" spans="1:39" x14ac:dyDescent="0.25">
      <c r="A1" t="s">
        <v>549</v>
      </c>
      <c r="B1" t="s">
        <v>526</v>
      </c>
      <c r="C1" t="s">
        <v>614</v>
      </c>
      <c r="D1" t="s">
        <v>615</v>
      </c>
      <c r="E1" t="s">
        <v>616</v>
      </c>
      <c r="F1" t="s">
        <v>617</v>
      </c>
      <c r="G1" t="s">
        <v>618</v>
      </c>
      <c r="H1" t="s">
        <v>619</v>
      </c>
      <c r="I1" t="s">
        <v>620</v>
      </c>
      <c r="J1" t="s">
        <v>621</v>
      </c>
      <c r="K1" t="s">
        <v>622</v>
      </c>
      <c r="L1" t="s">
        <v>623</v>
      </c>
      <c r="M1" t="s">
        <v>624</v>
      </c>
      <c r="N1" t="s">
        <v>625</v>
      </c>
      <c r="O1" t="s">
        <v>626</v>
      </c>
      <c r="P1" t="s">
        <v>839</v>
      </c>
      <c r="Q1" t="s">
        <v>840</v>
      </c>
      <c r="R1" t="s">
        <v>841</v>
      </c>
      <c r="S1" t="s">
        <v>878</v>
      </c>
      <c r="T1" t="s">
        <v>717</v>
      </c>
      <c r="U1" t="s">
        <v>632</v>
      </c>
      <c r="V1" t="s">
        <v>876</v>
      </c>
      <c r="W1" t="s">
        <v>877</v>
      </c>
    </row>
    <row r="2" spans="1:39" x14ac:dyDescent="0.25">
      <c r="B2" t="s">
        <v>104</v>
      </c>
      <c r="C2" s="101">
        <v>5090</v>
      </c>
      <c r="D2" s="101">
        <v>3812</v>
      </c>
      <c r="E2" s="101">
        <v>1278</v>
      </c>
      <c r="F2" s="101">
        <v>0</v>
      </c>
      <c r="G2" s="101">
        <v>0</v>
      </c>
      <c r="H2" s="101">
        <v>1865</v>
      </c>
      <c r="I2" s="101">
        <v>180</v>
      </c>
      <c r="J2" s="101">
        <v>2219</v>
      </c>
      <c r="K2" s="101">
        <v>2869</v>
      </c>
      <c r="L2" s="101">
        <v>362</v>
      </c>
      <c r="M2" s="101">
        <v>100</v>
      </c>
      <c r="N2" s="101">
        <v>467</v>
      </c>
      <c r="O2" s="101">
        <v>25</v>
      </c>
      <c r="P2" s="101">
        <v>4053000000</v>
      </c>
      <c r="Q2" s="101">
        <v>547000000</v>
      </c>
      <c r="R2" s="101">
        <v>461419037.19912475</v>
      </c>
      <c r="S2" s="101">
        <f>0.001614*(SUM(P2,Q2,R2))</f>
        <v>8169130.3260393869</v>
      </c>
      <c r="T2" s="101">
        <f>SUM(S2,-C2*1000)</f>
        <v>3079130.3260393869</v>
      </c>
      <c r="U2" s="101">
        <f>IF(T2&gt;0,T2,0)</f>
        <v>3079130.3260393869</v>
      </c>
      <c r="V2" s="101">
        <v>77412</v>
      </c>
      <c r="W2" s="149">
        <f>T2/(V2*1000)</f>
        <v>3.9775878753156961E-2</v>
      </c>
      <c r="AA2" s="101"/>
      <c r="AB2" s="101"/>
      <c r="AC2" s="101"/>
      <c r="AD2" s="101"/>
      <c r="AK2" s="101"/>
      <c r="AL2" s="101"/>
      <c r="AM2" s="101"/>
    </row>
    <row r="3" spans="1:39" x14ac:dyDescent="0.25">
      <c r="B3" t="s">
        <v>236</v>
      </c>
      <c r="C3" s="101">
        <v>13830</v>
      </c>
      <c r="D3" s="101">
        <v>6472</v>
      </c>
      <c r="E3" s="101">
        <v>7358</v>
      </c>
      <c r="F3" s="101">
        <v>20</v>
      </c>
      <c r="G3" s="101">
        <v>0</v>
      </c>
      <c r="H3" s="101">
        <v>1014</v>
      </c>
      <c r="I3" s="101">
        <v>392</v>
      </c>
      <c r="J3" s="101">
        <v>3142</v>
      </c>
      <c r="K3" s="101">
        <v>4572</v>
      </c>
      <c r="L3" s="101">
        <v>594</v>
      </c>
      <c r="M3" s="101">
        <v>538</v>
      </c>
      <c r="N3" s="101">
        <v>924</v>
      </c>
      <c r="O3" s="101">
        <v>147</v>
      </c>
      <c r="P3" s="101">
        <v>6816000000</v>
      </c>
      <c r="Q3" s="101">
        <v>1766000000</v>
      </c>
      <c r="R3" s="101">
        <v>1766000000</v>
      </c>
      <c r="S3" s="101">
        <f t="shared" ref="S3:S66" si="0">0.001614*(SUM(P3,Q3,R3))</f>
        <v>16701672</v>
      </c>
      <c r="T3" s="101">
        <f t="shared" ref="T3:T66" si="1">SUM(S3,-C3*1000)</f>
        <v>2871672</v>
      </c>
      <c r="U3" s="101">
        <f t="shared" ref="U3:U66" si="2">IF(T3&gt;0,T3,0)</f>
        <v>2871672</v>
      </c>
      <c r="V3" s="101">
        <v>100912</v>
      </c>
      <c r="W3" s="149">
        <f t="shared" ref="W3:W66" si="3">T3/(V3*1000)</f>
        <v>2.8457190423339145E-2</v>
      </c>
      <c r="AA3" s="101"/>
      <c r="AB3" s="101"/>
      <c r="AC3" s="101"/>
      <c r="AD3" s="101"/>
      <c r="AK3" s="101"/>
      <c r="AL3" s="101"/>
      <c r="AM3" s="101"/>
    </row>
    <row r="4" spans="1:39" x14ac:dyDescent="0.25">
      <c r="B4" t="s">
        <v>163</v>
      </c>
      <c r="C4" s="101">
        <v>5664</v>
      </c>
      <c r="D4" s="101">
        <v>3952</v>
      </c>
      <c r="E4" s="101">
        <v>1712</v>
      </c>
      <c r="F4" s="101">
        <v>1</v>
      </c>
      <c r="G4" s="101">
        <v>0</v>
      </c>
      <c r="H4" s="101">
        <v>106</v>
      </c>
      <c r="I4" s="101">
        <v>262</v>
      </c>
      <c r="J4" s="101">
        <v>2019</v>
      </c>
      <c r="K4" s="101">
        <v>1551</v>
      </c>
      <c r="L4" s="101">
        <v>398</v>
      </c>
      <c r="M4" s="101">
        <v>314</v>
      </c>
      <c r="N4" s="101">
        <v>175</v>
      </c>
      <c r="O4" s="101">
        <v>143</v>
      </c>
      <c r="P4" s="101">
        <v>3965000000</v>
      </c>
      <c r="Q4" s="101">
        <v>558000000</v>
      </c>
      <c r="R4" s="101">
        <v>513960538.11659187</v>
      </c>
      <c r="S4" s="101">
        <f t="shared" si="0"/>
        <v>8129654.3085201783</v>
      </c>
      <c r="T4" s="101">
        <f t="shared" si="1"/>
        <v>2465654.3085201783</v>
      </c>
      <c r="U4" s="101">
        <f t="shared" si="2"/>
        <v>2465654.3085201783</v>
      </c>
      <c r="V4" s="101">
        <v>80061</v>
      </c>
      <c r="W4" s="149">
        <f t="shared" si="3"/>
        <v>3.0797195994556381E-2</v>
      </c>
      <c r="AA4" s="101"/>
      <c r="AB4" s="101"/>
      <c r="AC4" s="101"/>
      <c r="AD4" s="101"/>
      <c r="AK4" s="101"/>
      <c r="AL4" s="101"/>
      <c r="AM4" s="101"/>
    </row>
    <row r="5" spans="1:39" x14ac:dyDescent="0.25">
      <c r="B5" t="s">
        <v>125</v>
      </c>
      <c r="C5" s="101">
        <v>6394</v>
      </c>
      <c r="D5" s="101">
        <v>4158</v>
      </c>
      <c r="E5" s="101">
        <v>2236</v>
      </c>
      <c r="F5" s="101">
        <v>0</v>
      </c>
      <c r="G5" s="101">
        <v>0</v>
      </c>
      <c r="H5" s="101">
        <v>20</v>
      </c>
      <c r="I5" s="101">
        <v>49</v>
      </c>
      <c r="J5" s="101">
        <v>2670</v>
      </c>
      <c r="K5" s="101">
        <v>3760</v>
      </c>
      <c r="L5" s="101">
        <v>242</v>
      </c>
      <c r="M5" s="101">
        <v>0</v>
      </c>
      <c r="N5" s="101">
        <v>484</v>
      </c>
      <c r="O5" s="101">
        <v>121</v>
      </c>
      <c r="P5" s="101">
        <v>3271000000</v>
      </c>
      <c r="Q5" s="101">
        <v>453000000</v>
      </c>
      <c r="R5" s="101">
        <v>407500000</v>
      </c>
      <c r="S5" s="101">
        <f t="shared" si="0"/>
        <v>6668241</v>
      </c>
      <c r="T5" s="101">
        <f t="shared" si="1"/>
        <v>274241</v>
      </c>
      <c r="U5" s="101">
        <f t="shared" si="2"/>
        <v>274241</v>
      </c>
      <c r="V5" s="101">
        <v>95336</v>
      </c>
      <c r="W5" s="149">
        <f t="shared" si="3"/>
        <v>2.8765733825627253E-3</v>
      </c>
      <c r="AA5" s="101"/>
      <c r="AB5" s="101"/>
      <c r="AC5" s="101"/>
      <c r="AD5" s="101"/>
      <c r="AK5" s="101"/>
      <c r="AL5" s="101"/>
      <c r="AM5" s="101"/>
    </row>
    <row r="6" spans="1:39" x14ac:dyDescent="0.25">
      <c r="B6" t="s">
        <v>281</v>
      </c>
      <c r="C6" s="101">
        <v>6564</v>
      </c>
      <c r="D6" s="101">
        <v>2909</v>
      </c>
      <c r="E6" s="101">
        <v>3655</v>
      </c>
      <c r="F6" s="101">
        <v>0</v>
      </c>
      <c r="G6" s="101">
        <v>0</v>
      </c>
      <c r="H6" s="101">
        <v>20</v>
      </c>
      <c r="I6" s="101">
        <v>95</v>
      </c>
      <c r="J6" s="101">
        <v>1611</v>
      </c>
      <c r="K6" s="101">
        <v>3517</v>
      </c>
      <c r="L6" s="101">
        <v>365</v>
      </c>
      <c r="M6" s="101">
        <v>642</v>
      </c>
      <c r="N6" s="101">
        <v>1120</v>
      </c>
      <c r="O6" s="101">
        <v>80</v>
      </c>
      <c r="P6" s="101">
        <v>2917000000</v>
      </c>
      <c r="Q6" s="101">
        <v>629000000</v>
      </c>
      <c r="R6" s="101">
        <v>625000000</v>
      </c>
      <c r="S6" s="101">
        <f t="shared" si="0"/>
        <v>6731994</v>
      </c>
      <c r="T6" s="101">
        <f t="shared" si="1"/>
        <v>167994</v>
      </c>
      <c r="U6" s="101">
        <f t="shared" si="2"/>
        <v>167994</v>
      </c>
      <c r="V6" s="101">
        <v>65092</v>
      </c>
      <c r="W6" s="149">
        <f t="shared" si="3"/>
        <v>2.5808701530141954E-3</v>
      </c>
      <c r="AA6" s="101"/>
      <c r="AB6" s="101"/>
      <c r="AC6" s="101"/>
      <c r="AD6" s="101"/>
      <c r="AK6" s="101"/>
      <c r="AL6" s="101"/>
      <c r="AM6" s="101"/>
    </row>
    <row r="7" spans="1:39" x14ac:dyDescent="0.25">
      <c r="B7" t="s">
        <v>282</v>
      </c>
      <c r="C7" s="101">
        <v>7894</v>
      </c>
      <c r="D7" s="101">
        <v>4850</v>
      </c>
      <c r="E7" s="101">
        <v>3044</v>
      </c>
      <c r="F7" s="101">
        <v>0</v>
      </c>
      <c r="G7" s="101">
        <v>0</v>
      </c>
      <c r="H7" s="101">
        <v>0</v>
      </c>
      <c r="I7" s="101">
        <v>0</v>
      </c>
      <c r="J7" s="101">
        <v>3174</v>
      </c>
      <c r="K7" s="101">
        <v>4326</v>
      </c>
      <c r="L7" s="101">
        <v>650</v>
      </c>
      <c r="M7" s="101">
        <v>213</v>
      </c>
      <c r="N7" s="101">
        <v>384</v>
      </c>
      <c r="O7" s="101">
        <v>26</v>
      </c>
      <c r="P7" s="101">
        <v>4833000000</v>
      </c>
      <c r="Q7" s="101">
        <v>502000000</v>
      </c>
      <c r="R7" s="101">
        <v>489988035.89232302</v>
      </c>
      <c r="S7" s="101">
        <f t="shared" si="0"/>
        <v>9401530.689930208</v>
      </c>
      <c r="T7" s="101">
        <f t="shared" si="1"/>
        <v>1507530.689930208</v>
      </c>
      <c r="U7" s="101">
        <f t="shared" si="2"/>
        <v>1507530.689930208</v>
      </c>
      <c r="V7" s="101">
        <v>71919</v>
      </c>
      <c r="W7" s="149">
        <f t="shared" si="3"/>
        <v>2.0961507945469322E-2</v>
      </c>
      <c r="AA7" s="101"/>
      <c r="AB7" s="101"/>
      <c r="AC7" s="101"/>
      <c r="AD7" s="101"/>
      <c r="AK7" s="101"/>
      <c r="AL7" s="101"/>
      <c r="AM7" s="101"/>
    </row>
    <row r="8" spans="1:39" x14ac:dyDescent="0.25">
      <c r="B8" t="s">
        <v>237</v>
      </c>
      <c r="C8" s="101">
        <v>28306</v>
      </c>
      <c r="D8" s="101">
        <v>11311</v>
      </c>
      <c r="E8" s="101">
        <v>16996</v>
      </c>
      <c r="F8" s="101">
        <v>9602</v>
      </c>
      <c r="G8" s="101">
        <v>473</v>
      </c>
      <c r="H8" s="101">
        <v>628</v>
      </c>
      <c r="I8" s="101">
        <v>766</v>
      </c>
      <c r="J8" s="101">
        <v>11160</v>
      </c>
      <c r="K8" s="101">
        <v>17386</v>
      </c>
      <c r="L8" s="101">
        <v>1641</v>
      </c>
      <c r="M8" s="101">
        <v>497</v>
      </c>
      <c r="N8" s="101">
        <v>4388</v>
      </c>
      <c r="O8" s="101">
        <v>901</v>
      </c>
      <c r="P8" s="101">
        <v>19791000000</v>
      </c>
      <c r="Q8" s="101">
        <v>3371000000</v>
      </c>
      <c r="R8" s="101">
        <v>3307000000</v>
      </c>
      <c r="S8" s="101">
        <f t="shared" si="0"/>
        <v>42720966</v>
      </c>
      <c r="T8" s="101">
        <f t="shared" si="1"/>
        <v>14414966</v>
      </c>
      <c r="U8" s="101">
        <f t="shared" si="2"/>
        <v>14414966</v>
      </c>
      <c r="V8" s="101">
        <v>451418</v>
      </c>
      <c r="W8" s="149">
        <f t="shared" si="3"/>
        <v>3.1932634498402813E-2</v>
      </c>
      <c r="AA8" s="101"/>
      <c r="AB8" s="101"/>
      <c r="AC8" s="101"/>
      <c r="AD8" s="101"/>
      <c r="AK8" s="101"/>
      <c r="AL8" s="101"/>
      <c r="AM8" s="101"/>
    </row>
    <row r="9" spans="1:39" x14ac:dyDescent="0.25">
      <c r="B9" t="s">
        <v>139</v>
      </c>
      <c r="C9" s="101">
        <v>25921</v>
      </c>
      <c r="D9" s="101">
        <v>11181</v>
      </c>
      <c r="E9" s="101">
        <v>14740</v>
      </c>
      <c r="F9" s="101">
        <v>1687</v>
      </c>
      <c r="G9" s="101">
        <v>100</v>
      </c>
      <c r="H9" s="101">
        <v>447</v>
      </c>
      <c r="I9" s="101">
        <v>216</v>
      </c>
      <c r="J9" s="101">
        <v>11934</v>
      </c>
      <c r="K9" s="101">
        <v>9051</v>
      </c>
      <c r="L9" s="101">
        <v>1297</v>
      </c>
      <c r="M9" s="101">
        <v>431</v>
      </c>
      <c r="N9" s="101">
        <v>2180</v>
      </c>
      <c r="O9" s="101">
        <v>224</v>
      </c>
      <c r="P9" s="101">
        <v>9737000000</v>
      </c>
      <c r="Q9" s="101">
        <v>2306000000</v>
      </c>
      <c r="R9" s="101">
        <v>2186474083.7128606</v>
      </c>
      <c r="S9" s="101">
        <f t="shared" si="0"/>
        <v>22966371.171112556</v>
      </c>
      <c r="T9" s="101">
        <f t="shared" si="1"/>
        <v>-2954628.828887444</v>
      </c>
      <c r="U9" s="101">
        <f t="shared" si="2"/>
        <v>0</v>
      </c>
      <c r="V9" s="101">
        <v>356545</v>
      </c>
      <c r="W9" s="149">
        <f t="shared" si="3"/>
        <v>-8.2868328791244981E-3</v>
      </c>
      <c r="AA9" s="101"/>
      <c r="AB9" s="101"/>
      <c r="AC9" s="101"/>
      <c r="AD9" s="101"/>
      <c r="AK9" s="101"/>
      <c r="AL9" s="101"/>
      <c r="AM9" s="101"/>
    </row>
    <row r="10" spans="1:39" x14ac:dyDescent="0.25">
      <c r="B10" t="s">
        <v>427</v>
      </c>
      <c r="C10" s="101">
        <v>58632</v>
      </c>
      <c r="D10" s="101">
        <v>33442</v>
      </c>
      <c r="E10" s="101">
        <v>25190</v>
      </c>
      <c r="F10" s="101">
        <v>19196</v>
      </c>
      <c r="G10" s="101">
        <v>240</v>
      </c>
      <c r="H10" s="101">
        <v>1192</v>
      </c>
      <c r="I10" s="101">
        <v>840</v>
      </c>
      <c r="J10" s="101">
        <v>22325</v>
      </c>
      <c r="K10" s="101">
        <v>39252</v>
      </c>
      <c r="L10" s="101">
        <v>3911</v>
      </c>
      <c r="M10" s="101">
        <v>0</v>
      </c>
      <c r="N10" s="101">
        <v>10029</v>
      </c>
      <c r="O10" s="101">
        <v>825</v>
      </c>
      <c r="P10" s="101">
        <v>35133000000</v>
      </c>
      <c r="Q10" s="101">
        <v>4507000000</v>
      </c>
      <c r="R10" s="101">
        <v>4442492843.6702538</v>
      </c>
      <c r="S10" s="101">
        <f t="shared" si="0"/>
        <v>71149143.4496838</v>
      </c>
      <c r="T10" s="101">
        <f t="shared" si="1"/>
        <v>12517143.4496838</v>
      </c>
      <c r="U10" s="101">
        <f t="shared" si="2"/>
        <v>12517143.4496838</v>
      </c>
      <c r="V10" s="101">
        <v>1068560</v>
      </c>
      <c r="W10" s="149">
        <f t="shared" si="3"/>
        <v>1.1714029581571275E-2</v>
      </c>
      <c r="AA10" s="101"/>
      <c r="AB10" s="101"/>
      <c r="AC10" s="101"/>
      <c r="AD10" s="101"/>
      <c r="AK10" s="101"/>
      <c r="AL10" s="101"/>
      <c r="AM10" s="101"/>
    </row>
    <row r="11" spans="1:39" x14ac:dyDescent="0.25">
      <c r="B11" t="s">
        <v>283</v>
      </c>
      <c r="C11" s="101">
        <v>23740</v>
      </c>
      <c r="D11" s="101">
        <v>14459</v>
      </c>
      <c r="E11" s="101">
        <v>9281</v>
      </c>
      <c r="F11" s="101">
        <v>3772</v>
      </c>
      <c r="G11" s="101">
        <v>0</v>
      </c>
      <c r="H11" s="101">
        <v>250</v>
      </c>
      <c r="I11" s="101">
        <v>508</v>
      </c>
      <c r="J11" s="101">
        <v>14575</v>
      </c>
      <c r="K11" s="101">
        <v>14610</v>
      </c>
      <c r="L11" s="101">
        <v>1784</v>
      </c>
      <c r="M11" s="101">
        <v>900</v>
      </c>
      <c r="N11" s="101">
        <v>5275</v>
      </c>
      <c r="O11" s="101">
        <v>488</v>
      </c>
      <c r="P11" s="101">
        <v>19137000000</v>
      </c>
      <c r="Q11" s="101">
        <v>2723000000</v>
      </c>
      <c r="R11" s="101">
        <v>2609979247.0156107</v>
      </c>
      <c r="S11" s="101">
        <f t="shared" si="0"/>
        <v>39494546.504683197</v>
      </c>
      <c r="T11" s="101">
        <f t="shared" si="1"/>
        <v>15754546.504683197</v>
      </c>
      <c r="U11" s="101">
        <f t="shared" si="2"/>
        <v>15754546.504683197</v>
      </c>
      <c r="V11" s="101">
        <v>391867</v>
      </c>
      <c r="W11" s="149">
        <f t="shared" si="3"/>
        <v>4.0203810233276079E-2</v>
      </c>
      <c r="AA11" s="101"/>
      <c r="AB11" s="101"/>
      <c r="AC11" s="101"/>
      <c r="AD11" s="101"/>
      <c r="AK11" s="101"/>
      <c r="AL11" s="101"/>
      <c r="AM11" s="101"/>
    </row>
    <row r="12" spans="1:39" x14ac:dyDescent="0.25">
      <c r="B12" t="s">
        <v>341</v>
      </c>
      <c r="C12" s="101">
        <v>2618</v>
      </c>
      <c r="D12" s="101">
        <v>1761</v>
      </c>
      <c r="E12" s="101">
        <v>857</v>
      </c>
      <c r="F12" s="101">
        <v>0</v>
      </c>
      <c r="G12" s="101">
        <v>0</v>
      </c>
      <c r="H12" s="101">
        <v>300</v>
      </c>
      <c r="I12" s="101">
        <v>38</v>
      </c>
      <c r="J12" s="101">
        <v>1419</v>
      </c>
      <c r="K12" s="101">
        <v>1207</v>
      </c>
      <c r="L12" s="101">
        <v>160</v>
      </c>
      <c r="M12" s="101">
        <v>19</v>
      </c>
      <c r="N12" s="101">
        <v>478</v>
      </c>
      <c r="O12" s="101">
        <v>56</v>
      </c>
      <c r="P12" s="101">
        <v>1943000000</v>
      </c>
      <c r="Q12" s="101">
        <v>325000000</v>
      </c>
      <c r="R12" s="101">
        <v>278929121.72573191</v>
      </c>
      <c r="S12" s="101">
        <f t="shared" si="0"/>
        <v>4110743.6024653311</v>
      </c>
      <c r="T12" s="101">
        <f t="shared" si="1"/>
        <v>1492743.6024653311</v>
      </c>
      <c r="U12" s="101">
        <f t="shared" si="2"/>
        <v>1492743.6024653311</v>
      </c>
      <c r="V12" s="101">
        <v>27670</v>
      </c>
      <c r="W12" s="149">
        <f t="shared" si="3"/>
        <v>5.3948088271244345E-2</v>
      </c>
      <c r="AA12" s="101"/>
      <c r="AB12" s="101"/>
      <c r="AC12" s="101"/>
      <c r="AD12" s="101"/>
      <c r="AK12" s="101"/>
      <c r="AL12" s="101"/>
      <c r="AM12" s="101"/>
    </row>
    <row r="13" spans="1:39" x14ac:dyDescent="0.25">
      <c r="B13" t="s">
        <v>591</v>
      </c>
      <c r="C13" s="101">
        <v>11199</v>
      </c>
      <c r="D13" s="101">
        <v>7559</v>
      </c>
      <c r="E13" s="101">
        <v>3640</v>
      </c>
      <c r="F13" s="101">
        <v>0</v>
      </c>
      <c r="G13" s="101">
        <v>0</v>
      </c>
      <c r="H13" s="101">
        <v>332</v>
      </c>
      <c r="I13" s="101">
        <v>42</v>
      </c>
      <c r="J13" s="101">
        <v>6000</v>
      </c>
      <c r="K13" s="101">
        <v>8147</v>
      </c>
      <c r="L13" s="101">
        <v>1281</v>
      </c>
      <c r="M13" s="101">
        <v>923</v>
      </c>
      <c r="N13" s="101">
        <v>2789</v>
      </c>
      <c r="O13" s="101">
        <v>1165</v>
      </c>
      <c r="P13" s="101">
        <v>9170000000</v>
      </c>
      <c r="Q13" s="101">
        <v>1249000000</v>
      </c>
      <c r="R13" s="101">
        <v>1178971966.3596315</v>
      </c>
      <c r="S13" s="101">
        <f t="shared" si="0"/>
        <v>18719126.753704444</v>
      </c>
      <c r="T13" s="101">
        <f t="shared" si="1"/>
        <v>7520126.7537044436</v>
      </c>
      <c r="U13" s="101">
        <f t="shared" si="2"/>
        <v>7520126.7537044436</v>
      </c>
      <c r="V13" s="101">
        <v>163529</v>
      </c>
      <c r="W13" s="149">
        <f t="shared" si="3"/>
        <v>4.5986502416723904E-2</v>
      </c>
      <c r="AA13" s="101"/>
      <c r="AB13" s="101"/>
      <c r="AC13" s="101"/>
      <c r="AD13" s="101"/>
      <c r="AK13" s="101"/>
      <c r="AL13" s="101"/>
      <c r="AM13" s="101"/>
    </row>
    <row r="14" spans="1:39" x14ac:dyDescent="0.25">
      <c r="B14" t="s">
        <v>126</v>
      </c>
      <c r="C14" s="101">
        <v>1582</v>
      </c>
      <c r="D14" s="101">
        <v>1063</v>
      </c>
      <c r="E14" s="101">
        <v>519</v>
      </c>
      <c r="F14" s="101">
        <v>0</v>
      </c>
      <c r="G14" s="101">
        <v>0</v>
      </c>
      <c r="H14" s="101">
        <v>3874</v>
      </c>
      <c r="I14" s="101">
        <v>1958</v>
      </c>
      <c r="J14" s="101">
        <v>853</v>
      </c>
      <c r="K14" s="101">
        <v>1476</v>
      </c>
      <c r="L14" s="101">
        <v>58</v>
      </c>
      <c r="M14" s="101">
        <v>50</v>
      </c>
      <c r="N14" s="101">
        <v>238</v>
      </c>
      <c r="O14" s="101">
        <v>102</v>
      </c>
      <c r="P14" s="101">
        <v>1659000000</v>
      </c>
      <c r="Q14" s="101">
        <v>204000000</v>
      </c>
      <c r="R14" s="101">
        <v>204000000</v>
      </c>
      <c r="S14" s="101">
        <f t="shared" si="0"/>
        <v>3336138</v>
      </c>
      <c r="T14" s="101">
        <f t="shared" si="1"/>
        <v>1754138</v>
      </c>
      <c r="U14" s="101">
        <f t="shared" si="2"/>
        <v>1754138</v>
      </c>
      <c r="V14" s="101">
        <v>29598</v>
      </c>
      <c r="W14" s="149">
        <f t="shared" si="3"/>
        <v>5.9265423339414827E-2</v>
      </c>
      <c r="AA14" s="101"/>
      <c r="AB14" s="101"/>
      <c r="AC14" s="101"/>
      <c r="AD14" s="101"/>
      <c r="AK14" s="101"/>
      <c r="AL14" s="101"/>
      <c r="AM14" s="101"/>
    </row>
    <row r="15" spans="1:39" x14ac:dyDescent="0.25">
      <c r="B15" t="s">
        <v>212</v>
      </c>
      <c r="C15" s="101">
        <v>57193</v>
      </c>
      <c r="D15" s="101">
        <v>31465</v>
      </c>
      <c r="E15" s="101">
        <v>25728</v>
      </c>
      <c r="F15" s="101">
        <v>4015</v>
      </c>
      <c r="G15" s="101">
        <v>299</v>
      </c>
      <c r="H15" s="101">
        <v>630</v>
      </c>
      <c r="I15" s="101">
        <v>1292</v>
      </c>
      <c r="J15" s="101">
        <v>16529</v>
      </c>
      <c r="K15" s="101">
        <v>25636</v>
      </c>
      <c r="L15" s="101">
        <v>2801</v>
      </c>
      <c r="M15" s="101">
        <v>4359</v>
      </c>
      <c r="N15" s="101">
        <v>6011</v>
      </c>
      <c r="O15" s="101">
        <v>1215</v>
      </c>
      <c r="P15" s="101">
        <v>30275000000</v>
      </c>
      <c r="Q15" s="101">
        <v>3991000000</v>
      </c>
      <c r="R15" s="101">
        <v>3866984463.0998621</v>
      </c>
      <c r="S15" s="101">
        <f t="shared" si="0"/>
        <v>61546636.923443176</v>
      </c>
      <c r="T15" s="101">
        <f t="shared" si="1"/>
        <v>4353636.9234431759</v>
      </c>
      <c r="U15" s="101">
        <f t="shared" si="2"/>
        <v>4353636.9234431759</v>
      </c>
      <c r="V15" s="101">
        <v>667159</v>
      </c>
      <c r="W15" s="149">
        <f t="shared" si="3"/>
        <v>6.5256362028289746E-3</v>
      </c>
      <c r="AA15" s="101"/>
      <c r="AB15" s="101"/>
      <c r="AC15" s="101"/>
      <c r="AD15" s="101"/>
      <c r="AK15" s="101"/>
      <c r="AL15" s="101"/>
      <c r="AM15" s="101"/>
    </row>
    <row r="16" spans="1:39" x14ac:dyDescent="0.25">
      <c r="B16" t="s">
        <v>238</v>
      </c>
      <c r="C16" s="101">
        <v>29842</v>
      </c>
      <c r="D16" s="101">
        <v>15029</v>
      </c>
      <c r="E16" s="101">
        <v>14813</v>
      </c>
      <c r="F16" s="101">
        <v>4009</v>
      </c>
      <c r="G16" s="101">
        <v>0</v>
      </c>
      <c r="H16" s="101">
        <v>3199</v>
      </c>
      <c r="I16" s="101">
        <v>134</v>
      </c>
      <c r="J16" s="101">
        <v>9467</v>
      </c>
      <c r="K16" s="101">
        <v>11846</v>
      </c>
      <c r="L16" s="101">
        <v>2718</v>
      </c>
      <c r="M16" s="101">
        <v>4953</v>
      </c>
      <c r="N16" s="101">
        <v>2142</v>
      </c>
      <c r="O16" s="101">
        <v>322</v>
      </c>
      <c r="P16" s="101">
        <v>23358000000</v>
      </c>
      <c r="Q16" s="101">
        <v>3024000000</v>
      </c>
      <c r="R16" s="101">
        <v>2965490325.7813792</v>
      </c>
      <c r="S16" s="101">
        <f t="shared" si="0"/>
        <v>47366849.385811143</v>
      </c>
      <c r="T16" s="101">
        <f t="shared" si="1"/>
        <v>17524849.385811143</v>
      </c>
      <c r="U16" s="101">
        <f t="shared" si="2"/>
        <v>17524849.385811143</v>
      </c>
      <c r="V16" s="101">
        <v>357853</v>
      </c>
      <c r="W16" s="149">
        <f t="shared" si="3"/>
        <v>4.8972201953906051E-2</v>
      </c>
      <c r="AA16" s="101"/>
      <c r="AB16" s="101"/>
      <c r="AC16" s="101"/>
      <c r="AD16" s="101"/>
      <c r="AK16" s="101"/>
      <c r="AL16" s="101"/>
      <c r="AM16" s="101"/>
    </row>
    <row r="17" spans="2:39" x14ac:dyDescent="0.25">
      <c r="B17" t="s">
        <v>239</v>
      </c>
      <c r="C17" s="101">
        <v>297754</v>
      </c>
      <c r="D17" s="101">
        <v>112378</v>
      </c>
      <c r="E17" s="101">
        <v>185376</v>
      </c>
      <c r="F17" s="101">
        <v>367627</v>
      </c>
      <c r="G17" s="101">
        <v>7583</v>
      </c>
      <c r="H17" s="101">
        <v>242500</v>
      </c>
      <c r="I17" s="101">
        <v>6094</v>
      </c>
      <c r="J17" s="101">
        <v>98136</v>
      </c>
      <c r="K17" s="101">
        <v>196502</v>
      </c>
      <c r="L17" s="101">
        <v>22132</v>
      </c>
      <c r="M17" s="101">
        <v>6841</v>
      </c>
      <c r="N17" s="101">
        <v>57244</v>
      </c>
      <c r="O17" s="101">
        <v>49764</v>
      </c>
      <c r="P17" s="101">
        <v>244236000000</v>
      </c>
      <c r="Q17" s="101">
        <v>60949000000</v>
      </c>
      <c r="R17" s="101">
        <v>60949000000</v>
      </c>
      <c r="S17" s="101">
        <f t="shared" si="0"/>
        <v>590940276</v>
      </c>
      <c r="T17" s="101">
        <f t="shared" si="1"/>
        <v>293186276</v>
      </c>
      <c r="U17" s="101">
        <f t="shared" si="2"/>
        <v>293186276</v>
      </c>
      <c r="V17" s="101">
        <v>6474848</v>
      </c>
      <c r="W17" s="149">
        <f t="shared" si="3"/>
        <v>4.5280796707505719E-2</v>
      </c>
      <c r="AA17" s="101"/>
      <c r="AB17" s="101"/>
      <c r="AC17" s="101"/>
      <c r="AD17" s="101"/>
      <c r="AK17" s="101"/>
      <c r="AL17" s="101"/>
      <c r="AM17" s="101"/>
    </row>
    <row r="18" spans="2:39" x14ac:dyDescent="0.25">
      <c r="B18" t="s">
        <v>164</v>
      </c>
      <c r="C18" s="101">
        <v>60714</v>
      </c>
      <c r="D18" s="101">
        <v>29394</v>
      </c>
      <c r="E18" s="101">
        <v>31320</v>
      </c>
      <c r="F18" s="101">
        <v>4689</v>
      </c>
      <c r="G18" s="101">
        <v>517</v>
      </c>
      <c r="H18" s="101">
        <v>2338</v>
      </c>
      <c r="I18" s="101">
        <v>1271</v>
      </c>
      <c r="J18" s="101">
        <v>14043</v>
      </c>
      <c r="K18" s="101">
        <v>22071</v>
      </c>
      <c r="L18" s="101">
        <v>3228</v>
      </c>
      <c r="M18" s="101">
        <v>1677</v>
      </c>
      <c r="N18" s="101">
        <v>5642</v>
      </c>
      <c r="O18" s="101">
        <v>1071</v>
      </c>
      <c r="P18" s="101">
        <v>28914000000</v>
      </c>
      <c r="Q18" s="101">
        <v>4108000000</v>
      </c>
      <c r="R18" s="101">
        <v>3920500000</v>
      </c>
      <c r="S18" s="101">
        <f t="shared" si="0"/>
        <v>59625195</v>
      </c>
      <c r="T18" s="101">
        <f t="shared" si="1"/>
        <v>-1088805</v>
      </c>
      <c r="U18" s="101">
        <f t="shared" si="2"/>
        <v>0</v>
      </c>
      <c r="V18" s="101">
        <v>681463</v>
      </c>
      <c r="W18" s="149">
        <f t="shared" si="3"/>
        <v>-1.5977463193159423E-3</v>
      </c>
      <c r="AA18" s="101"/>
      <c r="AB18" s="101"/>
      <c r="AC18" s="101"/>
      <c r="AD18" s="101"/>
      <c r="AK18" s="101"/>
      <c r="AL18" s="101"/>
      <c r="AM18" s="101"/>
    </row>
    <row r="19" spans="2:39" x14ac:dyDescent="0.25">
      <c r="B19" t="s">
        <v>165</v>
      </c>
      <c r="C19" s="101">
        <v>62673</v>
      </c>
      <c r="D19" s="101">
        <v>30403</v>
      </c>
      <c r="E19" s="101">
        <v>32270</v>
      </c>
      <c r="F19" s="101">
        <v>20306</v>
      </c>
      <c r="G19" s="101">
        <v>0</v>
      </c>
      <c r="H19" s="101">
        <v>1312</v>
      </c>
      <c r="I19" s="101">
        <v>180</v>
      </c>
      <c r="J19" s="101">
        <v>17766</v>
      </c>
      <c r="K19" s="101">
        <v>23112</v>
      </c>
      <c r="L19" s="101">
        <v>3322</v>
      </c>
      <c r="M19" s="101">
        <v>0</v>
      </c>
      <c r="N19" s="101">
        <v>3761</v>
      </c>
      <c r="O19" s="101">
        <v>1267</v>
      </c>
      <c r="P19" s="101">
        <v>26710000000</v>
      </c>
      <c r="Q19" s="101">
        <v>3650000000</v>
      </c>
      <c r="R19" s="101">
        <v>3604993834.7718863</v>
      </c>
      <c r="S19" s="101">
        <f t="shared" si="0"/>
        <v>54819500.049321823</v>
      </c>
      <c r="T19" s="101">
        <f t="shared" si="1"/>
        <v>-7853499.9506781772</v>
      </c>
      <c r="U19" s="101">
        <f t="shared" si="2"/>
        <v>0</v>
      </c>
      <c r="V19" s="101">
        <v>891296</v>
      </c>
      <c r="W19" s="149">
        <f t="shared" si="3"/>
        <v>-8.8113263726956898E-3</v>
      </c>
      <c r="AA19" s="101"/>
      <c r="AB19" s="101"/>
      <c r="AC19" s="101"/>
      <c r="AD19" s="101"/>
      <c r="AK19" s="101"/>
      <c r="AL19" s="101"/>
      <c r="AM19" s="101"/>
    </row>
    <row r="20" spans="2:39" x14ac:dyDescent="0.25">
      <c r="B20" t="s">
        <v>105</v>
      </c>
      <c r="C20" s="101">
        <v>23221</v>
      </c>
      <c r="D20" s="101">
        <v>13095</v>
      </c>
      <c r="E20" s="101">
        <v>10126</v>
      </c>
      <c r="F20" s="101">
        <v>4891</v>
      </c>
      <c r="G20" s="101">
        <v>90</v>
      </c>
      <c r="H20" s="101">
        <v>740</v>
      </c>
      <c r="I20" s="101">
        <v>0</v>
      </c>
      <c r="J20" s="101">
        <v>6105</v>
      </c>
      <c r="K20" s="101">
        <v>7594</v>
      </c>
      <c r="L20" s="101">
        <v>1293</v>
      </c>
      <c r="M20" s="101">
        <v>598</v>
      </c>
      <c r="N20" s="101">
        <v>1885</v>
      </c>
      <c r="O20" s="101">
        <v>144</v>
      </c>
      <c r="P20" s="101">
        <v>9274000000</v>
      </c>
      <c r="Q20" s="101">
        <v>1341000000</v>
      </c>
      <c r="R20" s="101">
        <v>1318991794.1066766</v>
      </c>
      <c r="S20" s="101">
        <f t="shared" si="0"/>
        <v>19261462.755688176</v>
      </c>
      <c r="T20" s="101">
        <f t="shared" si="1"/>
        <v>-3959537.2443118244</v>
      </c>
      <c r="U20" s="101">
        <f t="shared" si="2"/>
        <v>0</v>
      </c>
      <c r="V20" s="101">
        <v>341482</v>
      </c>
      <c r="W20" s="149">
        <f t="shared" si="3"/>
        <v>-1.1595156536250298E-2</v>
      </c>
      <c r="AA20" s="101"/>
      <c r="AB20" s="101"/>
      <c r="AC20" s="101"/>
      <c r="AD20" s="101"/>
      <c r="AK20" s="101"/>
      <c r="AL20" s="101"/>
      <c r="AM20" s="101"/>
    </row>
    <row r="21" spans="2:39" x14ac:dyDescent="0.25">
      <c r="B21" t="s">
        <v>342</v>
      </c>
      <c r="C21" s="101">
        <v>5341</v>
      </c>
      <c r="D21" s="101">
        <v>3114</v>
      </c>
      <c r="E21" s="101">
        <v>2227</v>
      </c>
      <c r="F21" s="101">
        <v>0</v>
      </c>
      <c r="G21" s="101">
        <v>0</v>
      </c>
      <c r="H21" s="101">
        <v>555</v>
      </c>
      <c r="I21" s="101">
        <v>131</v>
      </c>
      <c r="J21" s="101">
        <v>2694</v>
      </c>
      <c r="K21" s="101">
        <v>1099</v>
      </c>
      <c r="L21" s="101">
        <v>280</v>
      </c>
      <c r="M21" s="101">
        <v>0</v>
      </c>
      <c r="N21" s="101">
        <v>998</v>
      </c>
      <c r="O21" s="101">
        <v>31</v>
      </c>
      <c r="P21" s="101">
        <v>2985000000</v>
      </c>
      <c r="Q21" s="101">
        <v>473000000</v>
      </c>
      <c r="R21" s="101">
        <v>425500000</v>
      </c>
      <c r="S21" s="101">
        <f t="shared" si="0"/>
        <v>6267969</v>
      </c>
      <c r="T21" s="101">
        <f t="shared" si="1"/>
        <v>926969</v>
      </c>
      <c r="U21" s="101">
        <f t="shared" si="2"/>
        <v>926969</v>
      </c>
      <c r="V21" s="101">
        <v>51203</v>
      </c>
      <c r="W21" s="149">
        <f t="shared" si="3"/>
        <v>1.8103802511571586E-2</v>
      </c>
      <c r="AA21" s="101"/>
      <c r="AB21" s="101"/>
      <c r="AC21" s="101"/>
      <c r="AD21" s="101"/>
      <c r="AK21" s="101"/>
      <c r="AL21" s="101"/>
      <c r="AM21" s="101"/>
    </row>
    <row r="22" spans="2:39" x14ac:dyDescent="0.25">
      <c r="B22" t="s">
        <v>343</v>
      </c>
      <c r="C22" s="101">
        <v>2156</v>
      </c>
      <c r="D22" s="101">
        <v>1252</v>
      </c>
      <c r="E22" s="101">
        <v>904</v>
      </c>
      <c r="F22" s="101">
        <v>1</v>
      </c>
      <c r="G22" s="101">
        <v>12</v>
      </c>
      <c r="H22" s="101">
        <v>143</v>
      </c>
      <c r="I22" s="101">
        <v>462</v>
      </c>
      <c r="J22" s="101">
        <v>639</v>
      </c>
      <c r="K22" s="101">
        <v>829</v>
      </c>
      <c r="L22" s="101">
        <v>70</v>
      </c>
      <c r="M22" s="101">
        <v>0</v>
      </c>
      <c r="N22" s="101">
        <v>497</v>
      </c>
      <c r="O22" s="101">
        <v>41</v>
      </c>
      <c r="P22" s="284">
        <v>1225000000</v>
      </c>
      <c r="Q22" s="101">
        <v>278000000</v>
      </c>
      <c r="R22" s="101">
        <v>270137373.73737377</v>
      </c>
      <c r="S22" s="101">
        <f t="shared" si="0"/>
        <v>2861843.7212121212</v>
      </c>
      <c r="T22" s="101">
        <f t="shared" si="1"/>
        <v>705843.72121212119</v>
      </c>
      <c r="U22" s="101">
        <f t="shared" si="2"/>
        <v>705843.72121212119</v>
      </c>
      <c r="V22" s="101">
        <v>22600</v>
      </c>
      <c r="W22" s="149">
        <f t="shared" si="3"/>
        <v>3.1232023062483238E-2</v>
      </c>
      <c r="AA22" s="101"/>
      <c r="AB22" s="101"/>
      <c r="AC22" s="101"/>
      <c r="AD22" s="101"/>
      <c r="AK22" s="101"/>
      <c r="AL22" s="101"/>
      <c r="AM22" s="101"/>
    </row>
    <row r="23" spans="2:39" x14ac:dyDescent="0.25">
      <c r="B23" t="s">
        <v>213</v>
      </c>
      <c r="C23" s="101">
        <v>7197</v>
      </c>
      <c r="D23" s="101">
        <v>5149</v>
      </c>
      <c r="E23" s="101">
        <v>2048</v>
      </c>
      <c r="F23" s="101">
        <v>23</v>
      </c>
      <c r="G23" s="101">
        <v>41</v>
      </c>
      <c r="H23" s="101">
        <v>107</v>
      </c>
      <c r="I23" s="101">
        <v>200</v>
      </c>
      <c r="J23" s="101">
        <v>3300</v>
      </c>
      <c r="K23" s="101">
        <v>4740</v>
      </c>
      <c r="L23" s="101">
        <v>345</v>
      </c>
      <c r="M23" s="101">
        <v>479</v>
      </c>
      <c r="N23" s="101">
        <v>439</v>
      </c>
      <c r="O23" s="101">
        <v>59</v>
      </c>
      <c r="P23" s="101">
        <v>6000000000</v>
      </c>
      <c r="Q23" s="101">
        <v>424000000</v>
      </c>
      <c r="R23" s="101">
        <v>413487603.30578512</v>
      </c>
      <c r="S23" s="101">
        <f t="shared" si="0"/>
        <v>11035704.991735537</v>
      </c>
      <c r="T23" s="101">
        <f t="shared" si="1"/>
        <v>3838704.9917355366</v>
      </c>
      <c r="U23" s="101">
        <f t="shared" si="2"/>
        <v>3838704.9917355366</v>
      </c>
      <c r="V23" s="101">
        <v>72332</v>
      </c>
      <c r="W23" s="149">
        <f t="shared" si="3"/>
        <v>5.3070632524132286E-2</v>
      </c>
      <c r="AA23" s="101"/>
      <c r="AB23" s="101"/>
      <c r="AC23" s="101"/>
      <c r="AD23" s="101"/>
      <c r="AK23" s="101"/>
      <c r="AL23" s="101"/>
      <c r="AM23" s="101"/>
    </row>
    <row r="24" spans="2:39" x14ac:dyDescent="0.25">
      <c r="B24" t="s">
        <v>284</v>
      </c>
      <c r="C24" s="101">
        <v>12018</v>
      </c>
      <c r="D24" s="101">
        <v>7528</v>
      </c>
      <c r="E24" s="101">
        <v>4490</v>
      </c>
      <c r="F24" s="101">
        <v>58</v>
      </c>
      <c r="G24" s="101">
        <v>0</v>
      </c>
      <c r="H24" s="101">
        <v>25</v>
      </c>
      <c r="I24" s="101">
        <v>345</v>
      </c>
      <c r="J24" s="101">
        <v>3442</v>
      </c>
      <c r="K24" s="101">
        <v>6716</v>
      </c>
      <c r="L24" s="101">
        <v>1015</v>
      </c>
      <c r="M24" s="101">
        <v>680</v>
      </c>
      <c r="N24" s="101">
        <v>1300</v>
      </c>
      <c r="O24" s="101">
        <v>140</v>
      </c>
      <c r="P24" s="101">
        <v>8590000000</v>
      </c>
      <c r="Q24" s="101">
        <v>1229000000</v>
      </c>
      <c r="R24" s="101">
        <v>1225498575.4985754</v>
      </c>
      <c r="S24" s="101">
        <f t="shared" si="0"/>
        <v>17825820.7008547</v>
      </c>
      <c r="T24" s="101">
        <f t="shared" si="1"/>
        <v>5807820.7008547001</v>
      </c>
      <c r="U24" s="101">
        <f t="shared" si="2"/>
        <v>5807820.7008547001</v>
      </c>
      <c r="V24" s="101">
        <v>138751</v>
      </c>
      <c r="W24" s="149">
        <f t="shared" si="3"/>
        <v>4.1857865535057048E-2</v>
      </c>
      <c r="AA24" s="101"/>
      <c r="AB24" s="101"/>
      <c r="AC24" s="101"/>
      <c r="AD24" s="101"/>
      <c r="AK24" s="101"/>
      <c r="AL24" s="101"/>
      <c r="AM24" s="101"/>
    </row>
    <row r="25" spans="2:39" x14ac:dyDescent="0.25">
      <c r="B25" t="s">
        <v>166</v>
      </c>
      <c r="C25" s="101">
        <v>15700</v>
      </c>
      <c r="D25" s="101">
        <v>8258</v>
      </c>
      <c r="E25" s="101">
        <v>7442</v>
      </c>
      <c r="F25" s="101">
        <v>871</v>
      </c>
      <c r="G25" s="101">
        <v>0</v>
      </c>
      <c r="H25" s="101">
        <v>734</v>
      </c>
      <c r="I25" s="101">
        <v>1683</v>
      </c>
      <c r="J25" s="101">
        <v>6107</v>
      </c>
      <c r="K25" s="101">
        <v>7111</v>
      </c>
      <c r="L25" s="101">
        <v>1029</v>
      </c>
      <c r="M25" s="101">
        <v>1100</v>
      </c>
      <c r="N25" s="101">
        <v>3363</v>
      </c>
      <c r="O25" s="101">
        <v>125</v>
      </c>
      <c r="P25" s="101">
        <v>11192000000</v>
      </c>
      <c r="Q25" s="101">
        <v>2198000000</v>
      </c>
      <c r="R25" s="101">
        <v>2112708970.5546677</v>
      </c>
      <c r="S25" s="101">
        <f t="shared" si="0"/>
        <v>25021372.278475236</v>
      </c>
      <c r="T25" s="101">
        <f t="shared" si="1"/>
        <v>9321372.2784752361</v>
      </c>
      <c r="U25" s="101">
        <f t="shared" si="2"/>
        <v>9321372.2784752361</v>
      </c>
      <c r="V25" s="101">
        <v>167886</v>
      </c>
      <c r="W25" s="149">
        <f t="shared" si="3"/>
        <v>5.5522034466693092E-2</v>
      </c>
      <c r="AA25" s="101"/>
      <c r="AB25" s="101"/>
      <c r="AC25" s="101"/>
      <c r="AD25" s="101"/>
      <c r="AK25" s="101"/>
      <c r="AL25" s="101"/>
      <c r="AM25" s="101"/>
    </row>
    <row r="26" spans="2:39" x14ac:dyDescent="0.25">
      <c r="B26" t="s">
        <v>826</v>
      </c>
      <c r="C26" s="101">
        <v>5495</v>
      </c>
      <c r="D26" s="101">
        <v>2888</v>
      </c>
      <c r="E26" s="101">
        <v>2607</v>
      </c>
      <c r="F26" s="101">
        <v>0</v>
      </c>
      <c r="G26" s="101">
        <v>0</v>
      </c>
      <c r="H26" s="101">
        <v>38</v>
      </c>
      <c r="I26" s="101">
        <v>225</v>
      </c>
      <c r="J26" s="101">
        <v>2050</v>
      </c>
      <c r="K26" s="101">
        <v>2492</v>
      </c>
      <c r="L26" s="101">
        <v>352</v>
      </c>
      <c r="M26" s="101">
        <v>56</v>
      </c>
      <c r="N26" s="101">
        <v>498</v>
      </c>
      <c r="O26" s="101">
        <v>53</v>
      </c>
      <c r="P26" s="101">
        <v>2230000000</v>
      </c>
      <c r="Q26" s="101">
        <v>505000000</v>
      </c>
      <c r="R26" s="101">
        <v>494500000</v>
      </c>
      <c r="S26" s="101">
        <f t="shared" si="0"/>
        <v>5212413</v>
      </c>
      <c r="T26" s="101">
        <f t="shared" si="1"/>
        <v>-282587</v>
      </c>
      <c r="U26" s="101">
        <f t="shared" si="2"/>
        <v>0</v>
      </c>
      <c r="V26" s="101">
        <v>49699</v>
      </c>
      <c r="W26" s="149">
        <f t="shared" si="3"/>
        <v>-5.6859695366103949E-3</v>
      </c>
      <c r="AA26" s="101"/>
      <c r="AB26" s="101"/>
      <c r="AC26" s="101"/>
      <c r="AD26" s="101"/>
      <c r="AK26" s="101"/>
      <c r="AL26" s="101"/>
      <c r="AM26" s="101"/>
    </row>
    <row r="27" spans="2:39" x14ac:dyDescent="0.25">
      <c r="B27" t="s">
        <v>592</v>
      </c>
      <c r="C27" s="101">
        <v>8015</v>
      </c>
      <c r="D27" s="101">
        <v>6198</v>
      </c>
      <c r="E27" s="101">
        <v>1817</v>
      </c>
      <c r="F27" s="101">
        <v>0</v>
      </c>
      <c r="G27" s="101">
        <v>0</v>
      </c>
      <c r="H27" s="101">
        <v>154</v>
      </c>
      <c r="I27" s="101">
        <v>0</v>
      </c>
      <c r="J27" s="101">
        <v>5847</v>
      </c>
      <c r="K27" s="101">
        <v>5597</v>
      </c>
      <c r="L27" s="101">
        <v>584</v>
      </c>
      <c r="M27" s="101">
        <v>122</v>
      </c>
      <c r="N27" s="101">
        <v>386</v>
      </c>
      <c r="O27" s="101">
        <v>89</v>
      </c>
      <c r="P27" s="101">
        <v>5057000000</v>
      </c>
      <c r="Q27" s="101">
        <v>405000000</v>
      </c>
      <c r="R27" s="101">
        <v>362000000</v>
      </c>
      <c r="S27" s="101">
        <f t="shared" si="0"/>
        <v>9399936</v>
      </c>
      <c r="T27" s="101">
        <f t="shared" si="1"/>
        <v>1384936</v>
      </c>
      <c r="U27" s="101">
        <f t="shared" si="2"/>
        <v>1384936</v>
      </c>
      <c r="V27" s="101">
        <v>104278</v>
      </c>
      <c r="W27" s="149">
        <f t="shared" si="3"/>
        <v>1.3281190663418938E-2</v>
      </c>
      <c r="AA27" s="101"/>
      <c r="AB27" s="101"/>
      <c r="AC27" s="101"/>
      <c r="AD27" s="101"/>
      <c r="AK27" s="101"/>
      <c r="AL27" s="101"/>
      <c r="AM27" s="101"/>
    </row>
    <row r="28" spans="2:39" x14ac:dyDescent="0.25">
      <c r="B28" t="s">
        <v>399</v>
      </c>
      <c r="C28" s="101">
        <v>3947</v>
      </c>
      <c r="D28" s="101">
        <v>2803</v>
      </c>
      <c r="E28" s="101">
        <v>1144</v>
      </c>
      <c r="F28" s="101">
        <v>0</v>
      </c>
      <c r="G28" s="101">
        <v>0</v>
      </c>
      <c r="H28" s="101">
        <v>1126</v>
      </c>
      <c r="I28" s="101">
        <v>72</v>
      </c>
      <c r="J28" s="101">
        <v>1184</v>
      </c>
      <c r="K28" s="101">
        <v>1257</v>
      </c>
      <c r="L28" s="101">
        <v>137</v>
      </c>
      <c r="M28" s="101">
        <v>71</v>
      </c>
      <c r="N28" s="101">
        <v>130</v>
      </c>
      <c r="O28" s="101">
        <v>77</v>
      </c>
      <c r="P28" s="101">
        <v>1853000000</v>
      </c>
      <c r="Q28" s="101">
        <v>167000000</v>
      </c>
      <c r="R28" s="101">
        <v>158000000</v>
      </c>
      <c r="S28" s="101">
        <f t="shared" si="0"/>
        <v>3515292</v>
      </c>
      <c r="T28" s="101">
        <f t="shared" si="1"/>
        <v>-431708</v>
      </c>
      <c r="U28" s="101">
        <f t="shared" si="2"/>
        <v>0</v>
      </c>
      <c r="V28" s="101">
        <v>42955</v>
      </c>
      <c r="W28" s="149">
        <f t="shared" si="3"/>
        <v>-1.0050238621813526E-2</v>
      </c>
      <c r="AA28" s="101"/>
      <c r="AB28" s="101"/>
      <c r="AC28" s="101"/>
      <c r="AD28" s="101"/>
      <c r="AK28" s="101"/>
      <c r="AL28" s="101"/>
      <c r="AM28" s="101"/>
    </row>
    <row r="29" spans="2:39" x14ac:dyDescent="0.25">
      <c r="B29" t="s">
        <v>523</v>
      </c>
      <c r="C29" s="101">
        <v>6871</v>
      </c>
      <c r="D29" s="101">
        <v>4544</v>
      </c>
      <c r="E29" s="101">
        <v>2327</v>
      </c>
      <c r="F29" s="101">
        <v>69</v>
      </c>
      <c r="G29" s="101">
        <v>0</v>
      </c>
      <c r="H29" s="101">
        <v>700</v>
      </c>
      <c r="I29" s="101">
        <v>76</v>
      </c>
      <c r="J29" s="101">
        <v>4327</v>
      </c>
      <c r="K29" s="101">
        <v>4820</v>
      </c>
      <c r="L29" s="101">
        <v>642</v>
      </c>
      <c r="M29" s="101">
        <v>75</v>
      </c>
      <c r="N29" s="101">
        <v>843</v>
      </c>
      <c r="O29" s="101">
        <v>186</v>
      </c>
      <c r="P29" s="101">
        <v>5940000000</v>
      </c>
      <c r="Q29" s="101">
        <v>606000000</v>
      </c>
      <c r="R29" s="101">
        <v>536943022.29562342</v>
      </c>
      <c r="S29" s="101">
        <f t="shared" si="0"/>
        <v>11431870.037985137</v>
      </c>
      <c r="T29" s="101">
        <f t="shared" si="1"/>
        <v>4560870.0379851367</v>
      </c>
      <c r="U29" s="101">
        <f t="shared" si="2"/>
        <v>4560870.0379851367</v>
      </c>
      <c r="V29" s="101">
        <v>144558</v>
      </c>
      <c r="W29" s="149">
        <f t="shared" si="3"/>
        <v>3.1550450601039975E-2</v>
      </c>
      <c r="AA29" s="101"/>
      <c r="AB29" s="101"/>
      <c r="AC29" s="101"/>
      <c r="AD29" s="101"/>
      <c r="AK29" s="101"/>
      <c r="AL29" s="101"/>
      <c r="AM29" s="101"/>
    </row>
    <row r="30" spans="2:39" x14ac:dyDescent="0.25">
      <c r="B30" t="s">
        <v>344</v>
      </c>
      <c r="C30" s="101">
        <v>4338</v>
      </c>
      <c r="D30" s="101">
        <v>2802</v>
      </c>
      <c r="E30" s="101">
        <v>1536</v>
      </c>
      <c r="F30" s="101">
        <v>0</v>
      </c>
      <c r="G30" s="101">
        <v>0</v>
      </c>
      <c r="H30" s="101">
        <v>1200</v>
      </c>
      <c r="I30" s="101">
        <v>37</v>
      </c>
      <c r="J30" s="101">
        <v>2029</v>
      </c>
      <c r="K30" s="101">
        <v>1753</v>
      </c>
      <c r="L30" s="101">
        <v>893</v>
      </c>
      <c r="M30" s="101">
        <v>14</v>
      </c>
      <c r="N30" s="101">
        <v>687</v>
      </c>
      <c r="O30" s="101">
        <v>118</v>
      </c>
      <c r="P30" s="101">
        <v>3843000000</v>
      </c>
      <c r="Q30" s="101">
        <v>526000000</v>
      </c>
      <c r="R30" s="101">
        <v>434412940.05708849</v>
      </c>
      <c r="S30" s="101">
        <f t="shared" si="0"/>
        <v>7752708.485252141</v>
      </c>
      <c r="T30" s="101">
        <f t="shared" si="1"/>
        <v>3414708.485252141</v>
      </c>
      <c r="U30" s="101">
        <f t="shared" si="2"/>
        <v>3414708.485252141</v>
      </c>
      <c r="V30" s="101">
        <v>59410</v>
      </c>
      <c r="W30" s="149">
        <f t="shared" si="3"/>
        <v>5.747699857350852E-2</v>
      </c>
      <c r="AA30" s="101"/>
      <c r="AB30" s="101"/>
      <c r="AC30" s="101"/>
      <c r="AD30" s="101"/>
      <c r="AK30" s="101"/>
      <c r="AL30" s="101"/>
      <c r="AM30" s="101"/>
    </row>
    <row r="31" spans="2:39" x14ac:dyDescent="0.25">
      <c r="B31" t="s">
        <v>434</v>
      </c>
      <c r="C31" s="101">
        <v>2488</v>
      </c>
      <c r="D31" s="101">
        <v>1666</v>
      </c>
      <c r="E31" s="101">
        <v>822</v>
      </c>
      <c r="F31" s="101">
        <v>0</v>
      </c>
      <c r="G31" s="101">
        <v>0</v>
      </c>
      <c r="H31" s="101">
        <v>588</v>
      </c>
      <c r="I31" s="101">
        <v>279</v>
      </c>
      <c r="J31" s="101">
        <v>1679</v>
      </c>
      <c r="K31" s="101">
        <v>1502</v>
      </c>
      <c r="L31" s="101">
        <v>209</v>
      </c>
      <c r="M31" s="101">
        <v>10</v>
      </c>
      <c r="N31" s="101">
        <v>191</v>
      </c>
      <c r="O31" s="101">
        <v>27</v>
      </c>
      <c r="P31" s="101">
        <v>1936000000</v>
      </c>
      <c r="Q31" s="101">
        <v>226000000</v>
      </c>
      <c r="R31" s="101">
        <v>206500000</v>
      </c>
      <c r="S31" s="101">
        <f t="shared" si="0"/>
        <v>3822759</v>
      </c>
      <c r="T31" s="101">
        <f t="shared" si="1"/>
        <v>1334759</v>
      </c>
      <c r="U31" s="101">
        <f t="shared" si="2"/>
        <v>1334759</v>
      </c>
      <c r="V31" s="101">
        <v>42102</v>
      </c>
      <c r="W31" s="149">
        <f t="shared" si="3"/>
        <v>3.1702983231200417E-2</v>
      </c>
      <c r="AA31" s="101"/>
      <c r="AB31" s="101"/>
      <c r="AC31" s="101"/>
      <c r="AD31" s="101"/>
      <c r="AK31" s="101"/>
      <c r="AL31" s="101"/>
      <c r="AM31" s="101"/>
    </row>
    <row r="32" spans="2:39" x14ac:dyDescent="0.25">
      <c r="B32" t="s">
        <v>435</v>
      </c>
      <c r="C32" s="101">
        <v>12043</v>
      </c>
      <c r="D32" s="101">
        <v>8563</v>
      </c>
      <c r="E32" s="101">
        <v>3480</v>
      </c>
      <c r="F32" s="101">
        <v>5735</v>
      </c>
      <c r="G32" s="101">
        <v>107</v>
      </c>
      <c r="H32" s="101">
        <v>3351</v>
      </c>
      <c r="I32" s="101">
        <v>1761</v>
      </c>
      <c r="J32" s="101">
        <v>3884</v>
      </c>
      <c r="K32" s="101">
        <v>4962</v>
      </c>
      <c r="L32" s="101">
        <v>558</v>
      </c>
      <c r="M32" s="101">
        <v>460</v>
      </c>
      <c r="N32" s="101">
        <v>1105</v>
      </c>
      <c r="O32" s="101">
        <v>157</v>
      </c>
      <c r="P32" s="101">
        <v>9727000000</v>
      </c>
      <c r="Q32" s="101">
        <v>794000000</v>
      </c>
      <c r="R32" s="101">
        <v>742467548.83427846</v>
      </c>
      <c r="S32" s="101">
        <f t="shared" si="0"/>
        <v>18179236.623818524</v>
      </c>
      <c r="T32" s="101">
        <f t="shared" si="1"/>
        <v>6136236.6238185242</v>
      </c>
      <c r="U32" s="101">
        <f t="shared" si="2"/>
        <v>6136236.6238185242</v>
      </c>
      <c r="V32" s="101">
        <v>95536</v>
      </c>
      <c r="W32" s="149">
        <f t="shared" si="3"/>
        <v>6.4229574441242304E-2</v>
      </c>
      <c r="AA32" s="101"/>
      <c r="AB32" s="101"/>
      <c r="AC32" s="101"/>
      <c r="AD32" s="101"/>
      <c r="AK32" s="101"/>
      <c r="AL32" s="101"/>
      <c r="AM32" s="101"/>
    </row>
    <row r="33" spans="2:39" x14ac:dyDescent="0.25">
      <c r="B33" t="s">
        <v>345</v>
      </c>
      <c r="C33" s="101">
        <v>17931</v>
      </c>
      <c r="D33" s="101">
        <v>8820</v>
      </c>
      <c r="E33" s="101">
        <v>9111</v>
      </c>
      <c r="F33" s="101">
        <v>5325</v>
      </c>
      <c r="G33" s="101">
        <v>198</v>
      </c>
      <c r="H33" s="101">
        <v>580</v>
      </c>
      <c r="I33" s="101">
        <v>0</v>
      </c>
      <c r="J33" s="101">
        <v>14280</v>
      </c>
      <c r="K33" s="101">
        <v>10373</v>
      </c>
      <c r="L33" s="101">
        <v>1706</v>
      </c>
      <c r="M33" s="101">
        <v>34</v>
      </c>
      <c r="N33" s="101">
        <v>1023</v>
      </c>
      <c r="O33" s="101">
        <v>544</v>
      </c>
      <c r="P33" s="101">
        <v>9953000000</v>
      </c>
      <c r="Q33" s="101">
        <v>1884000000</v>
      </c>
      <c r="R33" s="101">
        <v>1746500000</v>
      </c>
      <c r="S33" s="101">
        <f t="shared" si="0"/>
        <v>21923769</v>
      </c>
      <c r="T33" s="101">
        <f t="shared" si="1"/>
        <v>3992769</v>
      </c>
      <c r="U33" s="101">
        <f t="shared" si="2"/>
        <v>3992769</v>
      </c>
      <c r="V33" s="101">
        <v>335457</v>
      </c>
      <c r="W33" s="149">
        <f t="shared" si="3"/>
        <v>1.1902476323343975E-2</v>
      </c>
      <c r="AA33" s="101"/>
      <c r="AB33" s="101"/>
      <c r="AC33" s="101"/>
      <c r="AD33" s="101"/>
      <c r="AK33" s="101"/>
      <c r="AL33" s="101"/>
      <c r="AM33" s="101"/>
    </row>
    <row r="34" spans="2:39" x14ac:dyDescent="0.25">
      <c r="B34" t="s">
        <v>167</v>
      </c>
      <c r="C34" s="101">
        <v>11391</v>
      </c>
      <c r="D34" s="101">
        <v>7314</v>
      </c>
      <c r="E34" s="101">
        <v>4077</v>
      </c>
      <c r="F34" s="101">
        <v>11</v>
      </c>
      <c r="G34" s="101">
        <v>0</v>
      </c>
      <c r="H34" s="101">
        <v>368</v>
      </c>
      <c r="I34" s="101">
        <v>203</v>
      </c>
      <c r="J34" s="101">
        <v>7540</v>
      </c>
      <c r="K34" s="101">
        <v>3261</v>
      </c>
      <c r="L34" s="101">
        <v>516</v>
      </c>
      <c r="M34" s="101">
        <v>270</v>
      </c>
      <c r="N34" s="101">
        <v>1518</v>
      </c>
      <c r="O34" s="101">
        <v>105</v>
      </c>
      <c r="P34" s="101">
        <v>7107000000</v>
      </c>
      <c r="Q34" s="101">
        <v>1108000000</v>
      </c>
      <c r="R34" s="101">
        <v>929500000</v>
      </c>
      <c r="S34" s="101">
        <f t="shared" si="0"/>
        <v>14759223</v>
      </c>
      <c r="T34" s="101">
        <f t="shared" si="1"/>
        <v>3368223</v>
      </c>
      <c r="U34" s="101">
        <f t="shared" si="2"/>
        <v>3368223</v>
      </c>
      <c r="V34" s="101">
        <v>136258</v>
      </c>
      <c r="W34" s="149">
        <f t="shared" si="3"/>
        <v>2.4719451334967488E-2</v>
      </c>
      <c r="AA34" s="101"/>
      <c r="AB34" s="101"/>
      <c r="AC34" s="101"/>
      <c r="AD34" s="101"/>
      <c r="AK34" s="101"/>
      <c r="AL34" s="101"/>
      <c r="AM34" s="101"/>
    </row>
    <row r="35" spans="2:39" x14ac:dyDescent="0.25">
      <c r="B35" t="s">
        <v>346</v>
      </c>
      <c r="C35" s="101">
        <v>8529</v>
      </c>
      <c r="D35" s="101">
        <v>5211</v>
      </c>
      <c r="E35" s="101">
        <v>3318</v>
      </c>
      <c r="F35" s="101">
        <v>0</v>
      </c>
      <c r="G35" s="101">
        <v>0</v>
      </c>
      <c r="H35" s="101">
        <v>142</v>
      </c>
      <c r="I35" s="101">
        <v>29</v>
      </c>
      <c r="J35" s="101">
        <v>2790</v>
      </c>
      <c r="K35" s="101">
        <v>3528</v>
      </c>
      <c r="L35" s="101">
        <v>487</v>
      </c>
      <c r="M35" s="101">
        <v>41</v>
      </c>
      <c r="N35" s="101">
        <v>1711</v>
      </c>
      <c r="O35" s="101">
        <v>199</v>
      </c>
      <c r="P35" s="101">
        <v>5998000000</v>
      </c>
      <c r="Q35" s="101">
        <v>638000000</v>
      </c>
      <c r="R35" s="101">
        <v>559500000</v>
      </c>
      <c r="S35" s="101">
        <f t="shared" si="0"/>
        <v>11613537</v>
      </c>
      <c r="T35" s="101">
        <f t="shared" si="1"/>
        <v>3084537</v>
      </c>
      <c r="U35" s="101">
        <f t="shared" si="2"/>
        <v>3084537</v>
      </c>
      <c r="V35" s="101">
        <v>91927</v>
      </c>
      <c r="W35" s="149">
        <f t="shared" si="3"/>
        <v>3.3554200615705944E-2</v>
      </c>
      <c r="AA35" s="101"/>
      <c r="AB35" s="101"/>
      <c r="AC35" s="101"/>
      <c r="AD35" s="101"/>
      <c r="AK35" s="101"/>
      <c r="AL35" s="101"/>
      <c r="AM35" s="101"/>
    </row>
    <row r="36" spans="2:39" x14ac:dyDescent="0.25">
      <c r="B36" t="s">
        <v>347</v>
      </c>
      <c r="C36" s="101">
        <v>7633</v>
      </c>
      <c r="D36" s="101">
        <v>4600</v>
      </c>
      <c r="E36" s="101">
        <v>3033</v>
      </c>
      <c r="F36" s="101">
        <v>0</v>
      </c>
      <c r="G36" s="101">
        <v>87</v>
      </c>
      <c r="H36" s="101">
        <v>113</v>
      </c>
      <c r="I36" s="101">
        <v>71</v>
      </c>
      <c r="J36" s="101">
        <v>2817</v>
      </c>
      <c r="K36" s="101">
        <v>5068</v>
      </c>
      <c r="L36" s="101">
        <v>591</v>
      </c>
      <c r="M36" s="101">
        <v>4</v>
      </c>
      <c r="N36" s="101">
        <v>1453</v>
      </c>
      <c r="O36" s="101">
        <v>662</v>
      </c>
      <c r="P36" s="101">
        <v>5782000000</v>
      </c>
      <c r="Q36" s="101">
        <v>801000000</v>
      </c>
      <c r="R36" s="101">
        <v>774483447.84509683</v>
      </c>
      <c r="S36" s="101">
        <f t="shared" si="0"/>
        <v>11874978.284821985</v>
      </c>
      <c r="T36" s="101">
        <f t="shared" si="1"/>
        <v>4241978.2848219853</v>
      </c>
      <c r="U36" s="101">
        <f t="shared" si="2"/>
        <v>4241978.2848219853</v>
      </c>
      <c r="V36" s="101">
        <v>94062</v>
      </c>
      <c r="W36" s="149">
        <f t="shared" si="3"/>
        <v>4.5097683281473767E-2</v>
      </c>
      <c r="AA36" s="101"/>
      <c r="AB36" s="101"/>
      <c r="AC36" s="101"/>
      <c r="AD36" s="101"/>
      <c r="AK36" s="101"/>
      <c r="AL36" s="101"/>
      <c r="AM36" s="101"/>
    </row>
    <row r="37" spans="2:39" x14ac:dyDescent="0.25">
      <c r="B37" t="s">
        <v>168</v>
      </c>
      <c r="C37" s="101">
        <v>8686</v>
      </c>
      <c r="D37" s="101">
        <v>5231</v>
      </c>
      <c r="E37" s="101">
        <v>3455</v>
      </c>
      <c r="F37" s="101">
        <v>0</v>
      </c>
      <c r="G37" s="101">
        <v>0</v>
      </c>
      <c r="H37" s="101">
        <v>271</v>
      </c>
      <c r="I37" s="101">
        <v>330</v>
      </c>
      <c r="J37" s="101">
        <v>2792</v>
      </c>
      <c r="K37" s="101">
        <v>2161</v>
      </c>
      <c r="L37" s="101">
        <v>460</v>
      </c>
      <c r="M37" s="101">
        <v>53</v>
      </c>
      <c r="N37" s="101">
        <v>807</v>
      </c>
      <c r="O37" s="101">
        <v>45</v>
      </c>
      <c r="P37" s="101">
        <v>4505000000</v>
      </c>
      <c r="Q37" s="101">
        <v>397000000</v>
      </c>
      <c r="R37" s="101">
        <v>378500000</v>
      </c>
      <c r="S37" s="101">
        <f t="shared" si="0"/>
        <v>8522727</v>
      </c>
      <c r="T37" s="101">
        <f t="shared" si="1"/>
        <v>-163273</v>
      </c>
      <c r="U37" s="101">
        <f t="shared" si="2"/>
        <v>0</v>
      </c>
      <c r="V37" s="101">
        <v>83772</v>
      </c>
      <c r="W37" s="149">
        <f t="shared" si="3"/>
        <v>-1.9490163777873275E-3</v>
      </c>
      <c r="AA37" s="101"/>
      <c r="AB37" s="101"/>
      <c r="AC37" s="101"/>
      <c r="AD37" s="101"/>
      <c r="AK37" s="101"/>
      <c r="AL37" s="101"/>
      <c r="AM37" s="101"/>
    </row>
    <row r="38" spans="2:39" x14ac:dyDescent="0.25">
      <c r="B38" t="s">
        <v>241</v>
      </c>
      <c r="C38" s="101">
        <v>10441</v>
      </c>
      <c r="D38" s="101">
        <v>5276</v>
      </c>
      <c r="E38" s="101">
        <v>5165</v>
      </c>
      <c r="F38" s="101">
        <v>1458</v>
      </c>
      <c r="G38" s="101">
        <v>181</v>
      </c>
      <c r="H38" s="101">
        <v>168</v>
      </c>
      <c r="I38" s="101">
        <v>193</v>
      </c>
      <c r="J38" s="101">
        <v>4262</v>
      </c>
      <c r="K38" s="101">
        <v>6235</v>
      </c>
      <c r="L38" s="101">
        <v>815</v>
      </c>
      <c r="M38" s="101">
        <v>584</v>
      </c>
      <c r="N38" s="101">
        <v>766</v>
      </c>
      <c r="O38" s="101">
        <v>659</v>
      </c>
      <c r="P38" s="101">
        <v>6799000000</v>
      </c>
      <c r="Q38" s="101">
        <v>1156000000</v>
      </c>
      <c r="R38" s="101">
        <v>1142500000</v>
      </c>
      <c r="S38" s="101">
        <f t="shared" si="0"/>
        <v>14683365</v>
      </c>
      <c r="T38" s="101">
        <f t="shared" si="1"/>
        <v>4242365</v>
      </c>
      <c r="U38" s="101">
        <f t="shared" si="2"/>
        <v>4242365</v>
      </c>
      <c r="V38" s="101">
        <v>150249</v>
      </c>
      <c r="W38" s="149">
        <f t="shared" si="3"/>
        <v>2.8235562299915473E-2</v>
      </c>
      <c r="AA38" s="101"/>
      <c r="AB38" s="101"/>
      <c r="AC38" s="101"/>
      <c r="AD38" s="101"/>
      <c r="AK38" s="101"/>
      <c r="AL38" s="101"/>
      <c r="AM38" s="101"/>
    </row>
    <row r="39" spans="2:39" x14ac:dyDescent="0.25">
      <c r="B39" t="s">
        <v>348</v>
      </c>
      <c r="C39" s="101">
        <v>5001</v>
      </c>
      <c r="D39" s="101">
        <v>2675</v>
      </c>
      <c r="E39" s="101">
        <v>2326</v>
      </c>
      <c r="F39" s="101">
        <v>4</v>
      </c>
      <c r="G39" s="101">
        <v>0</v>
      </c>
      <c r="H39" s="101">
        <v>1419</v>
      </c>
      <c r="I39" s="101">
        <v>96</v>
      </c>
      <c r="J39" s="101">
        <v>2129</v>
      </c>
      <c r="K39" s="101">
        <v>1412</v>
      </c>
      <c r="L39" s="101">
        <v>278</v>
      </c>
      <c r="M39" s="101">
        <v>0</v>
      </c>
      <c r="N39" s="101">
        <v>572</v>
      </c>
      <c r="O39" s="101">
        <v>91</v>
      </c>
      <c r="P39" s="101">
        <v>3989000000</v>
      </c>
      <c r="Q39" s="101">
        <v>799000000</v>
      </c>
      <c r="R39" s="101">
        <v>799000000</v>
      </c>
      <c r="S39" s="101">
        <f t="shared" si="0"/>
        <v>9017418</v>
      </c>
      <c r="T39" s="101">
        <f t="shared" si="1"/>
        <v>4016418</v>
      </c>
      <c r="U39" s="101">
        <f t="shared" si="2"/>
        <v>4016418</v>
      </c>
      <c r="V39" s="101">
        <v>62279</v>
      </c>
      <c r="W39" s="149">
        <f t="shared" si="3"/>
        <v>6.4490727211419574E-2</v>
      </c>
      <c r="AA39" s="101"/>
      <c r="AB39" s="101"/>
      <c r="AC39" s="101"/>
      <c r="AD39" s="101"/>
      <c r="AK39" s="101"/>
      <c r="AL39" s="101"/>
      <c r="AM39" s="101"/>
    </row>
    <row r="40" spans="2:39" x14ac:dyDescent="0.25">
      <c r="B40" t="s">
        <v>242</v>
      </c>
      <c r="C40" s="101">
        <v>5571</v>
      </c>
      <c r="D40" s="101">
        <v>4321</v>
      </c>
      <c r="E40" s="101">
        <v>1250</v>
      </c>
      <c r="F40" s="101">
        <v>0</v>
      </c>
      <c r="G40" s="101">
        <v>0</v>
      </c>
      <c r="H40" s="101">
        <v>37</v>
      </c>
      <c r="I40" s="101">
        <v>2</v>
      </c>
      <c r="J40" s="101">
        <v>1348</v>
      </c>
      <c r="K40" s="101">
        <v>1773</v>
      </c>
      <c r="L40" s="101">
        <v>158</v>
      </c>
      <c r="M40" s="101">
        <v>156</v>
      </c>
      <c r="N40" s="101">
        <v>737</v>
      </c>
      <c r="O40" s="101">
        <v>56</v>
      </c>
      <c r="P40" s="101">
        <v>4782000000</v>
      </c>
      <c r="Q40" s="101">
        <v>186000000</v>
      </c>
      <c r="R40" s="101">
        <v>177500000</v>
      </c>
      <c r="S40" s="101">
        <f t="shared" si="0"/>
        <v>8304837</v>
      </c>
      <c r="T40" s="101">
        <f t="shared" si="1"/>
        <v>2733837</v>
      </c>
      <c r="U40" s="101">
        <f t="shared" si="2"/>
        <v>2733837</v>
      </c>
      <c r="V40" s="101">
        <v>41570</v>
      </c>
      <c r="W40" s="149">
        <f t="shared" si="3"/>
        <v>6.5764662015876829E-2</v>
      </c>
      <c r="AA40" s="101"/>
      <c r="AB40" s="101"/>
      <c r="AC40" s="101"/>
      <c r="AD40" s="101"/>
      <c r="AK40" s="101"/>
      <c r="AL40" s="101"/>
      <c r="AM40" s="101"/>
    </row>
    <row r="41" spans="2:39" x14ac:dyDescent="0.25">
      <c r="B41" t="s">
        <v>243</v>
      </c>
      <c r="C41" s="101">
        <v>12302</v>
      </c>
      <c r="D41" s="101">
        <v>10211</v>
      </c>
      <c r="E41" s="101">
        <v>2091</v>
      </c>
      <c r="F41" s="101">
        <v>2958</v>
      </c>
      <c r="G41" s="101">
        <v>38</v>
      </c>
      <c r="H41" s="101">
        <v>2125</v>
      </c>
      <c r="I41" s="101">
        <v>1</v>
      </c>
      <c r="J41" s="101">
        <v>3446</v>
      </c>
      <c r="K41" s="101">
        <v>3993</v>
      </c>
      <c r="L41" s="101">
        <v>490</v>
      </c>
      <c r="M41" s="101">
        <v>328</v>
      </c>
      <c r="N41" s="101">
        <v>715</v>
      </c>
      <c r="O41" s="101">
        <v>64</v>
      </c>
      <c r="P41" s="101">
        <v>9530000000</v>
      </c>
      <c r="Q41" s="101">
        <v>287000000</v>
      </c>
      <c r="R41" s="101">
        <v>267966841.18673646</v>
      </c>
      <c r="S41" s="101">
        <f t="shared" si="0"/>
        <v>16277136.481675394</v>
      </c>
      <c r="T41" s="101">
        <f t="shared" si="1"/>
        <v>3975136.4816753939</v>
      </c>
      <c r="U41" s="101">
        <f t="shared" si="2"/>
        <v>3975136.4816753939</v>
      </c>
      <c r="V41" s="101">
        <v>70796</v>
      </c>
      <c r="W41" s="149">
        <f t="shared" si="3"/>
        <v>5.6149167773255466E-2</v>
      </c>
      <c r="AA41" s="101"/>
      <c r="AB41" s="101"/>
      <c r="AC41" s="101"/>
      <c r="AD41" s="101"/>
      <c r="AK41" s="101"/>
      <c r="AL41" s="101"/>
      <c r="AM41" s="101"/>
    </row>
    <row r="42" spans="2:39" x14ac:dyDescent="0.25">
      <c r="B42" t="s">
        <v>285</v>
      </c>
      <c r="C42" s="101">
        <v>14066</v>
      </c>
      <c r="D42" s="101">
        <v>8789</v>
      </c>
      <c r="E42" s="101">
        <v>5277</v>
      </c>
      <c r="F42" s="101">
        <v>12</v>
      </c>
      <c r="G42" s="101">
        <v>11</v>
      </c>
      <c r="H42" s="101">
        <v>932</v>
      </c>
      <c r="I42" s="101">
        <v>379</v>
      </c>
      <c r="J42" s="101">
        <v>5486</v>
      </c>
      <c r="K42" s="101">
        <v>5463</v>
      </c>
      <c r="L42" s="101">
        <v>689</v>
      </c>
      <c r="M42" s="101">
        <v>510</v>
      </c>
      <c r="N42" s="101">
        <v>2153</v>
      </c>
      <c r="O42" s="101">
        <v>159</v>
      </c>
      <c r="P42" s="101">
        <v>6993000000</v>
      </c>
      <c r="Q42" s="101">
        <v>800000000</v>
      </c>
      <c r="R42" s="101">
        <v>761500000</v>
      </c>
      <c r="S42" s="101">
        <f t="shared" si="0"/>
        <v>13806963</v>
      </c>
      <c r="T42" s="101">
        <f t="shared" si="1"/>
        <v>-259037</v>
      </c>
      <c r="U42" s="101">
        <f t="shared" si="2"/>
        <v>0</v>
      </c>
      <c r="V42" s="101">
        <v>107616</v>
      </c>
      <c r="W42" s="149">
        <f t="shared" si="3"/>
        <v>-2.4070491376746951E-3</v>
      </c>
      <c r="AA42" s="101"/>
      <c r="AB42" s="101"/>
      <c r="AC42" s="101"/>
      <c r="AD42" s="101"/>
      <c r="AK42" s="101"/>
      <c r="AL42" s="101"/>
      <c r="AM42" s="101"/>
    </row>
    <row r="43" spans="2:39" x14ac:dyDescent="0.25">
      <c r="B43" t="s">
        <v>349</v>
      </c>
      <c r="C43" s="101">
        <v>3238</v>
      </c>
      <c r="D43" s="101">
        <v>2109</v>
      </c>
      <c r="E43" s="101">
        <v>1129</v>
      </c>
      <c r="F43" s="101">
        <v>0</v>
      </c>
      <c r="G43" s="101">
        <v>0</v>
      </c>
      <c r="H43" s="101">
        <v>40</v>
      </c>
      <c r="I43" s="101">
        <v>0</v>
      </c>
      <c r="J43" s="101">
        <v>1277</v>
      </c>
      <c r="K43" s="101">
        <v>1541</v>
      </c>
      <c r="L43" s="101">
        <v>196</v>
      </c>
      <c r="M43" s="101">
        <v>90</v>
      </c>
      <c r="N43" s="101">
        <v>315</v>
      </c>
      <c r="O43" s="101">
        <v>93</v>
      </c>
      <c r="P43" s="101">
        <v>1867000000</v>
      </c>
      <c r="Q43" s="101">
        <v>298000000</v>
      </c>
      <c r="R43" s="101">
        <v>255428571.4285714</v>
      </c>
      <c r="S43" s="101">
        <f t="shared" si="0"/>
        <v>3906571.7142857141</v>
      </c>
      <c r="T43" s="101">
        <f t="shared" si="1"/>
        <v>668571.71428571409</v>
      </c>
      <c r="U43" s="101">
        <f t="shared" si="2"/>
        <v>668571.71428571409</v>
      </c>
      <c r="V43" s="101">
        <v>53817</v>
      </c>
      <c r="W43" s="149">
        <f t="shared" si="3"/>
        <v>1.2423058035299516E-2</v>
      </c>
      <c r="AA43" s="101"/>
      <c r="AB43" s="101"/>
      <c r="AC43" s="101"/>
      <c r="AD43" s="101"/>
      <c r="AK43" s="101"/>
      <c r="AL43" s="101"/>
      <c r="AM43" s="101"/>
    </row>
    <row r="44" spans="2:39" x14ac:dyDescent="0.25">
      <c r="B44" t="s">
        <v>106</v>
      </c>
      <c r="C44" s="101">
        <v>7014</v>
      </c>
      <c r="D44" s="101">
        <v>5269</v>
      </c>
      <c r="E44" s="101">
        <v>1745</v>
      </c>
      <c r="F44" s="101">
        <v>0</v>
      </c>
      <c r="G44" s="101">
        <v>0</v>
      </c>
      <c r="H44" s="101">
        <v>1848</v>
      </c>
      <c r="I44" s="101">
        <v>207</v>
      </c>
      <c r="J44" s="101">
        <v>3186</v>
      </c>
      <c r="K44" s="101">
        <v>2606</v>
      </c>
      <c r="L44" s="101">
        <v>439</v>
      </c>
      <c r="M44" s="101">
        <v>178</v>
      </c>
      <c r="N44" s="101">
        <v>438</v>
      </c>
      <c r="O44" s="101">
        <v>29</v>
      </c>
      <c r="P44" s="101">
        <v>3577000000</v>
      </c>
      <c r="Q44" s="101">
        <v>621000000</v>
      </c>
      <c r="R44" s="101">
        <v>541500000</v>
      </c>
      <c r="S44" s="101">
        <f t="shared" si="0"/>
        <v>7649553</v>
      </c>
      <c r="T44" s="101">
        <f t="shared" si="1"/>
        <v>635553</v>
      </c>
      <c r="U44" s="101">
        <f t="shared" si="2"/>
        <v>635553</v>
      </c>
      <c r="V44" s="101">
        <v>85916</v>
      </c>
      <c r="W44" s="149">
        <f t="shared" si="3"/>
        <v>7.3973765072861868E-3</v>
      </c>
      <c r="AA44" s="101"/>
      <c r="AB44" s="101"/>
      <c r="AC44" s="101"/>
      <c r="AD44" s="101"/>
      <c r="AK44" s="101"/>
      <c r="AL44" s="101"/>
      <c r="AM44" s="101"/>
    </row>
    <row r="45" spans="2:39" x14ac:dyDescent="0.25">
      <c r="B45" t="s">
        <v>140</v>
      </c>
      <c r="C45" s="101">
        <v>8289</v>
      </c>
      <c r="D45" s="101">
        <v>5496</v>
      </c>
      <c r="E45" s="101">
        <v>2793</v>
      </c>
      <c r="F45" s="101">
        <v>10</v>
      </c>
      <c r="G45" s="101">
        <v>0</v>
      </c>
      <c r="H45" s="101">
        <v>0</v>
      </c>
      <c r="I45" s="101">
        <v>224</v>
      </c>
      <c r="J45" s="101">
        <v>1981</v>
      </c>
      <c r="K45" s="101">
        <v>2313</v>
      </c>
      <c r="L45" s="101">
        <v>359</v>
      </c>
      <c r="M45" s="101">
        <v>127</v>
      </c>
      <c r="N45" s="101">
        <v>453</v>
      </c>
      <c r="O45" s="101">
        <v>134</v>
      </c>
      <c r="P45" s="101">
        <v>4100000000</v>
      </c>
      <c r="Q45" s="101">
        <v>385000000</v>
      </c>
      <c r="R45" s="101">
        <v>359466840.0520156</v>
      </c>
      <c r="S45" s="101">
        <f t="shared" si="0"/>
        <v>7818969.4798439527</v>
      </c>
      <c r="T45" s="101">
        <f t="shared" si="1"/>
        <v>-470030.52015604731</v>
      </c>
      <c r="U45" s="101">
        <f t="shared" si="2"/>
        <v>0</v>
      </c>
      <c r="V45" s="101">
        <v>74150</v>
      </c>
      <c r="W45" s="149">
        <f t="shared" si="3"/>
        <v>-6.3389146346061673E-3</v>
      </c>
      <c r="AA45" s="101"/>
      <c r="AB45" s="101"/>
      <c r="AC45" s="101"/>
      <c r="AD45" s="101"/>
      <c r="AK45" s="101"/>
      <c r="AL45" s="101"/>
      <c r="AM45" s="101"/>
    </row>
    <row r="46" spans="2:39" x14ac:dyDescent="0.25">
      <c r="B46" t="s">
        <v>328</v>
      </c>
      <c r="C46" s="101">
        <v>8941</v>
      </c>
      <c r="D46" s="101">
        <v>3290</v>
      </c>
      <c r="E46" s="101">
        <v>5651</v>
      </c>
      <c r="F46" s="101">
        <v>0</v>
      </c>
      <c r="G46" s="101">
        <v>0</v>
      </c>
      <c r="H46" s="101">
        <v>0</v>
      </c>
      <c r="I46" s="101">
        <v>55</v>
      </c>
      <c r="J46" s="101">
        <v>1950</v>
      </c>
      <c r="K46" s="101">
        <v>3435</v>
      </c>
      <c r="L46" s="101">
        <v>288</v>
      </c>
      <c r="M46" s="101">
        <v>325</v>
      </c>
      <c r="N46" s="101">
        <v>515</v>
      </c>
      <c r="O46" s="101">
        <v>20</v>
      </c>
      <c r="P46" s="101">
        <v>3185000000</v>
      </c>
      <c r="Q46" s="101">
        <v>1130000000</v>
      </c>
      <c r="R46" s="101">
        <v>1130000000</v>
      </c>
      <c r="S46" s="101">
        <f t="shared" si="0"/>
        <v>8788230</v>
      </c>
      <c r="T46" s="101">
        <f t="shared" si="1"/>
        <v>-152770</v>
      </c>
      <c r="U46" s="101">
        <f t="shared" si="2"/>
        <v>0</v>
      </c>
      <c r="V46" s="101">
        <v>68157</v>
      </c>
      <c r="W46" s="149">
        <f t="shared" si="3"/>
        <v>-2.2414425517555056E-3</v>
      </c>
      <c r="AA46" s="101"/>
      <c r="AB46" s="101"/>
      <c r="AC46" s="101"/>
      <c r="AD46" s="101"/>
      <c r="AK46" s="101"/>
      <c r="AL46" s="101"/>
      <c r="AM46" s="101"/>
    </row>
    <row r="47" spans="2:39" x14ac:dyDescent="0.25">
      <c r="B47" t="s">
        <v>351</v>
      </c>
      <c r="C47" s="101">
        <v>9531</v>
      </c>
      <c r="D47" s="101">
        <v>5880</v>
      </c>
      <c r="E47" s="101">
        <v>3651</v>
      </c>
      <c r="F47" s="101">
        <v>186</v>
      </c>
      <c r="G47" s="101">
        <v>21</v>
      </c>
      <c r="H47" s="101">
        <v>30</v>
      </c>
      <c r="I47" s="101">
        <v>48</v>
      </c>
      <c r="J47" s="101">
        <v>3523</v>
      </c>
      <c r="K47" s="101">
        <v>4167</v>
      </c>
      <c r="L47" s="101">
        <v>446</v>
      </c>
      <c r="M47" s="101">
        <v>199</v>
      </c>
      <c r="N47" s="101">
        <v>1059</v>
      </c>
      <c r="O47" s="101">
        <v>157</v>
      </c>
      <c r="P47" s="101">
        <v>5599000000</v>
      </c>
      <c r="Q47" s="101">
        <v>688000000</v>
      </c>
      <c r="R47" s="101">
        <v>656477090.90909088</v>
      </c>
      <c r="S47" s="101">
        <f t="shared" si="0"/>
        <v>11206772.024727272</v>
      </c>
      <c r="T47" s="101">
        <f t="shared" si="1"/>
        <v>1675772.0247272719</v>
      </c>
      <c r="U47" s="101">
        <f t="shared" si="2"/>
        <v>1675772.0247272719</v>
      </c>
      <c r="V47" s="101">
        <v>114218</v>
      </c>
      <c r="W47" s="149">
        <f t="shared" si="3"/>
        <v>1.4671698197545675E-2</v>
      </c>
      <c r="AA47" s="101"/>
      <c r="AB47" s="101"/>
      <c r="AC47" s="101"/>
      <c r="AD47" s="101"/>
      <c r="AK47" s="101"/>
      <c r="AL47" s="101"/>
      <c r="AM47" s="101"/>
    </row>
    <row r="48" spans="2:39" x14ac:dyDescent="0.25">
      <c r="B48" t="s">
        <v>352</v>
      </c>
      <c r="C48" s="101">
        <v>39348</v>
      </c>
      <c r="D48" s="101">
        <v>19255</v>
      </c>
      <c r="E48" s="101">
        <v>20093</v>
      </c>
      <c r="F48" s="101">
        <v>19176</v>
      </c>
      <c r="G48" s="101">
        <v>881</v>
      </c>
      <c r="H48" s="101">
        <v>1425</v>
      </c>
      <c r="I48" s="101">
        <v>1004</v>
      </c>
      <c r="J48" s="101">
        <v>18189</v>
      </c>
      <c r="K48" s="101">
        <v>28443</v>
      </c>
      <c r="L48" s="101">
        <v>5521</v>
      </c>
      <c r="M48" s="101">
        <v>0</v>
      </c>
      <c r="N48" s="101">
        <v>6398</v>
      </c>
      <c r="O48" s="101">
        <v>1355</v>
      </c>
      <c r="P48" s="101">
        <v>34589000000</v>
      </c>
      <c r="Q48" s="101">
        <v>5392000000</v>
      </c>
      <c r="R48" s="101">
        <v>5274000000</v>
      </c>
      <c r="S48" s="101">
        <f t="shared" si="0"/>
        <v>73041570</v>
      </c>
      <c r="T48" s="101">
        <f t="shared" si="1"/>
        <v>33693570</v>
      </c>
      <c r="U48" s="101">
        <f t="shared" si="2"/>
        <v>33693570</v>
      </c>
      <c r="V48" s="101">
        <v>844837</v>
      </c>
      <c r="W48" s="149">
        <f t="shared" si="3"/>
        <v>3.9881740501422167E-2</v>
      </c>
      <c r="AA48" s="101"/>
      <c r="AB48" s="101"/>
      <c r="AC48" s="101"/>
      <c r="AD48" s="101"/>
      <c r="AK48" s="101"/>
      <c r="AL48" s="101"/>
      <c r="AM48" s="101"/>
    </row>
    <row r="49" spans="2:39" x14ac:dyDescent="0.25">
      <c r="B49" t="s">
        <v>169</v>
      </c>
      <c r="C49" s="101">
        <v>8444</v>
      </c>
      <c r="D49" s="101">
        <v>5838</v>
      </c>
      <c r="E49" s="101">
        <v>2606</v>
      </c>
      <c r="F49" s="101">
        <v>0</v>
      </c>
      <c r="G49" s="101">
        <v>0</v>
      </c>
      <c r="H49" s="101">
        <v>340</v>
      </c>
      <c r="I49" s="101">
        <v>192</v>
      </c>
      <c r="J49" s="101">
        <v>4534</v>
      </c>
      <c r="K49" s="101">
        <v>3680</v>
      </c>
      <c r="L49" s="101">
        <v>324</v>
      </c>
      <c r="M49" s="101">
        <v>139</v>
      </c>
      <c r="N49" s="101">
        <v>1299</v>
      </c>
      <c r="O49" s="101">
        <v>17</v>
      </c>
      <c r="P49" s="101">
        <v>7064000000</v>
      </c>
      <c r="Q49" s="101">
        <v>843000000</v>
      </c>
      <c r="R49" s="101">
        <v>702000000</v>
      </c>
      <c r="S49" s="101">
        <f t="shared" si="0"/>
        <v>13894926</v>
      </c>
      <c r="T49" s="101">
        <f t="shared" si="1"/>
        <v>5450926</v>
      </c>
      <c r="U49" s="101">
        <f t="shared" si="2"/>
        <v>5450926</v>
      </c>
      <c r="V49" s="101">
        <v>96064</v>
      </c>
      <c r="W49" s="149">
        <f t="shared" si="3"/>
        <v>5.674265073284477E-2</v>
      </c>
      <c r="AA49" s="101"/>
      <c r="AB49" s="101"/>
      <c r="AC49" s="101"/>
      <c r="AD49" s="101"/>
      <c r="AK49" s="101"/>
      <c r="AL49" s="101"/>
      <c r="AM49" s="101"/>
    </row>
    <row r="50" spans="2:39" x14ac:dyDescent="0.25">
      <c r="B50" t="s">
        <v>170</v>
      </c>
      <c r="C50" s="101">
        <v>6932</v>
      </c>
      <c r="D50" s="101">
        <v>4820</v>
      </c>
      <c r="E50" s="101">
        <v>2112</v>
      </c>
      <c r="F50" s="101">
        <v>0</v>
      </c>
      <c r="G50" s="101">
        <v>0</v>
      </c>
      <c r="H50" s="101">
        <v>1294</v>
      </c>
      <c r="I50" s="101">
        <v>44</v>
      </c>
      <c r="J50" s="101">
        <v>3487</v>
      </c>
      <c r="K50" s="101">
        <v>1786</v>
      </c>
      <c r="L50" s="101">
        <v>345</v>
      </c>
      <c r="M50" s="101">
        <v>119</v>
      </c>
      <c r="N50" s="101">
        <v>521</v>
      </c>
      <c r="O50" s="101">
        <v>111</v>
      </c>
      <c r="P50" s="101">
        <v>3768000000</v>
      </c>
      <c r="Q50" s="101">
        <v>376000000</v>
      </c>
      <c r="R50" s="101">
        <v>345960053.26231694</v>
      </c>
      <c r="S50" s="101">
        <f t="shared" si="0"/>
        <v>7246795.5259653786</v>
      </c>
      <c r="T50" s="101">
        <f t="shared" si="1"/>
        <v>314795.52596537862</v>
      </c>
      <c r="U50" s="101">
        <f t="shared" si="2"/>
        <v>314795.52596537862</v>
      </c>
      <c r="V50" s="101">
        <v>65162</v>
      </c>
      <c r="W50" s="149">
        <f t="shared" si="3"/>
        <v>4.8309678334823762E-3</v>
      </c>
      <c r="AA50" s="101"/>
      <c r="AB50" s="101"/>
      <c r="AC50" s="101"/>
      <c r="AD50" s="101"/>
      <c r="AK50" s="101"/>
      <c r="AL50" s="101"/>
      <c r="AM50" s="101"/>
    </row>
    <row r="51" spans="2:39" x14ac:dyDescent="0.25">
      <c r="B51" t="s">
        <v>400</v>
      </c>
      <c r="C51" s="101">
        <v>6495</v>
      </c>
      <c r="D51" s="101">
        <v>4700</v>
      </c>
      <c r="E51" s="101">
        <v>1795</v>
      </c>
      <c r="F51" s="101">
        <v>0</v>
      </c>
      <c r="G51" s="101">
        <v>22</v>
      </c>
      <c r="H51" s="101">
        <v>172</v>
      </c>
      <c r="I51" s="101">
        <v>221</v>
      </c>
      <c r="J51" s="101">
        <v>4169</v>
      </c>
      <c r="K51" s="101">
        <v>4499</v>
      </c>
      <c r="L51" s="101">
        <v>540</v>
      </c>
      <c r="M51" s="101">
        <v>60</v>
      </c>
      <c r="N51" s="101">
        <v>409</v>
      </c>
      <c r="O51" s="101">
        <v>90</v>
      </c>
      <c r="P51" s="101">
        <v>3244000000</v>
      </c>
      <c r="Q51" s="101">
        <v>372000000</v>
      </c>
      <c r="R51" s="101">
        <v>364990578.73485869</v>
      </c>
      <c r="S51" s="101">
        <f t="shared" si="0"/>
        <v>6425318.7940780614</v>
      </c>
      <c r="T51" s="101">
        <f t="shared" si="1"/>
        <v>-69681.205921938643</v>
      </c>
      <c r="U51" s="101">
        <f t="shared" si="2"/>
        <v>0</v>
      </c>
      <c r="V51" s="101">
        <v>118580</v>
      </c>
      <c r="W51" s="149">
        <f t="shared" si="3"/>
        <v>-5.876303417265866E-4</v>
      </c>
      <c r="AA51" s="101"/>
      <c r="AB51" s="101"/>
      <c r="AC51" s="101"/>
      <c r="AD51" s="101"/>
      <c r="AK51" s="101"/>
      <c r="AL51" s="101"/>
      <c r="AM51" s="101"/>
    </row>
    <row r="52" spans="2:39" x14ac:dyDescent="0.25">
      <c r="B52" t="s">
        <v>214</v>
      </c>
      <c r="C52" s="101">
        <v>6769</v>
      </c>
      <c r="D52" s="101">
        <v>4438</v>
      </c>
      <c r="E52" s="101">
        <v>2331</v>
      </c>
      <c r="F52" s="101">
        <v>6</v>
      </c>
      <c r="G52" s="101">
        <v>0</v>
      </c>
      <c r="H52" s="101">
        <v>271</v>
      </c>
      <c r="I52" s="101">
        <v>0</v>
      </c>
      <c r="J52" s="101">
        <v>1923</v>
      </c>
      <c r="K52" s="101">
        <v>2198</v>
      </c>
      <c r="L52" s="101">
        <v>292</v>
      </c>
      <c r="M52" s="101">
        <v>0</v>
      </c>
      <c r="N52" s="101">
        <v>338</v>
      </c>
      <c r="O52" s="101">
        <v>126</v>
      </c>
      <c r="P52" s="101">
        <v>3516000000</v>
      </c>
      <c r="Q52" s="101">
        <v>351000000</v>
      </c>
      <c r="R52" s="101">
        <v>334476462.19686162</v>
      </c>
      <c r="S52" s="101">
        <f t="shared" si="0"/>
        <v>6781183.0099857347</v>
      </c>
      <c r="T52" s="101">
        <f t="shared" si="1"/>
        <v>12183.009985734709</v>
      </c>
      <c r="U52" s="101">
        <f t="shared" si="2"/>
        <v>12183.009985734709</v>
      </c>
      <c r="V52" s="101">
        <v>40319</v>
      </c>
      <c r="W52" s="149">
        <f t="shared" si="3"/>
        <v>3.0216547994083953E-4</v>
      </c>
      <c r="AA52" s="101"/>
      <c r="AB52" s="101"/>
      <c r="AC52" s="101"/>
      <c r="AD52" s="101"/>
      <c r="AK52" s="101"/>
      <c r="AL52" s="101"/>
      <c r="AM52" s="101"/>
    </row>
    <row r="53" spans="2:39" x14ac:dyDescent="0.25">
      <c r="B53" t="s">
        <v>215</v>
      </c>
      <c r="C53" s="101">
        <v>5132</v>
      </c>
      <c r="D53" s="101">
        <v>3024</v>
      </c>
      <c r="E53" s="101">
        <v>2108</v>
      </c>
      <c r="F53" s="101">
        <v>65</v>
      </c>
      <c r="G53" s="101">
        <v>74</v>
      </c>
      <c r="H53" s="101">
        <v>0</v>
      </c>
      <c r="I53" s="101">
        <v>29</v>
      </c>
      <c r="J53" s="101">
        <v>1888</v>
      </c>
      <c r="K53" s="101">
        <v>2705</v>
      </c>
      <c r="L53" s="101">
        <v>292</v>
      </c>
      <c r="M53" s="101">
        <v>445</v>
      </c>
      <c r="N53" s="101">
        <v>616</v>
      </c>
      <c r="O53" s="101">
        <v>310</v>
      </c>
      <c r="P53" s="101">
        <v>3875000000</v>
      </c>
      <c r="Q53" s="101">
        <v>634000000</v>
      </c>
      <c r="R53" s="101">
        <v>598471981.05761647</v>
      </c>
      <c r="S53" s="101">
        <f t="shared" si="0"/>
        <v>8243459.7774269925</v>
      </c>
      <c r="T53" s="101">
        <f t="shared" si="1"/>
        <v>3111459.7774269925</v>
      </c>
      <c r="U53" s="101">
        <f t="shared" si="2"/>
        <v>3111459.7774269925</v>
      </c>
      <c r="V53" s="101">
        <v>70367</v>
      </c>
      <c r="W53" s="149">
        <f t="shared" si="3"/>
        <v>4.4217598837906866E-2</v>
      </c>
      <c r="AA53" s="101"/>
      <c r="AB53" s="101"/>
      <c r="AC53" s="101"/>
      <c r="AD53" s="101"/>
      <c r="AK53" s="101"/>
      <c r="AL53" s="101"/>
      <c r="AM53" s="101"/>
    </row>
    <row r="54" spans="2:39" x14ac:dyDescent="0.25">
      <c r="B54" t="s">
        <v>171</v>
      </c>
      <c r="C54" s="101">
        <v>8206</v>
      </c>
      <c r="D54" s="101">
        <v>5866</v>
      </c>
      <c r="E54" s="101">
        <v>2340</v>
      </c>
      <c r="F54" s="101">
        <v>1</v>
      </c>
      <c r="G54" s="101">
        <v>0</v>
      </c>
      <c r="H54" s="101">
        <v>385</v>
      </c>
      <c r="I54" s="101">
        <v>124</v>
      </c>
      <c r="J54" s="101">
        <v>3079</v>
      </c>
      <c r="K54" s="101">
        <v>0</v>
      </c>
      <c r="L54" s="101">
        <v>474</v>
      </c>
      <c r="M54" s="101">
        <v>156</v>
      </c>
      <c r="N54" s="101">
        <v>1823</v>
      </c>
      <c r="O54" s="101">
        <v>342</v>
      </c>
      <c r="P54" s="101">
        <v>4886000000</v>
      </c>
      <c r="Q54" s="101">
        <v>574000000</v>
      </c>
      <c r="R54" s="101">
        <v>510000000</v>
      </c>
      <c r="S54" s="101">
        <f t="shared" si="0"/>
        <v>9635580</v>
      </c>
      <c r="T54" s="101">
        <f t="shared" si="1"/>
        <v>1429580</v>
      </c>
      <c r="U54" s="101">
        <f t="shared" si="2"/>
        <v>1429580</v>
      </c>
      <c r="V54" s="101">
        <v>77279</v>
      </c>
      <c r="W54" s="149">
        <f t="shared" si="3"/>
        <v>1.8498945379727998E-2</v>
      </c>
      <c r="AA54" s="101"/>
      <c r="AB54" s="101"/>
      <c r="AC54" s="101"/>
      <c r="AD54" s="101"/>
      <c r="AK54" s="101"/>
      <c r="AL54" s="101"/>
      <c r="AM54" s="101"/>
    </row>
    <row r="55" spans="2:39" x14ac:dyDescent="0.25">
      <c r="B55" t="s">
        <v>287</v>
      </c>
      <c r="C55" s="101">
        <v>13532</v>
      </c>
      <c r="D55" s="101">
        <v>8093</v>
      </c>
      <c r="E55" s="101">
        <v>5439</v>
      </c>
      <c r="F55" s="101">
        <v>0</v>
      </c>
      <c r="G55" s="101">
        <v>0</v>
      </c>
      <c r="H55" s="101">
        <v>77</v>
      </c>
      <c r="I55" s="101">
        <v>288</v>
      </c>
      <c r="J55" s="101">
        <v>4148</v>
      </c>
      <c r="K55" s="101">
        <v>8121</v>
      </c>
      <c r="L55" s="101">
        <v>1539</v>
      </c>
      <c r="M55" s="101">
        <v>0</v>
      </c>
      <c r="N55" s="101">
        <v>717</v>
      </c>
      <c r="O55" s="101">
        <v>1811</v>
      </c>
      <c r="P55" s="101">
        <v>11172000000</v>
      </c>
      <c r="Q55" s="101">
        <v>1256000000</v>
      </c>
      <c r="R55" s="101">
        <v>1214483472.7200317</v>
      </c>
      <c r="S55" s="101">
        <f t="shared" si="0"/>
        <v>22018968.32497013</v>
      </c>
      <c r="T55" s="101">
        <f t="shared" si="1"/>
        <v>8486968.3249701299</v>
      </c>
      <c r="U55" s="101">
        <f t="shared" si="2"/>
        <v>8486968.3249701299</v>
      </c>
      <c r="V55" s="101">
        <v>247994</v>
      </c>
      <c r="W55" s="149">
        <f t="shared" si="3"/>
        <v>3.4222474434744909E-2</v>
      </c>
      <c r="AA55" s="101"/>
      <c r="AB55" s="101"/>
      <c r="AC55" s="101"/>
      <c r="AD55" s="101"/>
      <c r="AK55" s="101"/>
      <c r="AL55" s="101"/>
      <c r="AM55" s="101"/>
    </row>
    <row r="56" spans="2:39" x14ac:dyDescent="0.25">
      <c r="B56" t="s">
        <v>244</v>
      </c>
      <c r="C56" s="101">
        <v>7823</v>
      </c>
      <c r="D56" s="101">
        <v>5632</v>
      </c>
      <c r="E56" s="101">
        <v>2191</v>
      </c>
      <c r="F56" s="101">
        <v>0</v>
      </c>
      <c r="G56" s="101">
        <v>27</v>
      </c>
      <c r="H56" s="101">
        <v>1507</v>
      </c>
      <c r="I56" s="101">
        <v>181</v>
      </c>
      <c r="J56" s="101">
        <v>3822</v>
      </c>
      <c r="K56" s="101">
        <v>4530</v>
      </c>
      <c r="L56" s="101">
        <v>754</v>
      </c>
      <c r="M56" s="101">
        <v>250</v>
      </c>
      <c r="N56" s="101">
        <v>1280</v>
      </c>
      <c r="O56" s="101">
        <v>100</v>
      </c>
      <c r="P56" s="101">
        <v>8174000000</v>
      </c>
      <c r="Q56" s="101">
        <v>528000000</v>
      </c>
      <c r="R56" s="101">
        <v>513486255.92417061</v>
      </c>
      <c r="S56" s="101">
        <f t="shared" si="0"/>
        <v>14873794.817061612</v>
      </c>
      <c r="T56" s="101">
        <f t="shared" si="1"/>
        <v>7050794.8170616124</v>
      </c>
      <c r="U56" s="101">
        <f t="shared" si="2"/>
        <v>7050794.8170616124</v>
      </c>
      <c r="V56" s="101">
        <v>87971</v>
      </c>
      <c r="W56" s="149">
        <f t="shared" si="3"/>
        <v>8.0149081141076176E-2</v>
      </c>
      <c r="AA56" s="101"/>
      <c r="AB56" s="101"/>
      <c r="AC56" s="101"/>
      <c r="AD56" s="101"/>
      <c r="AK56" s="101"/>
      <c r="AL56" s="101"/>
      <c r="AM56" s="101"/>
    </row>
    <row r="57" spans="2:39" x14ac:dyDescent="0.25">
      <c r="B57" t="s">
        <v>107</v>
      </c>
      <c r="C57" s="101">
        <v>9784</v>
      </c>
      <c r="D57" s="101">
        <v>6585</v>
      </c>
      <c r="E57" s="101">
        <v>3199</v>
      </c>
      <c r="F57" s="101">
        <v>0</v>
      </c>
      <c r="G57" s="101">
        <v>0</v>
      </c>
      <c r="H57" s="101">
        <v>1890</v>
      </c>
      <c r="I57" s="101">
        <v>343</v>
      </c>
      <c r="J57" s="101">
        <v>3779</v>
      </c>
      <c r="K57" s="101">
        <v>4720</v>
      </c>
      <c r="L57" s="101">
        <v>544</v>
      </c>
      <c r="M57" s="101">
        <v>470</v>
      </c>
      <c r="N57" s="101">
        <v>1148</v>
      </c>
      <c r="O57" s="101">
        <v>74</v>
      </c>
      <c r="P57" s="101">
        <v>4769000000</v>
      </c>
      <c r="Q57" s="101">
        <v>826000000</v>
      </c>
      <c r="R57" s="101">
        <v>738947304.66384017</v>
      </c>
      <c r="S57" s="101">
        <f t="shared" si="0"/>
        <v>10222990.949727438</v>
      </c>
      <c r="T57" s="101">
        <f t="shared" si="1"/>
        <v>438990.94972743839</v>
      </c>
      <c r="U57" s="101">
        <f t="shared" si="2"/>
        <v>438990.94972743839</v>
      </c>
      <c r="V57" s="101">
        <v>130215</v>
      </c>
      <c r="W57" s="149">
        <f t="shared" si="3"/>
        <v>3.3712778844790414E-3</v>
      </c>
      <c r="AA57" s="101"/>
      <c r="AB57" s="101"/>
      <c r="AC57" s="101"/>
      <c r="AD57" s="101"/>
      <c r="AK57" s="101"/>
      <c r="AL57" s="101"/>
      <c r="AM57" s="101"/>
    </row>
    <row r="58" spans="2:39" x14ac:dyDescent="0.25">
      <c r="B58" t="s">
        <v>353</v>
      </c>
      <c r="C58" s="101">
        <v>5943</v>
      </c>
      <c r="D58" s="101">
        <v>3423</v>
      </c>
      <c r="E58" s="101">
        <v>2520</v>
      </c>
      <c r="F58" s="101">
        <v>0</v>
      </c>
      <c r="G58" s="101">
        <v>12</v>
      </c>
      <c r="H58" s="101">
        <v>247</v>
      </c>
      <c r="I58" s="101">
        <v>33</v>
      </c>
      <c r="J58" s="101">
        <v>2350</v>
      </c>
      <c r="K58" s="101">
        <v>2195</v>
      </c>
      <c r="L58" s="101">
        <v>407</v>
      </c>
      <c r="M58" s="101">
        <v>55</v>
      </c>
      <c r="N58" s="101">
        <v>514</v>
      </c>
      <c r="O58" s="101">
        <v>72</v>
      </c>
      <c r="P58" s="101">
        <v>3414000000</v>
      </c>
      <c r="Q58" s="101">
        <v>528000000</v>
      </c>
      <c r="R58" s="101">
        <v>479954502.36966825</v>
      </c>
      <c r="S58" s="101">
        <f t="shared" si="0"/>
        <v>7137034.5668246439</v>
      </c>
      <c r="T58" s="101">
        <f t="shared" si="1"/>
        <v>1194034.5668246439</v>
      </c>
      <c r="U58" s="101">
        <f t="shared" si="2"/>
        <v>1194034.5668246439</v>
      </c>
      <c r="V58" s="101">
        <v>65534</v>
      </c>
      <c r="W58" s="149">
        <f t="shared" si="3"/>
        <v>1.8220077621153047E-2</v>
      </c>
      <c r="AA58" s="101"/>
      <c r="AB58" s="101"/>
      <c r="AC58" s="101"/>
      <c r="AD58" s="101"/>
      <c r="AK58" s="101"/>
      <c r="AL58" s="101"/>
      <c r="AM58" s="101"/>
    </row>
    <row r="59" spans="2:39" x14ac:dyDescent="0.25">
      <c r="B59" t="s">
        <v>172</v>
      </c>
      <c r="C59" s="101">
        <v>8230</v>
      </c>
      <c r="D59" s="101">
        <v>4893</v>
      </c>
      <c r="E59" s="101">
        <v>3337</v>
      </c>
      <c r="F59" s="101">
        <v>556</v>
      </c>
      <c r="G59" s="101">
        <v>33</v>
      </c>
      <c r="H59" s="101">
        <v>21</v>
      </c>
      <c r="I59" s="101">
        <v>103</v>
      </c>
      <c r="J59" s="101">
        <v>3787</v>
      </c>
      <c r="K59" s="101">
        <v>0</v>
      </c>
      <c r="L59" s="101">
        <v>283</v>
      </c>
      <c r="M59" s="101">
        <v>0</v>
      </c>
      <c r="N59" s="101">
        <v>700</v>
      </c>
      <c r="O59" s="101">
        <v>122</v>
      </c>
      <c r="P59" s="101">
        <v>5094000000</v>
      </c>
      <c r="Q59" s="101">
        <v>565000000</v>
      </c>
      <c r="R59" s="101">
        <v>545482728.07794511</v>
      </c>
      <c r="S59" s="101">
        <f t="shared" si="0"/>
        <v>10014035.123117803</v>
      </c>
      <c r="T59" s="101">
        <f t="shared" si="1"/>
        <v>1784035.1231178027</v>
      </c>
      <c r="U59" s="101">
        <f t="shared" si="2"/>
        <v>1784035.1231178027</v>
      </c>
      <c r="V59" s="101">
        <v>96280</v>
      </c>
      <c r="W59" s="149">
        <f t="shared" si="3"/>
        <v>1.8529654373886609E-2</v>
      </c>
      <c r="AA59" s="101"/>
      <c r="AB59" s="101"/>
      <c r="AC59" s="101"/>
      <c r="AD59" s="101"/>
      <c r="AK59" s="101"/>
      <c r="AL59" s="101"/>
      <c r="AM59" s="101"/>
    </row>
    <row r="60" spans="2:39" x14ac:dyDescent="0.25">
      <c r="B60" t="s">
        <v>141</v>
      </c>
      <c r="C60" s="101">
        <v>7802</v>
      </c>
      <c r="D60" s="101">
        <v>5121</v>
      </c>
      <c r="E60" s="101">
        <v>2681</v>
      </c>
      <c r="F60" s="101">
        <v>0</v>
      </c>
      <c r="G60" s="101">
        <v>12</v>
      </c>
      <c r="H60" s="101">
        <v>203</v>
      </c>
      <c r="I60" s="101">
        <v>220</v>
      </c>
      <c r="J60" s="101">
        <v>1586</v>
      </c>
      <c r="K60" s="101">
        <v>2928</v>
      </c>
      <c r="L60" s="101">
        <v>666</v>
      </c>
      <c r="M60" s="101">
        <v>303</v>
      </c>
      <c r="N60" s="101">
        <v>1773</v>
      </c>
      <c r="O60" s="101">
        <v>142</v>
      </c>
      <c r="P60" s="101">
        <v>5234000000</v>
      </c>
      <c r="Q60" s="101">
        <v>673000000</v>
      </c>
      <c r="R60" s="101">
        <v>596443122.67657995</v>
      </c>
      <c r="S60" s="101">
        <f t="shared" si="0"/>
        <v>10496557.200000001</v>
      </c>
      <c r="T60" s="101">
        <f t="shared" si="1"/>
        <v>2694557.2000000011</v>
      </c>
      <c r="U60" s="101">
        <f t="shared" si="2"/>
        <v>2694557.2000000011</v>
      </c>
      <c r="V60" s="101">
        <v>87950</v>
      </c>
      <c r="W60" s="149">
        <f t="shared" si="3"/>
        <v>3.0637375781694159E-2</v>
      </c>
      <c r="AA60" s="101"/>
      <c r="AB60" s="101"/>
      <c r="AC60" s="101"/>
      <c r="AD60" s="101"/>
      <c r="AK60" s="101"/>
      <c r="AL60" s="101"/>
      <c r="AM60" s="101"/>
    </row>
    <row r="61" spans="2:39" x14ac:dyDescent="0.25">
      <c r="B61" t="s">
        <v>127</v>
      </c>
      <c r="C61" s="101">
        <v>4623</v>
      </c>
      <c r="D61" s="101">
        <v>3468</v>
      </c>
      <c r="E61" s="101">
        <v>1155</v>
      </c>
      <c r="F61" s="101">
        <v>2</v>
      </c>
      <c r="G61" s="101">
        <v>0</v>
      </c>
      <c r="H61" s="101">
        <v>47</v>
      </c>
      <c r="I61" s="101">
        <v>0</v>
      </c>
      <c r="J61" s="101">
        <v>1550</v>
      </c>
      <c r="K61" s="101">
        <v>1977</v>
      </c>
      <c r="L61" s="101">
        <v>288</v>
      </c>
      <c r="M61" s="101">
        <v>0</v>
      </c>
      <c r="N61" s="101">
        <v>257</v>
      </c>
      <c r="O61" s="101">
        <v>34</v>
      </c>
      <c r="P61" s="101">
        <v>2469000000</v>
      </c>
      <c r="Q61" s="101">
        <v>274000000</v>
      </c>
      <c r="R61" s="101">
        <v>227000000</v>
      </c>
      <c r="S61" s="101">
        <f t="shared" si="0"/>
        <v>4793580</v>
      </c>
      <c r="T61" s="101">
        <f t="shared" si="1"/>
        <v>170580</v>
      </c>
      <c r="U61" s="101">
        <f t="shared" si="2"/>
        <v>170580</v>
      </c>
      <c r="V61" s="101">
        <v>66373</v>
      </c>
      <c r="W61" s="149">
        <f t="shared" si="3"/>
        <v>2.570020942250614E-3</v>
      </c>
      <c r="AA61" s="101"/>
      <c r="AB61" s="101"/>
      <c r="AC61" s="101"/>
      <c r="AD61" s="101"/>
      <c r="AK61" s="101"/>
      <c r="AL61" s="101"/>
      <c r="AM61" s="101"/>
    </row>
    <row r="62" spans="2:39" x14ac:dyDescent="0.25">
      <c r="B62" t="s">
        <v>216</v>
      </c>
      <c r="C62" s="101">
        <v>14389</v>
      </c>
      <c r="D62" s="101">
        <v>10007</v>
      </c>
      <c r="E62" s="101">
        <v>4382</v>
      </c>
      <c r="F62" s="101">
        <v>0</v>
      </c>
      <c r="G62" s="101">
        <v>69</v>
      </c>
      <c r="H62" s="101">
        <v>230</v>
      </c>
      <c r="I62" s="101">
        <v>454</v>
      </c>
      <c r="J62" s="101">
        <v>4948</v>
      </c>
      <c r="K62" s="101">
        <v>5731</v>
      </c>
      <c r="L62" s="101">
        <v>847</v>
      </c>
      <c r="M62" s="101">
        <v>532</v>
      </c>
      <c r="N62" s="101">
        <v>1349</v>
      </c>
      <c r="O62" s="101">
        <v>224</v>
      </c>
      <c r="P62" s="101">
        <v>11374000000</v>
      </c>
      <c r="Q62" s="101">
        <v>841000000</v>
      </c>
      <c r="R62" s="101">
        <v>797500000</v>
      </c>
      <c r="S62" s="101">
        <f t="shared" si="0"/>
        <v>21002175</v>
      </c>
      <c r="T62" s="101">
        <f t="shared" si="1"/>
        <v>6613175</v>
      </c>
      <c r="U62" s="101">
        <f t="shared" si="2"/>
        <v>6613175</v>
      </c>
      <c r="V62" s="101">
        <v>130190</v>
      </c>
      <c r="W62" s="149">
        <f t="shared" si="3"/>
        <v>5.0796336124126276E-2</v>
      </c>
      <c r="AA62" s="101"/>
      <c r="AB62" s="101"/>
      <c r="AC62" s="101"/>
      <c r="AD62" s="101"/>
      <c r="AK62" s="101"/>
      <c r="AL62" s="101"/>
      <c r="AM62" s="101"/>
    </row>
    <row r="63" spans="2:39" x14ac:dyDescent="0.25">
      <c r="B63" t="s">
        <v>525</v>
      </c>
      <c r="C63" s="101">
        <v>12442</v>
      </c>
      <c r="D63" s="101">
        <v>7897</v>
      </c>
      <c r="E63" s="101">
        <v>4545</v>
      </c>
      <c r="F63" s="101">
        <v>0</v>
      </c>
      <c r="G63" s="101">
        <v>88</v>
      </c>
      <c r="H63" s="101">
        <v>960</v>
      </c>
      <c r="I63" s="101">
        <v>1679</v>
      </c>
      <c r="J63" s="101">
        <v>5248</v>
      </c>
      <c r="K63" s="101">
        <v>6192</v>
      </c>
      <c r="L63" s="101">
        <v>478</v>
      </c>
      <c r="M63" s="101">
        <v>424</v>
      </c>
      <c r="N63" s="101">
        <v>1468</v>
      </c>
      <c r="O63" s="101">
        <v>821</v>
      </c>
      <c r="P63" s="101">
        <v>8437000000</v>
      </c>
      <c r="Q63" s="101">
        <v>1207000000</v>
      </c>
      <c r="R63" s="101">
        <v>1068000000</v>
      </c>
      <c r="S63" s="101">
        <f t="shared" si="0"/>
        <v>17289168</v>
      </c>
      <c r="T63" s="101">
        <f t="shared" si="1"/>
        <v>4847168</v>
      </c>
      <c r="U63" s="101">
        <f t="shared" si="2"/>
        <v>4847168</v>
      </c>
      <c r="V63" s="101">
        <v>159155</v>
      </c>
      <c r="W63" s="149">
        <f t="shared" si="3"/>
        <v>3.0455643869184128E-2</v>
      </c>
      <c r="AA63" s="101"/>
      <c r="AB63" s="101"/>
      <c r="AC63" s="101"/>
      <c r="AD63" s="101"/>
      <c r="AK63" s="101"/>
      <c r="AL63" s="101"/>
      <c r="AM63" s="101"/>
    </row>
    <row r="64" spans="2:39" x14ac:dyDescent="0.25">
      <c r="B64" t="s">
        <v>217</v>
      </c>
      <c r="C64" s="101">
        <v>11103</v>
      </c>
      <c r="D64" s="101">
        <v>6596</v>
      </c>
      <c r="E64" s="101">
        <v>4507</v>
      </c>
      <c r="F64" s="101">
        <v>6</v>
      </c>
      <c r="G64" s="101">
        <v>0</v>
      </c>
      <c r="H64" s="101">
        <v>695</v>
      </c>
      <c r="I64" s="101">
        <v>549</v>
      </c>
      <c r="J64" s="101">
        <v>5314</v>
      </c>
      <c r="K64" s="101">
        <v>6202</v>
      </c>
      <c r="L64" s="101">
        <v>806</v>
      </c>
      <c r="M64" s="101">
        <v>68</v>
      </c>
      <c r="N64" s="101">
        <v>1932</v>
      </c>
      <c r="O64" s="101">
        <v>228</v>
      </c>
      <c r="P64" s="101">
        <v>10256000000</v>
      </c>
      <c r="Q64" s="101">
        <v>1106000000</v>
      </c>
      <c r="R64" s="101">
        <v>1012000000.0000001</v>
      </c>
      <c r="S64" s="101">
        <f t="shared" si="0"/>
        <v>19971636</v>
      </c>
      <c r="T64" s="101">
        <f t="shared" si="1"/>
        <v>8868636</v>
      </c>
      <c r="U64" s="101">
        <f t="shared" si="2"/>
        <v>8868636</v>
      </c>
      <c r="V64" s="101">
        <v>120821</v>
      </c>
      <c r="W64" s="149">
        <f t="shared" si="3"/>
        <v>7.3403100454391204E-2</v>
      </c>
      <c r="AA64" s="101"/>
      <c r="AB64" s="101"/>
      <c r="AC64" s="101"/>
      <c r="AD64" s="101"/>
      <c r="AK64" s="101"/>
      <c r="AL64" s="101"/>
      <c r="AM64" s="101"/>
    </row>
    <row r="65" spans="2:39" x14ac:dyDescent="0.25">
      <c r="B65" t="s">
        <v>115</v>
      </c>
      <c r="C65" s="101">
        <v>5037</v>
      </c>
      <c r="D65" s="101">
        <v>3518</v>
      </c>
      <c r="E65" s="101">
        <v>1519</v>
      </c>
      <c r="F65" s="101">
        <v>0</v>
      </c>
      <c r="G65" s="101">
        <v>0</v>
      </c>
      <c r="H65" s="101">
        <v>388</v>
      </c>
      <c r="I65" s="101">
        <v>126</v>
      </c>
      <c r="J65" s="101">
        <v>2712</v>
      </c>
      <c r="K65" s="101">
        <v>2485</v>
      </c>
      <c r="L65" s="101">
        <v>499</v>
      </c>
      <c r="M65" s="101">
        <v>224</v>
      </c>
      <c r="N65" s="101">
        <v>691</v>
      </c>
      <c r="O65" s="101">
        <v>59</v>
      </c>
      <c r="P65" s="101">
        <v>4157000000</v>
      </c>
      <c r="Q65" s="101">
        <v>483000000</v>
      </c>
      <c r="R65" s="101">
        <v>405500000</v>
      </c>
      <c r="S65" s="101">
        <f t="shared" si="0"/>
        <v>8143437</v>
      </c>
      <c r="T65" s="101">
        <f t="shared" si="1"/>
        <v>3106437</v>
      </c>
      <c r="U65" s="101">
        <f t="shared" si="2"/>
        <v>3106437</v>
      </c>
      <c r="V65" s="101">
        <v>65910</v>
      </c>
      <c r="W65" s="149">
        <f t="shared" si="3"/>
        <v>4.7131497496586253E-2</v>
      </c>
      <c r="AA65" s="101"/>
      <c r="AB65" s="101"/>
      <c r="AC65" s="101"/>
      <c r="AD65" s="101"/>
      <c r="AK65" s="101"/>
      <c r="AL65" s="101"/>
      <c r="AM65" s="101"/>
    </row>
    <row r="66" spans="2:39" x14ac:dyDescent="0.25">
      <c r="B66" t="s">
        <v>288</v>
      </c>
      <c r="C66" s="101">
        <v>33151</v>
      </c>
      <c r="D66" s="101">
        <v>17070</v>
      </c>
      <c r="E66" s="101">
        <v>16081</v>
      </c>
      <c r="F66" s="101">
        <v>8872</v>
      </c>
      <c r="G66" s="101">
        <v>509</v>
      </c>
      <c r="H66" s="101">
        <v>1541</v>
      </c>
      <c r="I66" s="101">
        <v>254</v>
      </c>
      <c r="J66" s="101">
        <v>14374</v>
      </c>
      <c r="K66" s="101">
        <v>18811</v>
      </c>
      <c r="L66" s="101">
        <v>1321</v>
      </c>
      <c r="M66" s="101">
        <v>0</v>
      </c>
      <c r="N66" s="101">
        <v>3949</v>
      </c>
      <c r="O66" s="101">
        <v>264</v>
      </c>
      <c r="P66" s="101">
        <v>18150000000</v>
      </c>
      <c r="Q66" s="101">
        <v>2796000000</v>
      </c>
      <c r="R66" s="101">
        <v>2721486675.0134144</v>
      </c>
      <c r="S66" s="101">
        <f t="shared" si="0"/>
        <v>38199323.493471645</v>
      </c>
      <c r="T66" s="101">
        <f t="shared" si="1"/>
        <v>5048323.4934716448</v>
      </c>
      <c r="U66" s="101">
        <f t="shared" si="2"/>
        <v>5048323.4934716448</v>
      </c>
      <c r="V66" s="101">
        <v>471879</v>
      </c>
      <c r="W66" s="149">
        <f t="shared" si="3"/>
        <v>1.0698343205507438E-2</v>
      </c>
      <c r="AA66" s="101"/>
      <c r="AB66" s="101"/>
      <c r="AC66" s="101"/>
      <c r="AD66" s="101"/>
      <c r="AK66" s="101"/>
      <c r="AL66" s="101"/>
      <c r="AM66" s="101"/>
    </row>
    <row r="67" spans="2:39" x14ac:dyDescent="0.25">
      <c r="B67" t="s">
        <v>245</v>
      </c>
      <c r="C67" s="101">
        <v>15975</v>
      </c>
      <c r="D67" s="101">
        <v>7413</v>
      </c>
      <c r="E67" s="101">
        <v>8562</v>
      </c>
      <c r="F67" s="101">
        <v>52</v>
      </c>
      <c r="G67" s="101">
        <v>0</v>
      </c>
      <c r="H67" s="101">
        <v>884</v>
      </c>
      <c r="I67" s="101">
        <v>894</v>
      </c>
      <c r="J67" s="101">
        <v>4228</v>
      </c>
      <c r="K67" s="101">
        <v>11828</v>
      </c>
      <c r="L67" s="101">
        <v>930</v>
      </c>
      <c r="M67" s="101">
        <v>268</v>
      </c>
      <c r="N67" s="101">
        <v>1290</v>
      </c>
      <c r="O67" s="101">
        <v>109</v>
      </c>
      <c r="P67" s="101">
        <f>6807000000*109.3%</f>
        <v>7440051000</v>
      </c>
      <c r="Q67" s="101">
        <v>1243000000</v>
      </c>
      <c r="R67" s="101">
        <v>1225500000</v>
      </c>
      <c r="S67" s="101">
        <f t="shared" ref="S67:S130" si="4">0.001614*(SUM(P67,Q67,R67))</f>
        <v>15992401.313999999</v>
      </c>
      <c r="T67" s="101">
        <f t="shared" ref="T67:T130" si="5">SUM(S67,-C67*1000)</f>
        <v>17401.313999999315</v>
      </c>
      <c r="U67" s="101">
        <f t="shared" ref="U67:U130" si="6">IF(T67&gt;0,T67,0)</f>
        <v>17401.313999999315</v>
      </c>
      <c r="V67" s="101">
        <v>240484</v>
      </c>
      <c r="W67" s="149">
        <f t="shared" ref="W67:W130" si="7">T67/(V67*1000)</f>
        <v>7.2359549907683316E-5</v>
      </c>
      <c r="AA67" s="101"/>
      <c r="AB67" s="101"/>
      <c r="AC67" s="101"/>
      <c r="AD67" s="101"/>
      <c r="AK67" s="101"/>
      <c r="AL67" s="101"/>
      <c r="AM67" s="101"/>
    </row>
    <row r="68" spans="2:39" x14ac:dyDescent="0.25">
      <c r="B68" t="s">
        <v>355</v>
      </c>
      <c r="C68" s="101">
        <v>9303</v>
      </c>
      <c r="D68" s="101">
        <v>6156</v>
      </c>
      <c r="E68" s="101">
        <v>3147</v>
      </c>
      <c r="F68" s="101">
        <v>30</v>
      </c>
      <c r="G68" s="101">
        <v>0</v>
      </c>
      <c r="H68" s="101">
        <v>460</v>
      </c>
      <c r="I68" s="101">
        <v>178</v>
      </c>
      <c r="J68" s="101">
        <v>4645</v>
      </c>
      <c r="K68" s="101">
        <v>2756</v>
      </c>
      <c r="L68" s="101">
        <v>609</v>
      </c>
      <c r="M68" s="101">
        <v>42</v>
      </c>
      <c r="N68" s="101">
        <v>1503</v>
      </c>
      <c r="O68" s="101">
        <v>178</v>
      </c>
      <c r="P68" s="101">
        <v>5575000000</v>
      </c>
      <c r="Q68" s="101">
        <v>886000000</v>
      </c>
      <c r="R68" s="101">
        <v>779000000</v>
      </c>
      <c r="S68" s="101">
        <f t="shared" si="4"/>
        <v>11685360</v>
      </c>
      <c r="T68" s="101">
        <f t="shared" si="5"/>
        <v>2382360</v>
      </c>
      <c r="U68" s="101">
        <f t="shared" si="6"/>
        <v>2382360</v>
      </c>
      <c r="V68" s="101">
        <v>114532</v>
      </c>
      <c r="W68" s="149">
        <f t="shared" si="7"/>
        <v>2.0800824223797715E-2</v>
      </c>
      <c r="AA68" s="101"/>
      <c r="AB68" s="101"/>
      <c r="AC68" s="101"/>
      <c r="AD68" s="101"/>
      <c r="AK68" s="101"/>
      <c r="AL68" s="101"/>
      <c r="AM68" s="101"/>
    </row>
    <row r="69" spans="2:39" x14ac:dyDescent="0.25">
      <c r="B69" t="s">
        <v>142</v>
      </c>
      <c r="C69" s="101">
        <v>31618</v>
      </c>
      <c r="D69" s="101">
        <v>17552</v>
      </c>
      <c r="E69" s="101">
        <v>14066</v>
      </c>
      <c r="F69" s="101">
        <v>5696</v>
      </c>
      <c r="G69" s="101">
        <v>206</v>
      </c>
      <c r="H69" s="101">
        <v>444</v>
      </c>
      <c r="I69" s="101">
        <v>367</v>
      </c>
      <c r="J69" s="101">
        <v>9329</v>
      </c>
      <c r="K69" s="101">
        <v>13139</v>
      </c>
      <c r="L69" s="101">
        <v>1835</v>
      </c>
      <c r="M69" s="101">
        <v>181</v>
      </c>
      <c r="N69" s="101">
        <v>4952</v>
      </c>
      <c r="O69" s="101">
        <v>883</v>
      </c>
      <c r="P69" s="101">
        <v>16307000000</v>
      </c>
      <c r="Q69" s="101">
        <v>2454000000</v>
      </c>
      <c r="R69" s="101">
        <v>2355500000</v>
      </c>
      <c r="S69" s="101">
        <f t="shared" si="4"/>
        <v>34082031</v>
      </c>
      <c r="T69" s="101">
        <f t="shared" si="5"/>
        <v>2464031</v>
      </c>
      <c r="U69" s="101">
        <f t="shared" si="6"/>
        <v>2464031</v>
      </c>
      <c r="V69" s="101">
        <v>438175</v>
      </c>
      <c r="W69" s="149">
        <f t="shared" si="7"/>
        <v>5.6233947623666345E-3</v>
      </c>
      <c r="AA69" s="101"/>
      <c r="AB69" s="101"/>
      <c r="AC69" s="101"/>
      <c r="AD69" s="101"/>
      <c r="AK69" s="101"/>
      <c r="AL69" s="101"/>
      <c r="AM69" s="101"/>
    </row>
    <row r="70" spans="2:39" x14ac:dyDescent="0.25">
      <c r="B70" t="s">
        <v>246</v>
      </c>
      <c r="C70" s="101">
        <v>8895</v>
      </c>
      <c r="D70" s="101">
        <v>4810</v>
      </c>
      <c r="E70" s="101">
        <v>4085</v>
      </c>
      <c r="F70" s="101">
        <v>1513</v>
      </c>
      <c r="G70" s="101">
        <v>25</v>
      </c>
      <c r="H70" s="101">
        <v>805</v>
      </c>
      <c r="I70" s="101">
        <v>0</v>
      </c>
      <c r="J70" s="101">
        <v>3889</v>
      </c>
      <c r="K70" s="101">
        <v>5608</v>
      </c>
      <c r="L70" s="101">
        <v>571</v>
      </c>
      <c r="M70" s="101">
        <v>2</v>
      </c>
      <c r="N70" s="101">
        <v>982</v>
      </c>
      <c r="O70" s="101">
        <v>90</v>
      </c>
      <c r="P70" s="101">
        <v>6878000000</v>
      </c>
      <c r="Q70" s="101">
        <v>941000000</v>
      </c>
      <c r="R70" s="101">
        <v>922490164.80595422</v>
      </c>
      <c r="S70" s="101">
        <f t="shared" si="4"/>
        <v>14108765.125996809</v>
      </c>
      <c r="T70" s="101">
        <f t="shared" si="5"/>
        <v>5213765.1259968095</v>
      </c>
      <c r="U70" s="101">
        <f t="shared" si="6"/>
        <v>5213765.1259968095</v>
      </c>
      <c r="V70" s="101">
        <v>102501</v>
      </c>
      <c r="W70" s="149">
        <f t="shared" si="7"/>
        <v>5.0865504980408087E-2</v>
      </c>
      <c r="AA70" s="101"/>
      <c r="AB70" s="101"/>
      <c r="AC70" s="101"/>
      <c r="AD70" s="101"/>
      <c r="AK70" s="101"/>
      <c r="AL70" s="101"/>
      <c r="AM70" s="101"/>
    </row>
    <row r="71" spans="2:39" x14ac:dyDescent="0.25">
      <c r="B71" t="s">
        <v>772</v>
      </c>
      <c r="C71" s="101">
        <v>20508</v>
      </c>
      <c r="D71" s="101">
        <v>10702</v>
      </c>
      <c r="E71" s="101">
        <v>9806</v>
      </c>
      <c r="F71" s="101">
        <v>254</v>
      </c>
      <c r="G71" s="101">
        <v>0</v>
      </c>
      <c r="H71" s="101">
        <v>109</v>
      </c>
      <c r="I71" s="101">
        <v>0</v>
      </c>
      <c r="J71" s="101">
        <v>12836</v>
      </c>
      <c r="K71" s="101">
        <v>10109</v>
      </c>
      <c r="L71" s="101">
        <v>1543</v>
      </c>
      <c r="M71" s="101">
        <v>442</v>
      </c>
      <c r="N71" s="101">
        <v>2552</v>
      </c>
      <c r="O71" s="101">
        <v>346</v>
      </c>
      <c r="P71" s="101">
        <v>15104000000</v>
      </c>
      <c r="Q71" s="101">
        <v>1831000000</v>
      </c>
      <c r="R71" s="101">
        <v>1787988254.5752525</v>
      </c>
      <c r="S71" s="101">
        <f t="shared" si="4"/>
        <v>30218903.042884458</v>
      </c>
      <c r="T71" s="101">
        <f t="shared" si="5"/>
        <v>9710903.0428844579</v>
      </c>
      <c r="U71" s="101">
        <f t="shared" si="6"/>
        <v>9710903.0428844579</v>
      </c>
      <c r="V71" s="101">
        <v>286210</v>
      </c>
      <c r="W71" s="149">
        <f t="shared" si="7"/>
        <v>3.3929293326174691E-2</v>
      </c>
      <c r="AA71" s="101"/>
      <c r="AB71" s="101"/>
      <c r="AC71" s="101"/>
      <c r="AD71" s="101"/>
      <c r="AK71" s="101"/>
      <c r="AL71" s="101"/>
      <c r="AM71" s="101"/>
    </row>
    <row r="72" spans="2:39" x14ac:dyDescent="0.25">
      <c r="B72" t="s">
        <v>143</v>
      </c>
      <c r="C72" s="101">
        <v>7395</v>
      </c>
      <c r="D72" s="101">
        <v>4321</v>
      </c>
      <c r="E72" s="101">
        <v>3074</v>
      </c>
      <c r="F72" s="101">
        <v>0</v>
      </c>
      <c r="G72" s="101">
        <v>16</v>
      </c>
      <c r="H72" s="101">
        <v>491</v>
      </c>
      <c r="I72" s="101">
        <v>202</v>
      </c>
      <c r="J72" s="101">
        <v>3343</v>
      </c>
      <c r="K72" s="101">
        <v>2215</v>
      </c>
      <c r="L72" s="101">
        <v>519</v>
      </c>
      <c r="M72" s="101">
        <v>0</v>
      </c>
      <c r="N72" s="101">
        <v>690</v>
      </c>
      <c r="O72" s="101">
        <v>73</v>
      </c>
      <c r="P72" s="101">
        <v>4331000000</v>
      </c>
      <c r="Q72" s="101">
        <v>761000000</v>
      </c>
      <c r="R72" s="101">
        <v>633916502.30111766</v>
      </c>
      <c r="S72" s="101">
        <f t="shared" si="4"/>
        <v>9241629.2347140033</v>
      </c>
      <c r="T72" s="101">
        <f t="shared" si="5"/>
        <v>1846629.2347140033</v>
      </c>
      <c r="U72" s="101">
        <f t="shared" si="6"/>
        <v>1846629.2347140033</v>
      </c>
      <c r="V72" s="101">
        <v>74087</v>
      </c>
      <c r="W72" s="149">
        <f t="shared" si="7"/>
        <v>2.492514523079627E-2</v>
      </c>
      <c r="AA72" s="101"/>
      <c r="AB72" s="101"/>
      <c r="AC72" s="101"/>
      <c r="AD72" s="101"/>
      <c r="AK72" s="101"/>
      <c r="AL72" s="101"/>
      <c r="AM72" s="101"/>
    </row>
    <row r="73" spans="2:39" x14ac:dyDescent="0.25">
      <c r="B73" t="s">
        <v>173</v>
      </c>
      <c r="C73" s="101">
        <v>2405</v>
      </c>
      <c r="D73" s="101">
        <v>1897</v>
      </c>
      <c r="E73" s="101">
        <v>508</v>
      </c>
      <c r="F73" s="101">
        <v>593</v>
      </c>
      <c r="G73" s="101">
        <v>25</v>
      </c>
      <c r="H73" s="101">
        <v>408</v>
      </c>
      <c r="I73" s="101">
        <v>111</v>
      </c>
      <c r="J73" s="101">
        <v>1315</v>
      </c>
      <c r="K73" s="101">
        <v>1528</v>
      </c>
      <c r="L73" s="101">
        <v>140</v>
      </c>
      <c r="M73" s="101">
        <v>74</v>
      </c>
      <c r="N73" s="101">
        <v>355</v>
      </c>
      <c r="O73" s="101">
        <v>128</v>
      </c>
      <c r="P73" s="101">
        <v>1616000000</v>
      </c>
      <c r="Q73" s="101">
        <v>149000000</v>
      </c>
      <c r="R73" s="101">
        <v>142000000</v>
      </c>
      <c r="S73" s="101">
        <f t="shared" si="4"/>
        <v>3077898</v>
      </c>
      <c r="T73" s="101">
        <f t="shared" si="5"/>
        <v>672898</v>
      </c>
      <c r="U73" s="101">
        <f t="shared" si="6"/>
        <v>672898</v>
      </c>
      <c r="V73" s="101">
        <v>40550</v>
      </c>
      <c r="W73" s="149">
        <f t="shared" si="7"/>
        <v>1.6594278668310727E-2</v>
      </c>
      <c r="AA73" s="101"/>
      <c r="AB73" s="101"/>
      <c r="AC73" s="101"/>
      <c r="AD73" s="101"/>
      <c r="AK73" s="101"/>
      <c r="AL73" s="101"/>
      <c r="AM73" s="101"/>
    </row>
    <row r="74" spans="2:39" x14ac:dyDescent="0.25">
      <c r="B74" t="s">
        <v>174</v>
      </c>
      <c r="C74" s="101">
        <v>14601</v>
      </c>
      <c r="D74" s="101">
        <v>8069</v>
      </c>
      <c r="E74" s="101">
        <v>6532</v>
      </c>
      <c r="F74" s="101">
        <v>3795</v>
      </c>
      <c r="G74" s="101">
        <v>118</v>
      </c>
      <c r="H74" s="101">
        <v>92</v>
      </c>
      <c r="I74" s="101">
        <v>594</v>
      </c>
      <c r="J74" s="101">
        <v>6618</v>
      </c>
      <c r="K74" s="101">
        <v>9041</v>
      </c>
      <c r="L74" s="101">
        <v>1075</v>
      </c>
      <c r="M74" s="101">
        <v>0</v>
      </c>
      <c r="N74" s="101">
        <v>1849</v>
      </c>
      <c r="O74" s="101">
        <v>299</v>
      </c>
      <c r="P74" s="101">
        <v>8486000000</v>
      </c>
      <c r="Q74" s="101">
        <v>1310000000</v>
      </c>
      <c r="R74" s="101">
        <v>1278988163.4211531</v>
      </c>
      <c r="S74" s="101">
        <f t="shared" si="4"/>
        <v>17875030.895761743</v>
      </c>
      <c r="T74" s="101">
        <f t="shared" si="5"/>
        <v>3274030.8957617432</v>
      </c>
      <c r="U74" s="101">
        <f t="shared" si="6"/>
        <v>3274030.8957617432</v>
      </c>
      <c r="V74" s="101">
        <v>273921</v>
      </c>
      <c r="W74" s="149">
        <f t="shared" si="7"/>
        <v>1.19524640161278E-2</v>
      </c>
      <c r="AA74" s="101"/>
      <c r="AB74" s="101"/>
      <c r="AC74" s="101"/>
      <c r="AD74" s="101"/>
      <c r="AK74" s="101"/>
      <c r="AL74" s="101"/>
      <c r="AM74" s="101"/>
    </row>
    <row r="75" spans="2:39" x14ac:dyDescent="0.25">
      <c r="B75" t="s">
        <v>356</v>
      </c>
      <c r="C75" s="101">
        <v>7030</v>
      </c>
      <c r="D75" s="101">
        <v>4719</v>
      </c>
      <c r="E75" s="101">
        <v>2311</v>
      </c>
      <c r="F75" s="101">
        <v>1</v>
      </c>
      <c r="G75" s="101">
        <v>0</v>
      </c>
      <c r="H75" s="101">
        <v>140</v>
      </c>
      <c r="I75" s="101">
        <v>70</v>
      </c>
      <c r="J75" s="101">
        <v>2097</v>
      </c>
      <c r="K75" s="101">
        <v>3653</v>
      </c>
      <c r="L75" s="101">
        <v>628</v>
      </c>
      <c r="M75" s="101">
        <v>134</v>
      </c>
      <c r="N75" s="101">
        <v>589</v>
      </c>
      <c r="O75" s="101">
        <v>69</v>
      </c>
      <c r="P75" s="101">
        <v>4094000000</v>
      </c>
      <c r="Q75" s="101">
        <v>550000000</v>
      </c>
      <c r="R75" s="101">
        <v>503500000</v>
      </c>
      <c r="S75" s="101">
        <f t="shared" si="4"/>
        <v>8308065</v>
      </c>
      <c r="T75" s="101">
        <f t="shared" si="5"/>
        <v>1278065</v>
      </c>
      <c r="U75" s="101">
        <f t="shared" si="6"/>
        <v>1278065</v>
      </c>
      <c r="V75" s="101">
        <v>71507</v>
      </c>
      <c r="W75" s="149">
        <f t="shared" si="7"/>
        <v>1.7873285132924049E-2</v>
      </c>
      <c r="AA75" s="101"/>
      <c r="AB75" s="101"/>
      <c r="AC75" s="101"/>
      <c r="AD75" s="101"/>
      <c r="AK75" s="101"/>
      <c r="AL75" s="101"/>
      <c r="AM75" s="101"/>
    </row>
    <row r="76" spans="2:39" x14ac:dyDescent="0.25">
      <c r="B76" t="s">
        <v>289</v>
      </c>
      <c r="C76" s="101">
        <v>32661</v>
      </c>
      <c r="D76" s="101">
        <v>16195</v>
      </c>
      <c r="E76" s="101">
        <v>16466</v>
      </c>
      <c r="F76" s="101">
        <v>10957</v>
      </c>
      <c r="G76" s="101">
        <v>211</v>
      </c>
      <c r="H76" s="101">
        <v>1330</v>
      </c>
      <c r="I76" s="101">
        <v>131</v>
      </c>
      <c r="J76" s="101">
        <v>15428</v>
      </c>
      <c r="K76" s="101">
        <v>19389</v>
      </c>
      <c r="L76" s="101">
        <v>2679</v>
      </c>
      <c r="M76" s="101">
        <v>2219</v>
      </c>
      <c r="N76" s="101">
        <v>5078</v>
      </c>
      <c r="O76" s="101">
        <v>1371</v>
      </c>
      <c r="P76" s="101">
        <v>17936000000</v>
      </c>
      <c r="Q76" s="101">
        <v>3427000000</v>
      </c>
      <c r="R76" s="101">
        <v>3396495549.3944259</v>
      </c>
      <c r="S76" s="101">
        <f t="shared" si="4"/>
        <v>39961825.816722602</v>
      </c>
      <c r="T76" s="101">
        <f t="shared" si="5"/>
        <v>7300825.8167226017</v>
      </c>
      <c r="U76" s="101">
        <f t="shared" si="6"/>
        <v>7300825.8167226017</v>
      </c>
      <c r="V76" s="101">
        <v>667731</v>
      </c>
      <c r="W76" s="149">
        <f t="shared" si="7"/>
        <v>1.0933782940619204E-2</v>
      </c>
      <c r="AA76" s="101"/>
      <c r="AB76" s="101"/>
      <c r="AC76" s="101"/>
      <c r="AD76" s="101"/>
      <c r="AK76" s="101"/>
      <c r="AL76" s="101"/>
      <c r="AM76" s="101"/>
    </row>
    <row r="77" spans="2:39" x14ac:dyDescent="0.25">
      <c r="B77" t="s">
        <v>247</v>
      </c>
      <c r="C77" s="101">
        <v>4081</v>
      </c>
      <c r="D77" s="101">
        <v>3157</v>
      </c>
      <c r="E77" s="101">
        <v>924</v>
      </c>
      <c r="F77" s="101">
        <v>0</v>
      </c>
      <c r="G77" s="101">
        <v>0</v>
      </c>
      <c r="H77" s="101">
        <v>65</v>
      </c>
      <c r="I77" s="101">
        <v>20</v>
      </c>
      <c r="J77" s="101">
        <v>1595</v>
      </c>
      <c r="K77" s="101">
        <v>3289</v>
      </c>
      <c r="L77" s="101">
        <v>324</v>
      </c>
      <c r="M77" s="101">
        <v>35</v>
      </c>
      <c r="N77" s="101">
        <v>377</v>
      </c>
      <c r="O77" s="101">
        <v>52</v>
      </c>
      <c r="P77" s="101">
        <v>3563000000</v>
      </c>
      <c r="Q77" s="101">
        <v>311000000</v>
      </c>
      <c r="R77" s="101">
        <v>288964573.26892108</v>
      </c>
      <c r="S77" s="101">
        <f t="shared" si="4"/>
        <v>6719024.8212560378</v>
      </c>
      <c r="T77" s="101">
        <f t="shared" si="5"/>
        <v>2638024.8212560378</v>
      </c>
      <c r="U77" s="101">
        <f t="shared" si="6"/>
        <v>2638024.8212560378</v>
      </c>
      <c r="V77" s="101">
        <v>52360</v>
      </c>
      <c r="W77" s="149">
        <f t="shared" si="7"/>
        <v>5.0382445020168788E-2</v>
      </c>
      <c r="AA77" s="101"/>
      <c r="AB77" s="101"/>
      <c r="AC77" s="101"/>
      <c r="AD77" s="101"/>
      <c r="AK77" s="101"/>
      <c r="AL77" s="101"/>
      <c r="AM77" s="101"/>
    </row>
    <row r="78" spans="2:39" x14ac:dyDescent="0.25">
      <c r="B78" t="s">
        <v>357</v>
      </c>
      <c r="C78" s="101">
        <v>5683</v>
      </c>
      <c r="D78" s="101">
        <v>4269</v>
      </c>
      <c r="E78" s="101">
        <v>1414</v>
      </c>
      <c r="F78" s="101">
        <v>1</v>
      </c>
      <c r="G78" s="101">
        <v>54</v>
      </c>
      <c r="H78" s="101">
        <v>156</v>
      </c>
      <c r="I78" s="101">
        <v>22</v>
      </c>
      <c r="J78" s="101">
        <v>3357</v>
      </c>
      <c r="K78" s="101">
        <v>3707</v>
      </c>
      <c r="L78" s="101">
        <v>525</v>
      </c>
      <c r="M78" s="101">
        <v>124</v>
      </c>
      <c r="N78" s="101">
        <v>1194</v>
      </c>
      <c r="O78" s="101">
        <v>132</v>
      </c>
      <c r="P78" s="101">
        <v>4949000000</v>
      </c>
      <c r="Q78" s="101">
        <v>508000000</v>
      </c>
      <c r="R78" s="101">
        <v>463000000</v>
      </c>
      <c r="S78" s="101">
        <f t="shared" si="4"/>
        <v>9554880</v>
      </c>
      <c r="T78" s="101">
        <f t="shared" si="5"/>
        <v>3871880</v>
      </c>
      <c r="U78" s="101">
        <f t="shared" si="6"/>
        <v>3871880</v>
      </c>
      <c r="V78" s="101">
        <v>76791</v>
      </c>
      <c r="W78" s="149">
        <f t="shared" si="7"/>
        <v>5.0421012879113436E-2</v>
      </c>
      <c r="AA78" s="101"/>
      <c r="AB78" s="101"/>
      <c r="AC78" s="101"/>
      <c r="AD78" s="101"/>
      <c r="AK78" s="101"/>
      <c r="AL78" s="101"/>
      <c r="AM78" s="101"/>
    </row>
    <row r="79" spans="2:39" x14ac:dyDescent="0.25">
      <c r="B79" t="s">
        <v>428</v>
      </c>
      <c r="C79" s="101">
        <v>12994</v>
      </c>
      <c r="D79" s="101">
        <v>7388</v>
      </c>
      <c r="E79" s="101">
        <v>5606</v>
      </c>
      <c r="F79" s="101">
        <v>18</v>
      </c>
      <c r="G79" s="101">
        <v>0</v>
      </c>
      <c r="H79" s="101">
        <v>2120</v>
      </c>
      <c r="I79" s="101">
        <v>467</v>
      </c>
      <c r="J79" s="101">
        <v>3381</v>
      </c>
      <c r="K79" s="101">
        <v>6185</v>
      </c>
      <c r="L79" s="101">
        <v>408</v>
      </c>
      <c r="M79" s="101">
        <v>457</v>
      </c>
      <c r="N79" s="101">
        <v>764</v>
      </c>
      <c r="O79" s="101">
        <v>196</v>
      </c>
      <c r="P79" s="101">
        <v>6411000000</v>
      </c>
      <c r="Q79" s="101">
        <v>1401000000</v>
      </c>
      <c r="R79" s="101">
        <v>1272000000</v>
      </c>
      <c r="S79" s="101">
        <f t="shared" si="4"/>
        <v>14661576</v>
      </c>
      <c r="T79" s="101">
        <f t="shared" si="5"/>
        <v>1667576</v>
      </c>
      <c r="U79" s="101">
        <f t="shared" si="6"/>
        <v>1667576</v>
      </c>
      <c r="V79" s="101">
        <v>138288</v>
      </c>
      <c r="W79" s="149">
        <f t="shared" si="7"/>
        <v>1.2058718037718385E-2</v>
      </c>
      <c r="AA79" s="101"/>
      <c r="AB79" s="101"/>
      <c r="AC79" s="101"/>
      <c r="AD79" s="101"/>
      <c r="AK79" s="101"/>
      <c r="AL79" s="101"/>
      <c r="AM79" s="101"/>
    </row>
    <row r="80" spans="2:39" x14ac:dyDescent="0.25">
      <c r="B80" t="s">
        <v>175</v>
      </c>
      <c r="C80" s="101">
        <v>4629</v>
      </c>
      <c r="D80" s="101">
        <v>3090</v>
      </c>
      <c r="E80" s="101">
        <v>1539</v>
      </c>
      <c r="F80" s="101">
        <v>0</v>
      </c>
      <c r="G80" s="101">
        <v>0</v>
      </c>
      <c r="H80" s="101">
        <v>0</v>
      </c>
      <c r="I80" s="101">
        <v>229</v>
      </c>
      <c r="J80" s="101">
        <v>2200</v>
      </c>
      <c r="K80" s="101">
        <v>1776</v>
      </c>
      <c r="L80" s="101">
        <v>322</v>
      </c>
      <c r="M80" s="101">
        <v>30</v>
      </c>
      <c r="N80" s="101">
        <v>935</v>
      </c>
      <c r="O80" s="101">
        <v>103</v>
      </c>
      <c r="P80" s="101">
        <v>3016000000</v>
      </c>
      <c r="Q80" s="101">
        <v>407000000</v>
      </c>
      <c r="R80" s="101">
        <v>349000000</v>
      </c>
      <c r="S80" s="101">
        <f t="shared" si="4"/>
        <v>6088008</v>
      </c>
      <c r="T80" s="101">
        <f t="shared" si="5"/>
        <v>1459008</v>
      </c>
      <c r="U80" s="101">
        <f t="shared" si="6"/>
        <v>1459008</v>
      </c>
      <c r="V80" s="101">
        <v>59074</v>
      </c>
      <c r="W80" s="149">
        <f t="shared" si="7"/>
        <v>2.4697972035074654E-2</v>
      </c>
      <c r="AA80" s="101"/>
      <c r="AB80" s="101"/>
      <c r="AC80" s="101"/>
      <c r="AD80" s="101"/>
      <c r="AK80" s="101"/>
      <c r="AL80" s="101"/>
      <c r="AM80" s="101"/>
    </row>
    <row r="81" spans="2:39" x14ac:dyDescent="0.25">
      <c r="B81" t="s">
        <v>176</v>
      </c>
      <c r="C81" s="101">
        <v>6404</v>
      </c>
      <c r="D81" s="101">
        <v>3759</v>
      </c>
      <c r="E81" s="101">
        <v>2645</v>
      </c>
      <c r="F81" s="101">
        <v>1</v>
      </c>
      <c r="G81" s="101">
        <v>0</v>
      </c>
      <c r="H81" s="101">
        <v>169</v>
      </c>
      <c r="I81" s="101">
        <v>62</v>
      </c>
      <c r="J81" s="101">
        <v>2849</v>
      </c>
      <c r="K81" s="101">
        <v>3385</v>
      </c>
      <c r="L81" s="101">
        <v>422</v>
      </c>
      <c r="M81" s="101">
        <v>60</v>
      </c>
      <c r="N81" s="101">
        <v>803</v>
      </c>
      <c r="O81" s="101">
        <v>87</v>
      </c>
      <c r="P81" s="101">
        <v>3814000000</v>
      </c>
      <c r="Q81" s="101">
        <v>881000000</v>
      </c>
      <c r="R81" s="101">
        <v>876951751.86674333</v>
      </c>
      <c r="S81" s="101">
        <f t="shared" si="4"/>
        <v>8993130.1275129225</v>
      </c>
      <c r="T81" s="101">
        <f t="shared" si="5"/>
        <v>2589130.1275129225</v>
      </c>
      <c r="U81" s="101">
        <f t="shared" si="6"/>
        <v>2589130.1275129225</v>
      </c>
      <c r="V81" s="101">
        <v>74603</v>
      </c>
      <c r="W81" s="149">
        <f t="shared" si="7"/>
        <v>3.4705442509187598E-2</v>
      </c>
      <c r="AA81" s="101"/>
      <c r="AB81" s="101"/>
      <c r="AC81" s="101"/>
      <c r="AD81" s="101"/>
      <c r="AK81" s="101"/>
      <c r="AL81" s="101"/>
      <c r="AM81" s="101"/>
    </row>
    <row r="82" spans="2:39" x14ac:dyDescent="0.25">
      <c r="B82" t="s">
        <v>401</v>
      </c>
      <c r="C82" s="101">
        <v>8015</v>
      </c>
      <c r="D82" s="101">
        <v>5054</v>
      </c>
      <c r="E82" s="101">
        <v>2961</v>
      </c>
      <c r="F82" s="101">
        <v>0</v>
      </c>
      <c r="G82" s="101">
        <v>4</v>
      </c>
      <c r="H82" s="101">
        <v>453</v>
      </c>
      <c r="I82" s="101">
        <v>265</v>
      </c>
      <c r="J82" s="101">
        <v>4480</v>
      </c>
      <c r="K82" s="101">
        <v>3491</v>
      </c>
      <c r="L82" s="101">
        <v>902</v>
      </c>
      <c r="M82" s="101">
        <v>51</v>
      </c>
      <c r="N82" s="101">
        <v>821</v>
      </c>
      <c r="O82" s="101">
        <v>86</v>
      </c>
      <c r="P82" s="101">
        <v>4541000000</v>
      </c>
      <c r="Q82" s="101">
        <v>793000000</v>
      </c>
      <c r="R82" s="101">
        <v>745500000</v>
      </c>
      <c r="S82" s="101">
        <f t="shared" si="4"/>
        <v>9812313</v>
      </c>
      <c r="T82" s="101">
        <f t="shared" si="5"/>
        <v>1797313</v>
      </c>
      <c r="U82" s="101">
        <f t="shared" si="6"/>
        <v>1797313</v>
      </c>
      <c r="V82" s="101">
        <v>101822</v>
      </c>
      <c r="W82" s="149">
        <f t="shared" si="7"/>
        <v>1.7651519318025576E-2</v>
      </c>
      <c r="AA82" s="101"/>
      <c r="AB82" s="101"/>
      <c r="AC82" s="101"/>
      <c r="AD82" s="101"/>
      <c r="AK82" s="101"/>
      <c r="AL82" s="101"/>
      <c r="AM82" s="101"/>
    </row>
    <row r="83" spans="2:39" x14ac:dyDescent="0.25">
      <c r="B83" t="s">
        <v>248</v>
      </c>
      <c r="C83" s="101">
        <v>7042</v>
      </c>
      <c r="D83" s="101">
        <v>4751</v>
      </c>
      <c r="E83" s="101">
        <v>2291</v>
      </c>
      <c r="F83" s="101">
        <v>155</v>
      </c>
      <c r="G83" s="101">
        <v>43</v>
      </c>
      <c r="H83" s="101">
        <v>1497</v>
      </c>
      <c r="I83" s="101">
        <v>0</v>
      </c>
      <c r="J83" s="101">
        <v>4044</v>
      </c>
      <c r="K83" s="101">
        <v>5305</v>
      </c>
      <c r="L83" s="101">
        <v>504</v>
      </c>
      <c r="M83" s="101">
        <v>173</v>
      </c>
      <c r="N83" s="101">
        <v>700</v>
      </c>
      <c r="O83" s="101">
        <v>278</v>
      </c>
      <c r="P83" s="101">
        <v>6539000000</v>
      </c>
      <c r="Q83" s="101">
        <v>749000000</v>
      </c>
      <c r="R83" s="101">
        <v>718500000</v>
      </c>
      <c r="S83" s="101">
        <f t="shared" si="4"/>
        <v>12922491</v>
      </c>
      <c r="T83" s="101">
        <f t="shared" si="5"/>
        <v>5880491</v>
      </c>
      <c r="U83" s="101">
        <f t="shared" si="6"/>
        <v>5880491</v>
      </c>
      <c r="V83" s="101">
        <v>103653</v>
      </c>
      <c r="W83" s="149">
        <f t="shared" si="7"/>
        <v>5.6732472769722056E-2</v>
      </c>
      <c r="AA83" s="101"/>
      <c r="AB83" s="101"/>
      <c r="AC83" s="101"/>
      <c r="AD83" s="101"/>
      <c r="AK83" s="101"/>
      <c r="AL83" s="101"/>
      <c r="AM83" s="101"/>
    </row>
    <row r="84" spans="2:39" x14ac:dyDescent="0.25">
      <c r="B84" t="s">
        <v>177</v>
      </c>
      <c r="C84" s="101">
        <v>30178</v>
      </c>
      <c r="D84" s="101">
        <v>16741</v>
      </c>
      <c r="E84" s="101">
        <v>13437</v>
      </c>
      <c r="F84" s="101">
        <v>1634</v>
      </c>
      <c r="G84" s="101">
        <v>0</v>
      </c>
      <c r="H84" s="101">
        <v>1330</v>
      </c>
      <c r="I84" s="101">
        <v>1773</v>
      </c>
      <c r="J84" s="101">
        <v>13167</v>
      </c>
      <c r="K84" s="101">
        <v>13834</v>
      </c>
      <c r="L84" s="101">
        <v>1732</v>
      </c>
      <c r="M84" s="101">
        <v>1421</v>
      </c>
      <c r="N84" s="101">
        <v>4829</v>
      </c>
      <c r="O84" s="101">
        <v>331</v>
      </c>
      <c r="P84" s="101">
        <v>21459000000</v>
      </c>
      <c r="Q84" s="101">
        <v>3460000000</v>
      </c>
      <c r="R84" s="101">
        <v>3235467553.1146121</v>
      </c>
      <c r="S84" s="101">
        <f t="shared" si="4"/>
        <v>45441310.630726986</v>
      </c>
      <c r="T84" s="101">
        <f t="shared" si="5"/>
        <v>15263310.630726986</v>
      </c>
      <c r="U84" s="101">
        <f t="shared" si="6"/>
        <v>15263310.630726986</v>
      </c>
      <c r="V84" s="101">
        <v>436940</v>
      </c>
      <c r="W84" s="149">
        <f t="shared" si="7"/>
        <v>3.4932280474955342E-2</v>
      </c>
      <c r="AA84" s="101"/>
      <c r="AB84" s="101"/>
      <c r="AC84" s="101"/>
      <c r="AD84" s="101"/>
      <c r="AK84" s="101"/>
      <c r="AL84" s="101"/>
      <c r="AM84" s="101"/>
    </row>
    <row r="85" spans="2:39" x14ac:dyDescent="0.25">
      <c r="B85" t="s">
        <v>218</v>
      </c>
      <c r="C85" s="101">
        <v>3219</v>
      </c>
      <c r="D85" s="101">
        <v>2289</v>
      </c>
      <c r="E85" s="101">
        <v>930</v>
      </c>
      <c r="F85" s="101">
        <v>2</v>
      </c>
      <c r="G85" s="101">
        <v>0</v>
      </c>
      <c r="H85" s="101">
        <v>110</v>
      </c>
      <c r="I85" s="101">
        <v>51</v>
      </c>
      <c r="J85" s="101">
        <v>904</v>
      </c>
      <c r="K85" s="101">
        <v>1533</v>
      </c>
      <c r="L85" s="101">
        <v>111</v>
      </c>
      <c r="M85" s="101">
        <v>15</v>
      </c>
      <c r="N85" s="101">
        <v>1514</v>
      </c>
      <c r="O85" s="101">
        <v>48</v>
      </c>
      <c r="P85" s="101">
        <v>2276000000</v>
      </c>
      <c r="Q85" s="101">
        <v>221000000</v>
      </c>
      <c r="R85" s="101">
        <v>208972789.11564627</v>
      </c>
      <c r="S85" s="101">
        <f t="shared" si="4"/>
        <v>4367440.0816326533</v>
      </c>
      <c r="T85" s="101">
        <f t="shared" si="5"/>
        <v>1148440.0816326533</v>
      </c>
      <c r="U85" s="101">
        <f t="shared" si="6"/>
        <v>1148440.0816326533</v>
      </c>
      <c r="V85" s="101">
        <v>29134</v>
      </c>
      <c r="W85" s="149">
        <f t="shared" si="7"/>
        <v>3.9419238059746453E-2</v>
      </c>
      <c r="AA85" s="101"/>
      <c r="AB85" s="101"/>
      <c r="AC85" s="101"/>
      <c r="AD85" s="101"/>
      <c r="AK85" s="101"/>
      <c r="AL85" s="101"/>
      <c r="AM85" s="101"/>
    </row>
    <row r="86" spans="2:39" x14ac:dyDescent="0.25">
      <c r="B86" t="s">
        <v>719</v>
      </c>
      <c r="C86" s="101">
        <v>19816</v>
      </c>
      <c r="D86" s="101">
        <v>7648</v>
      </c>
      <c r="E86" s="101">
        <v>12168</v>
      </c>
      <c r="F86" s="101">
        <v>2</v>
      </c>
      <c r="G86" s="101">
        <v>0</v>
      </c>
      <c r="H86" s="101">
        <v>227</v>
      </c>
      <c r="I86" s="101">
        <v>140</v>
      </c>
      <c r="J86" s="101">
        <v>5669</v>
      </c>
      <c r="K86" s="101">
        <v>6612</v>
      </c>
      <c r="L86" s="101">
        <v>597</v>
      </c>
      <c r="M86" s="101">
        <v>286</v>
      </c>
      <c r="N86" s="101">
        <v>3075</v>
      </c>
      <c r="O86" s="101">
        <v>452</v>
      </c>
      <c r="P86" s="101">
        <v>5156000000</v>
      </c>
      <c r="Q86" s="101">
        <v>1531000000</v>
      </c>
      <c r="R86" s="101">
        <v>1417500000</v>
      </c>
      <c r="S86" s="101">
        <f t="shared" si="4"/>
        <v>13080663</v>
      </c>
      <c r="T86" s="101">
        <f t="shared" si="5"/>
        <v>-6735337</v>
      </c>
      <c r="U86" s="101">
        <f t="shared" si="6"/>
        <v>0</v>
      </c>
      <c r="V86" s="101">
        <v>313304</v>
      </c>
      <c r="W86" s="149">
        <f t="shared" si="7"/>
        <v>-2.1497768940070987E-2</v>
      </c>
      <c r="AA86" s="101"/>
      <c r="AB86" s="101"/>
      <c r="AC86" s="101"/>
      <c r="AD86" s="101"/>
      <c r="AK86" s="101"/>
      <c r="AL86" s="101"/>
      <c r="AM86" s="101"/>
    </row>
    <row r="87" spans="2:39" x14ac:dyDescent="0.25">
      <c r="B87" t="s">
        <v>358</v>
      </c>
      <c r="C87" s="101">
        <v>4196</v>
      </c>
      <c r="D87" s="101">
        <v>2694</v>
      </c>
      <c r="E87" s="101">
        <v>1502</v>
      </c>
      <c r="F87" s="101">
        <v>6</v>
      </c>
      <c r="G87" s="101">
        <v>28</v>
      </c>
      <c r="H87" s="101">
        <v>710</v>
      </c>
      <c r="I87" s="101">
        <v>135</v>
      </c>
      <c r="J87" s="101">
        <v>2384</v>
      </c>
      <c r="K87" s="101">
        <v>1416</v>
      </c>
      <c r="L87" s="101">
        <v>239</v>
      </c>
      <c r="M87" s="101">
        <v>0</v>
      </c>
      <c r="N87" s="101">
        <v>805</v>
      </c>
      <c r="O87" s="101">
        <v>173</v>
      </c>
      <c r="P87" s="101">
        <v>4243000000</v>
      </c>
      <c r="Q87" s="101">
        <v>506000000</v>
      </c>
      <c r="R87" s="101">
        <v>456500000</v>
      </c>
      <c r="S87" s="101">
        <f t="shared" si="4"/>
        <v>8401677</v>
      </c>
      <c r="T87" s="101">
        <f t="shared" si="5"/>
        <v>4205677</v>
      </c>
      <c r="U87" s="101">
        <f t="shared" si="6"/>
        <v>4205677</v>
      </c>
      <c r="V87" s="101">
        <v>55868</v>
      </c>
      <c r="W87" s="149">
        <f t="shared" si="7"/>
        <v>7.5278817927973085E-2</v>
      </c>
      <c r="AA87" s="101"/>
      <c r="AB87" s="101"/>
      <c r="AC87" s="101"/>
      <c r="AD87" s="101"/>
      <c r="AK87" s="101"/>
      <c r="AL87" s="101"/>
      <c r="AM87" s="101"/>
    </row>
    <row r="88" spans="2:39" x14ac:dyDescent="0.25">
      <c r="B88" t="s">
        <v>402</v>
      </c>
      <c r="C88" s="101">
        <v>6074</v>
      </c>
      <c r="D88" s="101">
        <v>4911</v>
      </c>
      <c r="E88" s="101">
        <v>1163</v>
      </c>
      <c r="F88" s="101">
        <v>0</v>
      </c>
      <c r="G88" s="101">
        <v>5</v>
      </c>
      <c r="H88" s="101">
        <v>879</v>
      </c>
      <c r="I88" s="101">
        <v>285</v>
      </c>
      <c r="J88" s="101">
        <v>3637</v>
      </c>
      <c r="K88" s="101">
        <v>3669</v>
      </c>
      <c r="L88" s="101">
        <v>276</v>
      </c>
      <c r="M88" s="101">
        <v>134</v>
      </c>
      <c r="N88" s="101">
        <v>463</v>
      </c>
      <c r="O88" s="101">
        <v>35</v>
      </c>
      <c r="P88" s="101">
        <v>4443000000</v>
      </c>
      <c r="Q88" s="101">
        <v>427000000</v>
      </c>
      <c r="R88" s="101">
        <v>394962485.34583819</v>
      </c>
      <c r="S88" s="101">
        <f t="shared" si="4"/>
        <v>8497649.4513481837</v>
      </c>
      <c r="T88" s="101">
        <f t="shared" si="5"/>
        <v>2423649.4513481837</v>
      </c>
      <c r="U88" s="101">
        <f t="shared" si="6"/>
        <v>2423649.4513481837</v>
      </c>
      <c r="V88" s="101">
        <v>72252</v>
      </c>
      <c r="W88" s="149">
        <f t="shared" si="7"/>
        <v>3.3544392561426446E-2</v>
      </c>
      <c r="AA88" s="101"/>
      <c r="AB88" s="101"/>
      <c r="AC88" s="101"/>
      <c r="AD88" s="101"/>
      <c r="AK88" s="101"/>
      <c r="AL88" s="101"/>
      <c r="AM88" s="101"/>
    </row>
    <row r="89" spans="2:39" x14ac:dyDescent="0.25">
      <c r="B89" t="s">
        <v>359</v>
      </c>
      <c r="C89" s="101">
        <v>87587</v>
      </c>
      <c r="D89" s="101">
        <v>40689</v>
      </c>
      <c r="E89" s="101">
        <v>46898</v>
      </c>
      <c r="F89" s="101">
        <v>18949</v>
      </c>
      <c r="G89" s="101">
        <v>1179</v>
      </c>
      <c r="H89" s="101">
        <v>2934</v>
      </c>
      <c r="I89" s="101">
        <v>2963</v>
      </c>
      <c r="J89" s="101">
        <v>25994</v>
      </c>
      <c r="K89" s="101">
        <v>32913</v>
      </c>
      <c r="L89" s="101">
        <v>5235</v>
      </c>
      <c r="M89" s="101">
        <v>648</v>
      </c>
      <c r="N89" s="101">
        <v>7654</v>
      </c>
      <c r="O89" s="101">
        <v>1489</v>
      </c>
      <c r="P89" s="101">
        <v>43899000000</v>
      </c>
      <c r="Q89" s="101">
        <v>10095000000</v>
      </c>
      <c r="R89" s="101">
        <v>10095000000</v>
      </c>
      <c r="S89" s="101">
        <f t="shared" si="4"/>
        <v>103439646</v>
      </c>
      <c r="T89" s="101">
        <f t="shared" si="5"/>
        <v>15852646</v>
      </c>
      <c r="U89" s="101">
        <f t="shared" si="6"/>
        <v>15852646</v>
      </c>
      <c r="V89" s="101">
        <v>1099955</v>
      </c>
      <c r="W89" s="149">
        <f t="shared" si="7"/>
        <v>1.441208594897064E-2</v>
      </c>
      <c r="AA89" s="101"/>
      <c r="AB89" s="101"/>
      <c r="AC89" s="101"/>
      <c r="AD89" s="101"/>
      <c r="AK89" s="101"/>
      <c r="AL89" s="101"/>
      <c r="AM89" s="101"/>
    </row>
    <row r="90" spans="2:39" x14ac:dyDescent="0.25">
      <c r="B90" t="s">
        <v>178</v>
      </c>
      <c r="C90" s="101">
        <v>4942</v>
      </c>
      <c r="D90" s="101">
        <v>3263</v>
      </c>
      <c r="E90" s="101">
        <v>1679</v>
      </c>
      <c r="F90" s="101">
        <v>38</v>
      </c>
      <c r="G90" s="101">
        <v>48</v>
      </c>
      <c r="H90" s="101">
        <v>344</v>
      </c>
      <c r="I90" s="101">
        <v>97</v>
      </c>
      <c r="J90" s="101">
        <v>2461</v>
      </c>
      <c r="K90" s="101">
        <v>2496</v>
      </c>
      <c r="L90" s="101">
        <v>358</v>
      </c>
      <c r="M90" s="101">
        <v>711</v>
      </c>
      <c r="N90" s="101">
        <v>599</v>
      </c>
      <c r="O90" s="101">
        <v>354</v>
      </c>
      <c r="P90" s="101">
        <v>3581000000</v>
      </c>
      <c r="Q90" s="101">
        <v>523000000</v>
      </c>
      <c r="R90" s="101">
        <v>494000000</v>
      </c>
      <c r="S90" s="101">
        <f t="shared" si="4"/>
        <v>7421172</v>
      </c>
      <c r="T90" s="101">
        <f t="shared" si="5"/>
        <v>2479172</v>
      </c>
      <c r="U90" s="101">
        <f t="shared" si="6"/>
        <v>2479172</v>
      </c>
      <c r="V90" s="101">
        <v>79603</v>
      </c>
      <c r="W90" s="149">
        <f t="shared" si="7"/>
        <v>3.1144203107923069E-2</v>
      </c>
      <c r="AA90" s="101"/>
      <c r="AB90" s="101"/>
      <c r="AC90" s="101"/>
      <c r="AD90" s="101"/>
      <c r="AK90" s="101"/>
      <c r="AL90" s="101"/>
      <c r="AM90" s="101"/>
    </row>
    <row r="91" spans="2:39" x14ac:dyDescent="0.25">
      <c r="B91" t="s">
        <v>108</v>
      </c>
      <c r="C91" s="101">
        <v>28479</v>
      </c>
      <c r="D91" s="101">
        <v>16828</v>
      </c>
      <c r="E91" s="101">
        <v>11651</v>
      </c>
      <c r="F91" s="101">
        <v>3979</v>
      </c>
      <c r="G91" s="101">
        <v>27</v>
      </c>
      <c r="H91" s="101">
        <v>690</v>
      </c>
      <c r="I91" s="101">
        <v>298</v>
      </c>
      <c r="J91" s="101">
        <v>10899</v>
      </c>
      <c r="K91" s="101">
        <v>15994</v>
      </c>
      <c r="L91" s="101">
        <v>1717</v>
      </c>
      <c r="M91" s="101">
        <v>854</v>
      </c>
      <c r="N91" s="101">
        <v>3316</v>
      </c>
      <c r="O91" s="101">
        <v>329</v>
      </c>
      <c r="P91" s="101">
        <v>12582000000</v>
      </c>
      <c r="Q91" s="101">
        <v>2112000000</v>
      </c>
      <c r="R91" s="101">
        <v>2026000000</v>
      </c>
      <c r="S91" s="101">
        <f t="shared" si="4"/>
        <v>26986080</v>
      </c>
      <c r="T91" s="101">
        <f t="shared" si="5"/>
        <v>-1492920</v>
      </c>
      <c r="U91" s="101">
        <f t="shared" si="6"/>
        <v>0</v>
      </c>
      <c r="V91" s="101">
        <v>484272</v>
      </c>
      <c r="W91" s="149">
        <f t="shared" si="7"/>
        <v>-3.0828129646149273E-3</v>
      </c>
      <c r="AA91" s="101"/>
      <c r="AB91" s="101"/>
      <c r="AC91" s="101"/>
      <c r="AD91" s="101"/>
      <c r="AK91" s="101"/>
      <c r="AL91" s="101"/>
      <c r="AM91" s="101"/>
    </row>
    <row r="92" spans="2:39" x14ac:dyDescent="0.25">
      <c r="B92" t="s">
        <v>249</v>
      </c>
      <c r="C92" s="101">
        <v>6169</v>
      </c>
      <c r="D92" s="101">
        <v>2860</v>
      </c>
      <c r="E92" s="101">
        <v>3309</v>
      </c>
      <c r="F92" s="101">
        <v>166</v>
      </c>
      <c r="G92" s="101">
        <v>66</v>
      </c>
      <c r="H92" s="101">
        <v>696</v>
      </c>
      <c r="I92" s="101">
        <v>43</v>
      </c>
      <c r="J92" s="101">
        <v>2077</v>
      </c>
      <c r="K92" s="101">
        <v>3564</v>
      </c>
      <c r="L92" s="101">
        <v>321</v>
      </c>
      <c r="M92" s="101">
        <v>222</v>
      </c>
      <c r="N92" s="101">
        <v>447</v>
      </c>
      <c r="O92" s="101">
        <v>819</v>
      </c>
      <c r="P92" s="101">
        <v>2878000000</v>
      </c>
      <c r="Q92" s="101">
        <v>423000000</v>
      </c>
      <c r="R92" s="101">
        <v>408000000</v>
      </c>
      <c r="S92" s="101">
        <f t="shared" si="4"/>
        <v>5986326</v>
      </c>
      <c r="T92" s="101">
        <f t="shared" si="5"/>
        <v>-182674</v>
      </c>
      <c r="U92" s="101">
        <f t="shared" si="6"/>
        <v>0</v>
      </c>
      <c r="V92" s="101">
        <v>66425</v>
      </c>
      <c r="W92" s="149">
        <f t="shared" si="7"/>
        <v>-2.7500790365073391E-3</v>
      </c>
      <c r="AA92" s="101"/>
      <c r="AB92" s="101"/>
      <c r="AC92" s="101"/>
      <c r="AD92" s="101"/>
      <c r="AK92" s="101"/>
      <c r="AL92" s="101"/>
      <c r="AM92" s="101"/>
    </row>
    <row r="93" spans="2:39" x14ac:dyDescent="0.25">
      <c r="B93" t="s">
        <v>144</v>
      </c>
      <c r="C93" s="101">
        <v>55210</v>
      </c>
      <c r="D93" s="101">
        <v>24391</v>
      </c>
      <c r="E93" s="101">
        <v>30819</v>
      </c>
      <c r="F93" s="101">
        <v>14102</v>
      </c>
      <c r="G93" s="101">
        <v>332</v>
      </c>
      <c r="H93" s="101">
        <v>700</v>
      </c>
      <c r="I93" s="101">
        <v>1080</v>
      </c>
      <c r="J93" s="101">
        <v>22670</v>
      </c>
      <c r="K93" s="101">
        <v>21544</v>
      </c>
      <c r="L93" s="101">
        <v>3634</v>
      </c>
      <c r="M93" s="101">
        <v>595</v>
      </c>
      <c r="N93" s="101">
        <v>4391</v>
      </c>
      <c r="O93" s="101">
        <v>166</v>
      </c>
      <c r="P93" s="101">
        <v>22664000000</v>
      </c>
      <c r="Q93" s="101">
        <v>3814000000</v>
      </c>
      <c r="R93" s="101">
        <v>3633476334.0763078</v>
      </c>
      <c r="S93" s="101">
        <f t="shared" si="4"/>
        <v>48599922.803199165</v>
      </c>
      <c r="T93" s="101">
        <f t="shared" si="5"/>
        <v>-6610077.1968008354</v>
      </c>
      <c r="U93" s="101">
        <f t="shared" si="6"/>
        <v>0</v>
      </c>
      <c r="V93" s="101">
        <v>844976</v>
      </c>
      <c r="W93" s="149">
        <f t="shared" si="7"/>
        <v>-7.8227987502613519E-3</v>
      </c>
      <c r="AA93" s="101"/>
      <c r="AB93" s="101"/>
      <c r="AC93" s="101"/>
      <c r="AD93" s="101"/>
      <c r="AK93" s="101"/>
      <c r="AL93" s="101"/>
      <c r="AM93" s="101"/>
    </row>
    <row r="94" spans="2:39" x14ac:dyDescent="0.25">
      <c r="B94" t="s">
        <v>179</v>
      </c>
      <c r="C94" s="101">
        <v>6987</v>
      </c>
      <c r="D94" s="101">
        <v>5118</v>
      </c>
      <c r="E94" s="101">
        <v>1869</v>
      </c>
      <c r="F94" s="101">
        <v>1</v>
      </c>
      <c r="G94" s="101">
        <v>89</v>
      </c>
      <c r="H94" s="101">
        <v>955</v>
      </c>
      <c r="I94" s="101">
        <v>393</v>
      </c>
      <c r="J94" s="101">
        <v>3454</v>
      </c>
      <c r="K94" s="101">
        <v>4698</v>
      </c>
      <c r="L94" s="101">
        <v>627</v>
      </c>
      <c r="M94" s="101">
        <v>1033</v>
      </c>
      <c r="N94" s="101">
        <v>829</v>
      </c>
      <c r="O94" s="101">
        <v>131</v>
      </c>
      <c r="P94" s="101">
        <v>6776000000</v>
      </c>
      <c r="Q94" s="101">
        <v>674000000</v>
      </c>
      <c r="R94" s="101">
        <v>636500000</v>
      </c>
      <c r="S94" s="101">
        <f t="shared" si="4"/>
        <v>13051611</v>
      </c>
      <c r="T94" s="101">
        <f t="shared" si="5"/>
        <v>6064611</v>
      </c>
      <c r="U94" s="101">
        <f t="shared" si="6"/>
        <v>6064611</v>
      </c>
      <c r="V94" s="101">
        <v>101303</v>
      </c>
      <c r="W94" s="149">
        <f t="shared" si="7"/>
        <v>5.986605529944819E-2</v>
      </c>
      <c r="AA94" s="101"/>
      <c r="AB94" s="101"/>
      <c r="AC94" s="101"/>
      <c r="AD94" s="101"/>
      <c r="AK94" s="101"/>
      <c r="AL94" s="101"/>
      <c r="AM94" s="101"/>
    </row>
    <row r="95" spans="2:39" x14ac:dyDescent="0.25">
      <c r="B95" t="s">
        <v>180</v>
      </c>
      <c r="C95" s="101">
        <v>11000</v>
      </c>
      <c r="D95" s="101">
        <v>6811</v>
      </c>
      <c r="E95" s="101">
        <v>4189</v>
      </c>
      <c r="F95" s="101">
        <v>0</v>
      </c>
      <c r="G95" s="101">
        <v>0</v>
      </c>
      <c r="H95" s="101">
        <v>546</v>
      </c>
      <c r="I95" s="101">
        <v>1687</v>
      </c>
      <c r="J95" s="101">
        <v>2925</v>
      </c>
      <c r="K95" s="101">
        <v>2490</v>
      </c>
      <c r="L95" s="101">
        <v>491</v>
      </c>
      <c r="M95" s="101">
        <v>425</v>
      </c>
      <c r="N95" s="101">
        <v>702</v>
      </c>
      <c r="O95" s="101">
        <v>173</v>
      </c>
      <c r="P95" s="101">
        <v>5186000000</v>
      </c>
      <c r="Q95" s="101">
        <v>797000000</v>
      </c>
      <c r="R95" s="101">
        <v>719951663.52793467</v>
      </c>
      <c r="S95" s="101">
        <f t="shared" si="4"/>
        <v>10818563.984934088</v>
      </c>
      <c r="T95" s="101">
        <f t="shared" si="5"/>
        <v>-181436.01506591216</v>
      </c>
      <c r="U95" s="101">
        <f t="shared" si="6"/>
        <v>0</v>
      </c>
      <c r="V95" s="101">
        <v>92499</v>
      </c>
      <c r="W95" s="149">
        <f t="shared" si="7"/>
        <v>-1.9614916384600068E-3</v>
      </c>
      <c r="AA95" s="101"/>
      <c r="AB95" s="101"/>
      <c r="AC95" s="101"/>
      <c r="AD95" s="101"/>
      <c r="AK95" s="101"/>
      <c r="AL95" s="101"/>
      <c r="AM95" s="101"/>
    </row>
    <row r="96" spans="2:39" x14ac:dyDescent="0.25">
      <c r="B96" t="s">
        <v>360</v>
      </c>
      <c r="C96" s="101">
        <v>9759</v>
      </c>
      <c r="D96" s="101">
        <v>5897</v>
      </c>
      <c r="E96" s="101">
        <v>3862</v>
      </c>
      <c r="F96" s="101">
        <v>2583</v>
      </c>
      <c r="G96" s="101">
        <v>49</v>
      </c>
      <c r="H96" s="101">
        <v>82</v>
      </c>
      <c r="I96" s="101">
        <v>199</v>
      </c>
      <c r="J96" s="101">
        <v>2854</v>
      </c>
      <c r="K96" s="101">
        <v>5773</v>
      </c>
      <c r="L96" s="101">
        <v>865</v>
      </c>
      <c r="M96" s="101">
        <v>91</v>
      </c>
      <c r="N96" s="101">
        <v>910</v>
      </c>
      <c r="O96" s="101">
        <v>334</v>
      </c>
      <c r="P96" s="101">
        <v>7062000000</v>
      </c>
      <c r="Q96" s="101">
        <v>1298000000</v>
      </c>
      <c r="R96" s="101">
        <v>1238477071.2909441</v>
      </c>
      <c r="S96" s="101">
        <f t="shared" si="4"/>
        <v>15491941.993063582</v>
      </c>
      <c r="T96" s="101">
        <f t="shared" si="5"/>
        <v>5732941.9930635821</v>
      </c>
      <c r="U96" s="101">
        <f t="shared" si="6"/>
        <v>5732941.9930635821</v>
      </c>
      <c r="V96" s="101">
        <v>156218</v>
      </c>
      <c r="W96" s="149">
        <f t="shared" si="7"/>
        <v>3.6698344576576211E-2</v>
      </c>
      <c r="AA96" s="101"/>
      <c r="AB96" s="101"/>
      <c r="AC96" s="101"/>
      <c r="AD96" s="101"/>
      <c r="AK96" s="101"/>
      <c r="AL96" s="101"/>
      <c r="AM96" s="101"/>
    </row>
    <row r="97" spans="2:39" x14ac:dyDescent="0.25">
      <c r="B97" t="s">
        <v>361</v>
      </c>
      <c r="C97" s="101">
        <v>7568</v>
      </c>
      <c r="D97" s="101">
        <v>3395</v>
      </c>
      <c r="E97" s="101">
        <v>4173</v>
      </c>
      <c r="F97" s="101">
        <v>5</v>
      </c>
      <c r="G97" s="101">
        <v>13</v>
      </c>
      <c r="H97" s="101">
        <v>30</v>
      </c>
      <c r="I97" s="101">
        <v>0</v>
      </c>
      <c r="J97" s="101">
        <v>2472</v>
      </c>
      <c r="K97" s="101">
        <v>2733</v>
      </c>
      <c r="L97" s="101">
        <v>351</v>
      </c>
      <c r="M97" s="101">
        <v>50</v>
      </c>
      <c r="N97" s="101">
        <v>876</v>
      </c>
      <c r="O97" s="101">
        <v>82</v>
      </c>
      <c r="P97" s="101">
        <v>3428000000</v>
      </c>
      <c r="Q97" s="101">
        <v>753000000</v>
      </c>
      <c r="R97" s="101">
        <v>729984717.60797346</v>
      </c>
      <c r="S97" s="101">
        <f t="shared" si="4"/>
        <v>7926329.3342192685</v>
      </c>
      <c r="T97" s="101">
        <f t="shared" si="5"/>
        <v>358329.33421926852</v>
      </c>
      <c r="U97" s="101">
        <f t="shared" si="6"/>
        <v>358329.33421926852</v>
      </c>
      <c r="V97" s="101">
        <v>68783</v>
      </c>
      <c r="W97" s="149">
        <f t="shared" si="7"/>
        <v>5.2095624532118188E-3</v>
      </c>
      <c r="AA97" s="101"/>
      <c r="AB97" s="101"/>
      <c r="AC97" s="101"/>
      <c r="AD97" s="101"/>
      <c r="AK97" s="101"/>
      <c r="AL97" s="101"/>
      <c r="AM97" s="101"/>
    </row>
    <row r="98" spans="2:39" x14ac:dyDescent="0.25">
      <c r="B98" t="s">
        <v>362</v>
      </c>
      <c r="C98" s="101">
        <v>6776</v>
      </c>
      <c r="D98" s="101">
        <v>4743</v>
      </c>
      <c r="E98" s="101">
        <v>2033</v>
      </c>
      <c r="F98" s="101">
        <v>364</v>
      </c>
      <c r="G98" s="101">
        <v>0</v>
      </c>
      <c r="H98" s="101">
        <v>617</v>
      </c>
      <c r="I98" s="101">
        <v>359</v>
      </c>
      <c r="J98" s="101">
        <v>4183</v>
      </c>
      <c r="K98" s="101">
        <v>5438</v>
      </c>
      <c r="L98" s="101">
        <v>687</v>
      </c>
      <c r="M98" s="101">
        <v>0</v>
      </c>
      <c r="N98" s="101">
        <v>712</v>
      </c>
      <c r="O98" s="101">
        <v>74</v>
      </c>
      <c r="P98" s="101">
        <v>7188000000</v>
      </c>
      <c r="Q98" s="101">
        <v>664000000</v>
      </c>
      <c r="R98" s="101">
        <v>626000000</v>
      </c>
      <c r="S98" s="101">
        <f t="shared" si="4"/>
        <v>13683492</v>
      </c>
      <c r="T98" s="101">
        <f t="shared" si="5"/>
        <v>6907492</v>
      </c>
      <c r="U98" s="101">
        <f t="shared" si="6"/>
        <v>6907492</v>
      </c>
      <c r="V98" s="101">
        <v>118793</v>
      </c>
      <c r="W98" s="149">
        <f t="shared" si="7"/>
        <v>5.8147298241478872E-2</v>
      </c>
      <c r="AA98" s="101"/>
      <c r="AB98" s="101"/>
      <c r="AC98" s="101"/>
      <c r="AD98" s="101"/>
      <c r="AK98" s="101"/>
      <c r="AL98" s="101"/>
      <c r="AM98" s="101"/>
    </row>
    <row r="99" spans="2:39" x14ac:dyDescent="0.25">
      <c r="B99" t="s">
        <v>363</v>
      </c>
      <c r="C99" s="101">
        <v>9806</v>
      </c>
      <c r="D99" s="101">
        <v>6419</v>
      </c>
      <c r="E99" s="101">
        <v>3387</v>
      </c>
      <c r="F99" s="101">
        <v>5</v>
      </c>
      <c r="G99" s="101">
        <v>0</v>
      </c>
      <c r="H99" s="101">
        <v>160</v>
      </c>
      <c r="I99" s="101">
        <v>285</v>
      </c>
      <c r="J99" s="101">
        <v>3114</v>
      </c>
      <c r="K99" s="101">
        <v>3445</v>
      </c>
      <c r="L99" s="101">
        <v>607</v>
      </c>
      <c r="M99" s="101">
        <v>20</v>
      </c>
      <c r="N99" s="101">
        <v>1268</v>
      </c>
      <c r="O99" s="101">
        <v>237</v>
      </c>
      <c r="P99" s="101">
        <v>5192000000</v>
      </c>
      <c r="Q99" s="101">
        <v>741000000</v>
      </c>
      <c r="R99" s="101">
        <v>660000000</v>
      </c>
      <c r="S99" s="101">
        <f t="shared" si="4"/>
        <v>10641102</v>
      </c>
      <c r="T99" s="101">
        <f t="shared" si="5"/>
        <v>835102</v>
      </c>
      <c r="U99" s="101">
        <f t="shared" si="6"/>
        <v>835102</v>
      </c>
      <c r="V99" s="101">
        <v>96419</v>
      </c>
      <c r="W99" s="149">
        <f t="shared" si="7"/>
        <v>8.6611767390244662E-3</v>
      </c>
      <c r="AA99" s="101"/>
      <c r="AB99" s="101"/>
      <c r="AC99" s="101"/>
      <c r="AD99" s="101"/>
      <c r="AK99" s="101"/>
      <c r="AL99" s="101"/>
      <c r="AM99" s="101"/>
    </row>
    <row r="100" spans="2:39" x14ac:dyDescent="0.25">
      <c r="B100" t="s">
        <v>403</v>
      </c>
      <c r="C100" s="101">
        <v>3952</v>
      </c>
      <c r="D100" s="101">
        <v>2696</v>
      </c>
      <c r="E100" s="101">
        <v>1256</v>
      </c>
      <c r="F100" s="101">
        <v>5</v>
      </c>
      <c r="G100" s="101">
        <v>0</v>
      </c>
      <c r="H100" s="101">
        <v>1746</v>
      </c>
      <c r="I100" s="101">
        <v>113</v>
      </c>
      <c r="J100" s="101">
        <v>1988</v>
      </c>
      <c r="K100" s="101">
        <v>1828</v>
      </c>
      <c r="L100" s="101">
        <v>321</v>
      </c>
      <c r="M100" s="101">
        <v>45</v>
      </c>
      <c r="N100" s="101">
        <v>290</v>
      </c>
      <c r="O100" s="101">
        <v>73</v>
      </c>
      <c r="P100" s="101">
        <v>2742000000</v>
      </c>
      <c r="Q100" s="101">
        <v>431000000</v>
      </c>
      <c r="R100" s="101">
        <v>408974448.31591171</v>
      </c>
      <c r="S100" s="101">
        <f t="shared" si="4"/>
        <v>5781306.7595818816</v>
      </c>
      <c r="T100" s="101">
        <f t="shared" si="5"/>
        <v>1829306.7595818816</v>
      </c>
      <c r="U100" s="101">
        <f t="shared" si="6"/>
        <v>1829306.7595818816</v>
      </c>
      <c r="V100" s="101">
        <v>60809</v>
      </c>
      <c r="W100" s="149">
        <f t="shared" si="7"/>
        <v>3.0082829179593179E-2</v>
      </c>
      <c r="AA100" s="101"/>
      <c r="AB100" s="101"/>
      <c r="AC100" s="101"/>
      <c r="AD100" s="101"/>
      <c r="AK100" s="101"/>
      <c r="AL100" s="101"/>
      <c r="AM100" s="101"/>
    </row>
    <row r="101" spans="2:39" x14ac:dyDescent="0.25">
      <c r="B101" t="s">
        <v>364</v>
      </c>
      <c r="C101" s="101">
        <v>9027</v>
      </c>
      <c r="D101" s="101">
        <v>4155</v>
      </c>
      <c r="E101" s="101">
        <v>4872</v>
      </c>
      <c r="F101" s="101">
        <v>15</v>
      </c>
      <c r="G101" s="101">
        <v>0</v>
      </c>
      <c r="H101" s="101">
        <v>490</v>
      </c>
      <c r="I101" s="101">
        <v>130</v>
      </c>
      <c r="J101" s="101">
        <v>1364</v>
      </c>
      <c r="K101" s="101">
        <v>2156</v>
      </c>
      <c r="L101" s="101">
        <v>207</v>
      </c>
      <c r="M101" s="101">
        <v>0</v>
      </c>
      <c r="N101" s="101">
        <v>888</v>
      </c>
      <c r="O101" s="101">
        <v>99</v>
      </c>
      <c r="P101" s="101">
        <v>4137000000</v>
      </c>
      <c r="Q101" s="101">
        <v>899000000</v>
      </c>
      <c r="R101" s="101">
        <v>854975514.74680018</v>
      </c>
      <c r="S101" s="101">
        <f t="shared" si="4"/>
        <v>9508034.4808013365</v>
      </c>
      <c r="T101" s="101">
        <f t="shared" si="5"/>
        <v>481034.48080133647</v>
      </c>
      <c r="U101" s="101">
        <f t="shared" si="6"/>
        <v>481034.48080133647</v>
      </c>
      <c r="V101" s="101">
        <v>85049</v>
      </c>
      <c r="W101" s="149">
        <f t="shared" si="7"/>
        <v>5.6559686863024428E-3</v>
      </c>
      <c r="AA101" s="101"/>
      <c r="AB101" s="101"/>
      <c r="AC101" s="101"/>
      <c r="AD101" s="101"/>
      <c r="AK101" s="101"/>
      <c r="AL101" s="101"/>
      <c r="AM101" s="101"/>
    </row>
    <row r="102" spans="2:39" x14ac:dyDescent="0.25">
      <c r="B102" t="s">
        <v>290</v>
      </c>
      <c r="C102" s="101">
        <v>11332</v>
      </c>
      <c r="D102" s="101">
        <v>8591</v>
      </c>
      <c r="E102" s="101">
        <v>2741</v>
      </c>
      <c r="F102" s="101">
        <v>13</v>
      </c>
      <c r="G102" s="101">
        <v>25</v>
      </c>
      <c r="H102" s="101">
        <v>3601</v>
      </c>
      <c r="I102" s="101">
        <v>1310</v>
      </c>
      <c r="J102" s="101">
        <v>6205</v>
      </c>
      <c r="K102" s="101">
        <v>6748</v>
      </c>
      <c r="L102" s="101">
        <v>1065</v>
      </c>
      <c r="M102" s="101">
        <v>1047</v>
      </c>
      <c r="N102" s="101">
        <v>1761</v>
      </c>
      <c r="O102" s="101">
        <v>407</v>
      </c>
      <c r="P102" s="101">
        <v>9437000000</v>
      </c>
      <c r="Q102" s="101">
        <v>1296000000</v>
      </c>
      <c r="R102" s="101">
        <v>1236977228.8691626</v>
      </c>
      <c r="S102" s="101">
        <f t="shared" si="4"/>
        <v>19319543.24739483</v>
      </c>
      <c r="T102" s="101">
        <f t="shared" si="5"/>
        <v>7987543.24739483</v>
      </c>
      <c r="U102" s="101">
        <f t="shared" si="6"/>
        <v>7987543.24739483</v>
      </c>
      <c r="V102" s="101">
        <v>160653</v>
      </c>
      <c r="W102" s="149">
        <f t="shared" si="7"/>
        <v>4.971922869410985E-2</v>
      </c>
      <c r="AA102" s="101"/>
      <c r="AB102" s="101"/>
      <c r="AC102" s="101"/>
      <c r="AD102" s="101"/>
      <c r="AK102" s="101"/>
      <c r="AL102" s="101"/>
      <c r="AM102" s="101"/>
    </row>
    <row r="103" spans="2:39" x14ac:dyDescent="0.25">
      <c r="B103" t="s">
        <v>329</v>
      </c>
      <c r="C103" s="101">
        <v>12445</v>
      </c>
      <c r="D103" s="101">
        <v>6953</v>
      </c>
      <c r="E103" s="101">
        <v>5492</v>
      </c>
      <c r="F103" s="101">
        <v>4478</v>
      </c>
      <c r="G103" s="101">
        <v>17</v>
      </c>
      <c r="H103" s="101">
        <v>343</v>
      </c>
      <c r="I103" s="101">
        <v>550</v>
      </c>
      <c r="J103" s="101">
        <v>6269</v>
      </c>
      <c r="K103" s="101">
        <v>5003</v>
      </c>
      <c r="L103" s="101">
        <v>834</v>
      </c>
      <c r="M103" s="101">
        <v>504</v>
      </c>
      <c r="N103" s="101">
        <v>1860</v>
      </c>
      <c r="O103" s="101">
        <v>459</v>
      </c>
      <c r="P103" s="101">
        <v>6204000000</v>
      </c>
      <c r="Q103" s="101">
        <v>1194000000</v>
      </c>
      <c r="R103" s="101">
        <v>1151982404.6920822</v>
      </c>
      <c r="S103" s="101">
        <f t="shared" si="4"/>
        <v>13799671.601173021</v>
      </c>
      <c r="T103" s="101">
        <f t="shared" si="5"/>
        <v>1354671.6011730209</v>
      </c>
      <c r="U103" s="101">
        <f t="shared" si="6"/>
        <v>1354671.6011730209</v>
      </c>
      <c r="V103" s="101">
        <v>179315</v>
      </c>
      <c r="W103" s="149">
        <f t="shared" si="7"/>
        <v>7.5547031825169168E-3</v>
      </c>
      <c r="AA103" s="101"/>
      <c r="AB103" s="101"/>
      <c r="AC103" s="101"/>
      <c r="AD103" s="101"/>
      <c r="AK103" s="101"/>
      <c r="AL103" s="101"/>
      <c r="AM103" s="101"/>
    </row>
    <row r="104" spans="2:39" x14ac:dyDescent="0.25">
      <c r="B104" t="s">
        <v>365</v>
      </c>
      <c r="C104" s="101">
        <v>7084</v>
      </c>
      <c r="D104" s="101">
        <v>4973</v>
      </c>
      <c r="E104" s="101">
        <v>2111</v>
      </c>
      <c r="F104" s="101">
        <v>2</v>
      </c>
      <c r="G104" s="101">
        <v>16</v>
      </c>
      <c r="H104" s="101">
        <v>100</v>
      </c>
      <c r="I104" s="101">
        <v>0</v>
      </c>
      <c r="J104" s="101">
        <v>2513</v>
      </c>
      <c r="K104" s="101">
        <v>2122</v>
      </c>
      <c r="L104" s="101">
        <v>360</v>
      </c>
      <c r="M104" s="101">
        <v>0</v>
      </c>
      <c r="N104" s="101">
        <v>1036</v>
      </c>
      <c r="O104" s="101">
        <v>172</v>
      </c>
      <c r="P104" s="101">
        <v>4447000000</v>
      </c>
      <c r="Q104" s="101">
        <v>388000000</v>
      </c>
      <c r="R104" s="101">
        <v>365000000</v>
      </c>
      <c r="S104" s="101">
        <f t="shared" si="4"/>
        <v>8392800</v>
      </c>
      <c r="T104" s="101">
        <f t="shared" si="5"/>
        <v>1308800</v>
      </c>
      <c r="U104" s="101">
        <f t="shared" si="6"/>
        <v>1308800</v>
      </c>
      <c r="V104" s="101">
        <v>69989</v>
      </c>
      <c r="W104" s="149">
        <f t="shared" si="7"/>
        <v>1.8700081441369358E-2</v>
      </c>
      <c r="AA104" s="101"/>
      <c r="AB104" s="101"/>
      <c r="AC104" s="101"/>
      <c r="AD104" s="101"/>
      <c r="AK104" s="101"/>
      <c r="AL104" s="101"/>
      <c r="AM104" s="101"/>
    </row>
    <row r="105" spans="2:39" x14ac:dyDescent="0.25">
      <c r="B105" t="s">
        <v>486</v>
      </c>
      <c r="C105" s="101">
        <v>12877</v>
      </c>
      <c r="D105" s="101">
        <v>10196</v>
      </c>
      <c r="E105" s="101">
        <v>2681</v>
      </c>
      <c r="F105" s="101">
        <v>3512</v>
      </c>
      <c r="G105" s="101">
        <v>45</v>
      </c>
      <c r="H105" s="101">
        <v>399</v>
      </c>
      <c r="I105" s="101">
        <v>276</v>
      </c>
      <c r="J105" s="101">
        <v>6962</v>
      </c>
      <c r="K105" s="101">
        <v>8840</v>
      </c>
      <c r="L105" s="101">
        <v>1194</v>
      </c>
      <c r="M105" s="101">
        <v>758</v>
      </c>
      <c r="N105" s="101">
        <v>3477</v>
      </c>
      <c r="O105" s="101">
        <v>93</v>
      </c>
      <c r="P105" s="101">
        <v>16124000000</v>
      </c>
      <c r="Q105" s="101">
        <v>961000000</v>
      </c>
      <c r="R105" s="101">
        <v>925481520.04164493</v>
      </c>
      <c r="S105" s="101">
        <f t="shared" si="4"/>
        <v>29068917.173347216</v>
      </c>
      <c r="T105" s="101">
        <f t="shared" si="5"/>
        <v>16191917.173347216</v>
      </c>
      <c r="U105" s="101">
        <f t="shared" si="6"/>
        <v>16191917.173347216</v>
      </c>
      <c r="V105" s="101">
        <v>171345</v>
      </c>
      <c r="W105" s="149">
        <f t="shared" si="7"/>
        <v>9.4498918400579043E-2</v>
      </c>
      <c r="AA105" s="101"/>
      <c r="AB105" s="101"/>
      <c r="AC105" s="101"/>
      <c r="AD105" s="101"/>
      <c r="AK105" s="101"/>
      <c r="AL105" s="101"/>
      <c r="AM105" s="101"/>
    </row>
    <row r="106" spans="2:39" x14ac:dyDescent="0.25">
      <c r="B106" t="s">
        <v>291</v>
      </c>
      <c r="C106" s="101">
        <v>11054</v>
      </c>
      <c r="D106" s="101">
        <v>5315</v>
      </c>
      <c r="E106" s="101">
        <v>5739</v>
      </c>
      <c r="F106" s="101">
        <v>2556</v>
      </c>
      <c r="G106" s="101">
        <v>150</v>
      </c>
      <c r="H106" s="101">
        <v>0</v>
      </c>
      <c r="I106" s="101">
        <v>156</v>
      </c>
      <c r="J106" s="101">
        <v>3936</v>
      </c>
      <c r="K106" s="101">
        <v>5934</v>
      </c>
      <c r="L106" s="101">
        <v>691</v>
      </c>
      <c r="M106" s="101">
        <v>344</v>
      </c>
      <c r="N106" s="101">
        <v>1076</v>
      </c>
      <c r="O106" s="101">
        <v>1474</v>
      </c>
      <c r="P106" s="101">
        <v>6168000000</v>
      </c>
      <c r="Q106" s="101">
        <v>1054000000</v>
      </c>
      <c r="R106" s="101">
        <v>1032489795.9183673</v>
      </c>
      <c r="S106" s="101">
        <f t="shared" si="4"/>
        <v>13322746.530612245</v>
      </c>
      <c r="T106" s="101">
        <f t="shared" si="5"/>
        <v>2268746.5306122452</v>
      </c>
      <c r="U106" s="101">
        <f t="shared" si="6"/>
        <v>2268746.5306122452</v>
      </c>
      <c r="V106" s="101">
        <v>161505</v>
      </c>
      <c r="W106" s="149">
        <f t="shared" si="7"/>
        <v>1.4047531225734468E-2</v>
      </c>
      <c r="AA106" s="101"/>
      <c r="AB106" s="101"/>
      <c r="AC106" s="101"/>
      <c r="AD106" s="101"/>
      <c r="AK106" s="101"/>
      <c r="AL106" s="101"/>
      <c r="AM106" s="101"/>
    </row>
    <row r="107" spans="2:39" x14ac:dyDescent="0.25">
      <c r="B107" t="s">
        <v>292</v>
      </c>
      <c r="C107" s="101">
        <v>19696</v>
      </c>
      <c r="D107" s="101">
        <v>9974</v>
      </c>
      <c r="E107" s="101">
        <v>9722</v>
      </c>
      <c r="F107" s="101">
        <v>4863</v>
      </c>
      <c r="G107" s="101">
        <v>256</v>
      </c>
      <c r="H107" s="101">
        <v>169</v>
      </c>
      <c r="I107" s="101">
        <v>314</v>
      </c>
      <c r="J107" s="101">
        <v>18687</v>
      </c>
      <c r="K107" s="101">
        <v>13177</v>
      </c>
      <c r="L107" s="101">
        <v>1611</v>
      </c>
      <c r="M107" s="101">
        <v>0</v>
      </c>
      <c r="N107" s="101">
        <v>3015</v>
      </c>
      <c r="O107" s="101">
        <v>376</v>
      </c>
      <c r="P107" s="101">
        <v>11686000000</v>
      </c>
      <c r="Q107" s="101">
        <v>1492000000</v>
      </c>
      <c r="R107" s="101">
        <v>1417500000</v>
      </c>
      <c r="S107" s="101">
        <f t="shared" si="4"/>
        <v>23557137</v>
      </c>
      <c r="T107" s="101">
        <f t="shared" si="5"/>
        <v>3861137</v>
      </c>
      <c r="U107" s="101">
        <f t="shared" si="6"/>
        <v>3861137</v>
      </c>
      <c r="V107" s="101">
        <v>351395</v>
      </c>
      <c r="W107" s="149">
        <f t="shared" si="7"/>
        <v>1.0988024872294711E-2</v>
      </c>
      <c r="AA107" s="101"/>
      <c r="AB107" s="101"/>
      <c r="AC107" s="101"/>
      <c r="AD107" s="101"/>
      <c r="AK107" s="101"/>
      <c r="AL107" s="101"/>
      <c r="AM107" s="101"/>
    </row>
    <row r="108" spans="2:39" x14ac:dyDescent="0.25">
      <c r="B108" t="s">
        <v>721</v>
      </c>
      <c r="C108" s="101">
        <v>114580</v>
      </c>
      <c r="D108" s="101">
        <v>57906</v>
      </c>
      <c r="E108" s="101">
        <v>56674</v>
      </c>
      <c r="F108" s="101">
        <v>28521</v>
      </c>
      <c r="G108" s="101">
        <v>1387</v>
      </c>
      <c r="H108" s="101">
        <v>2477</v>
      </c>
      <c r="I108" s="101">
        <v>791</v>
      </c>
      <c r="J108" s="101">
        <v>22241</v>
      </c>
      <c r="K108" s="101">
        <v>35649</v>
      </c>
      <c r="L108" s="101">
        <v>4159</v>
      </c>
      <c r="M108" s="101">
        <v>1805</v>
      </c>
      <c r="N108" s="101">
        <v>17519</v>
      </c>
      <c r="O108" s="101">
        <v>2457</v>
      </c>
      <c r="P108" s="101">
        <v>37548000000</v>
      </c>
      <c r="Q108" s="101">
        <v>6611000000</v>
      </c>
      <c r="R108" s="101">
        <v>6460500000</v>
      </c>
      <c r="S108" s="101">
        <f t="shared" si="4"/>
        <v>81699873</v>
      </c>
      <c r="T108" s="101">
        <f t="shared" si="5"/>
        <v>-32880127</v>
      </c>
      <c r="U108" s="101">
        <f t="shared" si="6"/>
        <v>0</v>
      </c>
      <c r="V108" s="101">
        <v>1281142</v>
      </c>
      <c r="W108" s="149">
        <f t="shared" si="7"/>
        <v>-2.5664701492886816E-2</v>
      </c>
      <c r="AA108" s="101"/>
      <c r="AB108" s="101"/>
      <c r="AC108" s="101"/>
      <c r="AD108" s="101"/>
      <c r="AK108" s="101"/>
      <c r="AL108" s="101"/>
      <c r="AM108" s="101"/>
    </row>
    <row r="109" spans="2:39" x14ac:dyDescent="0.25">
      <c r="B109" t="s">
        <v>404</v>
      </c>
      <c r="C109" s="101">
        <v>4373</v>
      </c>
      <c r="D109" s="101">
        <v>2995</v>
      </c>
      <c r="E109" s="101">
        <v>1378</v>
      </c>
      <c r="F109" s="101">
        <v>9</v>
      </c>
      <c r="G109" s="101">
        <v>0</v>
      </c>
      <c r="H109" s="101">
        <v>1977</v>
      </c>
      <c r="I109" s="101">
        <v>252</v>
      </c>
      <c r="J109" s="101">
        <v>2326</v>
      </c>
      <c r="K109" s="101">
        <v>2056</v>
      </c>
      <c r="L109" s="101">
        <v>210</v>
      </c>
      <c r="M109" s="101">
        <v>15</v>
      </c>
      <c r="N109" s="101">
        <v>666</v>
      </c>
      <c r="O109" s="101">
        <v>22</v>
      </c>
      <c r="P109" s="101">
        <v>2334000000</v>
      </c>
      <c r="Q109" s="101">
        <v>212000000</v>
      </c>
      <c r="R109" s="101">
        <v>182500000</v>
      </c>
      <c r="S109" s="101">
        <f t="shared" si="4"/>
        <v>4403799</v>
      </c>
      <c r="T109" s="101">
        <f t="shared" si="5"/>
        <v>30799</v>
      </c>
      <c r="U109" s="101">
        <f t="shared" si="6"/>
        <v>30799</v>
      </c>
      <c r="V109" s="101">
        <v>45376</v>
      </c>
      <c r="W109" s="149">
        <f t="shared" si="7"/>
        <v>6.7875088152327223E-4</v>
      </c>
      <c r="AA109" s="101"/>
      <c r="AB109" s="101"/>
      <c r="AC109" s="101"/>
      <c r="AD109" s="101"/>
      <c r="AK109" s="101"/>
      <c r="AL109" s="101"/>
      <c r="AM109" s="101"/>
    </row>
    <row r="110" spans="2:39" x14ac:dyDescent="0.25">
      <c r="B110" t="s">
        <v>145</v>
      </c>
      <c r="C110" s="101">
        <v>7574</v>
      </c>
      <c r="D110" s="101">
        <v>4383</v>
      </c>
      <c r="E110" s="101">
        <v>3191</v>
      </c>
      <c r="F110" s="101">
        <v>0</v>
      </c>
      <c r="G110" s="101">
        <v>0</v>
      </c>
      <c r="H110" s="101">
        <v>117</v>
      </c>
      <c r="I110" s="101">
        <v>232</v>
      </c>
      <c r="J110" s="101">
        <v>4150</v>
      </c>
      <c r="K110" s="101">
        <v>2486</v>
      </c>
      <c r="L110" s="101">
        <v>372</v>
      </c>
      <c r="M110" s="101">
        <v>185</v>
      </c>
      <c r="N110" s="101">
        <v>705</v>
      </c>
      <c r="O110" s="101">
        <v>26</v>
      </c>
      <c r="P110" s="101">
        <v>3881000000</v>
      </c>
      <c r="Q110" s="101">
        <v>609000000</v>
      </c>
      <c r="R110" s="101">
        <v>523500000</v>
      </c>
      <c r="S110" s="101">
        <f t="shared" si="4"/>
        <v>8091789</v>
      </c>
      <c r="T110" s="101">
        <f t="shared" si="5"/>
        <v>517789</v>
      </c>
      <c r="U110" s="101">
        <f t="shared" si="6"/>
        <v>517789</v>
      </c>
      <c r="V110" s="101">
        <v>74193</v>
      </c>
      <c r="W110" s="149">
        <f t="shared" si="7"/>
        <v>6.9789468009111375E-3</v>
      </c>
      <c r="AA110" s="101"/>
      <c r="AB110" s="101"/>
      <c r="AC110" s="101"/>
      <c r="AD110" s="101"/>
      <c r="AK110" s="101"/>
      <c r="AL110" s="101"/>
      <c r="AM110" s="101"/>
    </row>
    <row r="111" spans="2:39" x14ac:dyDescent="0.25">
      <c r="B111" t="s">
        <v>250</v>
      </c>
      <c r="C111" s="101">
        <v>50023</v>
      </c>
      <c r="D111" s="101">
        <v>27748</v>
      </c>
      <c r="E111" s="101">
        <v>22275</v>
      </c>
      <c r="F111" s="101">
        <v>28582</v>
      </c>
      <c r="G111" s="101">
        <v>1165</v>
      </c>
      <c r="H111" s="101">
        <v>2812</v>
      </c>
      <c r="I111" s="101">
        <v>1796</v>
      </c>
      <c r="J111" s="101">
        <v>14298</v>
      </c>
      <c r="K111" s="101">
        <v>30092</v>
      </c>
      <c r="L111" s="101">
        <v>2689</v>
      </c>
      <c r="M111" s="101">
        <v>1081</v>
      </c>
      <c r="N111" s="101">
        <v>8878</v>
      </c>
      <c r="O111" s="101">
        <v>2438</v>
      </c>
      <c r="P111" s="101">
        <v>38880000000</v>
      </c>
      <c r="Q111" s="101">
        <v>4539000000</v>
      </c>
      <c r="R111" s="101">
        <v>4470492453.453784</v>
      </c>
      <c r="S111" s="101">
        <f t="shared" si="4"/>
        <v>77293640.819874406</v>
      </c>
      <c r="T111" s="101">
        <f t="shared" si="5"/>
        <v>27270640.819874406</v>
      </c>
      <c r="U111" s="101">
        <f t="shared" si="6"/>
        <v>27270640.819874406</v>
      </c>
      <c r="V111" s="101">
        <v>719536</v>
      </c>
      <c r="W111" s="149">
        <f t="shared" si="7"/>
        <v>3.7900314674838238E-2</v>
      </c>
      <c r="AA111" s="101"/>
      <c r="AB111" s="101"/>
      <c r="AC111" s="101"/>
      <c r="AD111" s="101"/>
      <c r="AK111" s="101"/>
      <c r="AL111" s="101"/>
      <c r="AM111" s="101"/>
    </row>
    <row r="112" spans="2:39" x14ac:dyDescent="0.25">
      <c r="B112" t="s">
        <v>251</v>
      </c>
      <c r="C112" s="101">
        <v>100015</v>
      </c>
      <c r="D112" s="101">
        <v>23293</v>
      </c>
      <c r="E112" s="101">
        <v>76722</v>
      </c>
      <c r="F112" s="101">
        <v>4990</v>
      </c>
      <c r="G112" s="101">
        <v>125</v>
      </c>
      <c r="H112" s="101">
        <v>14281</v>
      </c>
      <c r="I112" s="101">
        <v>1981</v>
      </c>
      <c r="J112" s="101">
        <v>10907</v>
      </c>
      <c r="K112" s="101">
        <v>22467</v>
      </c>
      <c r="L112" s="101">
        <v>4470</v>
      </c>
      <c r="M112" s="101">
        <v>887</v>
      </c>
      <c r="N112" s="101">
        <v>10682</v>
      </c>
      <c r="O112" s="101">
        <v>725</v>
      </c>
      <c r="P112" s="101">
        <v>32456000000</v>
      </c>
      <c r="Q112" s="101">
        <v>13857000000</v>
      </c>
      <c r="R112" s="101">
        <v>13857000000</v>
      </c>
      <c r="S112" s="101">
        <f t="shared" si="4"/>
        <v>97114380</v>
      </c>
      <c r="T112" s="101">
        <f t="shared" si="5"/>
        <v>-2900620</v>
      </c>
      <c r="U112" s="101">
        <f t="shared" si="6"/>
        <v>0</v>
      </c>
      <c r="V112" s="101">
        <v>528572</v>
      </c>
      <c r="W112" s="149">
        <f t="shared" si="7"/>
        <v>-5.4876535268610516E-3</v>
      </c>
      <c r="AA112" s="101"/>
      <c r="AB112" s="101"/>
      <c r="AC112" s="101"/>
      <c r="AD112" s="101"/>
      <c r="AK112" s="101"/>
      <c r="AL112" s="101"/>
      <c r="AM112" s="101"/>
    </row>
    <row r="113" spans="2:39" x14ac:dyDescent="0.25">
      <c r="B113" t="s">
        <v>368</v>
      </c>
      <c r="C113" s="101">
        <v>8450</v>
      </c>
      <c r="D113" s="101">
        <v>4087</v>
      </c>
      <c r="E113" s="101">
        <v>4363</v>
      </c>
      <c r="F113" s="101">
        <v>0</v>
      </c>
      <c r="G113" s="101">
        <v>0</v>
      </c>
      <c r="H113" s="101">
        <v>624</v>
      </c>
      <c r="I113" s="101">
        <v>0</v>
      </c>
      <c r="J113" s="101">
        <v>3336</v>
      </c>
      <c r="K113" s="101">
        <v>4398</v>
      </c>
      <c r="L113" s="101">
        <v>582</v>
      </c>
      <c r="M113" s="101">
        <v>30</v>
      </c>
      <c r="N113" s="101">
        <v>649</v>
      </c>
      <c r="O113" s="101">
        <v>98</v>
      </c>
      <c r="P113" s="101">
        <v>4867000000</v>
      </c>
      <c r="Q113" s="101">
        <v>1044000000</v>
      </c>
      <c r="R113" s="101">
        <v>986472448.4906565</v>
      </c>
      <c r="S113" s="101">
        <f t="shared" si="4"/>
        <v>11132520.53186392</v>
      </c>
      <c r="T113" s="101">
        <f t="shared" si="5"/>
        <v>2682520.5318639204</v>
      </c>
      <c r="U113" s="101">
        <f t="shared" si="6"/>
        <v>2682520.5318639204</v>
      </c>
      <c r="V113" s="101">
        <v>99471</v>
      </c>
      <c r="W113" s="149">
        <f t="shared" si="7"/>
        <v>2.6967865326214882E-2</v>
      </c>
      <c r="AA113" s="101"/>
      <c r="AB113" s="101"/>
      <c r="AC113" s="101"/>
      <c r="AD113" s="101"/>
      <c r="AK113" s="101"/>
      <c r="AL113" s="101"/>
      <c r="AM113" s="101"/>
    </row>
    <row r="114" spans="2:39" x14ac:dyDescent="0.25">
      <c r="B114" t="s">
        <v>146</v>
      </c>
      <c r="C114" s="101">
        <v>15855</v>
      </c>
      <c r="D114" s="101">
        <v>7169</v>
      </c>
      <c r="E114" s="101">
        <v>8686</v>
      </c>
      <c r="F114" s="101">
        <v>1639</v>
      </c>
      <c r="G114" s="101">
        <v>0</v>
      </c>
      <c r="H114" s="101">
        <v>1387</v>
      </c>
      <c r="I114" s="101">
        <v>626</v>
      </c>
      <c r="J114" s="101">
        <v>8227</v>
      </c>
      <c r="K114" s="101">
        <v>5946</v>
      </c>
      <c r="L114" s="101">
        <v>1040</v>
      </c>
      <c r="M114" s="101">
        <v>496</v>
      </c>
      <c r="N114" s="101">
        <v>1468</v>
      </c>
      <c r="O114" s="101">
        <v>344</v>
      </c>
      <c r="P114" s="101">
        <v>8465000000</v>
      </c>
      <c r="Q114" s="101">
        <v>1824000000</v>
      </c>
      <c r="R114" s="101">
        <v>1660000000</v>
      </c>
      <c r="S114" s="101">
        <f t="shared" si="4"/>
        <v>19285686</v>
      </c>
      <c r="T114" s="101">
        <f t="shared" si="5"/>
        <v>3430686</v>
      </c>
      <c r="U114" s="101">
        <f t="shared" si="6"/>
        <v>3430686</v>
      </c>
      <c r="V114" s="101">
        <v>238531</v>
      </c>
      <c r="W114" s="149">
        <f t="shared" si="7"/>
        <v>1.4382558241905664E-2</v>
      </c>
      <c r="AA114" s="101"/>
      <c r="AB114" s="101"/>
      <c r="AC114" s="101"/>
      <c r="AD114" s="101"/>
      <c r="AK114" s="101"/>
      <c r="AL114" s="101"/>
      <c r="AM114" s="101"/>
    </row>
    <row r="115" spans="2:39" x14ac:dyDescent="0.25">
      <c r="B115" t="s">
        <v>181</v>
      </c>
      <c r="C115" s="101">
        <v>13374</v>
      </c>
      <c r="D115" s="101">
        <v>7747</v>
      </c>
      <c r="E115" s="101">
        <v>5627</v>
      </c>
      <c r="F115" s="101">
        <v>2358</v>
      </c>
      <c r="G115" s="101">
        <v>179</v>
      </c>
      <c r="H115" s="101">
        <v>253</v>
      </c>
      <c r="I115" s="101">
        <v>425</v>
      </c>
      <c r="J115" s="101">
        <v>3766</v>
      </c>
      <c r="K115" s="101">
        <v>5725</v>
      </c>
      <c r="L115" s="101">
        <v>682</v>
      </c>
      <c r="M115" s="101">
        <v>947</v>
      </c>
      <c r="N115" s="101">
        <v>890</v>
      </c>
      <c r="O115" s="101">
        <v>786</v>
      </c>
      <c r="P115" s="101">
        <v>8471000000</v>
      </c>
      <c r="Q115" s="101">
        <v>1253000000</v>
      </c>
      <c r="R115" s="101">
        <v>1221987624.750499</v>
      </c>
      <c r="S115" s="101">
        <f t="shared" si="4"/>
        <v>17666824.026347306</v>
      </c>
      <c r="T115" s="101">
        <f t="shared" si="5"/>
        <v>4292824.0263473056</v>
      </c>
      <c r="U115" s="101">
        <f t="shared" si="6"/>
        <v>4292824.0263473056</v>
      </c>
      <c r="V115" s="101">
        <v>199379</v>
      </c>
      <c r="W115" s="149">
        <f t="shared" si="7"/>
        <v>2.1530973805402302E-2</v>
      </c>
      <c r="AA115" s="101"/>
      <c r="AB115" s="101"/>
      <c r="AC115" s="101"/>
      <c r="AD115" s="101"/>
      <c r="AK115" s="101"/>
      <c r="AL115" s="101"/>
      <c r="AM115" s="101"/>
    </row>
    <row r="116" spans="2:39" x14ac:dyDescent="0.25">
      <c r="B116" t="s">
        <v>293</v>
      </c>
      <c r="C116" s="101">
        <v>4388</v>
      </c>
      <c r="D116" s="101">
        <v>2515</v>
      </c>
      <c r="E116" s="101">
        <v>1873</v>
      </c>
      <c r="F116" s="101">
        <v>0</v>
      </c>
      <c r="G116" s="101">
        <v>24</v>
      </c>
      <c r="H116" s="101">
        <v>0</v>
      </c>
      <c r="I116" s="101">
        <v>157</v>
      </c>
      <c r="J116" s="101">
        <v>1629</v>
      </c>
      <c r="K116" s="101">
        <v>2459</v>
      </c>
      <c r="L116" s="101">
        <v>268</v>
      </c>
      <c r="M116" s="101">
        <v>390</v>
      </c>
      <c r="N116" s="101">
        <v>355</v>
      </c>
      <c r="O116" s="101">
        <v>70</v>
      </c>
      <c r="P116" s="101">
        <v>2762000000</v>
      </c>
      <c r="Q116" s="101">
        <v>454000000</v>
      </c>
      <c r="R116" s="101">
        <v>447993384.78500551</v>
      </c>
      <c r="S116" s="101">
        <f t="shared" si="4"/>
        <v>5913685.323042999</v>
      </c>
      <c r="T116" s="101">
        <f t="shared" si="5"/>
        <v>1525685.323042999</v>
      </c>
      <c r="U116" s="101">
        <f t="shared" si="6"/>
        <v>1525685.323042999</v>
      </c>
      <c r="V116" s="101">
        <v>52640</v>
      </c>
      <c r="W116" s="149">
        <f t="shared" si="7"/>
        <v>2.8983383796409554E-2</v>
      </c>
      <c r="AA116" s="101"/>
      <c r="AB116" s="101"/>
      <c r="AC116" s="101"/>
      <c r="AD116" s="101"/>
      <c r="AK116" s="101"/>
      <c r="AL116" s="101"/>
      <c r="AM116" s="101"/>
    </row>
    <row r="117" spans="2:39" x14ac:dyDescent="0.25">
      <c r="B117" t="s">
        <v>128</v>
      </c>
      <c r="C117" s="101">
        <v>4153</v>
      </c>
      <c r="D117" s="101">
        <v>1832</v>
      </c>
      <c r="E117" s="101">
        <v>2321</v>
      </c>
      <c r="F117" s="101">
        <v>6822</v>
      </c>
      <c r="G117" s="101">
        <v>126</v>
      </c>
      <c r="H117" s="101">
        <v>247</v>
      </c>
      <c r="I117" s="101">
        <v>57</v>
      </c>
      <c r="J117" s="101">
        <v>1673</v>
      </c>
      <c r="K117" s="101">
        <v>2153</v>
      </c>
      <c r="L117" s="101">
        <v>182</v>
      </c>
      <c r="M117" s="101">
        <v>31</v>
      </c>
      <c r="N117" s="101">
        <v>372</v>
      </c>
      <c r="O117" s="101">
        <v>359</v>
      </c>
      <c r="P117" s="101">
        <v>1950000000</v>
      </c>
      <c r="Q117" s="101">
        <v>447000000</v>
      </c>
      <c r="R117" s="101">
        <v>428479283.31466967</v>
      </c>
      <c r="S117" s="101">
        <f t="shared" si="4"/>
        <v>4560323.5632698769</v>
      </c>
      <c r="T117" s="101">
        <f t="shared" si="5"/>
        <v>407323.56326987687</v>
      </c>
      <c r="U117" s="101">
        <f t="shared" si="6"/>
        <v>407323.56326987687</v>
      </c>
      <c r="V117" s="101">
        <v>71173</v>
      </c>
      <c r="W117" s="149">
        <f t="shared" si="7"/>
        <v>5.7230068041234303E-3</v>
      </c>
      <c r="AA117" s="101"/>
      <c r="AB117" s="101"/>
      <c r="AC117" s="101"/>
      <c r="AD117" s="101"/>
      <c r="AK117" s="101"/>
      <c r="AL117" s="101"/>
      <c r="AM117" s="101"/>
    </row>
    <row r="118" spans="2:39" x14ac:dyDescent="0.25">
      <c r="B118" t="s">
        <v>182</v>
      </c>
      <c r="C118" s="101">
        <v>3746</v>
      </c>
      <c r="D118" s="101">
        <v>2827</v>
      </c>
      <c r="E118" s="101">
        <v>919</v>
      </c>
      <c r="F118" s="101">
        <v>0</v>
      </c>
      <c r="G118" s="101">
        <v>13</v>
      </c>
      <c r="H118" s="101">
        <v>354</v>
      </c>
      <c r="I118" s="101">
        <v>60</v>
      </c>
      <c r="J118" s="101">
        <v>1450</v>
      </c>
      <c r="K118" s="101">
        <v>1395</v>
      </c>
      <c r="L118" s="101">
        <v>179</v>
      </c>
      <c r="M118" s="101">
        <v>237</v>
      </c>
      <c r="N118" s="101">
        <v>611</v>
      </c>
      <c r="O118" s="101">
        <v>50</v>
      </c>
      <c r="P118" s="101">
        <v>2302000000</v>
      </c>
      <c r="Q118" s="101">
        <v>168000000</v>
      </c>
      <c r="R118" s="101">
        <v>158471641.79104477</v>
      </c>
      <c r="S118" s="101">
        <f t="shared" si="4"/>
        <v>4242353.2298507458</v>
      </c>
      <c r="T118" s="101">
        <f t="shared" si="5"/>
        <v>496353.22985074576</v>
      </c>
      <c r="U118" s="101">
        <f t="shared" si="6"/>
        <v>496353.22985074576</v>
      </c>
      <c r="V118" s="101">
        <v>34515</v>
      </c>
      <c r="W118" s="149">
        <f t="shared" si="7"/>
        <v>1.4380797619897023E-2</v>
      </c>
      <c r="AA118" s="101"/>
      <c r="AB118" s="101"/>
      <c r="AC118" s="101"/>
      <c r="AD118" s="101"/>
      <c r="AK118" s="101"/>
      <c r="AL118" s="101"/>
      <c r="AM118" s="101"/>
    </row>
    <row r="119" spans="2:39" x14ac:dyDescent="0.25">
      <c r="B119" t="s">
        <v>252</v>
      </c>
      <c r="C119" s="101">
        <v>7040</v>
      </c>
      <c r="D119" s="101">
        <v>5309</v>
      </c>
      <c r="E119" s="101">
        <v>1731</v>
      </c>
      <c r="F119" s="101">
        <v>0</v>
      </c>
      <c r="G119" s="101">
        <v>45</v>
      </c>
      <c r="H119" s="101">
        <v>120</v>
      </c>
      <c r="I119" s="101">
        <v>174</v>
      </c>
      <c r="J119" s="101">
        <v>3996</v>
      </c>
      <c r="K119" s="101">
        <v>6858</v>
      </c>
      <c r="L119" s="101">
        <v>741</v>
      </c>
      <c r="M119" s="101">
        <v>252</v>
      </c>
      <c r="N119" s="101">
        <v>677</v>
      </c>
      <c r="O119" s="101">
        <v>437</v>
      </c>
      <c r="P119" s="101">
        <v>7179000000</v>
      </c>
      <c r="Q119" s="101">
        <v>543000000</v>
      </c>
      <c r="R119" s="101">
        <v>531500000</v>
      </c>
      <c r="S119" s="101">
        <f t="shared" si="4"/>
        <v>13321149</v>
      </c>
      <c r="T119" s="101">
        <f t="shared" si="5"/>
        <v>6281149</v>
      </c>
      <c r="U119" s="101">
        <f t="shared" si="6"/>
        <v>6281149</v>
      </c>
      <c r="V119" s="101">
        <v>120932</v>
      </c>
      <c r="W119" s="149">
        <f t="shared" si="7"/>
        <v>5.193951146098634E-2</v>
      </c>
      <c r="AA119" s="101"/>
      <c r="AB119" s="101"/>
      <c r="AC119" s="101"/>
      <c r="AD119" s="101"/>
      <c r="AK119" s="101"/>
      <c r="AL119" s="101"/>
      <c r="AM119" s="101"/>
    </row>
    <row r="120" spans="2:39" x14ac:dyDescent="0.25">
      <c r="B120" t="s">
        <v>253</v>
      </c>
      <c r="C120" s="101">
        <v>8487</v>
      </c>
      <c r="D120" s="101">
        <v>6693</v>
      </c>
      <c r="E120" s="101">
        <v>1794</v>
      </c>
      <c r="F120" s="101">
        <v>804</v>
      </c>
      <c r="G120" s="101">
        <v>116</v>
      </c>
      <c r="H120" s="101">
        <v>0</v>
      </c>
      <c r="I120" s="101">
        <v>7</v>
      </c>
      <c r="J120" s="101">
        <v>3588</v>
      </c>
      <c r="K120" s="101">
        <v>4466</v>
      </c>
      <c r="L120" s="101">
        <v>601</v>
      </c>
      <c r="M120" s="101">
        <v>507</v>
      </c>
      <c r="N120" s="101">
        <v>403</v>
      </c>
      <c r="O120" s="101">
        <v>84</v>
      </c>
      <c r="P120" s="101">
        <v>8514000000</v>
      </c>
      <c r="Q120" s="101">
        <v>332000000</v>
      </c>
      <c r="R120" s="101">
        <v>312470588.2352941</v>
      </c>
      <c r="S120" s="101">
        <f t="shared" si="4"/>
        <v>14781771.529411765</v>
      </c>
      <c r="T120" s="101">
        <f t="shared" si="5"/>
        <v>6294771.5294117648</v>
      </c>
      <c r="U120" s="101">
        <f t="shared" si="6"/>
        <v>6294771.5294117648</v>
      </c>
      <c r="V120" s="101">
        <v>82243</v>
      </c>
      <c r="W120" s="149">
        <f t="shared" si="7"/>
        <v>7.6538690580496394E-2</v>
      </c>
      <c r="AA120" s="101"/>
      <c r="AB120" s="101"/>
      <c r="AC120" s="101"/>
      <c r="AD120" s="101"/>
      <c r="AK120" s="101"/>
      <c r="AL120" s="101"/>
      <c r="AM120" s="101"/>
    </row>
    <row r="121" spans="2:39" x14ac:dyDescent="0.25">
      <c r="B121" t="s">
        <v>183</v>
      </c>
      <c r="C121" s="101">
        <v>5374</v>
      </c>
      <c r="D121" s="101">
        <v>4070</v>
      </c>
      <c r="E121" s="101">
        <v>1304</v>
      </c>
      <c r="F121" s="101">
        <v>0</v>
      </c>
      <c r="G121" s="101">
        <v>0</v>
      </c>
      <c r="H121" s="101">
        <v>270</v>
      </c>
      <c r="I121" s="101">
        <v>0</v>
      </c>
      <c r="J121" s="101">
        <v>1565</v>
      </c>
      <c r="K121" s="101">
        <v>2096</v>
      </c>
      <c r="L121" s="101">
        <v>246</v>
      </c>
      <c r="M121" s="101">
        <v>313</v>
      </c>
      <c r="N121" s="101">
        <v>504</v>
      </c>
      <c r="O121" s="101">
        <v>91</v>
      </c>
      <c r="P121" s="101">
        <v>3446000000</v>
      </c>
      <c r="Q121" s="101">
        <v>295000000</v>
      </c>
      <c r="R121" s="101">
        <v>270959252.97113752</v>
      </c>
      <c r="S121" s="101">
        <f t="shared" si="4"/>
        <v>6475302.2342954157</v>
      </c>
      <c r="T121" s="101">
        <f t="shared" si="5"/>
        <v>1101302.2342954157</v>
      </c>
      <c r="U121" s="101">
        <f t="shared" si="6"/>
        <v>1101302.2342954157</v>
      </c>
      <c r="V121" s="101">
        <v>54646</v>
      </c>
      <c r="W121" s="149">
        <f t="shared" si="7"/>
        <v>2.0153391543670456E-2</v>
      </c>
      <c r="AA121" s="101"/>
      <c r="AB121" s="101"/>
      <c r="AC121" s="101"/>
      <c r="AD121" s="101"/>
      <c r="AK121" s="101"/>
      <c r="AL121" s="101"/>
      <c r="AM121" s="101"/>
    </row>
    <row r="122" spans="2:39" x14ac:dyDescent="0.25">
      <c r="B122" t="s">
        <v>129</v>
      </c>
      <c r="C122" s="101">
        <v>16954</v>
      </c>
      <c r="D122" s="101">
        <v>8267</v>
      </c>
      <c r="E122" s="101">
        <v>8687</v>
      </c>
      <c r="F122" s="101">
        <v>3610</v>
      </c>
      <c r="G122" s="101">
        <v>45</v>
      </c>
      <c r="H122" s="101">
        <v>263</v>
      </c>
      <c r="I122" s="101">
        <v>203</v>
      </c>
      <c r="J122" s="101">
        <v>6961</v>
      </c>
      <c r="K122" s="101">
        <v>6302</v>
      </c>
      <c r="L122" s="101">
        <v>907</v>
      </c>
      <c r="M122" s="101">
        <v>291</v>
      </c>
      <c r="N122" s="101">
        <v>1801</v>
      </c>
      <c r="O122" s="101">
        <v>230</v>
      </c>
      <c r="P122" s="101">
        <v>7713000000</v>
      </c>
      <c r="Q122" s="101">
        <v>1431000000</v>
      </c>
      <c r="R122" s="101">
        <v>1379982174.0650122</v>
      </c>
      <c r="S122" s="101">
        <f t="shared" si="4"/>
        <v>16985707.22894093</v>
      </c>
      <c r="T122" s="101">
        <f t="shared" si="5"/>
        <v>31707.228940930218</v>
      </c>
      <c r="U122" s="101">
        <f t="shared" si="6"/>
        <v>31707.228940930218</v>
      </c>
      <c r="V122" s="101">
        <v>212783</v>
      </c>
      <c r="W122" s="149">
        <f t="shared" si="7"/>
        <v>1.4901204015795537E-4</v>
      </c>
      <c r="AA122" s="101"/>
      <c r="AB122" s="101"/>
      <c r="AC122" s="101"/>
      <c r="AD122" s="101"/>
      <c r="AK122" s="101"/>
      <c r="AL122" s="101"/>
      <c r="AM122" s="101"/>
    </row>
    <row r="123" spans="2:39" x14ac:dyDescent="0.25">
      <c r="B123" t="s">
        <v>405</v>
      </c>
      <c r="C123" s="101">
        <v>27590</v>
      </c>
      <c r="D123" s="101">
        <v>14829</v>
      </c>
      <c r="E123" s="101">
        <v>12761</v>
      </c>
      <c r="F123" s="101">
        <v>1737</v>
      </c>
      <c r="G123" s="101">
        <v>0</v>
      </c>
      <c r="H123" s="101">
        <v>363</v>
      </c>
      <c r="I123" s="101">
        <v>676</v>
      </c>
      <c r="J123" s="101">
        <v>9649</v>
      </c>
      <c r="K123" s="101">
        <v>12920</v>
      </c>
      <c r="L123" s="101">
        <v>1535</v>
      </c>
      <c r="M123" s="101">
        <v>477</v>
      </c>
      <c r="N123" s="101">
        <v>2191</v>
      </c>
      <c r="O123" s="101">
        <v>165</v>
      </c>
      <c r="P123" s="101">
        <v>9296000000</v>
      </c>
      <c r="Q123" s="101">
        <v>2271000000</v>
      </c>
      <c r="R123" s="101">
        <v>2218988548.7778025</v>
      </c>
      <c r="S123" s="101">
        <f t="shared" si="4"/>
        <v>22250585.517727371</v>
      </c>
      <c r="T123" s="101">
        <f t="shared" si="5"/>
        <v>-5339414.4822726287</v>
      </c>
      <c r="U123" s="101">
        <f t="shared" si="6"/>
        <v>0</v>
      </c>
      <c r="V123" s="101">
        <v>484726</v>
      </c>
      <c r="W123" s="149">
        <f t="shared" si="7"/>
        <v>-1.1015325116194775E-2</v>
      </c>
      <c r="AA123" s="101"/>
      <c r="AB123" s="101"/>
      <c r="AC123" s="101"/>
      <c r="AD123" s="101"/>
      <c r="AK123" s="101"/>
      <c r="AL123" s="101"/>
      <c r="AM123" s="101"/>
    </row>
    <row r="124" spans="2:39" x14ac:dyDescent="0.25">
      <c r="B124" t="s">
        <v>369</v>
      </c>
      <c r="C124" s="101">
        <v>4445</v>
      </c>
      <c r="D124" s="101">
        <v>3155</v>
      </c>
      <c r="E124" s="101">
        <v>1290</v>
      </c>
      <c r="F124" s="101">
        <v>0</v>
      </c>
      <c r="G124" s="101">
        <v>0</v>
      </c>
      <c r="H124" s="101">
        <v>312</v>
      </c>
      <c r="I124" s="101">
        <v>0</v>
      </c>
      <c r="J124" s="101">
        <v>2697</v>
      </c>
      <c r="K124" s="101">
        <v>1669</v>
      </c>
      <c r="L124" s="101">
        <v>171</v>
      </c>
      <c r="M124" s="101">
        <v>2</v>
      </c>
      <c r="N124" s="101">
        <v>396</v>
      </c>
      <c r="O124" s="101">
        <v>17</v>
      </c>
      <c r="P124" s="101">
        <v>3432000000</v>
      </c>
      <c r="Q124" s="101">
        <v>411000000</v>
      </c>
      <c r="R124" s="101">
        <v>366946406.82095003</v>
      </c>
      <c r="S124" s="101">
        <f t="shared" si="4"/>
        <v>6794853.5006090133</v>
      </c>
      <c r="T124" s="101">
        <f t="shared" si="5"/>
        <v>2349853.5006090133</v>
      </c>
      <c r="U124" s="101">
        <f t="shared" si="6"/>
        <v>2349853.5006090133</v>
      </c>
      <c r="V124" s="101">
        <v>42624</v>
      </c>
      <c r="W124" s="149">
        <f t="shared" si="7"/>
        <v>5.5129821241765513E-2</v>
      </c>
      <c r="AA124" s="101"/>
      <c r="AB124" s="101"/>
      <c r="AC124" s="101"/>
      <c r="AD124" s="101"/>
      <c r="AK124" s="101"/>
      <c r="AL124" s="101"/>
      <c r="AM124" s="101"/>
    </row>
    <row r="125" spans="2:39" x14ac:dyDescent="0.25">
      <c r="B125" t="s">
        <v>255</v>
      </c>
      <c r="C125" s="101">
        <v>5596</v>
      </c>
      <c r="D125" s="101">
        <v>4325</v>
      </c>
      <c r="E125" s="101">
        <v>1271</v>
      </c>
      <c r="F125" s="101">
        <v>0</v>
      </c>
      <c r="G125" s="101">
        <v>0</v>
      </c>
      <c r="H125" s="101">
        <v>55</v>
      </c>
      <c r="I125" s="101">
        <v>19</v>
      </c>
      <c r="J125" s="101">
        <v>2533</v>
      </c>
      <c r="K125" s="101">
        <v>3350</v>
      </c>
      <c r="L125" s="101">
        <v>417</v>
      </c>
      <c r="M125" s="101">
        <v>151</v>
      </c>
      <c r="N125" s="101">
        <v>657</v>
      </c>
      <c r="O125" s="101">
        <v>68</v>
      </c>
      <c r="P125" s="101">
        <v>5841000000</v>
      </c>
      <c r="Q125" s="101">
        <v>415000000</v>
      </c>
      <c r="R125" s="101">
        <v>380500000</v>
      </c>
      <c r="S125" s="101">
        <f t="shared" si="4"/>
        <v>10711311</v>
      </c>
      <c r="T125" s="101">
        <f t="shared" si="5"/>
        <v>5115311</v>
      </c>
      <c r="U125" s="101">
        <f t="shared" si="6"/>
        <v>5115311</v>
      </c>
      <c r="V125" s="101">
        <v>63708</v>
      </c>
      <c r="W125" s="149">
        <f t="shared" si="7"/>
        <v>8.0293071513781622E-2</v>
      </c>
      <c r="AA125" s="101"/>
      <c r="AB125" s="101"/>
      <c r="AC125" s="101"/>
      <c r="AD125" s="101"/>
      <c r="AK125" s="101"/>
      <c r="AL125" s="101"/>
      <c r="AM125" s="101"/>
    </row>
    <row r="126" spans="2:39" x14ac:dyDescent="0.25">
      <c r="B126" t="s">
        <v>147</v>
      </c>
      <c r="C126" s="101">
        <v>9508</v>
      </c>
      <c r="D126" s="101">
        <v>6052</v>
      </c>
      <c r="E126" s="101">
        <v>3456</v>
      </c>
      <c r="F126" s="101">
        <v>92</v>
      </c>
      <c r="G126" s="101">
        <v>0</v>
      </c>
      <c r="H126" s="101">
        <v>612</v>
      </c>
      <c r="I126" s="101">
        <v>107</v>
      </c>
      <c r="J126" s="101">
        <v>4709</v>
      </c>
      <c r="K126" s="101">
        <v>4374</v>
      </c>
      <c r="L126" s="101">
        <v>695</v>
      </c>
      <c r="M126" s="101">
        <v>482</v>
      </c>
      <c r="N126" s="101">
        <v>811</v>
      </c>
      <c r="O126" s="101">
        <v>153</v>
      </c>
      <c r="P126" s="101">
        <v>6034000000</v>
      </c>
      <c r="Q126" s="101">
        <v>750000000</v>
      </c>
      <c r="R126" s="101">
        <v>682454969.97998667</v>
      </c>
      <c r="S126" s="101">
        <f t="shared" si="4"/>
        <v>12050858.321547698</v>
      </c>
      <c r="T126" s="101">
        <f t="shared" si="5"/>
        <v>2542858.3215476982</v>
      </c>
      <c r="U126" s="101">
        <f t="shared" si="6"/>
        <v>2542858.3215476982</v>
      </c>
      <c r="V126" s="101">
        <v>121887</v>
      </c>
      <c r="W126" s="149">
        <f t="shared" si="7"/>
        <v>2.0862424389374572E-2</v>
      </c>
      <c r="AA126" s="101"/>
      <c r="AB126" s="101"/>
      <c r="AC126" s="101"/>
      <c r="AD126" s="101"/>
      <c r="AK126" s="101"/>
      <c r="AL126" s="101"/>
      <c r="AM126" s="101"/>
    </row>
    <row r="127" spans="2:39" x14ac:dyDescent="0.25">
      <c r="B127" t="s">
        <v>370</v>
      </c>
      <c r="C127" s="101">
        <v>27329</v>
      </c>
      <c r="D127" s="101">
        <v>17217</v>
      </c>
      <c r="E127" s="101">
        <v>10112</v>
      </c>
      <c r="F127" s="101">
        <v>3946</v>
      </c>
      <c r="G127" s="101">
        <v>320</v>
      </c>
      <c r="H127" s="101">
        <v>102</v>
      </c>
      <c r="I127" s="101">
        <v>860</v>
      </c>
      <c r="J127" s="101">
        <v>9008</v>
      </c>
      <c r="K127" s="101">
        <v>12543</v>
      </c>
      <c r="L127" s="101">
        <v>2144</v>
      </c>
      <c r="M127" s="101">
        <v>0</v>
      </c>
      <c r="N127" s="101">
        <v>3314</v>
      </c>
      <c r="O127" s="101">
        <v>265</v>
      </c>
      <c r="P127" s="101">
        <v>13889000000</v>
      </c>
      <c r="Q127" s="101">
        <v>2246000000</v>
      </c>
      <c r="R127" s="101">
        <v>2228500000</v>
      </c>
      <c r="S127" s="101">
        <f t="shared" si="4"/>
        <v>29638689</v>
      </c>
      <c r="T127" s="101">
        <f t="shared" si="5"/>
        <v>2309689</v>
      </c>
      <c r="U127" s="101">
        <f t="shared" si="6"/>
        <v>2309689</v>
      </c>
      <c r="V127" s="101">
        <v>446616</v>
      </c>
      <c r="W127" s="149">
        <f t="shared" si="7"/>
        <v>5.1715321439446864E-3</v>
      </c>
      <c r="AA127" s="101"/>
      <c r="AB127" s="101"/>
      <c r="AC127" s="101"/>
      <c r="AD127" s="101"/>
      <c r="AK127" s="101"/>
      <c r="AL127" s="101"/>
      <c r="AM127" s="101"/>
    </row>
    <row r="128" spans="2:39" x14ac:dyDescent="0.25">
      <c r="B128" t="s">
        <v>295</v>
      </c>
      <c r="C128" s="101">
        <v>7065</v>
      </c>
      <c r="D128" s="101">
        <v>4830</v>
      </c>
      <c r="E128" s="101">
        <v>2235</v>
      </c>
      <c r="F128" s="101">
        <v>0</v>
      </c>
      <c r="G128" s="101">
        <v>0</v>
      </c>
      <c r="H128" s="101">
        <v>0</v>
      </c>
      <c r="I128" s="101">
        <v>257</v>
      </c>
      <c r="J128" s="101">
        <v>2834</v>
      </c>
      <c r="K128" s="101">
        <v>5071</v>
      </c>
      <c r="L128" s="101">
        <v>627</v>
      </c>
      <c r="M128" s="101">
        <v>357</v>
      </c>
      <c r="N128" s="101">
        <v>1056</v>
      </c>
      <c r="O128" s="101">
        <v>160</v>
      </c>
      <c r="P128" s="101">
        <v>5352000000</v>
      </c>
      <c r="Q128" s="101">
        <v>482000000</v>
      </c>
      <c r="R128" s="101">
        <v>474492211.83800626</v>
      </c>
      <c r="S128" s="101">
        <f t="shared" si="4"/>
        <v>10181906.429906541</v>
      </c>
      <c r="T128" s="101">
        <f t="shared" si="5"/>
        <v>3116906.4299065415</v>
      </c>
      <c r="U128" s="101">
        <f t="shared" si="6"/>
        <v>3116906.4299065415</v>
      </c>
      <c r="V128" s="101">
        <v>104300</v>
      </c>
      <c r="W128" s="149">
        <f t="shared" si="7"/>
        <v>2.9884050142919862E-2</v>
      </c>
      <c r="AA128" s="101"/>
      <c r="AB128" s="101"/>
      <c r="AC128" s="101"/>
      <c r="AD128" s="101"/>
      <c r="AK128" s="101"/>
      <c r="AL128" s="101"/>
      <c r="AM128" s="101"/>
    </row>
    <row r="129" spans="2:39" x14ac:dyDescent="0.25">
      <c r="B129" t="s">
        <v>722</v>
      </c>
      <c r="C129" s="101">
        <v>29905</v>
      </c>
      <c r="D129" s="101">
        <v>13900</v>
      </c>
      <c r="E129" s="101">
        <v>16005</v>
      </c>
      <c r="F129" s="101">
        <v>2120</v>
      </c>
      <c r="G129" s="101">
        <v>368</v>
      </c>
      <c r="H129" s="101">
        <v>168</v>
      </c>
      <c r="I129" s="101">
        <v>838</v>
      </c>
      <c r="J129" s="101">
        <v>11070</v>
      </c>
      <c r="K129" s="101">
        <v>9218</v>
      </c>
      <c r="L129" s="101">
        <v>2391</v>
      </c>
      <c r="M129" s="101">
        <v>618</v>
      </c>
      <c r="N129" s="101">
        <v>2245</v>
      </c>
      <c r="O129" s="101">
        <v>1462</v>
      </c>
      <c r="P129" s="101">
        <v>12157000000</v>
      </c>
      <c r="Q129" s="101">
        <v>2072000000</v>
      </c>
      <c r="R129" s="101">
        <v>2007984552.2568188</v>
      </c>
      <c r="S129" s="101">
        <f t="shared" si="4"/>
        <v>26206493.067342505</v>
      </c>
      <c r="T129" s="101">
        <f t="shared" si="5"/>
        <v>-3698506.9326574951</v>
      </c>
      <c r="U129" s="101">
        <f t="shared" si="6"/>
        <v>0</v>
      </c>
      <c r="V129" s="101">
        <v>363591</v>
      </c>
      <c r="W129" s="149">
        <f t="shared" si="7"/>
        <v>-1.017216304214762E-2</v>
      </c>
      <c r="AA129" s="101"/>
      <c r="AB129" s="101"/>
      <c r="AC129" s="101"/>
      <c r="AD129" s="101"/>
      <c r="AK129" s="101"/>
      <c r="AL129" s="101"/>
      <c r="AM129" s="101"/>
    </row>
    <row r="130" spans="2:39" x14ac:dyDescent="0.25">
      <c r="B130" t="s">
        <v>593</v>
      </c>
      <c r="C130" s="101">
        <v>28903</v>
      </c>
      <c r="D130" s="101">
        <v>8301</v>
      </c>
      <c r="E130" s="101">
        <v>20602</v>
      </c>
      <c r="F130" s="101">
        <v>0</v>
      </c>
      <c r="G130" s="101">
        <v>0</v>
      </c>
      <c r="H130" s="101">
        <v>381</v>
      </c>
      <c r="I130" s="101">
        <v>276</v>
      </c>
      <c r="J130" s="101">
        <v>5085</v>
      </c>
      <c r="K130" s="101">
        <v>6508</v>
      </c>
      <c r="L130" s="101">
        <v>893</v>
      </c>
      <c r="M130" s="101">
        <v>693</v>
      </c>
      <c r="N130" s="101">
        <v>1736</v>
      </c>
      <c r="O130" s="101">
        <v>31</v>
      </c>
      <c r="P130" s="101">
        <v>5757000000</v>
      </c>
      <c r="Q130" s="101">
        <v>2575000000</v>
      </c>
      <c r="R130" s="101">
        <v>2575000000</v>
      </c>
      <c r="S130" s="101">
        <f t="shared" si="4"/>
        <v>17603898</v>
      </c>
      <c r="T130" s="101">
        <f t="shared" si="5"/>
        <v>-11299102</v>
      </c>
      <c r="U130" s="101">
        <f t="shared" si="6"/>
        <v>0</v>
      </c>
      <c r="V130" s="101">
        <v>196271</v>
      </c>
      <c r="W130" s="149">
        <f t="shared" si="7"/>
        <v>-5.756888180118306E-2</v>
      </c>
      <c r="AA130" s="101"/>
      <c r="AB130" s="101"/>
      <c r="AC130" s="101"/>
      <c r="AD130" s="101"/>
      <c r="AK130" s="101"/>
      <c r="AL130" s="101"/>
      <c r="AM130" s="101"/>
    </row>
    <row r="131" spans="2:39" x14ac:dyDescent="0.25">
      <c r="B131" t="s">
        <v>184</v>
      </c>
      <c r="C131" s="101">
        <v>5006</v>
      </c>
      <c r="D131" s="101">
        <v>3588</v>
      </c>
      <c r="E131" s="101">
        <v>1418</v>
      </c>
      <c r="F131" s="101">
        <v>1</v>
      </c>
      <c r="G131" s="101">
        <v>0</v>
      </c>
      <c r="H131" s="101">
        <v>0</v>
      </c>
      <c r="I131" s="101">
        <v>217</v>
      </c>
      <c r="J131" s="101">
        <v>1305</v>
      </c>
      <c r="K131" s="101">
        <v>1679</v>
      </c>
      <c r="L131" s="101">
        <v>307</v>
      </c>
      <c r="M131" s="101">
        <v>84</v>
      </c>
      <c r="N131" s="101">
        <v>407</v>
      </c>
      <c r="O131" s="101">
        <v>62</v>
      </c>
      <c r="P131" s="101">
        <v>3010000000</v>
      </c>
      <c r="Q131" s="101">
        <v>245000000</v>
      </c>
      <c r="R131" s="101">
        <v>231500000</v>
      </c>
      <c r="S131" s="101">
        <f t="shared" ref="S131:S194" si="8">0.001614*(SUM(P131,Q131,R131))</f>
        <v>5627211</v>
      </c>
      <c r="T131" s="101">
        <f t="shared" ref="T131:T194" si="9">SUM(S131,-C131*1000)</f>
        <v>621211</v>
      </c>
      <c r="U131" s="101">
        <f t="shared" ref="U131:U194" si="10">IF(T131&gt;0,T131,0)</f>
        <v>621211</v>
      </c>
      <c r="V131" s="101">
        <v>48495</v>
      </c>
      <c r="W131" s="149">
        <f t="shared" ref="W131:W194" si="11">T131/(V131*1000)</f>
        <v>1.2809794824208682E-2</v>
      </c>
      <c r="AA131" s="101"/>
      <c r="AB131" s="101"/>
      <c r="AC131" s="101"/>
      <c r="AD131" s="101"/>
      <c r="AK131" s="101"/>
      <c r="AL131" s="101"/>
      <c r="AM131" s="101"/>
    </row>
    <row r="132" spans="2:39" x14ac:dyDescent="0.25">
      <c r="B132" t="s">
        <v>371</v>
      </c>
      <c r="C132" s="101">
        <v>10209</v>
      </c>
      <c r="D132" s="101">
        <v>7301</v>
      </c>
      <c r="E132" s="101">
        <v>2908</v>
      </c>
      <c r="F132" s="101">
        <v>79</v>
      </c>
      <c r="G132" s="101">
        <v>0</v>
      </c>
      <c r="H132" s="101">
        <v>120</v>
      </c>
      <c r="I132" s="101">
        <v>355</v>
      </c>
      <c r="J132" s="101">
        <v>5291</v>
      </c>
      <c r="K132" s="101">
        <v>4150</v>
      </c>
      <c r="L132" s="101">
        <v>688</v>
      </c>
      <c r="M132" s="101">
        <v>170</v>
      </c>
      <c r="N132" s="101">
        <v>1053</v>
      </c>
      <c r="O132" s="101">
        <v>188</v>
      </c>
      <c r="P132" s="101">
        <v>8124000000</v>
      </c>
      <c r="Q132" s="101">
        <v>871000000</v>
      </c>
      <c r="R132" s="101">
        <v>833978747.8460654</v>
      </c>
      <c r="S132" s="101">
        <f t="shared" si="8"/>
        <v>15863971.69902355</v>
      </c>
      <c r="T132" s="101">
        <f t="shared" si="9"/>
        <v>5654971.6990235504</v>
      </c>
      <c r="U132" s="101">
        <f t="shared" si="10"/>
        <v>5654971.6990235504</v>
      </c>
      <c r="V132" s="101">
        <v>149468</v>
      </c>
      <c r="W132" s="149">
        <f t="shared" si="11"/>
        <v>3.7833995898945261E-2</v>
      </c>
      <c r="AA132" s="101"/>
      <c r="AB132" s="101"/>
      <c r="AC132" s="101"/>
      <c r="AD132" s="101"/>
      <c r="AK132" s="101"/>
      <c r="AL132" s="101"/>
      <c r="AM132" s="101"/>
    </row>
    <row r="133" spans="2:39" x14ac:dyDescent="0.25">
      <c r="B133" t="s">
        <v>296</v>
      </c>
      <c r="C133" s="101">
        <v>5389</v>
      </c>
      <c r="D133" s="101">
        <v>3991</v>
      </c>
      <c r="E133" s="101">
        <v>1398</v>
      </c>
      <c r="F133" s="101">
        <v>3</v>
      </c>
      <c r="G133" s="101">
        <v>11</v>
      </c>
      <c r="H133" s="101">
        <v>0</v>
      </c>
      <c r="I133" s="101">
        <v>0</v>
      </c>
      <c r="J133" s="101">
        <v>2527</v>
      </c>
      <c r="K133" s="101">
        <v>4339</v>
      </c>
      <c r="L133" s="101">
        <v>291</v>
      </c>
      <c r="M133" s="101">
        <v>81</v>
      </c>
      <c r="N133" s="101">
        <v>476</v>
      </c>
      <c r="O133" s="101">
        <v>77</v>
      </c>
      <c r="P133" s="101">
        <v>4353000000</v>
      </c>
      <c r="Q133" s="101">
        <v>460000000</v>
      </c>
      <c r="R133" s="101">
        <v>452000000</v>
      </c>
      <c r="S133" s="101">
        <f t="shared" si="8"/>
        <v>8497710</v>
      </c>
      <c r="T133" s="101">
        <f t="shared" si="9"/>
        <v>3108710</v>
      </c>
      <c r="U133" s="101">
        <f t="shared" si="10"/>
        <v>3108710</v>
      </c>
      <c r="V133" s="101">
        <v>61365</v>
      </c>
      <c r="W133" s="149">
        <f t="shared" si="11"/>
        <v>5.0659333496292674E-2</v>
      </c>
      <c r="AA133" s="101"/>
      <c r="AB133" s="101"/>
      <c r="AC133" s="101"/>
      <c r="AD133" s="101"/>
      <c r="AK133" s="101"/>
      <c r="AL133" s="101"/>
      <c r="AM133" s="101"/>
    </row>
    <row r="134" spans="2:39" x14ac:dyDescent="0.25">
      <c r="B134" t="s">
        <v>372</v>
      </c>
      <c r="C134" s="101">
        <v>4652</v>
      </c>
      <c r="D134" s="101">
        <v>2855</v>
      </c>
      <c r="E134" s="101">
        <v>1797</v>
      </c>
      <c r="F134" s="101">
        <v>6</v>
      </c>
      <c r="G134" s="101">
        <v>10</v>
      </c>
      <c r="H134" s="101">
        <v>1379</v>
      </c>
      <c r="I134" s="101">
        <v>215</v>
      </c>
      <c r="J134" s="101">
        <v>1612</v>
      </c>
      <c r="K134" s="101">
        <v>1503</v>
      </c>
      <c r="L134" s="101">
        <v>311</v>
      </c>
      <c r="M134" s="101">
        <v>0</v>
      </c>
      <c r="N134" s="101">
        <v>859</v>
      </c>
      <c r="O134" s="101">
        <v>444</v>
      </c>
      <c r="P134" s="101">
        <v>3165000000</v>
      </c>
      <c r="Q134" s="101">
        <v>468000000</v>
      </c>
      <c r="R134" s="101">
        <v>414442780.74866313</v>
      </c>
      <c r="S134" s="101">
        <f t="shared" si="8"/>
        <v>6532572.6481283419</v>
      </c>
      <c r="T134" s="101">
        <f t="shared" si="9"/>
        <v>1880572.6481283419</v>
      </c>
      <c r="U134" s="101">
        <f t="shared" si="10"/>
        <v>1880572.6481283419</v>
      </c>
      <c r="V134" s="101">
        <v>51545</v>
      </c>
      <c r="W134" s="149">
        <f t="shared" si="11"/>
        <v>3.6484094444239827E-2</v>
      </c>
      <c r="AA134" s="101"/>
      <c r="AB134" s="101"/>
      <c r="AC134" s="101"/>
      <c r="AD134" s="101"/>
      <c r="AK134" s="101"/>
      <c r="AL134" s="101"/>
      <c r="AM134" s="101"/>
    </row>
    <row r="135" spans="2:39" x14ac:dyDescent="0.25">
      <c r="B135" t="s">
        <v>256</v>
      </c>
      <c r="C135" s="101">
        <v>24909</v>
      </c>
      <c r="D135" s="101">
        <v>12690</v>
      </c>
      <c r="E135" s="101">
        <v>12219</v>
      </c>
      <c r="F135" s="101">
        <v>7666</v>
      </c>
      <c r="G135" s="101">
        <v>202</v>
      </c>
      <c r="H135" s="101">
        <v>0</v>
      </c>
      <c r="I135" s="101">
        <v>0</v>
      </c>
      <c r="J135" s="101">
        <v>9533</v>
      </c>
      <c r="K135" s="101">
        <v>13448</v>
      </c>
      <c r="L135" s="101">
        <v>2343</v>
      </c>
      <c r="M135" s="101">
        <v>0</v>
      </c>
      <c r="N135" s="101">
        <v>3085</v>
      </c>
      <c r="O135" s="101">
        <v>544</v>
      </c>
      <c r="P135" s="101">
        <v>20505000000</v>
      </c>
      <c r="Q135" s="101">
        <v>2706000000</v>
      </c>
      <c r="R135" s="101">
        <v>2655490667.1594901</v>
      </c>
      <c r="S135" s="101">
        <f t="shared" si="8"/>
        <v>41748515.936795413</v>
      </c>
      <c r="T135" s="101">
        <f t="shared" si="9"/>
        <v>16839515.936795413</v>
      </c>
      <c r="U135" s="101">
        <f t="shared" si="10"/>
        <v>16839515.936795413</v>
      </c>
      <c r="V135" s="101">
        <v>363649</v>
      </c>
      <c r="W135" s="149">
        <f t="shared" si="11"/>
        <v>4.6307059655864347E-2</v>
      </c>
      <c r="AA135" s="101"/>
      <c r="AB135" s="101"/>
      <c r="AC135" s="101"/>
      <c r="AD135" s="101"/>
      <c r="AK135" s="101"/>
      <c r="AL135" s="101"/>
      <c r="AM135" s="101"/>
    </row>
    <row r="136" spans="2:39" x14ac:dyDescent="0.25">
      <c r="B136" t="s">
        <v>594</v>
      </c>
      <c r="C136" s="101">
        <v>20987</v>
      </c>
      <c r="D136" s="101">
        <v>12053</v>
      </c>
      <c r="E136" s="101">
        <v>8934</v>
      </c>
      <c r="F136" s="101">
        <v>26</v>
      </c>
      <c r="G136" s="101">
        <v>0</v>
      </c>
      <c r="H136" s="101">
        <v>188</v>
      </c>
      <c r="I136" s="101">
        <v>976</v>
      </c>
      <c r="J136" s="101">
        <v>9762</v>
      </c>
      <c r="K136" s="101">
        <v>10672</v>
      </c>
      <c r="L136" s="101">
        <v>1336</v>
      </c>
      <c r="M136" s="101">
        <v>1513</v>
      </c>
      <c r="N136" s="101">
        <v>3727</v>
      </c>
      <c r="O136" s="101">
        <v>497</v>
      </c>
      <c r="P136" s="101">
        <v>15109000000</v>
      </c>
      <c r="Q136" s="101">
        <v>2088000000</v>
      </c>
      <c r="R136" s="101">
        <v>2014482395.2095809</v>
      </c>
      <c r="S136" s="101">
        <f t="shared" si="8"/>
        <v>31007332.585868262</v>
      </c>
      <c r="T136" s="101">
        <f t="shared" si="9"/>
        <v>10020332.585868262</v>
      </c>
      <c r="U136" s="101">
        <f t="shared" si="10"/>
        <v>10020332.585868262</v>
      </c>
      <c r="V136" s="101">
        <v>236786</v>
      </c>
      <c r="W136" s="149">
        <f t="shared" si="11"/>
        <v>4.2318095604758146E-2</v>
      </c>
      <c r="AA136" s="101"/>
      <c r="AB136" s="101"/>
      <c r="AC136" s="101"/>
      <c r="AD136" s="101"/>
      <c r="AK136" s="101"/>
      <c r="AL136" s="101"/>
      <c r="AM136" s="101"/>
    </row>
    <row r="137" spans="2:39" x14ac:dyDescent="0.25">
      <c r="B137" t="s">
        <v>148</v>
      </c>
      <c r="C137" s="101">
        <v>9903</v>
      </c>
      <c r="D137" s="101">
        <v>5973</v>
      </c>
      <c r="E137" s="101">
        <v>3930</v>
      </c>
      <c r="F137" s="101">
        <v>17</v>
      </c>
      <c r="G137" s="101">
        <v>0</v>
      </c>
      <c r="H137" s="101">
        <v>437</v>
      </c>
      <c r="I137" s="101">
        <v>138</v>
      </c>
      <c r="J137" s="101">
        <v>5664</v>
      </c>
      <c r="K137" s="101">
        <v>3875</v>
      </c>
      <c r="L137" s="101">
        <v>577</v>
      </c>
      <c r="M137" s="101">
        <v>260</v>
      </c>
      <c r="N137" s="101">
        <v>1158</v>
      </c>
      <c r="O137" s="101">
        <v>273</v>
      </c>
      <c r="P137" s="101">
        <v>5266000000</v>
      </c>
      <c r="Q137" s="101">
        <v>980000000</v>
      </c>
      <c r="R137" s="101">
        <v>818000000</v>
      </c>
      <c r="S137" s="101">
        <f t="shared" si="8"/>
        <v>11401296</v>
      </c>
      <c r="T137" s="101">
        <f t="shared" si="9"/>
        <v>1498296</v>
      </c>
      <c r="U137" s="101">
        <f t="shared" si="10"/>
        <v>1498296</v>
      </c>
      <c r="V137" s="101">
        <v>104237</v>
      </c>
      <c r="W137" s="149">
        <f t="shared" si="11"/>
        <v>1.4373936318197953E-2</v>
      </c>
      <c r="AA137" s="101"/>
      <c r="AB137" s="101"/>
      <c r="AC137" s="101"/>
      <c r="AD137" s="101"/>
      <c r="AK137" s="101"/>
      <c r="AL137" s="101"/>
      <c r="AM137" s="101"/>
    </row>
    <row r="138" spans="2:39" x14ac:dyDescent="0.25">
      <c r="B138" t="s">
        <v>257</v>
      </c>
      <c r="C138" s="101">
        <v>12624</v>
      </c>
      <c r="D138" s="101">
        <v>6604</v>
      </c>
      <c r="E138" s="101">
        <v>6020</v>
      </c>
      <c r="F138" s="101">
        <v>0</v>
      </c>
      <c r="G138" s="101">
        <v>0</v>
      </c>
      <c r="H138" s="101">
        <v>134</v>
      </c>
      <c r="I138" s="101">
        <v>204</v>
      </c>
      <c r="J138" s="101">
        <v>3950</v>
      </c>
      <c r="K138" s="101">
        <v>6261</v>
      </c>
      <c r="L138" s="101">
        <v>839</v>
      </c>
      <c r="M138" s="101">
        <v>466</v>
      </c>
      <c r="N138" s="101">
        <v>1218</v>
      </c>
      <c r="O138" s="101">
        <v>271</v>
      </c>
      <c r="P138" s="101">
        <v>7264000000</v>
      </c>
      <c r="Q138" s="101">
        <v>2255000000</v>
      </c>
      <c r="R138" s="101">
        <v>2255000000</v>
      </c>
      <c r="S138" s="101">
        <f t="shared" si="8"/>
        <v>19003236</v>
      </c>
      <c r="T138" s="101">
        <f t="shared" si="9"/>
        <v>6379236</v>
      </c>
      <c r="U138" s="101">
        <f t="shared" si="10"/>
        <v>6379236</v>
      </c>
      <c r="V138" s="101">
        <v>138641</v>
      </c>
      <c r="W138" s="149">
        <f t="shared" si="11"/>
        <v>4.6012622528689207E-2</v>
      </c>
      <c r="AA138" s="101"/>
      <c r="AB138" s="101"/>
      <c r="AC138" s="101"/>
      <c r="AD138" s="101"/>
      <c r="AK138" s="101"/>
      <c r="AL138" s="101"/>
      <c r="AM138" s="101"/>
    </row>
    <row r="139" spans="2:39" x14ac:dyDescent="0.25">
      <c r="B139" t="s">
        <v>109</v>
      </c>
      <c r="C139" s="101">
        <v>16634</v>
      </c>
      <c r="D139" s="101">
        <v>9759</v>
      </c>
      <c r="E139" s="101">
        <v>6875</v>
      </c>
      <c r="F139" s="101">
        <v>2789</v>
      </c>
      <c r="G139" s="101">
        <v>90</v>
      </c>
      <c r="H139" s="101">
        <v>105</v>
      </c>
      <c r="I139" s="101">
        <v>278</v>
      </c>
      <c r="J139" s="101">
        <v>4918</v>
      </c>
      <c r="K139" s="101">
        <v>5467</v>
      </c>
      <c r="L139" s="101">
        <v>801</v>
      </c>
      <c r="M139" s="101">
        <v>966</v>
      </c>
      <c r="N139" s="101">
        <v>930</v>
      </c>
      <c r="O139" s="101">
        <v>164</v>
      </c>
      <c r="P139" s="101">
        <v>6870000000</v>
      </c>
      <c r="Q139" s="101">
        <v>1316000000</v>
      </c>
      <c r="R139" s="101">
        <v>1212960851.3873053</v>
      </c>
      <c r="S139" s="101">
        <f t="shared" si="8"/>
        <v>15169922.814139113</v>
      </c>
      <c r="T139" s="101">
        <f t="shared" si="9"/>
        <v>-1464077.1858608872</v>
      </c>
      <c r="U139" s="101">
        <f t="shared" si="10"/>
        <v>0</v>
      </c>
      <c r="V139" s="101">
        <v>225619</v>
      </c>
      <c r="W139" s="149">
        <f t="shared" si="11"/>
        <v>-6.4891573221266255E-3</v>
      </c>
      <c r="AA139" s="101"/>
      <c r="AB139" s="101"/>
      <c r="AC139" s="101"/>
      <c r="AD139" s="101"/>
      <c r="AK139" s="101"/>
      <c r="AL139" s="101"/>
      <c r="AM139" s="101"/>
    </row>
    <row r="140" spans="2:39" x14ac:dyDescent="0.25">
      <c r="B140" t="s">
        <v>258</v>
      </c>
      <c r="C140" s="101">
        <v>16119</v>
      </c>
      <c r="D140" s="101">
        <v>10815</v>
      </c>
      <c r="E140" s="101">
        <v>5304</v>
      </c>
      <c r="F140" s="101">
        <v>6096</v>
      </c>
      <c r="G140" s="101">
        <v>320</v>
      </c>
      <c r="H140" s="101">
        <v>466</v>
      </c>
      <c r="I140" s="101">
        <v>1035</v>
      </c>
      <c r="J140" s="101">
        <v>6486</v>
      </c>
      <c r="K140" s="101">
        <v>11347</v>
      </c>
      <c r="L140" s="101">
        <v>1515</v>
      </c>
      <c r="M140" s="101">
        <v>275</v>
      </c>
      <c r="N140" s="101">
        <v>1130</v>
      </c>
      <c r="O140" s="101">
        <v>290</v>
      </c>
      <c r="P140" s="101">
        <v>12092000000</v>
      </c>
      <c r="Q140" s="101">
        <v>1574000000</v>
      </c>
      <c r="R140" s="101">
        <v>1555994280.2669208</v>
      </c>
      <c r="S140" s="101">
        <f t="shared" si="8"/>
        <v>24568298.76835081</v>
      </c>
      <c r="T140" s="101">
        <f t="shared" si="9"/>
        <v>8449298.7683508098</v>
      </c>
      <c r="U140" s="101">
        <f t="shared" si="10"/>
        <v>8449298.7683508098</v>
      </c>
      <c r="V140" s="101">
        <v>326571</v>
      </c>
      <c r="W140" s="149">
        <f t="shared" si="11"/>
        <v>2.5872777338927247E-2</v>
      </c>
      <c r="AA140" s="101"/>
      <c r="AB140" s="101"/>
      <c r="AC140" s="101"/>
      <c r="AD140" s="101"/>
      <c r="AK140" s="101"/>
      <c r="AL140" s="101"/>
      <c r="AM140" s="101"/>
    </row>
    <row r="141" spans="2:39" x14ac:dyDescent="0.25">
      <c r="B141" t="s">
        <v>406</v>
      </c>
      <c r="C141" s="101">
        <v>15510</v>
      </c>
      <c r="D141" s="101">
        <v>8226</v>
      </c>
      <c r="E141" s="101">
        <v>7284</v>
      </c>
      <c r="F141" s="101">
        <v>1</v>
      </c>
      <c r="G141" s="101">
        <v>25</v>
      </c>
      <c r="H141" s="101">
        <v>4013</v>
      </c>
      <c r="I141" s="101">
        <v>89</v>
      </c>
      <c r="J141" s="101">
        <v>4701</v>
      </c>
      <c r="K141" s="101">
        <v>4239</v>
      </c>
      <c r="L141" s="101">
        <v>724</v>
      </c>
      <c r="M141" s="101">
        <v>15</v>
      </c>
      <c r="N141" s="101">
        <v>1896</v>
      </c>
      <c r="O141" s="101">
        <v>194</v>
      </c>
      <c r="P141" s="101">
        <v>6393000000</v>
      </c>
      <c r="Q141" s="101">
        <v>1531000000</v>
      </c>
      <c r="R141" s="101">
        <v>1452000000</v>
      </c>
      <c r="S141" s="101">
        <f t="shared" si="8"/>
        <v>15132864</v>
      </c>
      <c r="T141" s="101">
        <f t="shared" si="9"/>
        <v>-377136</v>
      </c>
      <c r="U141" s="101">
        <f t="shared" si="10"/>
        <v>0</v>
      </c>
      <c r="V141" s="101">
        <v>144918</v>
      </c>
      <c r="W141" s="149">
        <f t="shared" si="11"/>
        <v>-2.6024096385542169E-3</v>
      </c>
      <c r="AA141" s="101"/>
      <c r="AB141" s="101"/>
      <c r="AC141" s="101"/>
      <c r="AD141" s="101"/>
      <c r="AK141" s="101"/>
      <c r="AL141" s="101"/>
      <c r="AM141" s="101"/>
    </row>
    <row r="142" spans="2:39" x14ac:dyDescent="0.25">
      <c r="B142" t="s">
        <v>219</v>
      </c>
      <c r="C142" s="101">
        <v>15243</v>
      </c>
      <c r="D142" s="101">
        <v>9216</v>
      </c>
      <c r="E142" s="101">
        <v>6027</v>
      </c>
      <c r="F142" s="101">
        <v>18</v>
      </c>
      <c r="G142" s="101">
        <v>0</v>
      </c>
      <c r="H142" s="101">
        <v>245</v>
      </c>
      <c r="I142" s="101">
        <v>0</v>
      </c>
      <c r="J142" s="101">
        <v>3595</v>
      </c>
      <c r="K142" s="101">
        <v>6246</v>
      </c>
      <c r="L142" s="101">
        <v>1004</v>
      </c>
      <c r="M142" s="101">
        <v>188</v>
      </c>
      <c r="N142" s="101">
        <v>680</v>
      </c>
      <c r="O142" s="101">
        <v>424</v>
      </c>
      <c r="P142" s="101">
        <v>10597000000</v>
      </c>
      <c r="Q142" s="101">
        <v>1175000000</v>
      </c>
      <c r="R142" s="101">
        <v>1144000000</v>
      </c>
      <c r="S142" s="101">
        <f t="shared" si="8"/>
        <v>20846424</v>
      </c>
      <c r="T142" s="101">
        <f t="shared" si="9"/>
        <v>5603424</v>
      </c>
      <c r="U142" s="101">
        <f t="shared" si="10"/>
        <v>5603424</v>
      </c>
      <c r="V142" s="101">
        <v>148065</v>
      </c>
      <c r="W142" s="149">
        <f t="shared" si="11"/>
        <v>3.7844352142640057E-2</v>
      </c>
      <c r="AA142" s="101"/>
      <c r="AB142" s="101"/>
      <c r="AC142" s="101"/>
      <c r="AD142" s="101"/>
      <c r="AK142" s="101"/>
      <c r="AL142" s="101"/>
      <c r="AM142" s="101"/>
    </row>
    <row r="143" spans="2:39" x14ac:dyDescent="0.25">
      <c r="B143" t="s">
        <v>259</v>
      </c>
      <c r="C143" s="101">
        <v>5838</v>
      </c>
      <c r="D143" s="101">
        <v>4093</v>
      </c>
      <c r="E143" s="101">
        <v>1745</v>
      </c>
      <c r="F143" s="101">
        <v>6</v>
      </c>
      <c r="G143" s="101">
        <v>173</v>
      </c>
      <c r="H143" s="101">
        <v>64</v>
      </c>
      <c r="I143" s="101">
        <v>124</v>
      </c>
      <c r="J143" s="101">
        <v>4865</v>
      </c>
      <c r="K143" s="101">
        <v>6494</v>
      </c>
      <c r="L143" s="101">
        <v>595</v>
      </c>
      <c r="M143" s="101">
        <v>354</v>
      </c>
      <c r="N143" s="101">
        <v>456</v>
      </c>
      <c r="O143" s="101">
        <v>204</v>
      </c>
      <c r="P143" s="101">
        <v>8893000000</v>
      </c>
      <c r="Q143" s="101">
        <v>575000000</v>
      </c>
      <c r="R143" s="101">
        <v>550979112.27154052</v>
      </c>
      <c r="S143" s="101">
        <f t="shared" si="8"/>
        <v>16170632.287206264</v>
      </c>
      <c r="T143" s="101">
        <f t="shared" si="9"/>
        <v>10332632.287206264</v>
      </c>
      <c r="U143" s="101">
        <f t="shared" si="10"/>
        <v>10332632.287206264</v>
      </c>
      <c r="V143" s="101">
        <v>122616</v>
      </c>
      <c r="W143" s="149">
        <f t="shared" si="11"/>
        <v>8.4268221824282841E-2</v>
      </c>
      <c r="AA143" s="101"/>
      <c r="AB143" s="101"/>
      <c r="AC143" s="101"/>
      <c r="AD143" s="101"/>
      <c r="AK143" s="101"/>
      <c r="AL143" s="101"/>
      <c r="AM143" s="101"/>
    </row>
    <row r="144" spans="2:39" x14ac:dyDescent="0.25">
      <c r="B144" t="s">
        <v>330</v>
      </c>
      <c r="C144" s="101">
        <v>5669</v>
      </c>
      <c r="D144" s="101">
        <v>3834</v>
      </c>
      <c r="E144" s="101">
        <v>1835</v>
      </c>
      <c r="F144" s="101">
        <v>655</v>
      </c>
      <c r="G144" s="101">
        <v>20</v>
      </c>
      <c r="H144" s="101">
        <v>160</v>
      </c>
      <c r="I144" s="101">
        <v>676</v>
      </c>
      <c r="J144" s="101">
        <v>3650</v>
      </c>
      <c r="K144" s="101">
        <v>3653</v>
      </c>
      <c r="L144" s="101">
        <v>497</v>
      </c>
      <c r="M144" s="101">
        <v>118</v>
      </c>
      <c r="N144" s="101">
        <v>703</v>
      </c>
      <c r="O144" s="101">
        <v>76</v>
      </c>
      <c r="P144" s="101">
        <v>3901000000</v>
      </c>
      <c r="Q144" s="101">
        <v>484000000</v>
      </c>
      <c r="R144" s="101">
        <v>422936918.3040331</v>
      </c>
      <c r="S144" s="101">
        <f t="shared" si="8"/>
        <v>7760010.18614271</v>
      </c>
      <c r="T144" s="101">
        <f t="shared" si="9"/>
        <v>2091010.18614271</v>
      </c>
      <c r="U144" s="101">
        <f t="shared" si="10"/>
        <v>2091010.18614271</v>
      </c>
      <c r="V144" s="101">
        <v>92784</v>
      </c>
      <c r="W144" s="149">
        <f t="shared" si="11"/>
        <v>2.2536322923593616E-2</v>
      </c>
      <c r="AA144" s="101"/>
      <c r="AB144" s="101"/>
      <c r="AC144" s="101"/>
      <c r="AD144" s="101"/>
      <c r="AK144" s="101"/>
      <c r="AL144" s="101"/>
      <c r="AM144" s="101"/>
    </row>
    <row r="145" spans="2:39" x14ac:dyDescent="0.25">
      <c r="B145" t="s">
        <v>220</v>
      </c>
      <c r="C145" s="101">
        <v>5531</v>
      </c>
      <c r="D145" s="101">
        <v>4142</v>
      </c>
      <c r="E145" s="101">
        <v>1389</v>
      </c>
      <c r="F145" s="101">
        <v>1110</v>
      </c>
      <c r="G145" s="101">
        <v>0</v>
      </c>
      <c r="H145" s="101">
        <v>0</v>
      </c>
      <c r="I145" s="101">
        <v>117</v>
      </c>
      <c r="J145" s="101">
        <v>3997</v>
      </c>
      <c r="K145" s="101">
        <v>5989</v>
      </c>
      <c r="L145" s="101">
        <v>565</v>
      </c>
      <c r="M145" s="101">
        <v>250</v>
      </c>
      <c r="N145" s="101">
        <v>967</v>
      </c>
      <c r="O145" s="101">
        <v>124</v>
      </c>
      <c r="P145" s="101">
        <v>6131000000</v>
      </c>
      <c r="Q145" s="101">
        <v>481000000</v>
      </c>
      <c r="R145" s="101">
        <v>463481789.80228925</v>
      </c>
      <c r="S145" s="101">
        <f t="shared" si="8"/>
        <v>11419827.608740894</v>
      </c>
      <c r="T145" s="101">
        <f t="shared" si="9"/>
        <v>5888827.6087408941</v>
      </c>
      <c r="U145" s="101">
        <f t="shared" si="10"/>
        <v>5888827.6087408941</v>
      </c>
      <c r="V145" s="101">
        <v>96470</v>
      </c>
      <c r="W145" s="149">
        <f t="shared" si="11"/>
        <v>6.1043097426566745E-2</v>
      </c>
      <c r="AA145" s="101"/>
      <c r="AB145" s="101"/>
      <c r="AC145" s="101"/>
      <c r="AD145" s="101"/>
      <c r="AK145" s="101"/>
      <c r="AL145" s="101"/>
      <c r="AM145" s="101"/>
    </row>
    <row r="146" spans="2:39" x14ac:dyDescent="0.25">
      <c r="B146" t="s">
        <v>297</v>
      </c>
      <c r="C146" s="101">
        <v>6853</v>
      </c>
      <c r="D146" s="101">
        <v>5318</v>
      </c>
      <c r="E146" s="101">
        <v>1535</v>
      </c>
      <c r="F146" s="101">
        <v>0</v>
      </c>
      <c r="G146" s="101">
        <v>3</v>
      </c>
      <c r="H146" s="101">
        <v>0</v>
      </c>
      <c r="I146" s="101">
        <v>375</v>
      </c>
      <c r="J146" s="101">
        <v>4188</v>
      </c>
      <c r="K146" s="101">
        <v>4927</v>
      </c>
      <c r="L146" s="101">
        <v>327</v>
      </c>
      <c r="M146" s="101">
        <v>63</v>
      </c>
      <c r="N146" s="101">
        <v>1103</v>
      </c>
      <c r="O146" s="101">
        <v>226</v>
      </c>
      <c r="P146" s="101">
        <v>6038000000</v>
      </c>
      <c r="Q146" s="101">
        <v>557000000</v>
      </c>
      <c r="R146" s="101">
        <v>508000000</v>
      </c>
      <c r="S146" s="101">
        <f t="shared" si="8"/>
        <v>11464242</v>
      </c>
      <c r="T146" s="101">
        <f t="shared" si="9"/>
        <v>4611242</v>
      </c>
      <c r="U146" s="101">
        <f t="shared" si="10"/>
        <v>4611242</v>
      </c>
      <c r="V146" s="101">
        <v>75905</v>
      </c>
      <c r="W146" s="149">
        <f t="shared" si="11"/>
        <v>6.0750174560305646E-2</v>
      </c>
      <c r="AA146" s="101"/>
      <c r="AB146" s="101"/>
      <c r="AC146" s="101"/>
      <c r="AD146" s="101"/>
      <c r="AK146" s="101"/>
      <c r="AL146" s="101"/>
      <c r="AM146" s="101"/>
    </row>
    <row r="147" spans="2:39" x14ac:dyDescent="0.25">
      <c r="B147" t="s">
        <v>149</v>
      </c>
      <c r="C147" s="101">
        <v>14004</v>
      </c>
      <c r="D147" s="101">
        <v>8250</v>
      </c>
      <c r="E147" s="101">
        <v>5754</v>
      </c>
      <c r="F147" s="101">
        <v>1932</v>
      </c>
      <c r="G147" s="101">
        <v>167</v>
      </c>
      <c r="H147" s="101">
        <v>87</v>
      </c>
      <c r="I147" s="101">
        <v>496</v>
      </c>
      <c r="J147" s="101">
        <v>3444</v>
      </c>
      <c r="K147" s="101">
        <v>4957</v>
      </c>
      <c r="L147" s="101">
        <v>846</v>
      </c>
      <c r="M147" s="101">
        <v>800</v>
      </c>
      <c r="N147" s="101">
        <v>1279</v>
      </c>
      <c r="O147" s="101">
        <v>636</v>
      </c>
      <c r="P147" s="101">
        <v>7842000000</v>
      </c>
      <c r="Q147" s="101">
        <v>1361000000</v>
      </c>
      <c r="R147" s="101">
        <v>1248958838.6622565</v>
      </c>
      <c r="S147" s="101">
        <f t="shared" si="8"/>
        <v>16869461.565600883</v>
      </c>
      <c r="T147" s="101">
        <f t="shared" si="9"/>
        <v>2865461.5656008832</v>
      </c>
      <c r="U147" s="101">
        <f t="shared" si="10"/>
        <v>2865461.5656008832</v>
      </c>
      <c r="V147" s="101">
        <v>187674</v>
      </c>
      <c r="W147" s="149">
        <f t="shared" si="11"/>
        <v>1.5268292707572084E-2</v>
      </c>
      <c r="AA147" s="101"/>
      <c r="AB147" s="101"/>
      <c r="AC147" s="101"/>
      <c r="AD147" s="101"/>
      <c r="AK147" s="101"/>
      <c r="AL147" s="101"/>
      <c r="AM147" s="101"/>
    </row>
    <row r="148" spans="2:39" x14ac:dyDescent="0.25">
      <c r="B148" t="s">
        <v>331</v>
      </c>
      <c r="C148" s="101">
        <v>2859</v>
      </c>
      <c r="D148" s="101">
        <v>1658</v>
      </c>
      <c r="E148" s="101">
        <v>1201</v>
      </c>
      <c r="F148" s="101">
        <v>0</v>
      </c>
      <c r="G148" s="101">
        <v>0</v>
      </c>
      <c r="H148" s="101">
        <v>288</v>
      </c>
      <c r="I148" s="101">
        <v>140</v>
      </c>
      <c r="J148" s="101">
        <v>1757</v>
      </c>
      <c r="K148" s="101">
        <v>1559</v>
      </c>
      <c r="L148" s="101">
        <v>151</v>
      </c>
      <c r="M148" s="101">
        <v>300</v>
      </c>
      <c r="N148" s="101">
        <v>619</v>
      </c>
      <c r="O148" s="101">
        <v>30</v>
      </c>
      <c r="P148" s="101">
        <v>1999000000</v>
      </c>
      <c r="Q148" s="101">
        <v>288000000</v>
      </c>
      <c r="R148" s="101">
        <v>276500000</v>
      </c>
      <c r="S148" s="101">
        <f t="shared" si="8"/>
        <v>4137489</v>
      </c>
      <c r="T148" s="101">
        <f t="shared" si="9"/>
        <v>1278489</v>
      </c>
      <c r="U148" s="101">
        <f t="shared" si="10"/>
        <v>1278489</v>
      </c>
      <c r="V148" s="101">
        <v>41315</v>
      </c>
      <c r="W148" s="149">
        <f t="shared" si="11"/>
        <v>3.094491104925572E-2</v>
      </c>
      <c r="AA148" s="101"/>
      <c r="AB148" s="101"/>
      <c r="AC148" s="101"/>
      <c r="AD148" s="101"/>
      <c r="AK148" s="101"/>
      <c r="AL148" s="101"/>
      <c r="AM148" s="101"/>
    </row>
    <row r="149" spans="2:39" x14ac:dyDescent="0.25">
      <c r="B149" t="s">
        <v>298</v>
      </c>
      <c r="C149" s="101">
        <v>20521</v>
      </c>
      <c r="D149" s="101">
        <v>12860</v>
      </c>
      <c r="E149" s="101">
        <v>7661</v>
      </c>
      <c r="F149" s="101">
        <v>3731</v>
      </c>
      <c r="G149" s="101">
        <v>101</v>
      </c>
      <c r="H149" s="101">
        <v>634</v>
      </c>
      <c r="I149" s="101">
        <v>611</v>
      </c>
      <c r="J149" s="101">
        <v>5371</v>
      </c>
      <c r="K149" s="101">
        <v>9288</v>
      </c>
      <c r="L149" s="101">
        <v>1180</v>
      </c>
      <c r="M149" s="101">
        <v>381</v>
      </c>
      <c r="N149" s="101">
        <v>1582</v>
      </c>
      <c r="O149" s="101">
        <v>264</v>
      </c>
      <c r="P149" s="101">
        <v>12146000000</v>
      </c>
      <c r="Q149" s="101">
        <v>1193000000</v>
      </c>
      <c r="R149" s="101">
        <v>1160500000</v>
      </c>
      <c r="S149" s="101">
        <f t="shared" si="8"/>
        <v>23402193</v>
      </c>
      <c r="T149" s="101">
        <f t="shared" si="9"/>
        <v>2881193</v>
      </c>
      <c r="U149" s="101">
        <f t="shared" si="10"/>
        <v>2881193</v>
      </c>
      <c r="V149" s="101">
        <v>222361</v>
      </c>
      <c r="W149" s="149">
        <f t="shared" si="11"/>
        <v>1.2957276680712894E-2</v>
      </c>
      <c r="AA149" s="101"/>
      <c r="AB149" s="101"/>
      <c r="AC149" s="101"/>
      <c r="AD149" s="101"/>
      <c r="AK149" s="101"/>
      <c r="AL149" s="101"/>
      <c r="AM149" s="101"/>
    </row>
    <row r="150" spans="2:39" x14ac:dyDescent="0.25">
      <c r="B150" t="s">
        <v>407</v>
      </c>
      <c r="C150" s="101">
        <v>14046</v>
      </c>
      <c r="D150" s="101">
        <v>8000</v>
      </c>
      <c r="E150" s="101">
        <v>6046</v>
      </c>
      <c r="F150" s="101">
        <v>554</v>
      </c>
      <c r="G150" s="101">
        <v>83</v>
      </c>
      <c r="H150" s="101">
        <v>199</v>
      </c>
      <c r="I150" s="101">
        <v>143</v>
      </c>
      <c r="J150" s="101">
        <v>5703</v>
      </c>
      <c r="K150" s="101">
        <v>6684</v>
      </c>
      <c r="L150" s="101">
        <v>816</v>
      </c>
      <c r="M150" s="101">
        <v>54</v>
      </c>
      <c r="N150" s="101">
        <v>387</v>
      </c>
      <c r="O150" s="101">
        <v>301</v>
      </c>
      <c r="P150" s="101">
        <v>4772000000</v>
      </c>
      <c r="Q150" s="101">
        <v>785000000</v>
      </c>
      <c r="R150" s="101">
        <v>772500000</v>
      </c>
      <c r="S150" s="101">
        <f t="shared" si="8"/>
        <v>10215813</v>
      </c>
      <c r="T150" s="101">
        <f t="shared" si="9"/>
        <v>-3830187</v>
      </c>
      <c r="U150" s="101">
        <f t="shared" si="10"/>
        <v>0</v>
      </c>
      <c r="V150" s="101">
        <v>200662</v>
      </c>
      <c r="W150" s="149">
        <f t="shared" si="11"/>
        <v>-1.9087754532497433E-2</v>
      </c>
      <c r="AA150" s="101"/>
      <c r="AB150" s="101"/>
      <c r="AC150" s="101"/>
      <c r="AD150" s="101"/>
      <c r="AK150" s="101"/>
      <c r="AL150" s="101"/>
      <c r="AM150" s="101"/>
    </row>
    <row r="151" spans="2:39" x14ac:dyDescent="0.25">
      <c r="B151" t="s">
        <v>260</v>
      </c>
      <c r="C151" s="101">
        <v>4909</v>
      </c>
      <c r="D151" s="101">
        <v>3600</v>
      </c>
      <c r="E151" s="101">
        <v>1309</v>
      </c>
      <c r="F151" s="101">
        <v>0</v>
      </c>
      <c r="G151" s="101">
        <v>0</v>
      </c>
      <c r="H151" s="101">
        <v>125</v>
      </c>
      <c r="I151" s="101">
        <v>160</v>
      </c>
      <c r="J151" s="101">
        <v>1162</v>
      </c>
      <c r="K151" s="101">
        <v>3678</v>
      </c>
      <c r="L151" s="101">
        <v>287</v>
      </c>
      <c r="M151" s="101">
        <v>35</v>
      </c>
      <c r="N151" s="101">
        <v>451</v>
      </c>
      <c r="O151" s="101">
        <v>24</v>
      </c>
      <c r="P151" s="101">
        <v>3888000000</v>
      </c>
      <c r="Q151" s="101">
        <v>500000000</v>
      </c>
      <c r="R151" s="101">
        <v>445445445.44544548</v>
      </c>
      <c r="S151" s="101">
        <f t="shared" si="8"/>
        <v>7801180.9489489486</v>
      </c>
      <c r="T151" s="101">
        <f t="shared" si="9"/>
        <v>2892180.9489489486</v>
      </c>
      <c r="U151" s="101">
        <f t="shared" si="10"/>
        <v>2892180.9489489486</v>
      </c>
      <c r="V151" s="101">
        <v>96547</v>
      </c>
      <c r="W151" s="149">
        <f t="shared" si="11"/>
        <v>2.9956196970894473E-2</v>
      </c>
      <c r="AA151" s="101"/>
      <c r="AB151" s="101"/>
      <c r="AC151" s="101"/>
      <c r="AD151" s="101"/>
      <c r="AK151" s="101"/>
      <c r="AL151" s="101"/>
      <c r="AM151" s="101"/>
    </row>
    <row r="152" spans="2:39" x14ac:dyDescent="0.25">
      <c r="B152" t="s">
        <v>299</v>
      </c>
      <c r="C152" s="101">
        <v>6457</v>
      </c>
      <c r="D152" s="101">
        <v>4097</v>
      </c>
      <c r="E152" s="101">
        <v>2360</v>
      </c>
      <c r="F152" s="101">
        <v>15</v>
      </c>
      <c r="G152" s="101">
        <v>0</v>
      </c>
      <c r="H152" s="101">
        <v>0</v>
      </c>
      <c r="I152" s="101">
        <v>0</v>
      </c>
      <c r="J152" s="101">
        <v>4062</v>
      </c>
      <c r="K152" s="101">
        <v>5226</v>
      </c>
      <c r="L152" s="101">
        <v>416</v>
      </c>
      <c r="M152" s="101">
        <v>654</v>
      </c>
      <c r="N152" s="101">
        <v>666</v>
      </c>
      <c r="O152" s="101">
        <v>154</v>
      </c>
      <c r="P152" s="101">
        <v>4758000000</v>
      </c>
      <c r="Q152" s="101">
        <v>479000000</v>
      </c>
      <c r="R152" s="101">
        <v>474500000</v>
      </c>
      <c r="S152" s="101">
        <f t="shared" si="8"/>
        <v>9218361</v>
      </c>
      <c r="T152" s="101">
        <f t="shared" si="9"/>
        <v>2761361</v>
      </c>
      <c r="U152" s="101">
        <f t="shared" si="10"/>
        <v>2761361</v>
      </c>
      <c r="V152" s="101">
        <v>105780</v>
      </c>
      <c r="W152" s="149">
        <f t="shared" si="11"/>
        <v>2.6104755152202685E-2</v>
      </c>
      <c r="AA152" s="101"/>
      <c r="AB152" s="101"/>
      <c r="AC152" s="101"/>
      <c r="AD152" s="101"/>
      <c r="AK152" s="101"/>
      <c r="AL152" s="101"/>
      <c r="AM152" s="101"/>
    </row>
    <row r="153" spans="2:39" x14ac:dyDescent="0.25">
      <c r="B153" t="s">
        <v>474</v>
      </c>
      <c r="C153" s="101">
        <v>13464</v>
      </c>
      <c r="D153" s="101">
        <v>8516</v>
      </c>
      <c r="E153" s="101">
        <v>4948</v>
      </c>
      <c r="F153" s="101">
        <v>0</v>
      </c>
      <c r="G153" s="101">
        <v>0</v>
      </c>
      <c r="H153" s="101">
        <v>256</v>
      </c>
      <c r="I153" s="101">
        <v>43</v>
      </c>
      <c r="J153" s="101">
        <v>6429</v>
      </c>
      <c r="K153" s="101">
        <v>7602</v>
      </c>
      <c r="L153" s="101">
        <v>1014</v>
      </c>
      <c r="M153" s="101">
        <v>1076</v>
      </c>
      <c r="N153" s="101">
        <v>3885</v>
      </c>
      <c r="O153" s="101">
        <v>345</v>
      </c>
      <c r="P153" s="101">
        <v>9798000000</v>
      </c>
      <c r="Q153" s="101">
        <v>1123000000</v>
      </c>
      <c r="R153" s="101">
        <v>1047000000</v>
      </c>
      <c r="S153" s="101">
        <f t="shared" si="8"/>
        <v>19316352</v>
      </c>
      <c r="T153" s="101">
        <f t="shared" si="9"/>
        <v>5852352</v>
      </c>
      <c r="U153" s="101">
        <f t="shared" si="10"/>
        <v>5852352</v>
      </c>
      <c r="V153" s="101">
        <v>163247</v>
      </c>
      <c r="W153" s="149">
        <f t="shared" si="11"/>
        <v>3.584967564488168E-2</v>
      </c>
      <c r="AA153" s="101"/>
      <c r="AB153" s="101"/>
      <c r="AC153" s="101"/>
      <c r="AD153" s="101"/>
      <c r="AK153" s="101"/>
      <c r="AL153" s="101"/>
      <c r="AM153" s="101"/>
    </row>
    <row r="154" spans="2:39" x14ac:dyDescent="0.25">
      <c r="B154" t="s">
        <v>373</v>
      </c>
      <c r="C154" s="101">
        <v>6314</v>
      </c>
      <c r="D154" s="101">
        <v>4022</v>
      </c>
      <c r="E154" s="101">
        <v>2292</v>
      </c>
      <c r="F154" s="101">
        <v>0</v>
      </c>
      <c r="G154" s="101">
        <v>0</v>
      </c>
      <c r="H154" s="101">
        <v>0</v>
      </c>
      <c r="I154" s="101">
        <v>27</v>
      </c>
      <c r="J154" s="101">
        <v>2573</v>
      </c>
      <c r="K154" s="101">
        <v>2036</v>
      </c>
      <c r="L154" s="101">
        <v>462</v>
      </c>
      <c r="M154" s="101">
        <v>0</v>
      </c>
      <c r="N154" s="101">
        <v>502</v>
      </c>
      <c r="O154" s="101">
        <v>58</v>
      </c>
      <c r="P154" s="101">
        <v>4038000000</v>
      </c>
      <c r="Q154" s="101">
        <v>538000000</v>
      </c>
      <c r="R154" s="101">
        <v>496961860.46511632</v>
      </c>
      <c r="S154" s="101">
        <f t="shared" si="8"/>
        <v>8187760.4427906983</v>
      </c>
      <c r="T154" s="101">
        <f t="shared" si="9"/>
        <v>1873760.4427906983</v>
      </c>
      <c r="U154" s="101">
        <f t="shared" si="10"/>
        <v>1873760.4427906983</v>
      </c>
      <c r="V154" s="101">
        <v>68331</v>
      </c>
      <c r="W154" s="149">
        <f t="shared" si="11"/>
        <v>2.7421820883503801E-2</v>
      </c>
      <c r="AA154" s="101"/>
      <c r="AB154" s="101"/>
      <c r="AC154" s="101"/>
      <c r="AD154" s="101"/>
      <c r="AK154" s="101"/>
      <c r="AL154" s="101"/>
      <c r="AM154" s="101"/>
    </row>
    <row r="155" spans="2:39" x14ac:dyDescent="0.25">
      <c r="B155" t="s">
        <v>975</v>
      </c>
      <c r="C155" s="101">
        <v>26976</v>
      </c>
      <c r="D155" s="101">
        <v>15733</v>
      </c>
      <c r="E155" s="101">
        <v>11243</v>
      </c>
      <c r="F155" s="101">
        <v>62</v>
      </c>
      <c r="G155" s="101">
        <v>0</v>
      </c>
      <c r="H155" s="101">
        <v>734</v>
      </c>
      <c r="I155" s="101">
        <v>293</v>
      </c>
      <c r="J155" s="101">
        <v>10711</v>
      </c>
      <c r="K155" s="101">
        <v>9403</v>
      </c>
      <c r="L155" s="101">
        <v>1207</v>
      </c>
      <c r="M155" s="101">
        <v>315</v>
      </c>
      <c r="N155" s="101">
        <v>2502</v>
      </c>
      <c r="O155" s="101">
        <v>813</v>
      </c>
      <c r="P155" s="101">
        <v>14855000000</v>
      </c>
      <c r="Q155" s="101">
        <v>2335000000</v>
      </c>
      <c r="R155" s="101">
        <v>2143000000</v>
      </c>
      <c r="S155" s="101">
        <f t="shared" si="8"/>
        <v>31203462</v>
      </c>
      <c r="T155" s="101">
        <f t="shared" si="9"/>
        <v>4227462</v>
      </c>
      <c r="U155" s="101">
        <f t="shared" si="10"/>
        <v>4227462</v>
      </c>
      <c r="V155" s="101">
        <v>285753</v>
      </c>
      <c r="W155" s="149">
        <f t="shared" si="11"/>
        <v>1.4794112397770101E-2</v>
      </c>
      <c r="AA155" s="101"/>
      <c r="AB155" s="101"/>
      <c r="AC155" s="101"/>
      <c r="AD155" s="101"/>
      <c r="AK155" s="101"/>
      <c r="AL155" s="101"/>
      <c r="AM155" s="101"/>
    </row>
    <row r="156" spans="2:39" x14ac:dyDescent="0.25">
      <c r="B156" t="s">
        <v>408</v>
      </c>
      <c r="C156" s="101">
        <v>8494</v>
      </c>
      <c r="D156" s="101">
        <v>6259</v>
      </c>
      <c r="E156" s="101">
        <v>2235</v>
      </c>
      <c r="F156" s="101">
        <v>17</v>
      </c>
      <c r="G156" s="101">
        <v>32</v>
      </c>
      <c r="H156" s="101">
        <v>139</v>
      </c>
      <c r="I156" s="101">
        <v>427</v>
      </c>
      <c r="J156" s="101">
        <v>5055</v>
      </c>
      <c r="K156" s="101">
        <v>5547</v>
      </c>
      <c r="L156" s="101">
        <v>352</v>
      </c>
      <c r="M156" s="101">
        <v>20</v>
      </c>
      <c r="N156" s="101">
        <v>293</v>
      </c>
      <c r="O156" s="101">
        <v>184</v>
      </c>
      <c r="P156" s="101">
        <v>4504000000</v>
      </c>
      <c r="Q156" s="101">
        <v>387000000</v>
      </c>
      <c r="R156" s="101">
        <v>367500000</v>
      </c>
      <c r="S156" s="101">
        <f t="shared" si="8"/>
        <v>8487219</v>
      </c>
      <c r="T156" s="101">
        <f t="shared" si="9"/>
        <v>-6781</v>
      </c>
      <c r="U156" s="101">
        <f t="shared" si="10"/>
        <v>0</v>
      </c>
      <c r="V156" s="101">
        <v>139752</v>
      </c>
      <c r="W156" s="149">
        <f t="shared" si="11"/>
        <v>-4.8521666952887976E-5</v>
      </c>
      <c r="AA156" s="101"/>
      <c r="AB156" s="101"/>
      <c r="AC156" s="101"/>
      <c r="AD156" s="101"/>
      <c r="AK156" s="101"/>
      <c r="AL156" s="101"/>
      <c r="AM156" s="101"/>
    </row>
    <row r="157" spans="2:39" x14ac:dyDescent="0.25">
      <c r="B157" t="s">
        <v>261</v>
      </c>
      <c r="C157" s="101">
        <v>3538</v>
      </c>
      <c r="D157" s="101">
        <v>3242</v>
      </c>
      <c r="E157" s="101">
        <v>295</v>
      </c>
      <c r="F157" s="101">
        <v>0</v>
      </c>
      <c r="G157" s="101">
        <v>32</v>
      </c>
      <c r="H157" s="101">
        <v>72</v>
      </c>
      <c r="I157" s="101">
        <v>3</v>
      </c>
      <c r="J157" s="101">
        <v>1366</v>
      </c>
      <c r="K157" s="101">
        <v>2147</v>
      </c>
      <c r="L157" s="101">
        <v>152</v>
      </c>
      <c r="M157" s="101">
        <v>153</v>
      </c>
      <c r="N157" s="101">
        <v>379</v>
      </c>
      <c r="O157" s="101">
        <v>139</v>
      </c>
      <c r="P157" s="101">
        <v>2861000000</v>
      </c>
      <c r="Q157" s="101">
        <v>150000000</v>
      </c>
      <c r="R157" s="101">
        <v>141000000</v>
      </c>
      <c r="S157" s="101">
        <f t="shared" si="8"/>
        <v>5087328</v>
      </c>
      <c r="T157" s="101">
        <f t="shared" si="9"/>
        <v>1549328</v>
      </c>
      <c r="U157" s="101">
        <f t="shared" si="10"/>
        <v>1549328</v>
      </c>
      <c r="V157" s="101">
        <v>31559</v>
      </c>
      <c r="W157" s="149">
        <f t="shared" si="11"/>
        <v>4.909306378529104E-2</v>
      </c>
      <c r="AA157" s="101"/>
      <c r="AB157" s="101"/>
      <c r="AC157" s="101"/>
      <c r="AD157" s="101"/>
      <c r="AK157" s="101"/>
      <c r="AL157" s="101"/>
      <c r="AM157" s="101"/>
    </row>
    <row r="158" spans="2:39" x14ac:dyDescent="0.25">
      <c r="B158" t="s">
        <v>300</v>
      </c>
      <c r="C158" s="101">
        <v>21435</v>
      </c>
      <c r="D158" s="101">
        <v>9893</v>
      </c>
      <c r="E158" s="101">
        <v>11542</v>
      </c>
      <c r="F158" s="101">
        <v>0</v>
      </c>
      <c r="G158" s="101">
        <v>45</v>
      </c>
      <c r="H158" s="101">
        <v>0</v>
      </c>
      <c r="I158" s="101">
        <v>473</v>
      </c>
      <c r="J158" s="101">
        <v>7274</v>
      </c>
      <c r="K158" s="101">
        <v>6723</v>
      </c>
      <c r="L158" s="101">
        <v>926</v>
      </c>
      <c r="M158" s="101">
        <v>240</v>
      </c>
      <c r="N158" s="101">
        <v>2520</v>
      </c>
      <c r="O158" s="101">
        <v>347</v>
      </c>
      <c r="P158" s="101">
        <v>12699000000</v>
      </c>
      <c r="Q158" s="101">
        <v>2220000000</v>
      </c>
      <c r="R158" s="101">
        <v>2202500000</v>
      </c>
      <c r="S158" s="101">
        <f t="shared" si="8"/>
        <v>27634101</v>
      </c>
      <c r="T158" s="101">
        <f t="shared" si="9"/>
        <v>6199101</v>
      </c>
      <c r="U158" s="101">
        <f t="shared" si="10"/>
        <v>6199101</v>
      </c>
      <c r="V158" s="101">
        <v>224658</v>
      </c>
      <c r="W158" s="149">
        <f t="shared" si="11"/>
        <v>2.7593502123227306E-2</v>
      </c>
      <c r="AA158" s="101"/>
      <c r="AB158" s="101"/>
      <c r="AC158" s="101"/>
      <c r="AD158" s="101"/>
      <c r="AK158" s="101"/>
      <c r="AL158" s="101"/>
      <c r="AM158" s="101"/>
    </row>
    <row r="159" spans="2:39" x14ac:dyDescent="0.25">
      <c r="B159" t="s">
        <v>724</v>
      </c>
      <c r="C159" s="101">
        <v>5858</v>
      </c>
      <c r="D159" s="101">
        <v>4833</v>
      </c>
      <c r="E159" s="101">
        <v>1025</v>
      </c>
      <c r="F159" s="101">
        <v>8</v>
      </c>
      <c r="G159" s="101">
        <v>20</v>
      </c>
      <c r="H159" s="101">
        <v>0</v>
      </c>
      <c r="I159" s="101">
        <v>74</v>
      </c>
      <c r="J159" s="101">
        <v>1319</v>
      </c>
      <c r="K159" s="101">
        <v>1821</v>
      </c>
      <c r="L159" s="101">
        <v>144</v>
      </c>
      <c r="M159" s="101">
        <v>78</v>
      </c>
      <c r="N159" s="101">
        <v>706</v>
      </c>
      <c r="O159" s="101">
        <v>117</v>
      </c>
      <c r="P159" s="101">
        <v>4983000000</v>
      </c>
      <c r="Q159" s="101">
        <v>276000000</v>
      </c>
      <c r="R159" s="101">
        <v>265480943.738657</v>
      </c>
      <c r="S159" s="101">
        <f t="shared" si="8"/>
        <v>8916512.2431941926</v>
      </c>
      <c r="T159" s="101">
        <f t="shared" si="9"/>
        <v>3058512.2431941926</v>
      </c>
      <c r="U159" s="101">
        <f t="shared" si="10"/>
        <v>3058512.2431941926</v>
      </c>
      <c r="V159" s="101">
        <v>33076</v>
      </c>
      <c r="W159" s="149">
        <f t="shared" si="11"/>
        <v>9.2469229749491857E-2</v>
      </c>
      <c r="AA159" s="101"/>
      <c r="AB159" s="101"/>
      <c r="AC159" s="101"/>
      <c r="AD159" s="101"/>
      <c r="AK159" s="101"/>
      <c r="AL159" s="101"/>
      <c r="AM159" s="101"/>
    </row>
    <row r="160" spans="2:39" x14ac:dyDescent="0.25">
      <c r="B160" t="s">
        <v>130</v>
      </c>
      <c r="C160" s="101">
        <v>40702</v>
      </c>
      <c r="D160" s="101">
        <v>17991</v>
      </c>
      <c r="E160" s="101">
        <v>22711</v>
      </c>
      <c r="F160" s="101">
        <v>3840</v>
      </c>
      <c r="G160" s="101">
        <v>312</v>
      </c>
      <c r="H160" s="101">
        <v>755</v>
      </c>
      <c r="I160" s="101">
        <v>640</v>
      </c>
      <c r="J160" s="101">
        <v>12138</v>
      </c>
      <c r="K160" s="101">
        <v>18530</v>
      </c>
      <c r="L160" s="101">
        <v>2001</v>
      </c>
      <c r="M160" s="101">
        <v>326</v>
      </c>
      <c r="N160" s="101">
        <v>4137</v>
      </c>
      <c r="O160" s="101">
        <v>760</v>
      </c>
      <c r="P160" s="101">
        <v>16342000000</v>
      </c>
      <c r="Q160" s="101">
        <v>3074000000</v>
      </c>
      <c r="R160" s="101">
        <v>2966982593.1348624</v>
      </c>
      <c r="S160" s="101">
        <f t="shared" si="8"/>
        <v>36126133.905319668</v>
      </c>
      <c r="T160" s="101">
        <f t="shared" si="9"/>
        <v>-4575866.0946803316</v>
      </c>
      <c r="U160" s="101">
        <f t="shared" si="10"/>
        <v>0</v>
      </c>
      <c r="V160" s="101">
        <v>654125</v>
      </c>
      <c r="W160" s="149">
        <f t="shared" si="11"/>
        <v>-6.9954001065244895E-3</v>
      </c>
      <c r="AA160" s="101"/>
      <c r="AB160" s="101"/>
      <c r="AC160" s="101"/>
      <c r="AD160" s="101"/>
      <c r="AK160" s="101"/>
      <c r="AL160" s="101"/>
      <c r="AM160" s="101"/>
    </row>
    <row r="161" spans="2:39" x14ac:dyDescent="0.25">
      <c r="B161" t="s">
        <v>301</v>
      </c>
      <c r="C161" s="101">
        <v>67477</v>
      </c>
      <c r="D161" s="101">
        <v>29117</v>
      </c>
      <c r="E161" s="101">
        <v>38360</v>
      </c>
      <c r="F161" s="101">
        <v>18897</v>
      </c>
      <c r="G161" s="101">
        <v>819</v>
      </c>
      <c r="H161" s="101">
        <v>1611</v>
      </c>
      <c r="I161" s="101">
        <v>0</v>
      </c>
      <c r="J161" s="101">
        <v>13418</v>
      </c>
      <c r="K161" s="101">
        <v>21115</v>
      </c>
      <c r="L161" s="101">
        <v>1503</v>
      </c>
      <c r="M161" s="101">
        <v>0</v>
      </c>
      <c r="N161" s="101">
        <v>4048</v>
      </c>
      <c r="O161" s="101">
        <v>1798</v>
      </c>
      <c r="P161" s="101">
        <v>25472000000</v>
      </c>
      <c r="Q161" s="101">
        <v>3593000000</v>
      </c>
      <c r="R161" s="101">
        <v>3538000000</v>
      </c>
      <c r="S161" s="101">
        <f t="shared" si="8"/>
        <v>52621242</v>
      </c>
      <c r="T161" s="101">
        <f t="shared" si="9"/>
        <v>-14855758</v>
      </c>
      <c r="U161" s="101">
        <f t="shared" si="10"/>
        <v>0</v>
      </c>
      <c r="V161" s="101">
        <v>630087</v>
      </c>
      <c r="W161" s="149">
        <f t="shared" si="11"/>
        <v>-2.3577312339407099E-2</v>
      </c>
      <c r="AA161" s="101"/>
      <c r="AB161" s="101"/>
      <c r="AC161" s="101"/>
      <c r="AD161" s="101"/>
      <c r="AK161" s="101"/>
      <c r="AL161" s="101"/>
      <c r="AM161" s="101"/>
    </row>
    <row r="162" spans="2:39" x14ac:dyDescent="0.25">
      <c r="B162" t="s">
        <v>302</v>
      </c>
      <c r="C162" s="101">
        <v>8859</v>
      </c>
      <c r="D162" s="101">
        <v>6202</v>
      </c>
      <c r="E162" s="101">
        <v>2657</v>
      </c>
      <c r="F162" s="101">
        <v>24</v>
      </c>
      <c r="G162" s="101">
        <v>26</v>
      </c>
      <c r="H162" s="101">
        <v>76</v>
      </c>
      <c r="I162" s="101">
        <v>0</v>
      </c>
      <c r="J162" s="101">
        <v>2141</v>
      </c>
      <c r="K162" s="101">
        <v>5111</v>
      </c>
      <c r="L162" s="101">
        <v>325</v>
      </c>
      <c r="M162" s="101">
        <v>296</v>
      </c>
      <c r="N162" s="101">
        <v>322</v>
      </c>
      <c r="O162" s="101">
        <v>32</v>
      </c>
      <c r="P162" s="101">
        <v>5407000000</v>
      </c>
      <c r="Q162" s="101">
        <v>469000000</v>
      </c>
      <c r="R162" s="101">
        <v>458500000</v>
      </c>
      <c r="S162" s="101">
        <f t="shared" si="8"/>
        <v>10223883</v>
      </c>
      <c r="T162" s="101">
        <f t="shared" si="9"/>
        <v>1364883</v>
      </c>
      <c r="U162" s="101">
        <f t="shared" si="10"/>
        <v>1364883</v>
      </c>
      <c r="V162" s="101">
        <v>78644</v>
      </c>
      <c r="W162" s="149">
        <f t="shared" si="11"/>
        <v>1.7355208280351964E-2</v>
      </c>
      <c r="AA162" s="101"/>
      <c r="AB162" s="101"/>
      <c r="AC162" s="101"/>
      <c r="AD162" s="101"/>
      <c r="AK162" s="101"/>
      <c r="AL162" s="101"/>
      <c r="AM162" s="101"/>
    </row>
    <row r="163" spans="2:39" x14ac:dyDescent="0.25">
      <c r="B163" t="s">
        <v>303</v>
      </c>
      <c r="C163" s="101">
        <v>16756</v>
      </c>
      <c r="D163" s="101">
        <v>11304</v>
      </c>
      <c r="E163" s="101">
        <v>5452</v>
      </c>
      <c r="F163" s="101">
        <v>353</v>
      </c>
      <c r="G163" s="101">
        <v>0</v>
      </c>
      <c r="H163" s="101">
        <v>561</v>
      </c>
      <c r="I163" s="101">
        <v>155</v>
      </c>
      <c r="J163" s="101">
        <v>8264</v>
      </c>
      <c r="K163" s="101">
        <v>14262</v>
      </c>
      <c r="L163" s="101">
        <v>1560</v>
      </c>
      <c r="M163" s="101">
        <v>952</v>
      </c>
      <c r="N163" s="101">
        <v>3324</v>
      </c>
      <c r="O163" s="101">
        <v>134</v>
      </c>
      <c r="P163" s="101">
        <v>14744000000</v>
      </c>
      <c r="Q163" s="101">
        <v>1246000000</v>
      </c>
      <c r="R163" s="101">
        <v>1228500000</v>
      </c>
      <c r="S163" s="101">
        <f t="shared" si="8"/>
        <v>27790659</v>
      </c>
      <c r="T163" s="101">
        <f t="shared" si="9"/>
        <v>11034659</v>
      </c>
      <c r="U163" s="101">
        <f t="shared" si="10"/>
        <v>11034659</v>
      </c>
      <c r="V163" s="101">
        <v>288365</v>
      </c>
      <c r="W163" s="149">
        <f t="shared" si="11"/>
        <v>3.826629098538311E-2</v>
      </c>
      <c r="AA163" s="101"/>
      <c r="AB163" s="101"/>
      <c r="AC163" s="101"/>
      <c r="AD163" s="101"/>
      <c r="AK163" s="101"/>
      <c r="AL163" s="101"/>
      <c r="AM163" s="101"/>
    </row>
    <row r="164" spans="2:39" x14ac:dyDescent="0.25">
      <c r="B164" t="s">
        <v>429</v>
      </c>
      <c r="C164" s="101">
        <v>29983</v>
      </c>
      <c r="D164" s="101">
        <v>13422</v>
      </c>
      <c r="E164" s="101">
        <v>16561</v>
      </c>
      <c r="F164" s="101">
        <v>2250</v>
      </c>
      <c r="G164" s="101">
        <v>0</v>
      </c>
      <c r="H164" s="101">
        <v>300</v>
      </c>
      <c r="I164" s="101">
        <v>321</v>
      </c>
      <c r="J164" s="101">
        <v>7759</v>
      </c>
      <c r="K164" s="101">
        <v>12903</v>
      </c>
      <c r="L164" s="101">
        <v>963</v>
      </c>
      <c r="M164" s="101">
        <v>349</v>
      </c>
      <c r="N164" s="101">
        <v>1690</v>
      </c>
      <c r="O164" s="101">
        <v>562</v>
      </c>
      <c r="P164" s="101">
        <v>12093000000</v>
      </c>
      <c r="Q164" s="101">
        <v>2338000000</v>
      </c>
      <c r="R164" s="101">
        <v>2257000000</v>
      </c>
      <c r="S164" s="101">
        <f t="shared" si="8"/>
        <v>26934432</v>
      </c>
      <c r="T164" s="101">
        <f t="shared" si="9"/>
        <v>-3048568</v>
      </c>
      <c r="U164" s="101">
        <f t="shared" si="10"/>
        <v>0</v>
      </c>
      <c r="V164" s="101">
        <v>377598</v>
      </c>
      <c r="W164" s="149">
        <f t="shared" si="11"/>
        <v>-8.0735808982039092E-3</v>
      </c>
      <c r="AA164" s="101"/>
      <c r="AB164" s="101"/>
      <c r="AC164" s="101"/>
      <c r="AD164" s="101"/>
      <c r="AK164" s="101"/>
      <c r="AL164" s="101"/>
      <c r="AM164" s="101"/>
    </row>
    <row r="165" spans="2:39" x14ac:dyDescent="0.25">
      <c r="B165" t="s">
        <v>409</v>
      </c>
      <c r="C165" s="101">
        <v>7131</v>
      </c>
      <c r="D165" s="101">
        <v>4948</v>
      </c>
      <c r="E165" s="101">
        <v>2183</v>
      </c>
      <c r="F165" s="101">
        <v>0</v>
      </c>
      <c r="G165" s="101">
        <v>0</v>
      </c>
      <c r="H165" s="101">
        <v>858</v>
      </c>
      <c r="I165" s="101">
        <v>84</v>
      </c>
      <c r="J165" s="101">
        <v>4798</v>
      </c>
      <c r="K165" s="101">
        <v>4251</v>
      </c>
      <c r="L165" s="101">
        <v>667</v>
      </c>
      <c r="M165" s="101">
        <v>7</v>
      </c>
      <c r="N165" s="101">
        <v>801</v>
      </c>
      <c r="O165" s="101">
        <v>165</v>
      </c>
      <c r="P165" s="101">
        <v>5448000000</v>
      </c>
      <c r="Q165" s="101">
        <v>796000000</v>
      </c>
      <c r="R165" s="101">
        <v>719500000</v>
      </c>
      <c r="S165" s="101">
        <f t="shared" si="8"/>
        <v>11239089</v>
      </c>
      <c r="T165" s="101">
        <f t="shared" si="9"/>
        <v>4108089</v>
      </c>
      <c r="U165" s="101">
        <f t="shared" si="10"/>
        <v>4108089</v>
      </c>
      <c r="V165" s="101">
        <v>99728</v>
      </c>
      <c r="W165" s="149">
        <f t="shared" si="11"/>
        <v>4.1192934782608694E-2</v>
      </c>
      <c r="AA165" s="101"/>
      <c r="AB165" s="101"/>
      <c r="AC165" s="101"/>
      <c r="AD165" s="101"/>
      <c r="AK165" s="101"/>
      <c r="AL165" s="101"/>
      <c r="AM165" s="101"/>
    </row>
    <row r="166" spans="2:39" x14ac:dyDescent="0.25">
      <c r="B166" t="s">
        <v>221</v>
      </c>
      <c r="C166" s="101">
        <v>10617</v>
      </c>
      <c r="D166" s="101">
        <v>6654</v>
      </c>
      <c r="E166" s="101">
        <v>3963</v>
      </c>
      <c r="F166" s="101">
        <v>1</v>
      </c>
      <c r="G166" s="101">
        <v>26</v>
      </c>
      <c r="H166" s="101">
        <v>156</v>
      </c>
      <c r="I166" s="101">
        <v>0</v>
      </c>
      <c r="J166" s="101">
        <v>2313</v>
      </c>
      <c r="K166" s="101">
        <v>3635</v>
      </c>
      <c r="L166" s="101">
        <v>581</v>
      </c>
      <c r="M166" s="101">
        <v>40</v>
      </c>
      <c r="N166" s="101">
        <v>484</v>
      </c>
      <c r="O166" s="101">
        <v>87</v>
      </c>
      <c r="P166" s="101">
        <v>6309000000</v>
      </c>
      <c r="Q166" s="101">
        <v>645000000</v>
      </c>
      <c r="R166" s="101">
        <v>616978277.73467803</v>
      </c>
      <c r="S166" s="101">
        <f t="shared" si="8"/>
        <v>12219558.940263771</v>
      </c>
      <c r="T166" s="101">
        <f t="shared" si="9"/>
        <v>1602558.9402637705</v>
      </c>
      <c r="U166" s="101">
        <f t="shared" si="10"/>
        <v>1602558.9402637705</v>
      </c>
      <c r="V166" s="101">
        <v>85926</v>
      </c>
      <c r="W166" s="149">
        <f t="shared" si="11"/>
        <v>1.865045434750565E-2</v>
      </c>
      <c r="AA166" s="101"/>
      <c r="AB166" s="101"/>
      <c r="AC166" s="101"/>
      <c r="AD166" s="101"/>
      <c r="AK166" s="101"/>
      <c r="AL166" s="101"/>
      <c r="AM166" s="101"/>
    </row>
    <row r="167" spans="2:39" x14ac:dyDescent="0.25">
      <c r="B167" t="s">
        <v>185</v>
      </c>
      <c r="C167" s="101">
        <v>13870</v>
      </c>
      <c r="D167" s="101">
        <v>10301</v>
      </c>
      <c r="E167" s="101">
        <v>3569</v>
      </c>
      <c r="F167" s="101">
        <v>0</v>
      </c>
      <c r="G167" s="101">
        <v>0</v>
      </c>
      <c r="H167" s="101">
        <v>103</v>
      </c>
      <c r="I167" s="101">
        <v>510</v>
      </c>
      <c r="J167" s="101">
        <v>4646</v>
      </c>
      <c r="K167" s="101">
        <v>5208</v>
      </c>
      <c r="L167" s="101">
        <v>863</v>
      </c>
      <c r="M167" s="101">
        <v>65</v>
      </c>
      <c r="N167" s="101">
        <v>1415</v>
      </c>
      <c r="O167" s="101">
        <v>293</v>
      </c>
      <c r="P167" s="101">
        <v>8035000000</v>
      </c>
      <c r="Q167" s="101">
        <v>759000000</v>
      </c>
      <c r="R167" s="101">
        <v>732000000</v>
      </c>
      <c r="S167" s="101">
        <f t="shared" si="8"/>
        <v>15374964</v>
      </c>
      <c r="T167" s="101">
        <f t="shared" si="9"/>
        <v>1504964</v>
      </c>
      <c r="U167" s="101">
        <f t="shared" si="10"/>
        <v>1504964</v>
      </c>
      <c r="V167" s="101">
        <v>130634</v>
      </c>
      <c r="W167" s="149">
        <f t="shared" si="11"/>
        <v>1.1520461748090084E-2</v>
      </c>
      <c r="AA167" s="101"/>
      <c r="AB167" s="101"/>
      <c r="AC167" s="101"/>
      <c r="AD167" s="101"/>
      <c r="AK167" s="101"/>
      <c r="AL167" s="101"/>
      <c r="AM167" s="101"/>
    </row>
    <row r="168" spans="2:39" x14ac:dyDescent="0.25">
      <c r="B168" t="s">
        <v>304</v>
      </c>
      <c r="C168" s="101">
        <v>7470</v>
      </c>
      <c r="D168" s="101">
        <v>4583</v>
      </c>
      <c r="E168" s="101">
        <v>2887</v>
      </c>
      <c r="F168" s="101">
        <v>7</v>
      </c>
      <c r="G168" s="101">
        <v>10</v>
      </c>
      <c r="H168" s="101">
        <v>125</v>
      </c>
      <c r="I168" s="101">
        <v>118</v>
      </c>
      <c r="J168" s="101">
        <v>2010</v>
      </c>
      <c r="K168" s="101">
        <v>4888</v>
      </c>
      <c r="L168" s="101">
        <v>277</v>
      </c>
      <c r="M168" s="101">
        <v>0</v>
      </c>
      <c r="N168" s="101">
        <v>443</v>
      </c>
      <c r="O168" s="101">
        <v>40</v>
      </c>
      <c r="P168" s="101">
        <v>4361000000</v>
      </c>
      <c r="Q168" s="101">
        <v>657000000</v>
      </c>
      <c r="R168" s="101">
        <v>645500000</v>
      </c>
      <c r="S168" s="101">
        <f t="shared" si="8"/>
        <v>9140889</v>
      </c>
      <c r="T168" s="101">
        <f t="shared" si="9"/>
        <v>1670889</v>
      </c>
      <c r="U168" s="101">
        <f t="shared" si="10"/>
        <v>1670889</v>
      </c>
      <c r="V168" s="101">
        <v>72540</v>
      </c>
      <c r="W168" s="149">
        <f t="shared" si="11"/>
        <v>2.3034036393713812E-2</v>
      </c>
      <c r="AA168" s="101"/>
      <c r="AB168" s="101"/>
      <c r="AC168" s="101"/>
      <c r="AD168" s="101"/>
      <c r="AK168" s="101"/>
      <c r="AL168" s="101"/>
      <c r="AM168" s="101"/>
    </row>
    <row r="169" spans="2:39" x14ac:dyDescent="0.25">
      <c r="B169" t="s">
        <v>186</v>
      </c>
      <c r="C169" s="101">
        <v>5774</v>
      </c>
      <c r="D169" s="101">
        <v>4183</v>
      </c>
      <c r="E169" s="101">
        <v>1591</v>
      </c>
      <c r="F169" s="101">
        <v>17</v>
      </c>
      <c r="G169" s="101">
        <v>0</v>
      </c>
      <c r="H169" s="101">
        <v>760</v>
      </c>
      <c r="I169" s="101">
        <v>287</v>
      </c>
      <c r="J169" s="101">
        <v>5986</v>
      </c>
      <c r="K169" s="101">
        <v>3752</v>
      </c>
      <c r="L169" s="101">
        <v>553</v>
      </c>
      <c r="M169" s="101">
        <v>386</v>
      </c>
      <c r="N169" s="101">
        <v>783</v>
      </c>
      <c r="O169" s="101">
        <v>286</v>
      </c>
      <c r="P169" s="101">
        <v>7275000000</v>
      </c>
      <c r="Q169" s="101">
        <v>749000000</v>
      </c>
      <c r="R169" s="101">
        <v>631921843.68737471</v>
      </c>
      <c r="S169" s="101">
        <f t="shared" si="8"/>
        <v>13970657.855711421</v>
      </c>
      <c r="T169" s="101">
        <f t="shared" si="9"/>
        <v>8196657.855711421</v>
      </c>
      <c r="U169" s="101">
        <f t="shared" si="10"/>
        <v>8196657.855711421</v>
      </c>
      <c r="V169" s="101">
        <v>98094</v>
      </c>
      <c r="W169" s="149">
        <f t="shared" si="11"/>
        <v>8.3559217237664088E-2</v>
      </c>
      <c r="AA169" s="101"/>
      <c r="AB169" s="101"/>
      <c r="AC169" s="101"/>
      <c r="AD169" s="101"/>
      <c r="AK169" s="101"/>
      <c r="AL169" s="101"/>
      <c r="AM169" s="101"/>
    </row>
    <row r="170" spans="2:39" x14ac:dyDescent="0.25">
      <c r="B170" t="s">
        <v>375</v>
      </c>
      <c r="C170" s="101">
        <v>6649</v>
      </c>
      <c r="D170" s="101">
        <v>4232</v>
      </c>
      <c r="E170" s="101">
        <v>2417</v>
      </c>
      <c r="F170" s="101">
        <v>0</v>
      </c>
      <c r="G170" s="101">
        <v>0</v>
      </c>
      <c r="H170" s="101">
        <v>3208</v>
      </c>
      <c r="I170" s="101">
        <v>274</v>
      </c>
      <c r="J170" s="101">
        <v>2272</v>
      </c>
      <c r="K170" s="101">
        <v>3156</v>
      </c>
      <c r="L170" s="101">
        <v>432</v>
      </c>
      <c r="M170" s="101">
        <v>0</v>
      </c>
      <c r="N170" s="101">
        <v>226</v>
      </c>
      <c r="O170" s="101">
        <v>15</v>
      </c>
      <c r="P170" s="101">
        <v>4146000000</v>
      </c>
      <c r="Q170" s="101">
        <v>663000000</v>
      </c>
      <c r="R170" s="101">
        <v>637000000</v>
      </c>
      <c r="S170" s="101">
        <f t="shared" si="8"/>
        <v>8789844</v>
      </c>
      <c r="T170" s="101">
        <f t="shared" si="9"/>
        <v>2140844</v>
      </c>
      <c r="U170" s="101">
        <f t="shared" si="10"/>
        <v>2140844</v>
      </c>
      <c r="V170" s="101">
        <v>69158</v>
      </c>
      <c r="W170" s="149">
        <f t="shared" si="11"/>
        <v>3.0955840249862632E-2</v>
      </c>
      <c r="AA170" s="101"/>
      <c r="AB170" s="101"/>
      <c r="AC170" s="101"/>
      <c r="AD170" s="101"/>
      <c r="AK170" s="101"/>
      <c r="AL170" s="101"/>
      <c r="AM170" s="101"/>
    </row>
    <row r="171" spans="2:39" x14ac:dyDescent="0.25">
      <c r="B171" t="s">
        <v>222</v>
      </c>
      <c r="C171" s="101">
        <v>3955</v>
      </c>
      <c r="D171" s="101">
        <v>3090</v>
      </c>
      <c r="E171" s="101">
        <v>865</v>
      </c>
      <c r="F171" s="101">
        <v>0</v>
      </c>
      <c r="G171" s="101">
        <v>15</v>
      </c>
      <c r="H171" s="101">
        <v>54</v>
      </c>
      <c r="I171" s="101">
        <v>82</v>
      </c>
      <c r="J171" s="101">
        <v>1976</v>
      </c>
      <c r="K171" s="101">
        <v>1667</v>
      </c>
      <c r="L171" s="101">
        <v>249</v>
      </c>
      <c r="M171" s="101">
        <v>94</v>
      </c>
      <c r="N171" s="101">
        <v>307</v>
      </c>
      <c r="O171" s="101">
        <v>9</v>
      </c>
      <c r="P171" s="101">
        <v>2576000000</v>
      </c>
      <c r="Q171" s="101">
        <v>339000000</v>
      </c>
      <c r="R171" s="101">
        <v>297500000</v>
      </c>
      <c r="S171" s="101">
        <f t="shared" si="8"/>
        <v>5184975</v>
      </c>
      <c r="T171" s="101">
        <f t="shared" si="9"/>
        <v>1229975</v>
      </c>
      <c r="U171" s="101">
        <f t="shared" si="10"/>
        <v>1229975</v>
      </c>
      <c r="V171" s="101">
        <v>38715</v>
      </c>
      <c r="W171" s="149">
        <f t="shared" si="11"/>
        <v>3.1769985793620045E-2</v>
      </c>
      <c r="AA171" s="101"/>
      <c r="AB171" s="101"/>
      <c r="AC171" s="101"/>
      <c r="AD171" s="101"/>
      <c r="AK171" s="101"/>
      <c r="AL171" s="101"/>
      <c r="AM171" s="101"/>
    </row>
    <row r="172" spans="2:39" x14ac:dyDescent="0.25">
      <c r="B172" t="s">
        <v>150</v>
      </c>
      <c r="C172" s="101">
        <v>6104</v>
      </c>
      <c r="D172" s="101">
        <v>4308</v>
      </c>
      <c r="E172" s="101">
        <v>1796</v>
      </c>
      <c r="F172" s="101">
        <v>0</v>
      </c>
      <c r="G172" s="101">
        <v>0</v>
      </c>
      <c r="H172" s="101">
        <v>299</v>
      </c>
      <c r="I172" s="101">
        <v>147</v>
      </c>
      <c r="J172" s="101">
        <v>3802</v>
      </c>
      <c r="K172" s="101">
        <v>2282</v>
      </c>
      <c r="L172" s="101">
        <v>339</v>
      </c>
      <c r="M172" s="101">
        <v>1</v>
      </c>
      <c r="N172" s="101">
        <v>482</v>
      </c>
      <c r="O172" s="101">
        <v>45</v>
      </c>
      <c r="P172" s="101">
        <v>3644000000</v>
      </c>
      <c r="Q172" s="101">
        <v>411000000</v>
      </c>
      <c r="R172" s="101">
        <v>343500000</v>
      </c>
      <c r="S172" s="101">
        <f t="shared" si="8"/>
        <v>7099179</v>
      </c>
      <c r="T172" s="101">
        <f t="shared" si="9"/>
        <v>995179</v>
      </c>
      <c r="U172" s="101">
        <f t="shared" si="10"/>
        <v>995179</v>
      </c>
      <c r="V172" s="101">
        <v>71811</v>
      </c>
      <c r="W172" s="149">
        <f t="shared" si="11"/>
        <v>1.3858308615671694E-2</v>
      </c>
      <c r="AA172" s="101"/>
      <c r="AB172" s="101"/>
      <c r="AC172" s="101"/>
      <c r="AD172" s="101"/>
      <c r="AK172" s="101"/>
      <c r="AL172" s="101"/>
      <c r="AM172" s="101"/>
    </row>
    <row r="173" spans="2:39" x14ac:dyDescent="0.25">
      <c r="B173" t="s">
        <v>187</v>
      </c>
      <c r="C173" s="101">
        <v>5855</v>
      </c>
      <c r="D173" s="101">
        <v>3511</v>
      </c>
      <c r="E173" s="101">
        <v>2344</v>
      </c>
      <c r="F173" s="101">
        <v>0</v>
      </c>
      <c r="G173" s="101">
        <v>0</v>
      </c>
      <c r="H173" s="101">
        <v>241</v>
      </c>
      <c r="I173" s="101">
        <v>111</v>
      </c>
      <c r="J173" s="101">
        <v>3493</v>
      </c>
      <c r="K173" s="101">
        <v>0</v>
      </c>
      <c r="L173" s="101">
        <v>386</v>
      </c>
      <c r="M173" s="101">
        <v>65</v>
      </c>
      <c r="N173" s="101">
        <v>1420</v>
      </c>
      <c r="O173" s="101">
        <v>167</v>
      </c>
      <c r="P173" s="101">
        <v>4201000000</v>
      </c>
      <c r="Q173" s="101">
        <v>605000000</v>
      </c>
      <c r="R173" s="101">
        <v>481499999.99999994</v>
      </c>
      <c r="S173" s="101">
        <f t="shared" si="8"/>
        <v>8534025</v>
      </c>
      <c r="T173" s="101">
        <f t="shared" si="9"/>
        <v>2679025</v>
      </c>
      <c r="U173" s="101">
        <f t="shared" si="10"/>
        <v>2679025</v>
      </c>
      <c r="V173" s="101">
        <v>69324</v>
      </c>
      <c r="W173" s="149">
        <f t="shared" si="11"/>
        <v>3.8644985863481619E-2</v>
      </c>
      <c r="AA173" s="101"/>
      <c r="AB173" s="101"/>
      <c r="AC173" s="101"/>
      <c r="AD173" s="101"/>
      <c r="AK173" s="101"/>
      <c r="AL173" s="101"/>
      <c r="AM173" s="101"/>
    </row>
    <row r="174" spans="2:39" x14ac:dyDescent="0.25">
      <c r="B174" t="s">
        <v>410</v>
      </c>
      <c r="C174" s="101">
        <v>5326</v>
      </c>
      <c r="D174" s="101">
        <v>3199</v>
      </c>
      <c r="E174" s="101">
        <v>2127</v>
      </c>
      <c r="F174" s="101">
        <v>90</v>
      </c>
      <c r="G174" s="101">
        <v>0</v>
      </c>
      <c r="H174" s="101">
        <v>1101</v>
      </c>
      <c r="I174" s="101">
        <v>291</v>
      </c>
      <c r="J174" s="101">
        <v>3406</v>
      </c>
      <c r="K174" s="101">
        <v>2998</v>
      </c>
      <c r="L174" s="101">
        <v>340</v>
      </c>
      <c r="M174" s="101">
        <v>86</v>
      </c>
      <c r="N174" s="101">
        <v>315</v>
      </c>
      <c r="O174" s="101">
        <v>72</v>
      </c>
      <c r="P174" s="101">
        <v>3692000000</v>
      </c>
      <c r="Q174" s="101">
        <v>661000000</v>
      </c>
      <c r="R174" s="101">
        <v>635500000</v>
      </c>
      <c r="S174" s="101">
        <f t="shared" si="8"/>
        <v>8051439</v>
      </c>
      <c r="T174" s="101">
        <f t="shared" si="9"/>
        <v>2725439</v>
      </c>
      <c r="U174" s="101">
        <f t="shared" si="10"/>
        <v>2725439</v>
      </c>
      <c r="V174" s="101">
        <v>71626</v>
      </c>
      <c r="W174" s="149">
        <f t="shared" si="11"/>
        <v>3.8050973110323065E-2</v>
      </c>
      <c r="AA174" s="101"/>
      <c r="AB174" s="101"/>
      <c r="AC174" s="101"/>
      <c r="AD174" s="101"/>
      <c r="AK174" s="101"/>
      <c r="AL174" s="101"/>
      <c r="AM174" s="101"/>
    </row>
    <row r="175" spans="2:39" x14ac:dyDescent="0.25">
      <c r="B175" t="s">
        <v>774</v>
      </c>
      <c r="C175" s="101">
        <v>14973</v>
      </c>
      <c r="D175" s="101">
        <v>7681</v>
      </c>
      <c r="E175" s="101">
        <v>7292</v>
      </c>
      <c r="F175" s="101">
        <v>2413</v>
      </c>
      <c r="G175" s="101">
        <v>0</v>
      </c>
      <c r="H175" s="101">
        <v>488</v>
      </c>
      <c r="I175" s="101">
        <v>248</v>
      </c>
      <c r="J175" s="101">
        <v>6205</v>
      </c>
      <c r="K175" s="101">
        <v>6559</v>
      </c>
      <c r="L175" s="101">
        <v>1045</v>
      </c>
      <c r="M175" s="101">
        <v>178</v>
      </c>
      <c r="N175" s="101">
        <v>2077</v>
      </c>
      <c r="O175" s="101">
        <v>531</v>
      </c>
      <c r="P175" s="101">
        <v>10538000000</v>
      </c>
      <c r="Q175" s="101">
        <v>1778000000</v>
      </c>
      <c r="R175" s="101">
        <v>1675471167.3699017</v>
      </c>
      <c r="S175" s="101">
        <f t="shared" si="8"/>
        <v>22582234.464135021</v>
      </c>
      <c r="T175" s="101">
        <f t="shared" si="9"/>
        <v>7609234.464135021</v>
      </c>
      <c r="U175" s="101">
        <f t="shared" si="10"/>
        <v>7609234.464135021</v>
      </c>
      <c r="V175" s="101">
        <v>191616</v>
      </c>
      <c r="W175" s="149">
        <f t="shared" si="11"/>
        <v>3.9710851203109451E-2</v>
      </c>
      <c r="AA175" s="101"/>
      <c r="AB175" s="101"/>
      <c r="AC175" s="101"/>
      <c r="AD175" s="101"/>
      <c r="AK175" s="101"/>
      <c r="AL175" s="101"/>
      <c r="AM175" s="101"/>
    </row>
    <row r="176" spans="2:39" x14ac:dyDescent="0.25">
      <c r="B176" t="s">
        <v>305</v>
      </c>
      <c r="C176" s="101">
        <v>8355</v>
      </c>
      <c r="D176" s="101">
        <v>5866</v>
      </c>
      <c r="E176" s="101">
        <v>2489</v>
      </c>
      <c r="F176" s="101">
        <v>0</v>
      </c>
      <c r="G176" s="101">
        <v>50</v>
      </c>
      <c r="H176" s="101">
        <v>56</v>
      </c>
      <c r="I176" s="101">
        <v>40</v>
      </c>
      <c r="J176" s="101">
        <v>3255</v>
      </c>
      <c r="K176" s="101">
        <v>6919</v>
      </c>
      <c r="L176" s="101">
        <v>645</v>
      </c>
      <c r="M176" s="101">
        <v>663</v>
      </c>
      <c r="N176" s="101">
        <v>709</v>
      </c>
      <c r="O176" s="101">
        <v>281</v>
      </c>
      <c r="P176" s="101">
        <v>5393000000</v>
      </c>
      <c r="Q176" s="101">
        <v>589000000</v>
      </c>
      <c r="R176" s="101">
        <v>569483432.4553951</v>
      </c>
      <c r="S176" s="101">
        <f t="shared" si="8"/>
        <v>10574094.259983007</v>
      </c>
      <c r="T176" s="101">
        <f t="shared" si="9"/>
        <v>2219094.2599830069</v>
      </c>
      <c r="U176" s="101">
        <f t="shared" si="10"/>
        <v>2219094.2599830069</v>
      </c>
      <c r="V176" s="101">
        <v>118803</v>
      </c>
      <c r="W176" s="149">
        <f t="shared" si="11"/>
        <v>1.8678772926466559E-2</v>
      </c>
      <c r="AA176" s="101"/>
      <c r="AB176" s="101"/>
      <c r="AC176" s="101"/>
      <c r="AD176" s="101"/>
      <c r="AK176" s="101"/>
      <c r="AL176" s="101"/>
      <c r="AM176" s="101"/>
    </row>
    <row r="177" spans="2:39" x14ac:dyDescent="0.25">
      <c r="B177" t="s">
        <v>411</v>
      </c>
      <c r="C177" s="101">
        <v>40390</v>
      </c>
      <c r="D177" s="101">
        <v>19589</v>
      </c>
      <c r="E177" s="101">
        <v>20801</v>
      </c>
      <c r="F177" s="101">
        <v>13344</v>
      </c>
      <c r="G177" s="101">
        <v>1454</v>
      </c>
      <c r="H177" s="101">
        <v>6600</v>
      </c>
      <c r="I177" s="101">
        <v>2017</v>
      </c>
      <c r="J177" s="101">
        <v>15854</v>
      </c>
      <c r="K177" s="101">
        <v>19441</v>
      </c>
      <c r="L177" s="101">
        <v>2057</v>
      </c>
      <c r="M177" s="101">
        <v>527</v>
      </c>
      <c r="N177" s="101">
        <v>5647</v>
      </c>
      <c r="O177" s="101">
        <v>701</v>
      </c>
      <c r="P177" s="101">
        <v>19543000000</v>
      </c>
      <c r="Q177" s="101">
        <v>3461000000</v>
      </c>
      <c r="R177" s="101">
        <v>3409492558.8787746</v>
      </c>
      <c r="S177" s="101">
        <f t="shared" si="8"/>
        <v>42631376.990030348</v>
      </c>
      <c r="T177" s="101">
        <f t="shared" si="9"/>
        <v>2241376.9900303483</v>
      </c>
      <c r="U177" s="101">
        <f t="shared" si="10"/>
        <v>2241376.9900303483</v>
      </c>
      <c r="V177" s="101">
        <v>586632</v>
      </c>
      <c r="W177" s="149">
        <f t="shared" si="11"/>
        <v>3.8207547321495389E-3</v>
      </c>
      <c r="AA177" s="101"/>
      <c r="AB177" s="101"/>
      <c r="AC177" s="101"/>
      <c r="AD177" s="101"/>
      <c r="AK177" s="101"/>
      <c r="AL177" s="101"/>
      <c r="AM177" s="101"/>
    </row>
    <row r="178" spans="2:39" x14ac:dyDescent="0.25">
      <c r="B178" t="s">
        <v>264</v>
      </c>
      <c r="C178" s="101">
        <v>14821</v>
      </c>
      <c r="D178" s="101">
        <v>9190</v>
      </c>
      <c r="E178" s="101">
        <v>5631</v>
      </c>
      <c r="F178" s="101">
        <v>0</v>
      </c>
      <c r="G178" s="101">
        <v>0</v>
      </c>
      <c r="H178" s="101">
        <v>1245</v>
      </c>
      <c r="I178" s="101">
        <v>254</v>
      </c>
      <c r="J178" s="101">
        <v>4558</v>
      </c>
      <c r="K178" s="101">
        <v>7095</v>
      </c>
      <c r="L178" s="101">
        <v>563</v>
      </c>
      <c r="M178" s="101">
        <v>236</v>
      </c>
      <c r="N178" s="101">
        <v>1466</v>
      </c>
      <c r="O178" s="101">
        <v>365</v>
      </c>
      <c r="P178" s="101">
        <v>7502000000</v>
      </c>
      <c r="Q178" s="101">
        <v>1173000000</v>
      </c>
      <c r="R178" s="101">
        <v>1110000000</v>
      </c>
      <c r="S178" s="101">
        <f t="shared" si="8"/>
        <v>15792990</v>
      </c>
      <c r="T178" s="101">
        <f t="shared" si="9"/>
        <v>971990</v>
      </c>
      <c r="U178" s="101">
        <f t="shared" si="10"/>
        <v>971990</v>
      </c>
      <c r="V178" s="101">
        <v>140475</v>
      </c>
      <c r="W178" s="149">
        <f t="shared" si="11"/>
        <v>6.9193094856736075E-3</v>
      </c>
      <c r="AA178" s="101"/>
      <c r="AB178" s="101"/>
      <c r="AC178" s="101"/>
      <c r="AD178" s="101"/>
      <c r="AK178" s="101"/>
      <c r="AL178" s="101"/>
      <c r="AM178" s="101"/>
    </row>
    <row r="179" spans="2:39" x14ac:dyDescent="0.25">
      <c r="B179" t="s">
        <v>412</v>
      </c>
      <c r="C179" s="101">
        <v>5675</v>
      </c>
      <c r="D179" s="101">
        <v>4606</v>
      </c>
      <c r="E179" s="101">
        <v>1069</v>
      </c>
      <c r="F179" s="101">
        <v>231</v>
      </c>
      <c r="G179" s="101">
        <v>0</v>
      </c>
      <c r="H179" s="101">
        <v>115</v>
      </c>
      <c r="I179" s="101">
        <v>163</v>
      </c>
      <c r="J179" s="101">
        <v>3288</v>
      </c>
      <c r="K179" s="101">
        <v>2695</v>
      </c>
      <c r="L179" s="101">
        <v>281</v>
      </c>
      <c r="M179" s="101">
        <v>148</v>
      </c>
      <c r="N179" s="101">
        <v>540</v>
      </c>
      <c r="O179" s="101">
        <v>17</v>
      </c>
      <c r="P179" s="101">
        <v>2978000000</v>
      </c>
      <c r="Q179" s="101">
        <v>184000000</v>
      </c>
      <c r="R179" s="101">
        <v>176000000</v>
      </c>
      <c r="S179" s="101">
        <f t="shared" si="8"/>
        <v>5387532</v>
      </c>
      <c r="T179" s="101">
        <f t="shared" si="9"/>
        <v>-287468</v>
      </c>
      <c r="U179" s="101">
        <f t="shared" si="10"/>
        <v>0</v>
      </c>
      <c r="V179" s="101">
        <v>58059</v>
      </c>
      <c r="W179" s="149">
        <f t="shared" si="11"/>
        <v>-4.951308152052223E-3</v>
      </c>
      <c r="AA179" s="101"/>
      <c r="AB179" s="101"/>
      <c r="AC179" s="101"/>
      <c r="AD179" s="101"/>
      <c r="AK179" s="101"/>
      <c r="AL179" s="101"/>
      <c r="AM179" s="101"/>
    </row>
    <row r="180" spans="2:39" x14ac:dyDescent="0.25">
      <c r="B180" t="s">
        <v>581</v>
      </c>
      <c r="C180" s="101">
        <v>22361</v>
      </c>
      <c r="D180" s="101">
        <v>12663</v>
      </c>
      <c r="E180" s="101">
        <v>9698</v>
      </c>
      <c r="F180" s="101">
        <v>47</v>
      </c>
      <c r="G180" s="101">
        <v>0</v>
      </c>
      <c r="H180" s="101">
        <v>287</v>
      </c>
      <c r="I180" s="101">
        <v>310</v>
      </c>
      <c r="J180" s="101">
        <v>7124</v>
      </c>
      <c r="K180" s="101">
        <v>8593</v>
      </c>
      <c r="L180" s="101">
        <v>1054</v>
      </c>
      <c r="M180" s="101">
        <v>125</v>
      </c>
      <c r="N180" s="101">
        <v>3051</v>
      </c>
      <c r="O180" s="101">
        <v>458</v>
      </c>
      <c r="P180" s="101">
        <v>15013000000</v>
      </c>
      <c r="Q180" s="101">
        <v>2879000000</v>
      </c>
      <c r="R180" s="101">
        <v>2654000000</v>
      </c>
      <c r="S180" s="101">
        <f t="shared" si="8"/>
        <v>33161244</v>
      </c>
      <c r="T180" s="101">
        <f t="shared" si="9"/>
        <v>10800244</v>
      </c>
      <c r="U180" s="101">
        <f t="shared" si="10"/>
        <v>10800244</v>
      </c>
      <c r="V180" s="101">
        <v>262885</v>
      </c>
      <c r="W180" s="149">
        <f t="shared" si="11"/>
        <v>4.1083530821461857E-2</v>
      </c>
      <c r="AA180" s="101"/>
      <c r="AB180" s="101"/>
      <c r="AC180" s="101"/>
      <c r="AD180" s="101"/>
      <c r="AK180" s="101"/>
      <c r="AL180" s="101"/>
      <c r="AM180" s="101"/>
    </row>
    <row r="181" spans="2:39" x14ac:dyDescent="0.25">
      <c r="B181" t="s">
        <v>110</v>
      </c>
      <c r="C181" s="101">
        <v>11429</v>
      </c>
      <c r="D181" s="101">
        <v>5683</v>
      </c>
      <c r="E181" s="101">
        <v>5746</v>
      </c>
      <c r="F181" s="101">
        <v>1538</v>
      </c>
      <c r="G181" s="101">
        <v>66</v>
      </c>
      <c r="H181" s="101">
        <v>0</v>
      </c>
      <c r="I181" s="101">
        <v>178</v>
      </c>
      <c r="J181" s="101">
        <v>3125</v>
      </c>
      <c r="K181" s="101">
        <v>3570</v>
      </c>
      <c r="L181" s="101">
        <v>616</v>
      </c>
      <c r="M181" s="101">
        <v>223</v>
      </c>
      <c r="N181" s="101">
        <v>890</v>
      </c>
      <c r="O181" s="101">
        <v>481</v>
      </c>
      <c r="P181" s="101">
        <v>4969000000</v>
      </c>
      <c r="Q181" s="101">
        <v>818000000</v>
      </c>
      <c r="R181" s="101">
        <v>794485626.91131496</v>
      </c>
      <c r="S181" s="101">
        <f t="shared" si="8"/>
        <v>10622517.801834863</v>
      </c>
      <c r="T181" s="101">
        <f t="shared" si="9"/>
        <v>-806482.19816513732</v>
      </c>
      <c r="U181" s="101">
        <f t="shared" si="10"/>
        <v>0</v>
      </c>
      <c r="V181" s="101">
        <v>156380</v>
      </c>
      <c r="W181" s="149">
        <f t="shared" si="11"/>
        <v>-5.1571952817824358E-3</v>
      </c>
      <c r="AA181" s="101"/>
      <c r="AB181" s="101"/>
      <c r="AC181" s="101"/>
      <c r="AD181" s="101"/>
      <c r="AK181" s="101"/>
      <c r="AL181" s="101"/>
      <c r="AM181" s="101"/>
    </row>
    <row r="182" spans="2:39" x14ac:dyDescent="0.25">
      <c r="B182" t="s">
        <v>725</v>
      </c>
      <c r="C182" s="101">
        <v>14827</v>
      </c>
      <c r="D182" s="101">
        <v>7840</v>
      </c>
      <c r="E182" s="101">
        <v>6987</v>
      </c>
      <c r="F182" s="101">
        <v>6604</v>
      </c>
      <c r="G182" s="101">
        <v>293</v>
      </c>
      <c r="H182" s="101">
        <v>1209</v>
      </c>
      <c r="I182" s="101">
        <v>607</v>
      </c>
      <c r="J182" s="101">
        <v>6314</v>
      </c>
      <c r="K182" s="101">
        <v>7121</v>
      </c>
      <c r="L182" s="101">
        <v>492</v>
      </c>
      <c r="M182" s="101">
        <v>2268</v>
      </c>
      <c r="N182" s="101">
        <v>1525</v>
      </c>
      <c r="O182" s="101">
        <v>708</v>
      </c>
      <c r="P182" s="101">
        <v>7344000000</v>
      </c>
      <c r="Q182" s="101">
        <v>1160000000</v>
      </c>
      <c r="R182" s="101">
        <v>1091470461.4057784</v>
      </c>
      <c r="S182" s="101">
        <f t="shared" si="8"/>
        <v>15487089.324708927</v>
      </c>
      <c r="T182" s="101">
        <f t="shared" si="9"/>
        <v>660089.32470892742</v>
      </c>
      <c r="U182" s="101">
        <f t="shared" si="10"/>
        <v>660089.32470892742</v>
      </c>
      <c r="V182" s="101">
        <v>209261</v>
      </c>
      <c r="W182" s="149">
        <f t="shared" si="11"/>
        <v>3.1543829223263172E-3</v>
      </c>
      <c r="AA182" s="101"/>
      <c r="AB182" s="101"/>
      <c r="AC182" s="101"/>
      <c r="AD182" s="101"/>
      <c r="AK182" s="101"/>
      <c r="AL182" s="101"/>
      <c r="AM182" s="101"/>
    </row>
    <row r="183" spans="2:39" x14ac:dyDescent="0.25">
      <c r="B183" t="s">
        <v>306</v>
      </c>
      <c r="C183" s="101">
        <v>6564</v>
      </c>
      <c r="D183" s="101">
        <v>4265</v>
      </c>
      <c r="E183" s="101">
        <v>2299</v>
      </c>
      <c r="F183" s="101">
        <v>6</v>
      </c>
      <c r="G183" s="101">
        <v>0</v>
      </c>
      <c r="H183" s="101">
        <v>0</v>
      </c>
      <c r="I183" s="101">
        <v>0</v>
      </c>
      <c r="J183" s="101">
        <v>1874</v>
      </c>
      <c r="K183" s="101">
        <v>2767</v>
      </c>
      <c r="L183" s="101">
        <v>373</v>
      </c>
      <c r="M183" s="101">
        <v>66</v>
      </c>
      <c r="N183" s="101">
        <v>1428</v>
      </c>
      <c r="O183" s="101">
        <v>34</v>
      </c>
      <c r="P183" s="101">
        <v>3871000000</v>
      </c>
      <c r="Q183" s="101">
        <v>649000000</v>
      </c>
      <c r="R183" s="101">
        <v>635500000</v>
      </c>
      <c r="S183" s="101">
        <f t="shared" si="8"/>
        <v>8320977</v>
      </c>
      <c r="T183" s="101">
        <f t="shared" si="9"/>
        <v>1756977</v>
      </c>
      <c r="U183" s="101">
        <f t="shared" si="10"/>
        <v>1756977</v>
      </c>
      <c r="V183" s="101">
        <v>55615</v>
      </c>
      <c r="W183" s="149">
        <f t="shared" si="11"/>
        <v>3.1591782792412121E-2</v>
      </c>
      <c r="AA183" s="101"/>
      <c r="AB183" s="101"/>
      <c r="AC183" s="101"/>
      <c r="AD183" s="101"/>
      <c r="AK183" s="101"/>
      <c r="AL183" s="101"/>
      <c r="AM183" s="101"/>
    </row>
    <row r="184" spans="2:39" x14ac:dyDescent="0.25">
      <c r="B184" t="s">
        <v>111</v>
      </c>
      <c r="C184" s="101">
        <v>8120</v>
      </c>
      <c r="D184" s="101">
        <v>4758</v>
      </c>
      <c r="E184" s="101">
        <v>3362</v>
      </c>
      <c r="F184" s="101">
        <v>0</v>
      </c>
      <c r="G184" s="101">
        <v>0</v>
      </c>
      <c r="H184" s="101">
        <v>1253</v>
      </c>
      <c r="I184" s="101">
        <v>332</v>
      </c>
      <c r="J184" s="101">
        <v>4232</v>
      </c>
      <c r="K184" s="101">
        <v>3576</v>
      </c>
      <c r="L184" s="101">
        <v>262</v>
      </c>
      <c r="M184" s="101">
        <v>400</v>
      </c>
      <c r="N184" s="101">
        <v>991</v>
      </c>
      <c r="O184" s="101">
        <v>135</v>
      </c>
      <c r="P184" s="101">
        <v>4985000000</v>
      </c>
      <c r="Q184" s="101">
        <v>856000000</v>
      </c>
      <c r="R184" s="101">
        <v>717500000</v>
      </c>
      <c r="S184" s="101">
        <f t="shared" si="8"/>
        <v>10585419</v>
      </c>
      <c r="T184" s="101">
        <f t="shared" si="9"/>
        <v>2465419</v>
      </c>
      <c r="U184" s="101">
        <f t="shared" si="10"/>
        <v>2465419</v>
      </c>
      <c r="V184" s="101">
        <v>99712</v>
      </c>
      <c r="W184" s="149">
        <f t="shared" si="11"/>
        <v>2.4725399149550707E-2</v>
      </c>
      <c r="AA184" s="101"/>
      <c r="AB184" s="101"/>
      <c r="AC184" s="101"/>
      <c r="AD184" s="101"/>
      <c r="AK184" s="101"/>
      <c r="AL184" s="101"/>
      <c r="AM184" s="101"/>
    </row>
    <row r="185" spans="2:39" x14ac:dyDescent="0.25">
      <c r="B185" t="s">
        <v>595</v>
      </c>
      <c r="C185" s="101">
        <v>24173</v>
      </c>
      <c r="D185" s="101">
        <v>13992</v>
      </c>
      <c r="E185" s="101">
        <v>10181</v>
      </c>
      <c r="F185" s="101">
        <v>142</v>
      </c>
      <c r="G185" s="101">
        <v>0</v>
      </c>
      <c r="H185" s="101">
        <v>300</v>
      </c>
      <c r="I185" s="101">
        <v>0</v>
      </c>
      <c r="J185" s="101">
        <v>5949</v>
      </c>
      <c r="K185" s="101">
        <v>7438</v>
      </c>
      <c r="L185" s="101">
        <v>1071</v>
      </c>
      <c r="M185" s="101">
        <v>301</v>
      </c>
      <c r="N185" s="101">
        <v>2377</v>
      </c>
      <c r="O185" s="101">
        <v>443</v>
      </c>
      <c r="P185" s="101">
        <v>7736000000</v>
      </c>
      <c r="Q185" s="101">
        <v>1300000000</v>
      </c>
      <c r="R185" s="101">
        <v>1210465563.6783378</v>
      </c>
      <c r="S185" s="101">
        <f t="shared" si="8"/>
        <v>16537795.419776836</v>
      </c>
      <c r="T185" s="101">
        <f t="shared" si="9"/>
        <v>-7635204.5802231636</v>
      </c>
      <c r="U185" s="101">
        <f t="shared" si="10"/>
        <v>0</v>
      </c>
      <c r="V185" s="101">
        <v>283630</v>
      </c>
      <c r="W185" s="149">
        <f t="shared" si="11"/>
        <v>-2.6919594472457651E-2</v>
      </c>
      <c r="AA185" s="101"/>
      <c r="AB185" s="101"/>
      <c r="AC185" s="101"/>
      <c r="AD185" s="101"/>
      <c r="AK185" s="101"/>
      <c r="AL185" s="101"/>
      <c r="AM185" s="101"/>
    </row>
    <row r="186" spans="2:39" x14ac:dyDescent="0.25">
      <c r="B186" t="s">
        <v>377</v>
      </c>
      <c r="C186" s="101">
        <v>23080</v>
      </c>
      <c r="D186" s="101">
        <v>4442</v>
      </c>
      <c r="E186" s="101">
        <v>18638</v>
      </c>
      <c r="F186" s="101">
        <v>7</v>
      </c>
      <c r="G186" s="101">
        <v>0</v>
      </c>
      <c r="H186" s="101">
        <v>213</v>
      </c>
      <c r="I186" s="101">
        <v>58</v>
      </c>
      <c r="J186" s="101">
        <v>6788</v>
      </c>
      <c r="K186" s="101">
        <v>5435</v>
      </c>
      <c r="L186" s="101">
        <v>774</v>
      </c>
      <c r="M186" s="101">
        <v>138</v>
      </c>
      <c r="N186" s="101">
        <v>1600</v>
      </c>
      <c r="O186" s="101">
        <v>272</v>
      </c>
      <c r="P186" s="101">
        <v>5905000000</v>
      </c>
      <c r="Q186" s="101">
        <v>3208000000</v>
      </c>
      <c r="R186" s="101">
        <v>3208000000</v>
      </c>
      <c r="S186" s="101">
        <f t="shared" si="8"/>
        <v>19886094</v>
      </c>
      <c r="T186" s="101">
        <f t="shared" si="9"/>
        <v>-3193906</v>
      </c>
      <c r="U186" s="101">
        <f t="shared" si="10"/>
        <v>0</v>
      </c>
      <c r="V186" s="101">
        <v>151074</v>
      </c>
      <c r="W186" s="149">
        <f t="shared" si="11"/>
        <v>-2.1141334710142051E-2</v>
      </c>
      <c r="AA186" s="101"/>
      <c r="AB186" s="101"/>
      <c r="AC186" s="101"/>
      <c r="AD186" s="101"/>
      <c r="AK186" s="101"/>
      <c r="AL186" s="101"/>
      <c r="AM186" s="101"/>
    </row>
    <row r="187" spans="2:39" x14ac:dyDescent="0.25">
      <c r="B187" t="s">
        <v>596</v>
      </c>
      <c r="C187" s="101">
        <v>9122</v>
      </c>
      <c r="D187" s="101">
        <v>5824</v>
      </c>
      <c r="E187" s="101">
        <v>3298</v>
      </c>
      <c r="F187" s="101">
        <v>189</v>
      </c>
      <c r="G187" s="101">
        <v>0</v>
      </c>
      <c r="H187" s="101">
        <v>218</v>
      </c>
      <c r="I187" s="101">
        <v>14</v>
      </c>
      <c r="J187" s="101">
        <v>4732</v>
      </c>
      <c r="K187" s="101">
        <v>6559</v>
      </c>
      <c r="L187" s="101">
        <v>852</v>
      </c>
      <c r="M187" s="101">
        <v>390</v>
      </c>
      <c r="N187" s="101">
        <v>1771</v>
      </c>
      <c r="O187" s="101">
        <v>375</v>
      </c>
      <c r="P187" s="101">
        <v>7355000000</v>
      </c>
      <c r="Q187" s="101">
        <v>1052000000</v>
      </c>
      <c r="R187" s="101">
        <v>967960057.06134093</v>
      </c>
      <c r="S187" s="101">
        <f t="shared" si="8"/>
        <v>15131185.532097002</v>
      </c>
      <c r="T187" s="101">
        <f t="shared" si="9"/>
        <v>6009185.5320970025</v>
      </c>
      <c r="U187" s="101">
        <f t="shared" si="10"/>
        <v>6009185.5320970025</v>
      </c>
      <c r="V187" s="101">
        <v>120920</v>
      </c>
      <c r="W187" s="149">
        <f t="shared" si="11"/>
        <v>4.9695546907848186E-2</v>
      </c>
      <c r="AA187" s="101"/>
      <c r="AB187" s="101"/>
      <c r="AC187" s="101"/>
      <c r="AD187" s="101"/>
      <c r="AK187" s="101"/>
      <c r="AL187" s="101"/>
      <c r="AM187" s="101"/>
    </row>
    <row r="188" spans="2:39" x14ac:dyDescent="0.25">
      <c r="B188" t="s">
        <v>188</v>
      </c>
      <c r="C188" s="101">
        <v>8822</v>
      </c>
      <c r="D188" s="101">
        <v>5863</v>
      </c>
      <c r="E188" s="101">
        <v>2959</v>
      </c>
      <c r="F188" s="101">
        <v>0</v>
      </c>
      <c r="G188" s="101">
        <v>0</v>
      </c>
      <c r="H188" s="101">
        <v>375</v>
      </c>
      <c r="I188" s="101">
        <v>223</v>
      </c>
      <c r="J188" s="101">
        <v>4840</v>
      </c>
      <c r="K188" s="101">
        <v>4292</v>
      </c>
      <c r="L188" s="101">
        <v>851</v>
      </c>
      <c r="M188" s="101">
        <v>121</v>
      </c>
      <c r="N188" s="101">
        <v>695</v>
      </c>
      <c r="O188" s="101">
        <v>74</v>
      </c>
      <c r="P188" s="101">
        <v>4797000000</v>
      </c>
      <c r="Q188" s="101">
        <v>649000000</v>
      </c>
      <c r="R188" s="101">
        <v>609000000</v>
      </c>
      <c r="S188" s="101">
        <f t="shared" si="8"/>
        <v>9772770</v>
      </c>
      <c r="T188" s="101">
        <f t="shared" si="9"/>
        <v>950770</v>
      </c>
      <c r="U188" s="101">
        <f t="shared" si="10"/>
        <v>950770</v>
      </c>
      <c r="V188" s="101">
        <v>109539</v>
      </c>
      <c r="W188" s="149">
        <f t="shared" si="11"/>
        <v>8.6797396361113395E-3</v>
      </c>
      <c r="AA188" s="101"/>
      <c r="AB188" s="101"/>
      <c r="AC188" s="101"/>
      <c r="AD188" s="101"/>
      <c r="AK188" s="101"/>
      <c r="AL188" s="101"/>
      <c r="AM188" s="101"/>
    </row>
    <row r="189" spans="2:39" x14ac:dyDescent="0.25">
      <c r="B189" t="s">
        <v>436</v>
      </c>
      <c r="C189" s="101">
        <v>4629</v>
      </c>
      <c r="D189" s="101">
        <v>2902</v>
      </c>
      <c r="E189" s="101">
        <v>1727</v>
      </c>
      <c r="F189" s="101">
        <v>0</v>
      </c>
      <c r="G189" s="101">
        <v>0</v>
      </c>
      <c r="H189" s="101">
        <v>0</v>
      </c>
      <c r="I189" s="101">
        <v>0</v>
      </c>
      <c r="J189" s="101">
        <v>1810</v>
      </c>
      <c r="K189" s="101">
        <v>2125</v>
      </c>
      <c r="L189" s="101">
        <v>285</v>
      </c>
      <c r="M189" s="101">
        <v>78</v>
      </c>
      <c r="N189" s="101">
        <v>358</v>
      </c>
      <c r="O189" s="101">
        <v>69</v>
      </c>
      <c r="P189" s="101">
        <v>2562000000</v>
      </c>
      <c r="Q189" s="101">
        <v>294000000</v>
      </c>
      <c r="R189" s="101">
        <v>265451448.04088587</v>
      </c>
      <c r="S189" s="101">
        <f t="shared" si="8"/>
        <v>5038022.6371379895</v>
      </c>
      <c r="T189" s="101">
        <f t="shared" si="9"/>
        <v>409022.63713798951</v>
      </c>
      <c r="U189" s="101">
        <f t="shared" si="10"/>
        <v>409022.63713798951</v>
      </c>
      <c r="V189" s="101">
        <v>36401</v>
      </c>
      <c r="W189" s="149">
        <f t="shared" si="11"/>
        <v>1.1236576938490412E-2</v>
      </c>
      <c r="AA189" s="101"/>
      <c r="AB189" s="101"/>
      <c r="AC189" s="101"/>
      <c r="AD189" s="101"/>
      <c r="AK189" s="101"/>
      <c r="AL189" s="101"/>
      <c r="AM189" s="101"/>
    </row>
    <row r="190" spans="2:39" x14ac:dyDescent="0.25">
      <c r="B190" t="s">
        <v>413</v>
      </c>
      <c r="C190" s="101">
        <v>2235</v>
      </c>
      <c r="D190" s="101">
        <v>1865</v>
      </c>
      <c r="E190" s="101">
        <v>370</v>
      </c>
      <c r="F190" s="101">
        <v>0</v>
      </c>
      <c r="G190" s="101">
        <v>0</v>
      </c>
      <c r="H190" s="101">
        <v>103</v>
      </c>
      <c r="I190" s="101">
        <v>66</v>
      </c>
      <c r="J190" s="101">
        <v>574</v>
      </c>
      <c r="K190" s="101">
        <v>929</v>
      </c>
      <c r="L190" s="101">
        <v>142</v>
      </c>
      <c r="M190" s="101">
        <v>0</v>
      </c>
      <c r="N190" s="101">
        <v>103</v>
      </c>
      <c r="O190" s="101">
        <v>30</v>
      </c>
      <c r="P190" s="101">
        <v>1588000000</v>
      </c>
      <c r="Q190" s="101">
        <v>91000000</v>
      </c>
      <c r="R190" s="101">
        <v>83458563.535911605</v>
      </c>
      <c r="S190" s="101">
        <f t="shared" si="8"/>
        <v>2844608.1215469614</v>
      </c>
      <c r="T190" s="101">
        <f t="shared" si="9"/>
        <v>609608.12154696137</v>
      </c>
      <c r="U190" s="101">
        <f t="shared" si="10"/>
        <v>609608.12154696137</v>
      </c>
      <c r="V190" s="101">
        <v>25649</v>
      </c>
      <c r="W190" s="149">
        <f t="shared" si="11"/>
        <v>2.37673251022247E-2</v>
      </c>
      <c r="AA190" s="101"/>
      <c r="AB190" s="101"/>
      <c r="AC190" s="101"/>
      <c r="AD190" s="101"/>
      <c r="AK190" s="101"/>
      <c r="AL190" s="101"/>
      <c r="AM190" s="101"/>
    </row>
    <row r="191" spans="2:39" x14ac:dyDescent="0.25">
      <c r="B191" t="s">
        <v>189</v>
      </c>
      <c r="C191" s="101">
        <v>5879</v>
      </c>
      <c r="D191" s="101">
        <v>4005</v>
      </c>
      <c r="E191" s="101">
        <v>1874</v>
      </c>
      <c r="F191" s="101">
        <v>0</v>
      </c>
      <c r="G191" s="101">
        <v>0</v>
      </c>
      <c r="H191" s="101">
        <v>63</v>
      </c>
      <c r="I191" s="101">
        <v>201</v>
      </c>
      <c r="J191" s="101">
        <v>2436</v>
      </c>
      <c r="K191" s="101">
        <v>0</v>
      </c>
      <c r="L191" s="101">
        <v>561</v>
      </c>
      <c r="M191" s="101">
        <v>274</v>
      </c>
      <c r="N191" s="101">
        <v>1640</v>
      </c>
      <c r="O191" s="101">
        <v>519</v>
      </c>
      <c r="P191" s="101">
        <v>3405000000</v>
      </c>
      <c r="Q191" s="101">
        <v>500000000</v>
      </c>
      <c r="R191" s="101">
        <v>473973973.97397393</v>
      </c>
      <c r="S191" s="101">
        <f t="shared" si="8"/>
        <v>7067663.9939939948</v>
      </c>
      <c r="T191" s="101">
        <f t="shared" si="9"/>
        <v>1188663.9939939948</v>
      </c>
      <c r="U191" s="101">
        <f t="shared" si="10"/>
        <v>1188663.9939939948</v>
      </c>
      <c r="V191" s="101">
        <v>71724</v>
      </c>
      <c r="W191" s="149">
        <f t="shared" si="11"/>
        <v>1.657275101770669E-2</v>
      </c>
      <c r="AA191" s="101"/>
      <c r="AB191" s="101"/>
      <c r="AC191" s="101"/>
      <c r="AD191" s="101"/>
      <c r="AK191" s="101"/>
      <c r="AL191" s="101"/>
      <c r="AM191" s="101"/>
    </row>
    <row r="192" spans="2:39" x14ac:dyDescent="0.25">
      <c r="B192" t="s">
        <v>414</v>
      </c>
      <c r="C192" s="101">
        <v>5314</v>
      </c>
      <c r="D192" s="101">
        <v>3119</v>
      </c>
      <c r="E192" s="101">
        <v>2195</v>
      </c>
      <c r="F192" s="101">
        <v>0</v>
      </c>
      <c r="G192" s="101">
        <v>0</v>
      </c>
      <c r="H192" s="101">
        <v>55</v>
      </c>
      <c r="I192" s="101">
        <v>55</v>
      </c>
      <c r="J192" s="101">
        <v>2508</v>
      </c>
      <c r="K192" s="101">
        <v>1977</v>
      </c>
      <c r="L192" s="101">
        <v>187</v>
      </c>
      <c r="M192" s="101">
        <v>20</v>
      </c>
      <c r="N192" s="101">
        <v>519</v>
      </c>
      <c r="O192" s="101">
        <v>22</v>
      </c>
      <c r="P192" s="101">
        <v>2744000000</v>
      </c>
      <c r="Q192" s="101">
        <v>450000000</v>
      </c>
      <c r="R192" s="101">
        <v>417000000</v>
      </c>
      <c r="S192" s="101">
        <f t="shared" si="8"/>
        <v>5828154</v>
      </c>
      <c r="T192" s="101">
        <f t="shared" si="9"/>
        <v>514154</v>
      </c>
      <c r="U192" s="101">
        <f t="shared" si="10"/>
        <v>514154</v>
      </c>
      <c r="V192" s="101">
        <v>58652</v>
      </c>
      <c r="W192" s="149">
        <f t="shared" si="11"/>
        <v>8.7661801814089887E-3</v>
      </c>
      <c r="AA192" s="101"/>
      <c r="AB192" s="101"/>
      <c r="AC192" s="101"/>
      <c r="AD192" s="101"/>
      <c r="AK192" s="101"/>
      <c r="AL192" s="101"/>
      <c r="AM192" s="101"/>
    </row>
    <row r="193" spans="2:39" x14ac:dyDescent="0.25">
      <c r="B193" t="s">
        <v>223</v>
      </c>
      <c r="C193" s="101">
        <v>21246</v>
      </c>
      <c r="D193" s="101">
        <v>8070</v>
      </c>
      <c r="E193" s="101">
        <v>13176</v>
      </c>
      <c r="F193" s="101">
        <v>5368</v>
      </c>
      <c r="G193" s="101">
        <v>151</v>
      </c>
      <c r="H193" s="101">
        <v>62</v>
      </c>
      <c r="I193" s="101">
        <v>11</v>
      </c>
      <c r="J193" s="101">
        <v>5766</v>
      </c>
      <c r="K193" s="101">
        <v>9775</v>
      </c>
      <c r="L193" s="101">
        <v>1422</v>
      </c>
      <c r="M193" s="101">
        <v>474</v>
      </c>
      <c r="N193" s="101">
        <v>2317</v>
      </c>
      <c r="O193" s="101">
        <v>326</v>
      </c>
      <c r="P193" s="101">
        <v>10730000000</v>
      </c>
      <c r="Q193" s="101">
        <v>2142000000</v>
      </c>
      <c r="R193" s="101">
        <v>2133500000</v>
      </c>
      <c r="S193" s="101">
        <f t="shared" si="8"/>
        <v>24218877</v>
      </c>
      <c r="T193" s="101">
        <f t="shared" si="9"/>
        <v>2972877</v>
      </c>
      <c r="U193" s="101">
        <f t="shared" si="10"/>
        <v>2972877</v>
      </c>
      <c r="V193" s="101">
        <v>262389</v>
      </c>
      <c r="W193" s="149">
        <f t="shared" si="11"/>
        <v>1.1330036701233665E-2</v>
      </c>
      <c r="AA193" s="101"/>
      <c r="AB193" s="101"/>
      <c r="AC193" s="101"/>
      <c r="AD193" s="101"/>
      <c r="AK193" s="101"/>
      <c r="AL193" s="101"/>
      <c r="AM193" s="101"/>
    </row>
    <row r="194" spans="2:39" x14ac:dyDescent="0.25">
      <c r="B194" t="s">
        <v>307</v>
      </c>
      <c r="C194" s="101">
        <v>8613</v>
      </c>
      <c r="D194" s="101">
        <v>6114</v>
      </c>
      <c r="E194" s="101">
        <v>2499</v>
      </c>
      <c r="F194" s="101">
        <v>0</v>
      </c>
      <c r="G194" s="101">
        <v>0</v>
      </c>
      <c r="H194" s="101">
        <v>0</v>
      </c>
      <c r="I194" s="101">
        <v>162</v>
      </c>
      <c r="J194" s="101">
        <v>2800</v>
      </c>
      <c r="K194" s="101">
        <v>3906</v>
      </c>
      <c r="L194" s="101">
        <v>346</v>
      </c>
      <c r="M194" s="101">
        <v>166</v>
      </c>
      <c r="N194" s="101">
        <v>959</v>
      </c>
      <c r="O194" s="101">
        <v>1244</v>
      </c>
      <c r="P194" s="101">
        <v>5727000000</v>
      </c>
      <c r="Q194" s="101">
        <v>675000000</v>
      </c>
      <c r="R194" s="101">
        <v>636000000</v>
      </c>
      <c r="S194" s="101">
        <f t="shared" si="8"/>
        <v>11359332</v>
      </c>
      <c r="T194" s="101">
        <f t="shared" si="9"/>
        <v>2746332</v>
      </c>
      <c r="U194" s="101">
        <f t="shared" si="10"/>
        <v>2746332</v>
      </c>
      <c r="V194" s="101">
        <v>123157</v>
      </c>
      <c r="W194" s="149">
        <f t="shared" si="11"/>
        <v>2.2299438927547766E-2</v>
      </c>
      <c r="AA194" s="101"/>
      <c r="AB194" s="101"/>
      <c r="AC194" s="101"/>
      <c r="AD194" s="101"/>
      <c r="AK194" s="101"/>
      <c r="AL194" s="101"/>
      <c r="AM194" s="101"/>
    </row>
    <row r="195" spans="2:39" x14ac:dyDescent="0.25">
      <c r="B195" t="s">
        <v>190</v>
      </c>
      <c r="C195" s="101">
        <v>11412</v>
      </c>
      <c r="D195" s="101">
        <v>6737</v>
      </c>
      <c r="E195" s="101">
        <v>4675</v>
      </c>
      <c r="F195" s="101">
        <v>292</v>
      </c>
      <c r="G195" s="101">
        <v>0</v>
      </c>
      <c r="H195" s="101">
        <v>322</v>
      </c>
      <c r="I195" s="101">
        <v>238</v>
      </c>
      <c r="J195" s="101">
        <v>2564</v>
      </c>
      <c r="K195" s="101">
        <v>3685</v>
      </c>
      <c r="L195" s="101">
        <v>934</v>
      </c>
      <c r="M195" s="101">
        <v>658</v>
      </c>
      <c r="N195" s="101">
        <v>1475</v>
      </c>
      <c r="O195" s="101">
        <v>359</v>
      </c>
      <c r="P195" s="101">
        <v>8606000000</v>
      </c>
      <c r="Q195" s="101">
        <v>1277000000</v>
      </c>
      <c r="R195" s="101">
        <v>1239485311.398355</v>
      </c>
      <c r="S195" s="101">
        <f t="shared" ref="S195:S258" si="12">0.001614*(SUM(P195,Q195,R195))</f>
        <v>17951691.292596947</v>
      </c>
      <c r="T195" s="101">
        <f t="shared" ref="T195:T258" si="13">SUM(S195,-C195*1000)</f>
        <v>6539691.2925969474</v>
      </c>
      <c r="U195" s="101">
        <f t="shared" ref="U195:U258" si="14">IF(T195&gt;0,T195,0)</f>
        <v>6539691.2925969474</v>
      </c>
      <c r="V195" s="101">
        <v>163512</v>
      </c>
      <c r="W195" s="149">
        <f t="shared" ref="W195:W258" si="15">T195/(V195*1000)</f>
        <v>3.9995176455531994E-2</v>
      </c>
      <c r="AA195" s="101"/>
      <c r="AB195" s="101"/>
      <c r="AC195" s="101"/>
      <c r="AD195" s="101"/>
      <c r="AK195" s="101"/>
      <c r="AL195" s="101"/>
      <c r="AM195" s="101"/>
    </row>
    <row r="196" spans="2:39" x14ac:dyDescent="0.25">
      <c r="B196" t="s">
        <v>191</v>
      </c>
      <c r="C196" s="101">
        <v>107784</v>
      </c>
      <c r="D196" s="101">
        <v>58557</v>
      </c>
      <c r="E196" s="101">
        <v>49227</v>
      </c>
      <c r="F196" s="101">
        <v>21671</v>
      </c>
      <c r="G196" s="101">
        <v>612</v>
      </c>
      <c r="H196" s="101">
        <v>868</v>
      </c>
      <c r="I196" s="101">
        <v>187</v>
      </c>
      <c r="J196" s="101">
        <v>16861</v>
      </c>
      <c r="K196" s="101">
        <v>4219</v>
      </c>
      <c r="L196" s="101">
        <v>2423</v>
      </c>
      <c r="M196" s="101">
        <v>0</v>
      </c>
      <c r="N196" s="101">
        <v>6930</v>
      </c>
      <c r="O196" s="101">
        <v>2025</v>
      </c>
      <c r="P196" s="101">
        <v>32277000000</v>
      </c>
      <c r="Q196" s="101">
        <v>5033000000</v>
      </c>
      <c r="R196" s="101">
        <v>4906500000</v>
      </c>
      <c r="S196" s="101">
        <f t="shared" si="12"/>
        <v>68137431</v>
      </c>
      <c r="T196" s="101">
        <f t="shared" si="13"/>
        <v>-39646569</v>
      </c>
      <c r="U196" s="101">
        <f t="shared" si="14"/>
        <v>0</v>
      </c>
      <c r="V196" s="101">
        <v>947920</v>
      </c>
      <c r="W196" s="149">
        <f t="shared" si="15"/>
        <v>-4.1824804835851125E-2</v>
      </c>
      <c r="AA196" s="101"/>
      <c r="AB196" s="101"/>
      <c r="AC196" s="101"/>
      <c r="AD196" s="101"/>
      <c r="AK196" s="101"/>
      <c r="AL196" s="101"/>
      <c r="AM196" s="101"/>
    </row>
    <row r="197" spans="2:39" x14ac:dyDescent="0.25">
      <c r="B197" t="s">
        <v>475</v>
      </c>
      <c r="C197" s="101">
        <v>20042</v>
      </c>
      <c r="D197" s="101">
        <v>12620</v>
      </c>
      <c r="E197" s="101">
        <v>7422</v>
      </c>
      <c r="F197" s="101">
        <v>3118</v>
      </c>
      <c r="G197" s="101">
        <v>45</v>
      </c>
      <c r="H197" s="101">
        <v>293</v>
      </c>
      <c r="I197" s="101">
        <v>1017</v>
      </c>
      <c r="J197" s="101">
        <v>7730</v>
      </c>
      <c r="K197" s="101">
        <v>14156</v>
      </c>
      <c r="L197" s="101">
        <v>1791</v>
      </c>
      <c r="M197" s="101">
        <v>521</v>
      </c>
      <c r="N197" s="101">
        <v>900</v>
      </c>
      <c r="O197" s="101">
        <v>115</v>
      </c>
      <c r="P197" s="101">
        <v>11532000000</v>
      </c>
      <c r="Q197" s="101">
        <v>1325000000</v>
      </c>
      <c r="R197" s="101">
        <v>1297989807.4745185</v>
      </c>
      <c r="S197" s="101">
        <f t="shared" si="12"/>
        <v>22846153.549263872</v>
      </c>
      <c r="T197" s="101">
        <f t="shared" si="13"/>
        <v>2804153.5492638722</v>
      </c>
      <c r="U197" s="101">
        <f t="shared" si="14"/>
        <v>2804153.5492638722</v>
      </c>
      <c r="V197" s="101">
        <v>369856</v>
      </c>
      <c r="W197" s="149">
        <f t="shared" si="15"/>
        <v>7.5817441092313554E-3</v>
      </c>
      <c r="AA197" s="101"/>
      <c r="AB197" s="101"/>
      <c r="AC197" s="101"/>
      <c r="AD197" s="101"/>
      <c r="AK197" s="101"/>
      <c r="AL197" s="101"/>
      <c r="AM197" s="101"/>
    </row>
    <row r="198" spans="2:39" x14ac:dyDescent="0.25">
      <c r="B198" t="s">
        <v>597</v>
      </c>
      <c r="C198" s="101">
        <v>10832</v>
      </c>
      <c r="D198" s="101">
        <v>6858</v>
      </c>
      <c r="E198" s="101">
        <v>3974</v>
      </c>
      <c r="F198" s="101">
        <v>341</v>
      </c>
      <c r="G198" s="101">
        <v>0</v>
      </c>
      <c r="H198" s="101">
        <v>583</v>
      </c>
      <c r="I198" s="101">
        <v>314</v>
      </c>
      <c r="J198" s="101">
        <v>5143</v>
      </c>
      <c r="K198" s="101">
        <v>4685</v>
      </c>
      <c r="L198" s="101">
        <v>853</v>
      </c>
      <c r="M198" s="101">
        <v>482</v>
      </c>
      <c r="N198" s="101">
        <v>840</v>
      </c>
      <c r="O198" s="101">
        <v>212</v>
      </c>
      <c r="P198" s="101">
        <v>5803000000</v>
      </c>
      <c r="Q198" s="101">
        <v>1009000000</v>
      </c>
      <c r="R198" s="101">
        <v>876434308.37878036</v>
      </c>
      <c r="S198" s="101">
        <f t="shared" si="12"/>
        <v>12409132.973723352</v>
      </c>
      <c r="T198" s="101">
        <f t="shared" si="13"/>
        <v>1577132.973723352</v>
      </c>
      <c r="U198" s="101">
        <f t="shared" si="14"/>
        <v>1577132.973723352</v>
      </c>
      <c r="V198" s="101">
        <v>169402</v>
      </c>
      <c r="W198" s="149">
        <f t="shared" si="15"/>
        <v>9.3100020880706961E-3</v>
      </c>
      <c r="AA198" s="101"/>
      <c r="AB198" s="101"/>
      <c r="AC198" s="101"/>
      <c r="AD198" s="101"/>
      <c r="AK198" s="101"/>
      <c r="AL198" s="101"/>
      <c r="AM198" s="101"/>
    </row>
    <row r="199" spans="2:39" x14ac:dyDescent="0.25">
      <c r="B199" t="s">
        <v>333</v>
      </c>
      <c r="C199" s="101">
        <v>2553</v>
      </c>
      <c r="D199" s="101">
        <v>1889</v>
      </c>
      <c r="E199" s="101">
        <v>664</v>
      </c>
      <c r="F199" s="101">
        <v>500</v>
      </c>
      <c r="G199" s="101">
        <v>5</v>
      </c>
      <c r="H199" s="101">
        <v>2490</v>
      </c>
      <c r="I199" s="101">
        <v>981</v>
      </c>
      <c r="J199" s="101">
        <v>1131</v>
      </c>
      <c r="K199" s="101">
        <v>1317</v>
      </c>
      <c r="L199" s="101">
        <v>120</v>
      </c>
      <c r="M199" s="101">
        <v>68</v>
      </c>
      <c r="N199" s="101">
        <v>200</v>
      </c>
      <c r="O199" s="101">
        <v>253</v>
      </c>
      <c r="P199" s="101">
        <v>2005000000</v>
      </c>
      <c r="Q199" s="101">
        <v>272000000</v>
      </c>
      <c r="R199" s="101">
        <v>231926335.17495397</v>
      </c>
      <c r="S199" s="101">
        <f t="shared" si="12"/>
        <v>4049407.1049723756</v>
      </c>
      <c r="T199" s="101">
        <f t="shared" si="13"/>
        <v>1496407.1049723756</v>
      </c>
      <c r="U199" s="101">
        <f t="shared" si="14"/>
        <v>1496407.1049723756</v>
      </c>
      <c r="V199" s="101">
        <v>31681</v>
      </c>
      <c r="W199" s="149">
        <f t="shared" si="15"/>
        <v>4.7233581798944969E-2</v>
      </c>
      <c r="AA199" s="101"/>
      <c r="AB199" s="101"/>
      <c r="AC199" s="101"/>
      <c r="AD199" s="101"/>
      <c r="AK199" s="101"/>
      <c r="AL199" s="101"/>
      <c r="AM199" s="101"/>
    </row>
    <row r="200" spans="2:39" x14ac:dyDescent="0.25">
      <c r="B200" t="s">
        <v>112</v>
      </c>
      <c r="C200" s="101">
        <v>6958</v>
      </c>
      <c r="D200" s="101">
        <v>4854</v>
      </c>
      <c r="E200" s="101">
        <v>2104</v>
      </c>
      <c r="F200" s="101">
        <v>0</v>
      </c>
      <c r="G200" s="101">
        <v>0</v>
      </c>
      <c r="H200" s="101">
        <v>289</v>
      </c>
      <c r="I200" s="101">
        <v>522</v>
      </c>
      <c r="J200" s="101">
        <v>4660</v>
      </c>
      <c r="K200" s="101">
        <v>3950</v>
      </c>
      <c r="L200" s="101">
        <v>524</v>
      </c>
      <c r="M200" s="101">
        <v>150</v>
      </c>
      <c r="N200" s="101">
        <v>565</v>
      </c>
      <c r="O200" s="101">
        <v>52</v>
      </c>
      <c r="P200" s="101">
        <v>5457000000</v>
      </c>
      <c r="Q200" s="101">
        <v>880000000</v>
      </c>
      <c r="R200" s="101">
        <v>823467879.47697556</v>
      </c>
      <c r="S200" s="101">
        <f t="shared" si="12"/>
        <v>11556995.157475838</v>
      </c>
      <c r="T200" s="101">
        <f t="shared" si="13"/>
        <v>4598995.1574758384</v>
      </c>
      <c r="U200" s="101">
        <f t="shared" si="14"/>
        <v>4598995.1574758384</v>
      </c>
      <c r="V200" s="101">
        <v>101826</v>
      </c>
      <c r="W200" s="149">
        <f t="shared" si="15"/>
        <v>4.5165234394710964E-2</v>
      </c>
      <c r="AA200" s="101"/>
      <c r="AB200" s="101"/>
      <c r="AC200" s="101"/>
      <c r="AD200" s="101"/>
      <c r="AK200" s="101"/>
      <c r="AL200" s="101"/>
      <c r="AM200" s="101"/>
    </row>
    <row r="201" spans="2:39" x14ac:dyDescent="0.25">
      <c r="B201" t="s">
        <v>430</v>
      </c>
      <c r="C201" s="101">
        <v>14227</v>
      </c>
      <c r="D201" s="101">
        <v>6902</v>
      </c>
      <c r="E201" s="101">
        <v>7325</v>
      </c>
      <c r="F201" s="101">
        <v>0</v>
      </c>
      <c r="G201" s="101">
        <v>0</v>
      </c>
      <c r="H201" s="101">
        <v>500</v>
      </c>
      <c r="I201" s="101">
        <v>94</v>
      </c>
      <c r="J201" s="101">
        <v>3473</v>
      </c>
      <c r="K201" s="101">
        <v>7481</v>
      </c>
      <c r="L201" s="101">
        <v>706</v>
      </c>
      <c r="M201" s="101">
        <v>552</v>
      </c>
      <c r="N201" s="101">
        <v>1480</v>
      </c>
      <c r="O201" s="101">
        <v>374</v>
      </c>
      <c r="P201" s="101">
        <v>6382000000</v>
      </c>
      <c r="Q201" s="101">
        <v>1960000000</v>
      </c>
      <c r="R201" s="101">
        <v>1952164477.441462</v>
      </c>
      <c r="S201" s="101">
        <f t="shared" si="12"/>
        <v>16614781.466590518</v>
      </c>
      <c r="T201" s="101">
        <f t="shared" si="13"/>
        <v>2387781.4665905181</v>
      </c>
      <c r="U201" s="101">
        <f t="shared" si="14"/>
        <v>2387781.4665905181</v>
      </c>
      <c r="V201" s="101">
        <v>175145</v>
      </c>
      <c r="W201" s="149">
        <f t="shared" si="15"/>
        <v>1.3633169468671776E-2</v>
      </c>
      <c r="AA201" s="101"/>
      <c r="AB201" s="101"/>
      <c r="AC201" s="101"/>
      <c r="AD201" s="101"/>
      <c r="AK201" s="101"/>
      <c r="AL201" s="101"/>
      <c r="AM201" s="101"/>
    </row>
    <row r="202" spans="2:39" x14ac:dyDescent="0.25">
      <c r="B202" t="s">
        <v>308</v>
      </c>
      <c r="C202" s="101">
        <v>14982</v>
      </c>
      <c r="D202" s="101">
        <v>10693</v>
      </c>
      <c r="E202" s="101">
        <v>4289</v>
      </c>
      <c r="F202" s="101">
        <v>5882</v>
      </c>
      <c r="G202" s="101">
        <v>230</v>
      </c>
      <c r="H202" s="101">
        <v>3668</v>
      </c>
      <c r="I202" s="101">
        <v>1473</v>
      </c>
      <c r="J202" s="101">
        <v>5136</v>
      </c>
      <c r="K202" s="101">
        <v>8023</v>
      </c>
      <c r="L202" s="101">
        <v>643</v>
      </c>
      <c r="M202" s="101">
        <v>185</v>
      </c>
      <c r="N202" s="101">
        <v>2849</v>
      </c>
      <c r="O202" s="101">
        <v>428</v>
      </c>
      <c r="P202" s="101">
        <v>11040000000</v>
      </c>
      <c r="Q202" s="101">
        <v>1324000000</v>
      </c>
      <c r="R202" s="101">
        <v>1231000000</v>
      </c>
      <c r="S202" s="101">
        <f t="shared" si="12"/>
        <v>21942330</v>
      </c>
      <c r="T202" s="101">
        <f t="shared" si="13"/>
        <v>6960330</v>
      </c>
      <c r="U202" s="101">
        <f t="shared" si="14"/>
        <v>6960330</v>
      </c>
      <c r="V202" s="101">
        <v>152091</v>
      </c>
      <c r="W202" s="149">
        <f t="shared" si="15"/>
        <v>4.576424640511273E-2</v>
      </c>
      <c r="AA202" s="101"/>
      <c r="AB202" s="101"/>
      <c r="AC202" s="101"/>
      <c r="AD202" s="101"/>
      <c r="AK202" s="101"/>
      <c r="AL202" s="101"/>
      <c r="AM202" s="101"/>
    </row>
    <row r="203" spans="2:39" x14ac:dyDescent="0.25">
      <c r="B203" t="s">
        <v>433</v>
      </c>
      <c r="C203" s="101">
        <v>7123</v>
      </c>
      <c r="D203" s="101">
        <v>5587</v>
      </c>
      <c r="E203" s="101">
        <v>1536</v>
      </c>
      <c r="F203" s="101">
        <v>0</v>
      </c>
      <c r="G203" s="101">
        <v>0</v>
      </c>
      <c r="H203" s="101">
        <v>25</v>
      </c>
      <c r="I203" s="101">
        <v>75</v>
      </c>
      <c r="J203" s="101">
        <v>2121</v>
      </c>
      <c r="K203" s="101">
        <v>3026</v>
      </c>
      <c r="L203" s="101">
        <v>346</v>
      </c>
      <c r="M203" s="101">
        <v>280</v>
      </c>
      <c r="N203" s="101">
        <v>658</v>
      </c>
      <c r="O203" s="101">
        <v>68</v>
      </c>
      <c r="P203" s="101">
        <v>5282000000</v>
      </c>
      <c r="Q203" s="101">
        <v>391000000</v>
      </c>
      <c r="R203" s="101">
        <v>365500000</v>
      </c>
      <c r="S203" s="101">
        <f t="shared" si="12"/>
        <v>9746139</v>
      </c>
      <c r="T203" s="101">
        <f t="shared" si="13"/>
        <v>2623139</v>
      </c>
      <c r="U203" s="101">
        <f t="shared" si="14"/>
        <v>2623139</v>
      </c>
      <c r="V203" s="101">
        <v>68634</v>
      </c>
      <c r="W203" s="149">
        <f t="shared" si="15"/>
        <v>3.8219235364396656E-2</v>
      </c>
      <c r="AA203" s="101"/>
      <c r="AB203" s="101"/>
      <c r="AC203" s="101"/>
      <c r="AD203" s="101"/>
      <c r="AK203" s="101"/>
      <c r="AL203" s="101"/>
      <c r="AM203" s="101"/>
    </row>
    <row r="204" spans="2:39" x14ac:dyDescent="0.25">
      <c r="B204" t="s">
        <v>192</v>
      </c>
      <c r="C204" s="101">
        <v>6610</v>
      </c>
      <c r="D204" s="101">
        <v>4532</v>
      </c>
      <c r="E204" s="101">
        <v>2078</v>
      </c>
      <c r="F204" s="101">
        <v>0</v>
      </c>
      <c r="G204" s="101">
        <v>0</v>
      </c>
      <c r="H204" s="101">
        <v>975</v>
      </c>
      <c r="I204" s="101">
        <v>906</v>
      </c>
      <c r="J204" s="101">
        <v>2067</v>
      </c>
      <c r="K204" s="101">
        <v>2364</v>
      </c>
      <c r="L204" s="101">
        <v>549</v>
      </c>
      <c r="M204" s="101">
        <v>327</v>
      </c>
      <c r="N204" s="101">
        <v>1062</v>
      </c>
      <c r="O204" s="101">
        <v>80</v>
      </c>
      <c r="P204" s="101">
        <v>5283000000</v>
      </c>
      <c r="Q204" s="101">
        <v>635000000</v>
      </c>
      <c r="R204" s="101">
        <v>589464144.99605989</v>
      </c>
      <c r="S204" s="101">
        <f t="shared" si="12"/>
        <v>10503047.13002364</v>
      </c>
      <c r="T204" s="101">
        <f t="shared" si="13"/>
        <v>3893047.1300236396</v>
      </c>
      <c r="U204" s="101">
        <f t="shared" si="14"/>
        <v>3893047.1300236396</v>
      </c>
      <c r="V204" s="101">
        <v>80636</v>
      </c>
      <c r="W204" s="149">
        <f t="shared" si="15"/>
        <v>4.82792689372444E-2</v>
      </c>
      <c r="AA204" s="101"/>
      <c r="AB204" s="101"/>
      <c r="AC204" s="101"/>
      <c r="AD204" s="101"/>
      <c r="AK204" s="101"/>
      <c r="AL204" s="101"/>
      <c r="AM204" s="101"/>
    </row>
    <row r="205" spans="2:39" x14ac:dyDescent="0.25">
      <c r="B205" t="s">
        <v>309</v>
      </c>
      <c r="C205" s="101">
        <v>11168</v>
      </c>
      <c r="D205" s="101">
        <v>7876</v>
      </c>
      <c r="E205" s="101">
        <v>3292</v>
      </c>
      <c r="F205" s="101">
        <v>0</v>
      </c>
      <c r="G205" s="101">
        <v>26</v>
      </c>
      <c r="H205" s="101">
        <v>460</v>
      </c>
      <c r="I205" s="101">
        <v>138</v>
      </c>
      <c r="J205" s="101">
        <v>2731</v>
      </c>
      <c r="K205" s="101">
        <v>4154</v>
      </c>
      <c r="L205" s="101">
        <v>489</v>
      </c>
      <c r="M205" s="101">
        <v>0</v>
      </c>
      <c r="N205" s="101">
        <v>1405</v>
      </c>
      <c r="O205" s="101">
        <v>28</v>
      </c>
      <c r="P205" s="101">
        <v>6410000000</v>
      </c>
      <c r="Q205" s="101">
        <v>536000000</v>
      </c>
      <c r="R205" s="101">
        <v>522487394.9579832</v>
      </c>
      <c r="S205" s="101">
        <f t="shared" si="12"/>
        <v>12054138.655462185</v>
      </c>
      <c r="T205" s="101">
        <f t="shared" si="13"/>
        <v>886138.65546218492</v>
      </c>
      <c r="U205" s="101">
        <f t="shared" si="14"/>
        <v>886138.65546218492</v>
      </c>
      <c r="V205" s="101">
        <v>68612</v>
      </c>
      <c r="W205" s="149">
        <f t="shared" si="15"/>
        <v>1.2915213890604921E-2</v>
      </c>
      <c r="AA205" s="101"/>
      <c r="AB205" s="101"/>
      <c r="AC205" s="101"/>
      <c r="AD205" s="101"/>
      <c r="AK205" s="101"/>
      <c r="AL205" s="101"/>
      <c r="AM205" s="101"/>
    </row>
    <row r="206" spans="2:39" x14ac:dyDescent="0.25">
      <c r="B206" t="s">
        <v>378</v>
      </c>
      <c r="C206" s="101">
        <v>7957</v>
      </c>
      <c r="D206" s="101">
        <v>3965</v>
      </c>
      <c r="E206" s="101">
        <v>3992</v>
      </c>
      <c r="F206" s="101">
        <v>4</v>
      </c>
      <c r="G206" s="101">
        <v>0</v>
      </c>
      <c r="H206" s="101">
        <v>350</v>
      </c>
      <c r="I206" s="101">
        <v>95</v>
      </c>
      <c r="J206" s="101">
        <v>1880</v>
      </c>
      <c r="K206" s="101">
        <v>1610</v>
      </c>
      <c r="L206" s="101">
        <v>334</v>
      </c>
      <c r="M206" s="101">
        <v>0</v>
      </c>
      <c r="N206" s="101">
        <v>480</v>
      </c>
      <c r="O206" s="101">
        <v>82</v>
      </c>
      <c r="P206" s="101">
        <v>4047000000</v>
      </c>
      <c r="Q206" s="101">
        <v>769000000</v>
      </c>
      <c r="R206" s="101">
        <v>769000000</v>
      </c>
      <c r="S206" s="101">
        <f t="shared" si="12"/>
        <v>9014190</v>
      </c>
      <c r="T206" s="101">
        <f t="shared" si="13"/>
        <v>1057190</v>
      </c>
      <c r="U206" s="101">
        <f t="shared" si="14"/>
        <v>1057190</v>
      </c>
      <c r="V206" s="101">
        <v>53362</v>
      </c>
      <c r="W206" s="149">
        <f t="shared" si="15"/>
        <v>1.9811663730744725E-2</v>
      </c>
      <c r="AA206" s="101"/>
      <c r="AB206" s="101"/>
      <c r="AC206" s="101"/>
      <c r="AD206" s="101"/>
      <c r="AK206" s="101"/>
      <c r="AL206" s="101"/>
      <c r="AM206" s="101"/>
    </row>
    <row r="207" spans="2:39" x14ac:dyDescent="0.25">
      <c r="B207" t="s">
        <v>379</v>
      </c>
      <c r="C207" s="101">
        <v>9366</v>
      </c>
      <c r="D207" s="101">
        <v>6933</v>
      </c>
      <c r="E207" s="101">
        <v>2433</v>
      </c>
      <c r="F207" s="101">
        <v>1283</v>
      </c>
      <c r="G207" s="101">
        <v>104</v>
      </c>
      <c r="H207" s="101">
        <v>876</v>
      </c>
      <c r="I207" s="101">
        <v>297</v>
      </c>
      <c r="J207" s="101">
        <v>3649</v>
      </c>
      <c r="K207" s="101">
        <v>3504</v>
      </c>
      <c r="L207" s="101">
        <v>493</v>
      </c>
      <c r="M207" s="101">
        <v>0</v>
      </c>
      <c r="N207" s="101">
        <v>736</v>
      </c>
      <c r="O207" s="101">
        <v>350</v>
      </c>
      <c r="P207" s="101">
        <v>7085000000</v>
      </c>
      <c r="Q207" s="101">
        <v>717000000</v>
      </c>
      <c r="R207" s="101">
        <v>673469644.10327983</v>
      </c>
      <c r="S207" s="101">
        <f t="shared" si="12"/>
        <v>13679408.005582694</v>
      </c>
      <c r="T207" s="101">
        <f t="shared" si="13"/>
        <v>4313408.005582694</v>
      </c>
      <c r="U207" s="101">
        <f t="shared" si="14"/>
        <v>4313408.005582694</v>
      </c>
      <c r="V207" s="101">
        <v>102726</v>
      </c>
      <c r="W207" s="149">
        <f t="shared" si="15"/>
        <v>4.1989447711219104E-2</v>
      </c>
      <c r="AA207" s="101"/>
      <c r="AB207" s="101"/>
      <c r="AC207" s="101"/>
      <c r="AD207" s="101"/>
      <c r="AK207" s="101"/>
      <c r="AL207" s="101"/>
      <c r="AM207" s="101"/>
    </row>
    <row r="208" spans="2:39" x14ac:dyDescent="0.25">
      <c r="B208" t="s">
        <v>121</v>
      </c>
      <c r="C208" s="101">
        <v>15062</v>
      </c>
      <c r="D208" s="101">
        <v>7891</v>
      </c>
      <c r="E208" s="101">
        <v>7171</v>
      </c>
      <c r="F208" s="101">
        <v>3</v>
      </c>
      <c r="G208" s="101">
        <v>19</v>
      </c>
      <c r="H208" s="101">
        <v>170</v>
      </c>
      <c r="I208" s="101">
        <v>243</v>
      </c>
      <c r="J208" s="101">
        <v>4789</v>
      </c>
      <c r="K208" s="101">
        <v>4659</v>
      </c>
      <c r="L208" s="101">
        <v>993</v>
      </c>
      <c r="M208" s="101">
        <v>155</v>
      </c>
      <c r="N208" s="101">
        <v>365</v>
      </c>
      <c r="O208" s="101">
        <v>53</v>
      </c>
      <c r="P208" s="101">
        <v>4900000000</v>
      </c>
      <c r="Q208" s="101">
        <v>837000000</v>
      </c>
      <c r="R208" s="101">
        <v>787970711.2970711</v>
      </c>
      <c r="S208" s="101">
        <f t="shared" si="12"/>
        <v>10531302.728033474</v>
      </c>
      <c r="T208" s="101">
        <f t="shared" si="13"/>
        <v>-4530697.2719665263</v>
      </c>
      <c r="U208" s="101">
        <f t="shared" si="14"/>
        <v>0</v>
      </c>
      <c r="V208" s="101">
        <v>176436</v>
      </c>
      <c r="W208" s="149">
        <f t="shared" si="15"/>
        <v>-2.5678984288730906E-2</v>
      </c>
      <c r="AA208" s="101"/>
      <c r="AB208" s="101"/>
      <c r="AC208" s="101"/>
      <c r="AD208" s="101"/>
      <c r="AK208" s="101"/>
      <c r="AL208" s="101"/>
      <c r="AM208" s="101"/>
    </row>
    <row r="209" spans="2:39" x14ac:dyDescent="0.25">
      <c r="B209" t="s">
        <v>193</v>
      </c>
      <c r="C209" s="101">
        <v>6065</v>
      </c>
      <c r="D209" s="101">
        <v>3779</v>
      </c>
      <c r="E209" s="101">
        <v>2286</v>
      </c>
      <c r="F209" s="101">
        <v>0</v>
      </c>
      <c r="G209" s="101">
        <v>16</v>
      </c>
      <c r="H209" s="101">
        <v>784</v>
      </c>
      <c r="I209" s="101">
        <v>65</v>
      </c>
      <c r="J209" s="101">
        <v>1694</v>
      </c>
      <c r="K209" s="101">
        <v>3208</v>
      </c>
      <c r="L209" s="101">
        <v>343</v>
      </c>
      <c r="M209" s="101">
        <v>591</v>
      </c>
      <c r="N209" s="101">
        <v>949</v>
      </c>
      <c r="O209" s="101">
        <v>139</v>
      </c>
      <c r="P209" s="101">
        <v>3574000000</v>
      </c>
      <c r="Q209" s="101">
        <v>486000000</v>
      </c>
      <c r="R209" s="101">
        <v>452500000</v>
      </c>
      <c r="S209" s="101">
        <f t="shared" si="12"/>
        <v>7283175</v>
      </c>
      <c r="T209" s="101">
        <f t="shared" si="13"/>
        <v>1218175</v>
      </c>
      <c r="U209" s="101">
        <f t="shared" si="14"/>
        <v>1218175</v>
      </c>
      <c r="V209" s="101">
        <v>89368</v>
      </c>
      <c r="W209" s="149">
        <f t="shared" si="15"/>
        <v>1.3630997672544982E-2</v>
      </c>
      <c r="AA209" s="101"/>
      <c r="AB209" s="101"/>
      <c r="AC209" s="101"/>
      <c r="AD209" s="101"/>
      <c r="AK209" s="101"/>
      <c r="AL209" s="101"/>
      <c r="AM209" s="101"/>
    </row>
    <row r="210" spans="2:39" x14ac:dyDescent="0.25">
      <c r="B210" t="s">
        <v>151</v>
      </c>
      <c r="C210" s="101">
        <v>10035</v>
      </c>
      <c r="D210" s="101">
        <v>5207</v>
      </c>
      <c r="E210" s="101">
        <v>4828</v>
      </c>
      <c r="F210" s="101">
        <v>783</v>
      </c>
      <c r="G210" s="101">
        <v>0</v>
      </c>
      <c r="H210" s="101">
        <v>96</v>
      </c>
      <c r="I210" s="101">
        <v>112</v>
      </c>
      <c r="J210" s="101">
        <v>3545</v>
      </c>
      <c r="K210" s="101">
        <v>4160</v>
      </c>
      <c r="L210" s="101">
        <v>449</v>
      </c>
      <c r="M210" s="101">
        <v>220</v>
      </c>
      <c r="N210" s="101">
        <v>719</v>
      </c>
      <c r="O210" s="101">
        <v>108</v>
      </c>
      <c r="P210" s="101">
        <v>5236000000</v>
      </c>
      <c r="Q210" s="101">
        <v>805000000</v>
      </c>
      <c r="R210" s="101">
        <v>779484151.64698565</v>
      </c>
      <c r="S210" s="101">
        <f t="shared" si="12"/>
        <v>11008261.420758236</v>
      </c>
      <c r="T210" s="101">
        <f t="shared" si="13"/>
        <v>973261.4207582362</v>
      </c>
      <c r="U210" s="101">
        <f t="shared" si="14"/>
        <v>973261.4207582362</v>
      </c>
      <c r="V210" s="101">
        <v>111645</v>
      </c>
      <c r="W210" s="149">
        <f t="shared" si="15"/>
        <v>8.7174653657417361E-3</v>
      </c>
      <c r="AA210" s="101"/>
      <c r="AB210" s="101"/>
      <c r="AC210" s="101"/>
      <c r="AD210" s="101"/>
      <c r="AK210" s="101"/>
      <c r="AL210" s="101"/>
      <c r="AM210" s="101"/>
    </row>
    <row r="211" spans="2:39" x14ac:dyDescent="0.25">
      <c r="B211" t="s">
        <v>152</v>
      </c>
      <c r="C211" s="101">
        <v>5321</v>
      </c>
      <c r="D211" s="101">
        <v>3901</v>
      </c>
      <c r="E211" s="101">
        <v>1420</v>
      </c>
      <c r="F211" s="101">
        <v>0</v>
      </c>
      <c r="G211" s="101">
        <v>0</v>
      </c>
      <c r="H211" s="101">
        <v>201</v>
      </c>
      <c r="I211" s="101">
        <v>55</v>
      </c>
      <c r="J211" s="101">
        <v>1940</v>
      </c>
      <c r="K211" s="101">
        <v>1984</v>
      </c>
      <c r="L211" s="101">
        <v>174</v>
      </c>
      <c r="M211" s="101">
        <v>58</v>
      </c>
      <c r="N211" s="101">
        <v>285</v>
      </c>
      <c r="O211" s="101">
        <v>53</v>
      </c>
      <c r="P211" s="101">
        <v>3114000000</v>
      </c>
      <c r="Q211" s="101">
        <v>314000000</v>
      </c>
      <c r="R211" s="101">
        <v>258000000</v>
      </c>
      <c r="S211" s="101">
        <f t="shared" si="12"/>
        <v>5949204</v>
      </c>
      <c r="T211" s="101">
        <f t="shared" si="13"/>
        <v>628204</v>
      </c>
      <c r="U211" s="101">
        <f t="shared" si="14"/>
        <v>628204</v>
      </c>
      <c r="V211" s="101">
        <v>58598</v>
      </c>
      <c r="W211" s="149">
        <f t="shared" si="15"/>
        <v>1.0720570667940885E-2</v>
      </c>
      <c r="AA211" s="101"/>
      <c r="AB211" s="101"/>
      <c r="AC211" s="101"/>
      <c r="AD211" s="101"/>
      <c r="AK211" s="101"/>
      <c r="AL211" s="101"/>
      <c r="AM211" s="101"/>
    </row>
    <row r="212" spans="2:39" x14ac:dyDescent="0.25">
      <c r="B212" t="s">
        <v>153</v>
      </c>
      <c r="C212" s="101">
        <v>4486</v>
      </c>
      <c r="D212" s="101">
        <v>2537</v>
      </c>
      <c r="E212" s="101">
        <v>1949</v>
      </c>
      <c r="F212" s="101">
        <v>0</v>
      </c>
      <c r="G212" s="101">
        <v>36</v>
      </c>
      <c r="H212" s="101">
        <v>1023</v>
      </c>
      <c r="I212" s="101">
        <v>888</v>
      </c>
      <c r="J212" s="101">
        <v>2045</v>
      </c>
      <c r="K212" s="101">
        <v>1640</v>
      </c>
      <c r="L212" s="101">
        <v>373</v>
      </c>
      <c r="M212" s="101">
        <v>227</v>
      </c>
      <c r="N212" s="101">
        <v>590</v>
      </c>
      <c r="O212" s="101">
        <v>54</v>
      </c>
      <c r="P212" s="101">
        <v>3275000000</v>
      </c>
      <c r="Q212" s="101">
        <v>579000000</v>
      </c>
      <c r="R212" s="101">
        <v>518500000</v>
      </c>
      <c r="S212" s="101">
        <f t="shared" si="12"/>
        <v>7057215</v>
      </c>
      <c r="T212" s="101">
        <f t="shared" si="13"/>
        <v>2571215</v>
      </c>
      <c r="U212" s="101">
        <f t="shared" si="14"/>
        <v>2571215</v>
      </c>
      <c r="V212" s="101">
        <v>62267</v>
      </c>
      <c r="W212" s="149">
        <f t="shared" si="15"/>
        <v>4.1293381727078547E-2</v>
      </c>
      <c r="AA212" s="101"/>
      <c r="AB212" s="101"/>
      <c r="AC212" s="101"/>
      <c r="AD212" s="101"/>
      <c r="AK212" s="101"/>
      <c r="AL212" s="101"/>
      <c r="AM212" s="101"/>
    </row>
    <row r="213" spans="2:39" x14ac:dyDescent="0.25">
      <c r="B213" t="s">
        <v>194</v>
      </c>
      <c r="C213" s="101">
        <v>7045</v>
      </c>
      <c r="D213" s="101">
        <v>4558</v>
      </c>
      <c r="E213" s="101">
        <v>2487</v>
      </c>
      <c r="F213" s="101">
        <v>0</v>
      </c>
      <c r="G213" s="101">
        <v>16</v>
      </c>
      <c r="H213" s="101">
        <v>900</v>
      </c>
      <c r="I213" s="101">
        <v>174</v>
      </c>
      <c r="J213" s="101">
        <v>3410</v>
      </c>
      <c r="K213" s="101">
        <v>2946</v>
      </c>
      <c r="L213" s="101">
        <v>356</v>
      </c>
      <c r="M213" s="101">
        <v>0</v>
      </c>
      <c r="N213" s="101">
        <v>651</v>
      </c>
      <c r="O213" s="101">
        <v>123</v>
      </c>
      <c r="P213" s="101">
        <v>3893000000</v>
      </c>
      <c r="Q213" s="101">
        <v>940000000</v>
      </c>
      <c r="R213" s="101">
        <v>867500000</v>
      </c>
      <c r="S213" s="101">
        <f t="shared" si="12"/>
        <v>9200607</v>
      </c>
      <c r="T213" s="101">
        <f t="shared" si="13"/>
        <v>2155607</v>
      </c>
      <c r="U213" s="101">
        <f t="shared" si="14"/>
        <v>2155607</v>
      </c>
      <c r="V213" s="101">
        <v>88888</v>
      </c>
      <c r="W213" s="149">
        <f t="shared" si="15"/>
        <v>2.4250821258212582E-2</v>
      </c>
      <c r="AA213" s="101"/>
      <c r="AB213" s="101"/>
      <c r="AC213" s="101"/>
      <c r="AD213" s="101"/>
      <c r="AK213" s="101"/>
      <c r="AL213" s="101"/>
      <c r="AM213" s="101"/>
    </row>
    <row r="214" spans="2:39" x14ac:dyDescent="0.25">
      <c r="B214" t="s">
        <v>380</v>
      </c>
      <c r="C214" s="101">
        <v>14229</v>
      </c>
      <c r="D214" s="101">
        <v>7877</v>
      </c>
      <c r="E214" s="101">
        <v>6352</v>
      </c>
      <c r="F214" s="101">
        <v>2073</v>
      </c>
      <c r="G214" s="101">
        <v>91</v>
      </c>
      <c r="H214" s="101">
        <v>400</v>
      </c>
      <c r="I214" s="101">
        <v>305</v>
      </c>
      <c r="J214" s="101">
        <v>7328</v>
      </c>
      <c r="K214" s="101">
        <v>7894</v>
      </c>
      <c r="L214" s="101">
        <v>703</v>
      </c>
      <c r="M214" s="101">
        <v>0</v>
      </c>
      <c r="N214" s="101">
        <v>1366</v>
      </c>
      <c r="O214" s="101">
        <v>175</v>
      </c>
      <c r="P214" s="101">
        <v>9634000000</v>
      </c>
      <c r="Q214" s="101">
        <v>1801000000</v>
      </c>
      <c r="R214" s="101">
        <v>1744500000</v>
      </c>
      <c r="S214" s="101">
        <f t="shared" si="12"/>
        <v>21271713</v>
      </c>
      <c r="T214" s="101">
        <f t="shared" si="13"/>
        <v>7042713</v>
      </c>
      <c r="U214" s="101">
        <f t="shared" si="14"/>
        <v>7042713</v>
      </c>
      <c r="V214" s="101">
        <v>191290</v>
      </c>
      <c r="W214" s="149">
        <f t="shared" si="15"/>
        <v>3.6816942861623715E-2</v>
      </c>
      <c r="AA214" s="101"/>
      <c r="AB214" s="101"/>
      <c r="AC214" s="101"/>
      <c r="AD214" s="101"/>
      <c r="AK214" s="101"/>
      <c r="AL214" s="101"/>
      <c r="AM214" s="101"/>
    </row>
    <row r="215" spans="2:39" x14ac:dyDescent="0.25">
      <c r="B215" t="s">
        <v>131</v>
      </c>
      <c r="C215" s="101">
        <v>3268</v>
      </c>
      <c r="D215" s="101">
        <v>2575</v>
      </c>
      <c r="E215" s="101">
        <v>693</v>
      </c>
      <c r="F215" s="101">
        <v>0</v>
      </c>
      <c r="G215" s="101">
        <v>0</v>
      </c>
      <c r="H215" s="101">
        <v>309</v>
      </c>
      <c r="I215" s="101">
        <v>201</v>
      </c>
      <c r="J215" s="101">
        <v>2983</v>
      </c>
      <c r="K215" s="101">
        <v>2935</v>
      </c>
      <c r="L215" s="101">
        <v>423</v>
      </c>
      <c r="M215" s="101">
        <v>0</v>
      </c>
      <c r="N215" s="101">
        <v>430</v>
      </c>
      <c r="O215" s="101">
        <v>27</v>
      </c>
      <c r="P215" s="101">
        <v>3528000000</v>
      </c>
      <c r="Q215" s="101">
        <v>458000000</v>
      </c>
      <c r="R215" s="101">
        <v>387422950.81967217</v>
      </c>
      <c r="S215" s="101">
        <f t="shared" si="12"/>
        <v>7058704.6426229514</v>
      </c>
      <c r="T215" s="101">
        <f t="shared" si="13"/>
        <v>3790704.6426229514</v>
      </c>
      <c r="U215" s="101">
        <f t="shared" si="14"/>
        <v>3790704.6426229514</v>
      </c>
      <c r="V215" s="101">
        <v>86296</v>
      </c>
      <c r="W215" s="149">
        <f t="shared" si="15"/>
        <v>4.3926771143772032E-2</v>
      </c>
      <c r="AA215" s="101"/>
      <c r="AB215" s="101"/>
      <c r="AC215" s="101"/>
      <c r="AD215" s="101"/>
      <c r="AK215" s="101"/>
      <c r="AL215" s="101"/>
      <c r="AM215" s="101"/>
    </row>
    <row r="216" spans="2:39" x14ac:dyDescent="0.25">
      <c r="B216" t="s">
        <v>265</v>
      </c>
      <c r="C216" s="101">
        <v>2680</v>
      </c>
      <c r="D216" s="101">
        <v>1935</v>
      </c>
      <c r="E216" s="101">
        <v>745</v>
      </c>
      <c r="F216" s="101">
        <v>0</v>
      </c>
      <c r="G216" s="101">
        <v>0</v>
      </c>
      <c r="H216" s="101">
        <v>308</v>
      </c>
      <c r="I216" s="101">
        <v>42</v>
      </c>
      <c r="J216" s="101">
        <v>1549</v>
      </c>
      <c r="K216" s="101">
        <v>1540</v>
      </c>
      <c r="L216" s="101">
        <v>143</v>
      </c>
      <c r="M216" s="101">
        <v>114</v>
      </c>
      <c r="N216" s="101">
        <v>220</v>
      </c>
      <c r="O216" s="101">
        <v>53</v>
      </c>
      <c r="P216" s="101">
        <v>2046000000</v>
      </c>
      <c r="Q216" s="101">
        <v>214000000</v>
      </c>
      <c r="R216" s="101">
        <v>208487119.43793911</v>
      </c>
      <c r="S216" s="101">
        <f t="shared" si="12"/>
        <v>3984138.2107728338</v>
      </c>
      <c r="T216" s="101">
        <f t="shared" si="13"/>
        <v>1304138.2107728338</v>
      </c>
      <c r="U216" s="101">
        <f t="shared" si="14"/>
        <v>1304138.2107728338</v>
      </c>
      <c r="V216" s="101">
        <v>29974</v>
      </c>
      <c r="W216" s="149">
        <f t="shared" si="15"/>
        <v>4.3508981476373984E-2</v>
      </c>
      <c r="AA216" s="101"/>
      <c r="AB216" s="101"/>
      <c r="AC216" s="101"/>
      <c r="AD216" s="101"/>
      <c r="AK216" s="101"/>
      <c r="AL216" s="101"/>
      <c r="AM216" s="101"/>
    </row>
    <row r="217" spans="2:39" x14ac:dyDescent="0.25">
      <c r="B217" t="s">
        <v>266</v>
      </c>
      <c r="C217" s="101">
        <v>3686</v>
      </c>
      <c r="D217" s="101">
        <v>2708</v>
      </c>
      <c r="E217" s="101">
        <v>978</v>
      </c>
      <c r="F217" s="101">
        <v>0</v>
      </c>
      <c r="G217" s="101">
        <v>0</v>
      </c>
      <c r="H217" s="101">
        <v>26</v>
      </c>
      <c r="I217" s="101">
        <v>142</v>
      </c>
      <c r="J217" s="101">
        <v>1288</v>
      </c>
      <c r="K217" s="101">
        <v>2299</v>
      </c>
      <c r="L217" s="101">
        <v>214</v>
      </c>
      <c r="M217" s="101">
        <v>29</v>
      </c>
      <c r="N217" s="101">
        <v>262</v>
      </c>
      <c r="O217" s="101">
        <v>40</v>
      </c>
      <c r="P217" s="101">
        <v>1962000000</v>
      </c>
      <c r="Q217" s="101">
        <v>270000000</v>
      </c>
      <c r="R217" s="101">
        <v>245000000</v>
      </c>
      <c r="S217" s="101">
        <f t="shared" si="12"/>
        <v>3997878</v>
      </c>
      <c r="T217" s="101">
        <f t="shared" si="13"/>
        <v>311878</v>
      </c>
      <c r="U217" s="101">
        <f t="shared" si="14"/>
        <v>311878</v>
      </c>
      <c r="V217" s="101">
        <v>40086</v>
      </c>
      <c r="W217" s="149">
        <f t="shared" si="15"/>
        <v>7.7802225215786057E-3</v>
      </c>
      <c r="AA217" s="101"/>
      <c r="AB217" s="101"/>
      <c r="AC217" s="101"/>
      <c r="AD217" s="101"/>
      <c r="AK217" s="101"/>
      <c r="AL217" s="101"/>
      <c r="AM217" s="101"/>
    </row>
    <row r="218" spans="2:39" x14ac:dyDescent="0.25">
      <c r="B218" t="s">
        <v>132</v>
      </c>
      <c r="C218" s="101">
        <v>4962</v>
      </c>
      <c r="D218" s="101">
        <v>3368</v>
      </c>
      <c r="E218" s="101">
        <v>1594</v>
      </c>
      <c r="F218" s="101">
        <v>0</v>
      </c>
      <c r="G218" s="101">
        <v>0</v>
      </c>
      <c r="H218" s="101">
        <v>220</v>
      </c>
      <c r="I218" s="101">
        <v>36</v>
      </c>
      <c r="J218" s="101">
        <v>3539</v>
      </c>
      <c r="K218" s="101">
        <v>3095</v>
      </c>
      <c r="L218" s="101">
        <v>313</v>
      </c>
      <c r="M218" s="101">
        <v>150</v>
      </c>
      <c r="N218" s="101">
        <v>432</v>
      </c>
      <c r="O218" s="101">
        <v>21</v>
      </c>
      <c r="P218" s="101">
        <v>4244000000</v>
      </c>
      <c r="Q218" s="101">
        <v>542000000</v>
      </c>
      <c r="R218" s="101">
        <v>443409048.93813479</v>
      </c>
      <c r="S218" s="101">
        <f t="shared" si="12"/>
        <v>8440266.2049861494</v>
      </c>
      <c r="T218" s="101">
        <f t="shared" si="13"/>
        <v>3478266.2049861494</v>
      </c>
      <c r="U218" s="101">
        <f t="shared" si="14"/>
        <v>3478266.2049861494</v>
      </c>
      <c r="V218" s="101">
        <v>94792</v>
      </c>
      <c r="W218" s="149">
        <f t="shared" si="15"/>
        <v>3.6693668294646695E-2</v>
      </c>
      <c r="AA218" s="101"/>
      <c r="AB218" s="101"/>
      <c r="AC218" s="101"/>
      <c r="AD218" s="101"/>
      <c r="AK218" s="101"/>
      <c r="AL218" s="101"/>
      <c r="AM218" s="101"/>
    </row>
    <row r="219" spans="2:39" x14ac:dyDescent="0.25">
      <c r="B219" t="s">
        <v>381</v>
      </c>
      <c r="C219" s="101">
        <v>24131</v>
      </c>
      <c r="D219" s="101">
        <v>14155</v>
      </c>
      <c r="E219" s="101">
        <v>9976</v>
      </c>
      <c r="F219" s="101">
        <v>2431</v>
      </c>
      <c r="G219" s="101">
        <v>68</v>
      </c>
      <c r="H219" s="101">
        <v>233</v>
      </c>
      <c r="I219" s="101">
        <v>750</v>
      </c>
      <c r="J219" s="101">
        <v>8765</v>
      </c>
      <c r="K219" s="101">
        <v>13725</v>
      </c>
      <c r="L219" s="101">
        <v>1520</v>
      </c>
      <c r="M219" s="101">
        <v>183</v>
      </c>
      <c r="N219" s="101">
        <v>2863</v>
      </c>
      <c r="O219" s="101">
        <v>590</v>
      </c>
      <c r="P219" s="101">
        <v>15332000000</v>
      </c>
      <c r="Q219" s="101">
        <v>2188000000</v>
      </c>
      <c r="R219" s="101">
        <v>2081000000</v>
      </c>
      <c r="S219" s="101">
        <f t="shared" si="12"/>
        <v>31636014</v>
      </c>
      <c r="T219" s="101">
        <f t="shared" si="13"/>
        <v>7505014</v>
      </c>
      <c r="U219" s="101">
        <f t="shared" si="14"/>
        <v>7505014</v>
      </c>
      <c r="V219" s="101">
        <v>386843</v>
      </c>
      <c r="W219" s="149">
        <f t="shared" si="15"/>
        <v>1.9400671590283396E-2</v>
      </c>
      <c r="AA219" s="101"/>
      <c r="AB219" s="101"/>
      <c r="AC219" s="101"/>
      <c r="AD219" s="101"/>
      <c r="AK219" s="101"/>
      <c r="AL219" s="101"/>
      <c r="AM219" s="101"/>
    </row>
    <row r="220" spans="2:39" x14ac:dyDescent="0.25">
      <c r="B220" t="s">
        <v>195</v>
      </c>
      <c r="C220" s="101">
        <v>9233</v>
      </c>
      <c r="D220" s="101">
        <v>6441</v>
      </c>
      <c r="E220" s="101">
        <v>2792</v>
      </c>
      <c r="F220" s="101">
        <v>0</v>
      </c>
      <c r="G220" s="101">
        <v>8</v>
      </c>
      <c r="H220" s="101">
        <v>160</v>
      </c>
      <c r="I220" s="101">
        <v>150</v>
      </c>
      <c r="J220" s="101">
        <v>5254</v>
      </c>
      <c r="K220" s="101">
        <v>4330</v>
      </c>
      <c r="L220" s="101">
        <v>800</v>
      </c>
      <c r="M220" s="101">
        <v>126</v>
      </c>
      <c r="N220" s="101">
        <v>430</v>
      </c>
      <c r="O220" s="101">
        <v>108</v>
      </c>
      <c r="P220" s="101">
        <v>5661000000</v>
      </c>
      <c r="Q220" s="101">
        <v>960000000</v>
      </c>
      <c r="R220" s="101">
        <v>879500000</v>
      </c>
      <c r="S220" s="101">
        <f t="shared" si="12"/>
        <v>12105807</v>
      </c>
      <c r="T220" s="101">
        <f t="shared" si="13"/>
        <v>2872807</v>
      </c>
      <c r="U220" s="101">
        <f t="shared" si="14"/>
        <v>2872807</v>
      </c>
      <c r="V220" s="101">
        <v>134593</v>
      </c>
      <c r="W220" s="149">
        <f t="shared" si="15"/>
        <v>2.1344401269011017E-2</v>
      </c>
      <c r="AA220" s="101"/>
      <c r="AB220" s="101"/>
      <c r="AC220" s="101"/>
      <c r="AD220" s="101"/>
      <c r="AK220" s="101"/>
      <c r="AL220" s="101"/>
      <c r="AM220" s="101"/>
    </row>
    <row r="221" spans="2:39" x14ac:dyDescent="0.25">
      <c r="B221" t="s">
        <v>267</v>
      </c>
      <c r="C221" s="101">
        <v>7905</v>
      </c>
      <c r="D221" s="101">
        <v>3055</v>
      </c>
      <c r="E221" s="101">
        <v>4850</v>
      </c>
      <c r="F221" s="101">
        <v>1851</v>
      </c>
      <c r="G221" s="101">
        <v>50</v>
      </c>
      <c r="H221" s="101">
        <v>889</v>
      </c>
      <c r="I221" s="101">
        <v>218</v>
      </c>
      <c r="J221" s="101">
        <v>1004</v>
      </c>
      <c r="K221" s="101">
        <v>2057</v>
      </c>
      <c r="L221" s="101">
        <v>330</v>
      </c>
      <c r="M221" s="101">
        <v>204</v>
      </c>
      <c r="N221" s="101">
        <v>1233</v>
      </c>
      <c r="O221" s="101">
        <v>16</v>
      </c>
      <c r="P221" s="101">
        <v>3561000000</v>
      </c>
      <c r="Q221" s="101">
        <v>1151000000</v>
      </c>
      <c r="R221" s="101">
        <v>1151000000</v>
      </c>
      <c r="S221" s="101">
        <f t="shared" si="12"/>
        <v>9462882</v>
      </c>
      <c r="T221" s="101">
        <f t="shared" si="13"/>
        <v>1557882</v>
      </c>
      <c r="U221" s="101">
        <f t="shared" si="14"/>
        <v>1557882</v>
      </c>
      <c r="V221" s="101">
        <v>48438</v>
      </c>
      <c r="W221" s="149">
        <f t="shared" si="15"/>
        <v>3.2162393162393166E-2</v>
      </c>
      <c r="AA221" s="101"/>
      <c r="AB221" s="101"/>
      <c r="AC221" s="101"/>
      <c r="AD221" s="101"/>
      <c r="AK221" s="101"/>
      <c r="AL221" s="101"/>
      <c r="AM221" s="101"/>
    </row>
    <row r="222" spans="2:39" x14ac:dyDescent="0.25">
      <c r="B222" t="s">
        <v>224</v>
      </c>
      <c r="C222" s="101">
        <v>3147</v>
      </c>
      <c r="D222" s="101">
        <v>2133</v>
      </c>
      <c r="E222" s="101">
        <v>1014</v>
      </c>
      <c r="F222" s="101">
        <v>0</v>
      </c>
      <c r="G222" s="101">
        <v>13</v>
      </c>
      <c r="H222" s="101">
        <v>28</v>
      </c>
      <c r="I222" s="101">
        <v>64</v>
      </c>
      <c r="J222" s="101">
        <v>1919</v>
      </c>
      <c r="K222" s="101">
        <v>1338</v>
      </c>
      <c r="L222" s="101">
        <v>193</v>
      </c>
      <c r="M222" s="101">
        <v>4</v>
      </c>
      <c r="N222" s="101">
        <v>391</v>
      </c>
      <c r="O222" s="101">
        <v>83</v>
      </c>
      <c r="P222" s="101">
        <v>1840000000</v>
      </c>
      <c r="Q222" s="101">
        <v>193000000</v>
      </c>
      <c r="R222" s="101">
        <v>165428571.42857143</v>
      </c>
      <c r="S222" s="101">
        <f t="shared" si="12"/>
        <v>3548263.7142857141</v>
      </c>
      <c r="T222" s="101">
        <f t="shared" si="13"/>
        <v>401263.71428571409</v>
      </c>
      <c r="U222" s="101">
        <f t="shared" si="14"/>
        <v>401263.71428571409</v>
      </c>
      <c r="V222" s="101">
        <v>30330</v>
      </c>
      <c r="W222" s="149">
        <f t="shared" si="15"/>
        <v>1.3229927935565912E-2</v>
      </c>
      <c r="AA222" s="101"/>
      <c r="AB222" s="101"/>
      <c r="AC222" s="101"/>
      <c r="AD222" s="101"/>
      <c r="AK222" s="101"/>
      <c r="AL222" s="101"/>
      <c r="AM222" s="101"/>
    </row>
    <row r="223" spans="2:39" x14ac:dyDescent="0.25">
      <c r="B223" t="s">
        <v>196</v>
      </c>
      <c r="C223" s="101">
        <v>9996</v>
      </c>
      <c r="D223" s="101">
        <v>6489</v>
      </c>
      <c r="E223" s="101">
        <v>3507</v>
      </c>
      <c r="F223" s="101">
        <v>0</v>
      </c>
      <c r="G223" s="101">
        <v>38</v>
      </c>
      <c r="H223" s="101">
        <v>0</v>
      </c>
      <c r="I223" s="101">
        <v>607</v>
      </c>
      <c r="J223" s="101">
        <v>2323</v>
      </c>
      <c r="K223" s="101">
        <v>6544</v>
      </c>
      <c r="L223" s="101">
        <v>983</v>
      </c>
      <c r="M223" s="101">
        <v>85</v>
      </c>
      <c r="N223" s="101">
        <v>1308</v>
      </c>
      <c r="O223" s="101">
        <v>170</v>
      </c>
      <c r="P223" s="101">
        <v>8184000000</v>
      </c>
      <c r="Q223" s="101">
        <v>1462000000</v>
      </c>
      <c r="R223" s="101">
        <v>1390975709.8871024</v>
      </c>
      <c r="S223" s="101">
        <f t="shared" si="12"/>
        <v>17813678.795757782</v>
      </c>
      <c r="T223" s="101">
        <f t="shared" si="13"/>
        <v>7817678.7957577817</v>
      </c>
      <c r="U223" s="101">
        <f t="shared" si="14"/>
        <v>7817678.7957577817</v>
      </c>
      <c r="V223" s="101">
        <v>132197</v>
      </c>
      <c r="W223" s="149">
        <f t="shared" si="15"/>
        <v>5.9136582492475484E-2</v>
      </c>
      <c r="AA223" s="101"/>
      <c r="AB223" s="101"/>
      <c r="AC223" s="101"/>
      <c r="AD223" s="101"/>
      <c r="AK223" s="101"/>
      <c r="AL223" s="101"/>
      <c r="AM223" s="101"/>
    </row>
    <row r="224" spans="2:39" x14ac:dyDescent="0.25">
      <c r="B224" t="s">
        <v>310</v>
      </c>
      <c r="C224" s="101">
        <v>8855</v>
      </c>
      <c r="D224" s="101">
        <v>5660</v>
      </c>
      <c r="E224" s="101">
        <v>3195</v>
      </c>
      <c r="F224" s="101">
        <v>632</v>
      </c>
      <c r="G224" s="101">
        <v>0</v>
      </c>
      <c r="H224" s="101">
        <v>56</v>
      </c>
      <c r="I224" s="101">
        <v>335</v>
      </c>
      <c r="J224" s="101">
        <v>2573</v>
      </c>
      <c r="K224" s="101">
        <v>5664</v>
      </c>
      <c r="L224" s="101">
        <v>379</v>
      </c>
      <c r="M224" s="101">
        <v>408</v>
      </c>
      <c r="N224" s="101">
        <v>164</v>
      </c>
      <c r="O224" s="101">
        <v>186</v>
      </c>
      <c r="P224" s="101">
        <v>5026000000</v>
      </c>
      <c r="Q224" s="101">
        <v>630000000</v>
      </c>
      <c r="R224" s="101">
        <v>624500000</v>
      </c>
      <c r="S224" s="101">
        <f t="shared" si="12"/>
        <v>10136727</v>
      </c>
      <c r="T224" s="101">
        <f t="shared" si="13"/>
        <v>1281727</v>
      </c>
      <c r="U224" s="101">
        <f t="shared" si="14"/>
        <v>1281727</v>
      </c>
      <c r="V224" s="101">
        <v>103153</v>
      </c>
      <c r="W224" s="149">
        <f t="shared" si="15"/>
        <v>1.2425494168855971E-2</v>
      </c>
      <c r="AA224" s="101"/>
      <c r="AB224" s="101"/>
      <c r="AC224" s="101"/>
      <c r="AD224" s="101"/>
      <c r="AK224" s="101"/>
      <c r="AL224" s="101"/>
      <c r="AM224" s="101"/>
    </row>
    <row r="225" spans="2:39" x14ac:dyDescent="0.25">
      <c r="B225" t="s">
        <v>415</v>
      </c>
      <c r="C225" s="101">
        <v>9133</v>
      </c>
      <c r="D225" s="101">
        <v>5326</v>
      </c>
      <c r="E225" s="101">
        <v>3807</v>
      </c>
      <c r="F225" s="101">
        <v>0</v>
      </c>
      <c r="G225" s="101">
        <v>0</v>
      </c>
      <c r="H225" s="101">
        <v>1107</v>
      </c>
      <c r="I225" s="101">
        <v>20</v>
      </c>
      <c r="J225" s="101">
        <v>5811</v>
      </c>
      <c r="K225" s="101">
        <v>4191</v>
      </c>
      <c r="L225" s="101">
        <v>920</v>
      </c>
      <c r="M225" s="101">
        <v>45</v>
      </c>
      <c r="N225" s="101">
        <v>841</v>
      </c>
      <c r="O225" s="101">
        <v>27</v>
      </c>
      <c r="P225" s="101">
        <v>6670000000</v>
      </c>
      <c r="Q225" s="101">
        <v>1030000000</v>
      </c>
      <c r="R225" s="101">
        <v>1014000000</v>
      </c>
      <c r="S225" s="101">
        <f t="shared" si="12"/>
        <v>14064396</v>
      </c>
      <c r="T225" s="101">
        <f t="shared" si="13"/>
        <v>4931396</v>
      </c>
      <c r="U225" s="101">
        <f t="shared" si="14"/>
        <v>4931396</v>
      </c>
      <c r="V225" s="101">
        <v>122816</v>
      </c>
      <c r="W225" s="149">
        <f t="shared" si="15"/>
        <v>4.0152716258467953E-2</v>
      </c>
      <c r="AA225" s="101"/>
      <c r="AB225" s="101"/>
      <c r="AC225" s="101"/>
      <c r="AD225" s="101"/>
      <c r="AK225" s="101"/>
      <c r="AL225" s="101"/>
      <c r="AM225" s="101"/>
    </row>
    <row r="226" spans="2:39" x14ac:dyDescent="0.25">
      <c r="B226" t="s">
        <v>122</v>
      </c>
      <c r="C226" s="101">
        <v>3335</v>
      </c>
      <c r="D226" s="101">
        <v>2181</v>
      </c>
      <c r="E226" s="101">
        <v>1154</v>
      </c>
      <c r="F226" s="101">
        <v>0</v>
      </c>
      <c r="G226" s="101">
        <v>0</v>
      </c>
      <c r="H226" s="101">
        <v>0</v>
      </c>
      <c r="I226" s="101">
        <v>0</v>
      </c>
      <c r="J226" s="101">
        <v>1096</v>
      </c>
      <c r="K226" s="101">
        <v>1815</v>
      </c>
      <c r="L226" s="101">
        <v>142</v>
      </c>
      <c r="M226" s="101">
        <v>64</v>
      </c>
      <c r="N226" s="101">
        <v>140</v>
      </c>
      <c r="O226" s="101">
        <v>58</v>
      </c>
      <c r="P226" s="101">
        <v>1119000000</v>
      </c>
      <c r="Q226" s="101">
        <v>132000000</v>
      </c>
      <c r="R226" s="101">
        <v>117946768.06083649</v>
      </c>
      <c r="S226" s="101">
        <f t="shared" si="12"/>
        <v>2209480.0836501904</v>
      </c>
      <c r="T226" s="101">
        <f t="shared" si="13"/>
        <v>-1125519.9163498096</v>
      </c>
      <c r="U226" s="101">
        <f t="shared" si="14"/>
        <v>0</v>
      </c>
      <c r="V226" s="101">
        <v>53080</v>
      </c>
      <c r="W226" s="149">
        <f t="shared" si="15"/>
        <v>-2.120421846928805E-2</v>
      </c>
      <c r="AA226" s="101"/>
      <c r="AB226" s="101"/>
      <c r="AC226" s="101"/>
      <c r="AD226" s="101"/>
      <c r="AK226" s="101"/>
      <c r="AL226" s="101"/>
      <c r="AM226" s="101"/>
    </row>
    <row r="227" spans="2:39" x14ac:dyDescent="0.25">
      <c r="B227" t="s">
        <v>311</v>
      </c>
      <c r="C227" s="101">
        <v>11374</v>
      </c>
      <c r="D227" s="101">
        <v>7872</v>
      </c>
      <c r="E227" s="101">
        <v>3502</v>
      </c>
      <c r="F227" s="101">
        <v>10</v>
      </c>
      <c r="G227" s="101">
        <v>0</v>
      </c>
      <c r="H227" s="101">
        <v>213</v>
      </c>
      <c r="I227" s="101">
        <v>0</v>
      </c>
      <c r="J227" s="101">
        <v>4696</v>
      </c>
      <c r="K227" s="101">
        <v>8475</v>
      </c>
      <c r="L227" s="101">
        <v>754</v>
      </c>
      <c r="M227" s="101">
        <v>0</v>
      </c>
      <c r="N227" s="101">
        <v>2030</v>
      </c>
      <c r="O227" s="101">
        <v>129</v>
      </c>
      <c r="P227" s="101">
        <v>11236000000</v>
      </c>
      <c r="Q227" s="101">
        <v>1088000000</v>
      </c>
      <c r="R227" s="101">
        <v>1054484597.7011495</v>
      </c>
      <c r="S227" s="101">
        <f t="shared" si="12"/>
        <v>21592874.140689652</v>
      </c>
      <c r="T227" s="101">
        <f t="shared" si="13"/>
        <v>10218874.140689652</v>
      </c>
      <c r="U227" s="101">
        <f t="shared" si="14"/>
        <v>10218874.140689652</v>
      </c>
      <c r="V227" s="101">
        <v>163957</v>
      </c>
      <c r="W227" s="149">
        <f t="shared" si="15"/>
        <v>6.2326549892286712E-2</v>
      </c>
      <c r="AA227" s="101"/>
      <c r="AB227" s="101"/>
      <c r="AC227" s="101"/>
      <c r="AD227" s="101"/>
      <c r="AK227" s="101"/>
      <c r="AL227" s="101"/>
      <c r="AM227" s="101"/>
    </row>
    <row r="228" spans="2:39" x14ac:dyDescent="0.25">
      <c r="B228" t="s">
        <v>268</v>
      </c>
      <c r="C228" s="101">
        <v>20276</v>
      </c>
      <c r="D228" s="101">
        <v>13643</v>
      </c>
      <c r="E228" s="101">
        <v>6633</v>
      </c>
      <c r="F228" s="101">
        <v>3960</v>
      </c>
      <c r="G228" s="101">
        <v>318</v>
      </c>
      <c r="H228" s="101">
        <v>71</v>
      </c>
      <c r="I228" s="101">
        <v>756</v>
      </c>
      <c r="J228" s="101">
        <v>9828</v>
      </c>
      <c r="K228" s="101">
        <v>16182</v>
      </c>
      <c r="L228" s="101">
        <v>1560</v>
      </c>
      <c r="M228" s="101">
        <v>801</v>
      </c>
      <c r="N228" s="101">
        <v>3584</v>
      </c>
      <c r="O228" s="101">
        <v>431</v>
      </c>
      <c r="P228" s="101">
        <v>16984000000</v>
      </c>
      <c r="Q228" s="101">
        <v>1815000000</v>
      </c>
      <c r="R228" s="101">
        <v>1732477266.4645908</v>
      </c>
      <c r="S228" s="101">
        <f t="shared" si="12"/>
        <v>33137804.308073852</v>
      </c>
      <c r="T228" s="101">
        <f t="shared" si="13"/>
        <v>12861804.308073852</v>
      </c>
      <c r="U228" s="101">
        <f t="shared" si="14"/>
        <v>12861804.308073852</v>
      </c>
      <c r="V228" s="101">
        <v>325887</v>
      </c>
      <c r="W228" s="149">
        <f t="shared" si="15"/>
        <v>3.9467067750704549E-2</v>
      </c>
      <c r="AA228" s="101"/>
      <c r="AB228" s="101"/>
      <c r="AC228" s="101"/>
      <c r="AD228" s="101"/>
      <c r="AK228" s="101"/>
      <c r="AL228" s="101"/>
      <c r="AM228" s="101"/>
    </row>
    <row r="229" spans="2:39" x14ac:dyDescent="0.25">
      <c r="B229" t="s">
        <v>197</v>
      </c>
      <c r="C229" s="101">
        <v>4707</v>
      </c>
      <c r="D229" s="101">
        <v>3161</v>
      </c>
      <c r="E229" s="101">
        <v>1546</v>
      </c>
      <c r="F229" s="101">
        <v>0</v>
      </c>
      <c r="G229" s="101">
        <v>0</v>
      </c>
      <c r="H229" s="101">
        <v>827</v>
      </c>
      <c r="I229" s="101">
        <v>576</v>
      </c>
      <c r="J229" s="101">
        <v>2473</v>
      </c>
      <c r="K229" s="101">
        <v>1870</v>
      </c>
      <c r="L229" s="101">
        <v>441</v>
      </c>
      <c r="M229" s="101">
        <v>442</v>
      </c>
      <c r="N229" s="101">
        <v>738</v>
      </c>
      <c r="O229" s="101">
        <v>127</v>
      </c>
      <c r="P229" s="101">
        <v>5085000000</v>
      </c>
      <c r="Q229" s="101">
        <v>486000000</v>
      </c>
      <c r="R229" s="101">
        <v>446459320.2883625</v>
      </c>
      <c r="S229" s="101">
        <f t="shared" si="12"/>
        <v>9712179.3429454174</v>
      </c>
      <c r="T229" s="101">
        <f t="shared" si="13"/>
        <v>5005179.3429454174</v>
      </c>
      <c r="U229" s="101">
        <f t="shared" si="14"/>
        <v>5005179.3429454174</v>
      </c>
      <c r="V229" s="101">
        <v>68475</v>
      </c>
      <c r="W229" s="149">
        <f t="shared" si="15"/>
        <v>7.3094988578976519E-2</v>
      </c>
      <c r="AA229" s="101"/>
      <c r="AB229" s="101"/>
      <c r="AC229" s="101"/>
      <c r="AD229" s="101"/>
      <c r="AK229" s="101"/>
      <c r="AL229" s="101"/>
      <c r="AM229" s="101"/>
    </row>
    <row r="230" spans="2:39" x14ac:dyDescent="0.25">
      <c r="B230" t="s">
        <v>154</v>
      </c>
      <c r="C230" s="101">
        <v>8863</v>
      </c>
      <c r="D230" s="101">
        <v>5537</v>
      </c>
      <c r="E230" s="101">
        <v>3326</v>
      </c>
      <c r="F230" s="101">
        <v>4</v>
      </c>
      <c r="G230" s="101">
        <v>46</v>
      </c>
      <c r="H230" s="101">
        <v>427</v>
      </c>
      <c r="I230" s="101">
        <v>281</v>
      </c>
      <c r="J230" s="101">
        <v>4106</v>
      </c>
      <c r="K230" s="101">
        <v>3272</v>
      </c>
      <c r="L230" s="101">
        <v>696</v>
      </c>
      <c r="M230" s="101">
        <v>205</v>
      </c>
      <c r="N230" s="101">
        <v>928</v>
      </c>
      <c r="O230" s="101">
        <v>236</v>
      </c>
      <c r="P230" s="101">
        <v>6322000000</v>
      </c>
      <c r="Q230" s="101">
        <v>937000000</v>
      </c>
      <c r="R230" s="101">
        <v>833945008.00854242</v>
      </c>
      <c r="S230" s="101">
        <f t="shared" si="12"/>
        <v>13062013.242925787</v>
      </c>
      <c r="T230" s="101">
        <f t="shared" si="13"/>
        <v>4199013.2429257873</v>
      </c>
      <c r="U230" s="101">
        <f t="shared" si="14"/>
        <v>4199013.2429257873</v>
      </c>
      <c r="V230" s="101">
        <v>116692</v>
      </c>
      <c r="W230" s="149">
        <f t="shared" si="15"/>
        <v>3.598372847260984E-2</v>
      </c>
      <c r="AA230" s="101"/>
      <c r="AB230" s="101"/>
      <c r="AC230" s="101"/>
      <c r="AD230" s="101"/>
      <c r="AK230" s="101"/>
      <c r="AL230" s="101"/>
      <c r="AM230" s="101"/>
    </row>
    <row r="231" spans="2:39" x14ac:dyDescent="0.25">
      <c r="B231" t="s">
        <v>334</v>
      </c>
      <c r="C231" s="101">
        <v>4266</v>
      </c>
      <c r="D231" s="101">
        <v>2212</v>
      </c>
      <c r="E231" s="101">
        <v>2054</v>
      </c>
      <c r="F231" s="101">
        <v>0</v>
      </c>
      <c r="G231" s="101">
        <v>0</v>
      </c>
      <c r="H231" s="101">
        <v>46</v>
      </c>
      <c r="I231" s="101">
        <v>6</v>
      </c>
      <c r="J231" s="101">
        <v>2693</v>
      </c>
      <c r="K231" s="101">
        <v>3162</v>
      </c>
      <c r="L231" s="101">
        <v>310</v>
      </c>
      <c r="M231" s="101">
        <v>313</v>
      </c>
      <c r="N231" s="101">
        <v>805</v>
      </c>
      <c r="O231" s="101">
        <v>1111</v>
      </c>
      <c r="P231" s="101">
        <v>2757000000</v>
      </c>
      <c r="Q231" s="101">
        <v>524000000</v>
      </c>
      <c r="R231" s="101">
        <v>502000000</v>
      </c>
      <c r="S231" s="101">
        <f t="shared" si="12"/>
        <v>6105762</v>
      </c>
      <c r="T231" s="101">
        <f t="shared" si="13"/>
        <v>1839762</v>
      </c>
      <c r="U231" s="101">
        <f t="shared" si="14"/>
        <v>1839762</v>
      </c>
      <c r="V231" s="101">
        <v>71497</v>
      </c>
      <c r="W231" s="149">
        <f t="shared" si="15"/>
        <v>2.5732016727974601E-2</v>
      </c>
      <c r="AA231" s="101"/>
      <c r="AB231" s="101"/>
      <c r="AC231" s="101"/>
      <c r="AD231" s="101"/>
      <c r="AK231" s="101"/>
      <c r="AL231" s="101"/>
      <c r="AM231" s="101"/>
    </row>
    <row r="232" spans="2:39" x14ac:dyDescent="0.25">
      <c r="B232" t="s">
        <v>198</v>
      </c>
      <c r="C232" s="101">
        <v>10527</v>
      </c>
      <c r="D232" s="101">
        <v>7261</v>
      </c>
      <c r="E232" s="101">
        <v>3266</v>
      </c>
      <c r="F232" s="101">
        <v>27</v>
      </c>
      <c r="G232" s="101">
        <v>0</v>
      </c>
      <c r="H232" s="101">
        <v>583</v>
      </c>
      <c r="I232" s="101">
        <v>179</v>
      </c>
      <c r="J232" s="101">
        <v>5374</v>
      </c>
      <c r="K232" s="101">
        <v>4162</v>
      </c>
      <c r="L232" s="101">
        <v>541</v>
      </c>
      <c r="M232" s="101">
        <v>321</v>
      </c>
      <c r="N232" s="101">
        <v>581</v>
      </c>
      <c r="O232" s="101">
        <v>26</v>
      </c>
      <c r="P232" s="101">
        <v>6236000000</v>
      </c>
      <c r="Q232" s="101">
        <v>438000000</v>
      </c>
      <c r="R232" s="101">
        <v>403460571.4285714</v>
      </c>
      <c r="S232" s="101">
        <f t="shared" si="12"/>
        <v>11423021.362285715</v>
      </c>
      <c r="T232" s="101">
        <f t="shared" si="13"/>
        <v>896021.3622857146</v>
      </c>
      <c r="U232" s="101">
        <f t="shared" si="14"/>
        <v>896021.3622857146</v>
      </c>
      <c r="V232" s="101">
        <v>107349</v>
      </c>
      <c r="W232" s="149">
        <f t="shared" si="15"/>
        <v>8.3468067917327089E-3</v>
      </c>
      <c r="AA232" s="101"/>
      <c r="AB232" s="101"/>
      <c r="AC232" s="101"/>
      <c r="AD232" s="101"/>
      <c r="AK232" s="101"/>
      <c r="AL232" s="101"/>
      <c r="AM232" s="101"/>
    </row>
    <row r="233" spans="2:39" x14ac:dyDescent="0.25">
      <c r="B233" t="s">
        <v>225</v>
      </c>
      <c r="C233" s="101">
        <v>1186</v>
      </c>
      <c r="D233" s="101">
        <v>669</v>
      </c>
      <c r="E233" s="101">
        <v>517</v>
      </c>
      <c r="F233" s="101">
        <v>0</v>
      </c>
      <c r="G233" s="101">
        <v>0</v>
      </c>
      <c r="H233" s="101">
        <v>52</v>
      </c>
      <c r="I233" s="101">
        <v>0</v>
      </c>
      <c r="J233" s="101">
        <v>720</v>
      </c>
      <c r="K233" s="101">
        <v>639</v>
      </c>
      <c r="L233" s="101">
        <v>80</v>
      </c>
      <c r="M233" s="101">
        <v>70</v>
      </c>
      <c r="N233" s="101">
        <v>145</v>
      </c>
      <c r="O233" s="101">
        <v>2</v>
      </c>
      <c r="P233" s="101">
        <v>1083000000</v>
      </c>
      <c r="Q233" s="101">
        <v>193000000</v>
      </c>
      <c r="R233" s="101">
        <v>175955844.15584415</v>
      </c>
      <c r="S233" s="101">
        <f t="shared" si="12"/>
        <v>2343456.7324675326</v>
      </c>
      <c r="T233" s="101">
        <f t="shared" si="13"/>
        <v>1157456.7324675326</v>
      </c>
      <c r="U233" s="101">
        <f t="shared" si="14"/>
        <v>1157456.7324675326</v>
      </c>
      <c r="V233" s="101">
        <v>19121</v>
      </c>
      <c r="W233" s="149">
        <f t="shared" si="15"/>
        <v>6.0533274016397291E-2</v>
      </c>
      <c r="AA233" s="101"/>
      <c r="AB233" s="101"/>
      <c r="AC233" s="101"/>
      <c r="AD233" s="101"/>
      <c r="AK233" s="101"/>
      <c r="AL233" s="101"/>
      <c r="AM233" s="101"/>
    </row>
    <row r="234" spans="2:39" x14ac:dyDescent="0.25">
      <c r="B234" t="s">
        <v>382</v>
      </c>
      <c r="C234" s="101">
        <v>3148</v>
      </c>
      <c r="D234" s="101">
        <v>2021</v>
      </c>
      <c r="E234" s="101">
        <v>1127</v>
      </c>
      <c r="F234" s="101">
        <v>0</v>
      </c>
      <c r="G234" s="101">
        <v>0</v>
      </c>
      <c r="H234" s="101">
        <v>145</v>
      </c>
      <c r="I234" s="101">
        <v>27</v>
      </c>
      <c r="J234" s="101">
        <v>1467</v>
      </c>
      <c r="K234" s="101">
        <v>919</v>
      </c>
      <c r="L234" s="101">
        <v>130</v>
      </c>
      <c r="M234" s="101">
        <v>0</v>
      </c>
      <c r="N234" s="101">
        <v>689</v>
      </c>
      <c r="O234" s="101">
        <v>164</v>
      </c>
      <c r="P234" s="101">
        <v>2479000000</v>
      </c>
      <c r="Q234" s="101">
        <v>306000000</v>
      </c>
      <c r="R234" s="101">
        <v>251410801.96399346</v>
      </c>
      <c r="S234" s="101">
        <f t="shared" si="12"/>
        <v>4900767.0343698859</v>
      </c>
      <c r="T234" s="101">
        <f t="shared" si="13"/>
        <v>1752767.0343698859</v>
      </c>
      <c r="U234" s="101">
        <f t="shared" si="14"/>
        <v>1752767.0343698859</v>
      </c>
      <c r="V234" s="101">
        <v>40909</v>
      </c>
      <c r="W234" s="149">
        <f t="shared" si="15"/>
        <v>4.2845511607956341E-2</v>
      </c>
      <c r="AA234" s="101"/>
      <c r="AB234" s="101"/>
      <c r="AC234" s="101"/>
      <c r="AD234" s="101"/>
      <c r="AK234" s="101"/>
      <c r="AL234" s="101"/>
      <c r="AM234" s="101"/>
    </row>
    <row r="235" spans="2:39" x14ac:dyDescent="0.25">
      <c r="B235" t="s">
        <v>199</v>
      </c>
      <c r="C235" s="101">
        <v>11142</v>
      </c>
      <c r="D235" s="101">
        <v>8288</v>
      </c>
      <c r="E235" s="101">
        <v>2854</v>
      </c>
      <c r="F235" s="101">
        <v>29</v>
      </c>
      <c r="G235" s="101">
        <v>0</v>
      </c>
      <c r="H235" s="101">
        <v>427</v>
      </c>
      <c r="I235" s="101">
        <v>243</v>
      </c>
      <c r="J235" s="101">
        <v>4809</v>
      </c>
      <c r="K235" s="101">
        <v>5006</v>
      </c>
      <c r="L235" s="101">
        <v>825</v>
      </c>
      <c r="M235" s="101">
        <v>504</v>
      </c>
      <c r="N235" s="101">
        <v>500</v>
      </c>
      <c r="O235" s="101">
        <v>157</v>
      </c>
      <c r="P235" s="101">
        <v>7498000000</v>
      </c>
      <c r="Q235" s="101">
        <v>613000000</v>
      </c>
      <c r="R235" s="101">
        <v>598988571.42857134</v>
      </c>
      <c r="S235" s="101">
        <f t="shared" si="12"/>
        <v>14057921.554285714</v>
      </c>
      <c r="T235" s="101">
        <f t="shared" si="13"/>
        <v>2915921.5542857144</v>
      </c>
      <c r="U235" s="101">
        <f t="shared" si="14"/>
        <v>2915921.5542857144</v>
      </c>
      <c r="V235" s="101">
        <v>151616</v>
      </c>
      <c r="W235" s="149">
        <f t="shared" si="15"/>
        <v>1.9232281251884462E-2</v>
      </c>
      <c r="AA235" s="101"/>
      <c r="AB235" s="101"/>
      <c r="AC235" s="101"/>
      <c r="AD235" s="101"/>
      <c r="AK235" s="101"/>
      <c r="AL235" s="101"/>
      <c r="AM235" s="101"/>
    </row>
    <row r="236" spans="2:39" x14ac:dyDescent="0.25">
      <c r="B236" t="s">
        <v>226</v>
      </c>
      <c r="C236" s="101">
        <v>5410</v>
      </c>
      <c r="D236" s="101">
        <v>3722</v>
      </c>
      <c r="E236" s="101">
        <v>1688</v>
      </c>
      <c r="F236" s="101">
        <v>21</v>
      </c>
      <c r="G236" s="101">
        <v>26</v>
      </c>
      <c r="H236" s="101">
        <v>172</v>
      </c>
      <c r="I236" s="101">
        <v>193</v>
      </c>
      <c r="J236" s="101">
        <v>2101</v>
      </c>
      <c r="K236" s="101">
        <v>2595</v>
      </c>
      <c r="L236" s="101">
        <v>245</v>
      </c>
      <c r="M236" s="101">
        <v>557</v>
      </c>
      <c r="N236" s="101">
        <v>547</v>
      </c>
      <c r="O236" s="101">
        <v>52</v>
      </c>
      <c r="P236" s="101">
        <v>3638000000</v>
      </c>
      <c r="Q236" s="101">
        <v>347000000</v>
      </c>
      <c r="R236" s="101">
        <v>315955266.95526695</v>
      </c>
      <c r="S236" s="101">
        <f t="shared" si="12"/>
        <v>6941741.8008658011</v>
      </c>
      <c r="T236" s="101">
        <f t="shared" si="13"/>
        <v>1531741.8008658011</v>
      </c>
      <c r="U236" s="101">
        <f t="shared" si="14"/>
        <v>1531741.8008658011</v>
      </c>
      <c r="V236" s="101">
        <v>58336</v>
      </c>
      <c r="W236" s="149">
        <f t="shared" si="15"/>
        <v>2.6257230541446124E-2</v>
      </c>
      <c r="AA236" s="101"/>
      <c r="AB236" s="101"/>
      <c r="AC236" s="101"/>
      <c r="AD236" s="101"/>
      <c r="AK236" s="101"/>
      <c r="AL236" s="101"/>
      <c r="AM236" s="101"/>
    </row>
    <row r="237" spans="2:39" x14ac:dyDescent="0.25">
      <c r="B237" t="s">
        <v>312</v>
      </c>
      <c r="C237" s="101">
        <v>13820</v>
      </c>
      <c r="D237" s="101">
        <v>6749</v>
      </c>
      <c r="E237" s="101">
        <v>7071</v>
      </c>
      <c r="F237" s="101">
        <v>357</v>
      </c>
      <c r="G237" s="101">
        <v>0</v>
      </c>
      <c r="H237" s="101">
        <v>0</v>
      </c>
      <c r="I237" s="101">
        <v>1</v>
      </c>
      <c r="J237" s="101">
        <v>5203</v>
      </c>
      <c r="K237" s="101">
        <v>7322</v>
      </c>
      <c r="L237" s="101">
        <v>941</v>
      </c>
      <c r="M237" s="101">
        <v>239</v>
      </c>
      <c r="N237" s="101">
        <v>1247</v>
      </c>
      <c r="O237" s="101">
        <v>196</v>
      </c>
      <c r="P237" s="101">
        <v>7521000000</v>
      </c>
      <c r="Q237" s="101">
        <v>1703000000</v>
      </c>
      <c r="R237" s="101">
        <v>1703000000</v>
      </c>
      <c r="S237" s="101">
        <f t="shared" si="12"/>
        <v>17636178</v>
      </c>
      <c r="T237" s="101">
        <f t="shared" si="13"/>
        <v>3816178</v>
      </c>
      <c r="U237" s="101">
        <f t="shared" si="14"/>
        <v>3816178</v>
      </c>
      <c r="V237" s="101">
        <v>160421</v>
      </c>
      <c r="W237" s="149">
        <f t="shared" si="15"/>
        <v>2.3788518959487848E-2</v>
      </c>
      <c r="AA237" s="101"/>
      <c r="AB237" s="101"/>
      <c r="AC237" s="101"/>
      <c r="AD237" s="101"/>
      <c r="AK237" s="101"/>
      <c r="AL237" s="101"/>
      <c r="AM237" s="101"/>
    </row>
    <row r="238" spans="2:39" x14ac:dyDescent="0.25">
      <c r="B238" t="s">
        <v>155</v>
      </c>
      <c r="C238" s="101">
        <v>8599</v>
      </c>
      <c r="D238" s="101">
        <v>4633</v>
      </c>
      <c r="E238" s="101">
        <v>3966</v>
      </c>
      <c r="F238" s="101">
        <v>1</v>
      </c>
      <c r="G238" s="101">
        <v>18</v>
      </c>
      <c r="H238" s="101">
        <v>465</v>
      </c>
      <c r="I238" s="101">
        <v>455</v>
      </c>
      <c r="J238" s="101">
        <v>3085</v>
      </c>
      <c r="K238" s="101">
        <v>3119</v>
      </c>
      <c r="L238" s="101">
        <v>517</v>
      </c>
      <c r="M238" s="101">
        <v>652</v>
      </c>
      <c r="N238" s="101">
        <v>772</v>
      </c>
      <c r="O238" s="101">
        <v>95</v>
      </c>
      <c r="P238" s="101">
        <v>5858000000</v>
      </c>
      <c r="Q238" s="101">
        <v>946000000</v>
      </c>
      <c r="R238" s="101">
        <v>895500000</v>
      </c>
      <c r="S238" s="101">
        <f t="shared" si="12"/>
        <v>12426993</v>
      </c>
      <c r="T238" s="101">
        <f t="shared" si="13"/>
        <v>3827993</v>
      </c>
      <c r="U238" s="101">
        <f t="shared" si="14"/>
        <v>3827993</v>
      </c>
      <c r="V238" s="101">
        <v>110652</v>
      </c>
      <c r="W238" s="149">
        <f t="shared" si="15"/>
        <v>3.4594883056790662E-2</v>
      </c>
      <c r="AA238" s="101"/>
      <c r="AB238" s="101"/>
      <c r="AC238" s="101"/>
      <c r="AD238" s="101"/>
      <c r="AK238" s="101"/>
      <c r="AL238" s="101"/>
      <c r="AM238" s="101"/>
    </row>
    <row r="239" spans="2:39" x14ac:dyDescent="0.25">
      <c r="B239" t="s">
        <v>726</v>
      </c>
      <c r="C239" s="101">
        <v>13924</v>
      </c>
      <c r="D239" s="101">
        <v>7403</v>
      </c>
      <c r="E239" s="101">
        <v>6521</v>
      </c>
      <c r="F239" s="101">
        <v>4838</v>
      </c>
      <c r="G239" s="101">
        <v>24</v>
      </c>
      <c r="H239" s="101">
        <v>310</v>
      </c>
      <c r="I239" s="101">
        <v>99</v>
      </c>
      <c r="J239" s="101">
        <v>5886</v>
      </c>
      <c r="K239" s="101">
        <v>12693</v>
      </c>
      <c r="L239" s="101">
        <v>1290</v>
      </c>
      <c r="M239" s="101">
        <v>0</v>
      </c>
      <c r="N239" s="101">
        <v>2564</v>
      </c>
      <c r="O239" s="101">
        <v>291</v>
      </c>
      <c r="P239" s="101">
        <v>10366000000</v>
      </c>
      <c r="Q239" s="101">
        <v>1228000000</v>
      </c>
      <c r="R239" s="101">
        <v>1220997148.6761711</v>
      </c>
      <c r="S239" s="101">
        <f t="shared" si="12"/>
        <v>20683405.397963338</v>
      </c>
      <c r="T239" s="101">
        <f t="shared" si="13"/>
        <v>6759405.3979633376</v>
      </c>
      <c r="U239" s="101">
        <f t="shared" si="14"/>
        <v>6759405.3979633376</v>
      </c>
      <c r="V239" s="101">
        <v>232390</v>
      </c>
      <c r="W239" s="149">
        <f t="shared" si="15"/>
        <v>2.9086472731026883E-2</v>
      </c>
      <c r="AA239" s="101"/>
      <c r="AB239" s="101"/>
      <c r="AC239" s="101"/>
      <c r="AD239" s="101"/>
      <c r="AK239" s="101"/>
      <c r="AL239" s="101"/>
      <c r="AM239" s="101"/>
    </row>
    <row r="240" spans="2:39" x14ac:dyDescent="0.25">
      <c r="B240" t="s">
        <v>416</v>
      </c>
      <c r="C240" s="101">
        <v>3903</v>
      </c>
      <c r="D240" s="101">
        <v>3016</v>
      </c>
      <c r="E240" s="101">
        <v>887</v>
      </c>
      <c r="F240" s="101">
        <v>0</v>
      </c>
      <c r="G240" s="101">
        <v>0</v>
      </c>
      <c r="H240" s="101">
        <v>536</v>
      </c>
      <c r="I240" s="101">
        <v>145</v>
      </c>
      <c r="J240" s="101">
        <v>2347</v>
      </c>
      <c r="K240" s="101">
        <v>3063</v>
      </c>
      <c r="L240" s="101">
        <v>345</v>
      </c>
      <c r="M240" s="101">
        <v>40</v>
      </c>
      <c r="N240" s="101">
        <v>632</v>
      </c>
      <c r="O240" s="101">
        <v>3</v>
      </c>
      <c r="P240" s="101">
        <v>2968000000</v>
      </c>
      <c r="Q240" s="101">
        <v>256000000</v>
      </c>
      <c r="R240" s="101">
        <v>229500000</v>
      </c>
      <c r="S240" s="101">
        <f t="shared" si="12"/>
        <v>5573949</v>
      </c>
      <c r="T240" s="101">
        <f t="shared" si="13"/>
        <v>1670949</v>
      </c>
      <c r="U240" s="101">
        <f t="shared" si="14"/>
        <v>1670949</v>
      </c>
      <c r="V240" s="101">
        <v>65184</v>
      </c>
      <c r="W240" s="149">
        <f t="shared" si="15"/>
        <v>2.5634342783505154E-2</v>
      </c>
      <c r="AA240" s="101"/>
      <c r="AB240" s="101"/>
      <c r="AC240" s="101"/>
      <c r="AD240" s="101"/>
      <c r="AK240" s="101"/>
      <c r="AL240" s="101"/>
      <c r="AM240" s="101"/>
    </row>
    <row r="241" spans="2:39" x14ac:dyDescent="0.25">
      <c r="B241" t="s">
        <v>417</v>
      </c>
      <c r="C241" s="101">
        <v>17949</v>
      </c>
      <c r="D241" s="101">
        <v>10057</v>
      </c>
      <c r="E241" s="101">
        <v>7892</v>
      </c>
      <c r="F241" s="101">
        <v>3927</v>
      </c>
      <c r="G241" s="101">
        <v>323</v>
      </c>
      <c r="H241" s="101">
        <v>1243</v>
      </c>
      <c r="I241" s="101">
        <v>750</v>
      </c>
      <c r="J241" s="101">
        <v>6101</v>
      </c>
      <c r="K241" s="101">
        <v>8477</v>
      </c>
      <c r="L241" s="101">
        <v>971</v>
      </c>
      <c r="M241" s="101">
        <v>272</v>
      </c>
      <c r="N241" s="101">
        <v>1606</v>
      </c>
      <c r="O241" s="101">
        <v>806</v>
      </c>
      <c r="P241" s="101">
        <v>8630000000</v>
      </c>
      <c r="Q241" s="101">
        <v>2031000000</v>
      </c>
      <c r="R241" s="101">
        <v>2003993351.391283</v>
      </c>
      <c r="S241" s="101">
        <f t="shared" si="12"/>
        <v>20441299.26914553</v>
      </c>
      <c r="T241" s="101">
        <f t="shared" si="13"/>
        <v>2492299.2691455297</v>
      </c>
      <c r="U241" s="101">
        <f t="shared" si="14"/>
        <v>2492299.2691455297</v>
      </c>
      <c r="V241" s="101">
        <v>243353</v>
      </c>
      <c r="W241" s="149">
        <f t="shared" si="15"/>
        <v>1.0241498026100068E-2</v>
      </c>
      <c r="AA241" s="101"/>
      <c r="AB241" s="101"/>
      <c r="AC241" s="101"/>
      <c r="AD241" s="101"/>
      <c r="AK241" s="101"/>
      <c r="AL241" s="101"/>
      <c r="AM241" s="101"/>
    </row>
    <row r="242" spans="2:39" x14ac:dyDescent="0.25">
      <c r="B242" t="s">
        <v>383</v>
      </c>
      <c r="C242" s="101">
        <v>14914</v>
      </c>
      <c r="D242" s="101">
        <v>8896</v>
      </c>
      <c r="E242" s="101">
        <v>6018</v>
      </c>
      <c r="F242" s="101">
        <v>1927</v>
      </c>
      <c r="G242" s="101">
        <v>123</v>
      </c>
      <c r="H242" s="101">
        <v>204</v>
      </c>
      <c r="I242" s="101">
        <v>618</v>
      </c>
      <c r="J242" s="101">
        <v>14351</v>
      </c>
      <c r="K242" s="101">
        <v>11150</v>
      </c>
      <c r="L242" s="101">
        <v>973</v>
      </c>
      <c r="M242" s="101">
        <v>0</v>
      </c>
      <c r="N242" s="101">
        <v>1479</v>
      </c>
      <c r="O242" s="101">
        <v>684</v>
      </c>
      <c r="P242" s="101">
        <v>10647000000</v>
      </c>
      <c r="Q242" s="101">
        <v>2164000000</v>
      </c>
      <c r="R242" s="101">
        <v>2053474462.676219</v>
      </c>
      <c r="S242" s="101">
        <f t="shared" si="12"/>
        <v>23991261.782759421</v>
      </c>
      <c r="T242" s="101">
        <f t="shared" si="13"/>
        <v>9077261.7827594206</v>
      </c>
      <c r="U242" s="101">
        <f t="shared" si="14"/>
        <v>9077261.7827594206</v>
      </c>
      <c r="V242" s="101">
        <v>305205</v>
      </c>
      <c r="W242" s="149">
        <f t="shared" si="15"/>
        <v>2.9741523837287794E-2</v>
      </c>
      <c r="AA242" s="101"/>
      <c r="AB242" s="101"/>
      <c r="AC242" s="101"/>
      <c r="AD242" s="101"/>
      <c r="AK242" s="101"/>
      <c r="AL242" s="101"/>
      <c r="AM242" s="101"/>
    </row>
    <row r="243" spans="2:39" x14ac:dyDescent="0.25">
      <c r="B243" t="s">
        <v>314</v>
      </c>
      <c r="C243" s="101">
        <v>339456</v>
      </c>
      <c r="D243" s="101">
        <v>72347</v>
      </c>
      <c r="E243" s="101">
        <v>267109</v>
      </c>
      <c r="F243" s="101">
        <v>219279</v>
      </c>
      <c r="G243" s="101">
        <v>11400</v>
      </c>
      <c r="H243" s="101">
        <v>16815</v>
      </c>
      <c r="I243" s="101">
        <v>3579</v>
      </c>
      <c r="J243" s="101">
        <v>106864</v>
      </c>
      <c r="K243" s="101">
        <v>124198</v>
      </c>
      <c r="L243" s="101">
        <v>16216</v>
      </c>
      <c r="M243" s="101">
        <v>5246</v>
      </c>
      <c r="N243" s="101">
        <v>23021</v>
      </c>
      <c r="O243" s="101">
        <v>13490</v>
      </c>
      <c r="P243" s="101">
        <v>110981000000</v>
      </c>
      <c r="Q243" s="101">
        <v>28450000000</v>
      </c>
      <c r="R243" s="101">
        <v>28450000000</v>
      </c>
      <c r="S243" s="101">
        <f t="shared" si="12"/>
        <v>270959934</v>
      </c>
      <c r="T243" s="101">
        <f t="shared" si="13"/>
        <v>-68496066</v>
      </c>
      <c r="U243" s="101">
        <f t="shared" si="14"/>
        <v>0</v>
      </c>
      <c r="V243" s="101">
        <v>4407846</v>
      </c>
      <c r="W243" s="149">
        <f t="shared" si="15"/>
        <v>-1.553957783461582E-2</v>
      </c>
      <c r="AA243" s="101"/>
      <c r="AB243" s="101"/>
      <c r="AC243" s="101"/>
      <c r="AD243" s="101"/>
      <c r="AK243" s="101"/>
      <c r="AL243" s="101"/>
      <c r="AM243" s="101"/>
    </row>
    <row r="244" spans="2:39" x14ac:dyDescent="0.25">
      <c r="B244" t="s">
        <v>200</v>
      </c>
      <c r="C244" s="101">
        <v>511</v>
      </c>
      <c r="D244" s="101">
        <v>440</v>
      </c>
      <c r="E244" s="101">
        <v>71</v>
      </c>
      <c r="F244" s="101">
        <v>0</v>
      </c>
      <c r="G244" s="101">
        <v>0</v>
      </c>
      <c r="H244" s="101">
        <v>0</v>
      </c>
      <c r="I244" s="101">
        <v>0</v>
      </c>
      <c r="J244" s="101">
        <v>168</v>
      </c>
      <c r="K244" s="101">
        <v>217</v>
      </c>
      <c r="L244" s="101">
        <v>65</v>
      </c>
      <c r="M244" s="101">
        <v>89</v>
      </c>
      <c r="N244" s="101">
        <v>60</v>
      </c>
      <c r="O244" s="101">
        <v>1</v>
      </c>
      <c r="P244" s="101">
        <v>546000000</v>
      </c>
      <c r="Q244" s="101">
        <v>23000000</v>
      </c>
      <c r="R244" s="101">
        <v>23000000</v>
      </c>
      <c r="S244" s="101">
        <f t="shared" si="12"/>
        <v>955488</v>
      </c>
      <c r="T244" s="101">
        <f t="shared" si="13"/>
        <v>444488</v>
      </c>
      <c r="U244" s="101">
        <f t="shared" si="14"/>
        <v>444488</v>
      </c>
      <c r="V244" s="101">
        <v>9545</v>
      </c>
      <c r="W244" s="149">
        <f t="shared" si="15"/>
        <v>4.6567627029858567E-2</v>
      </c>
      <c r="AA244" s="101"/>
      <c r="AB244" s="101"/>
      <c r="AC244" s="101"/>
      <c r="AD244" s="101"/>
      <c r="AK244" s="101"/>
      <c r="AL244" s="101"/>
      <c r="AM244" s="101"/>
    </row>
    <row r="245" spans="2:39" x14ac:dyDescent="0.25">
      <c r="B245" t="s">
        <v>384</v>
      </c>
      <c r="C245" s="101">
        <v>4084</v>
      </c>
      <c r="D245" s="101">
        <v>2935</v>
      </c>
      <c r="E245" s="101">
        <v>1149</v>
      </c>
      <c r="F245" s="101">
        <v>0</v>
      </c>
      <c r="G245" s="101">
        <v>0</v>
      </c>
      <c r="H245" s="101">
        <v>116</v>
      </c>
      <c r="I245" s="101">
        <v>19</v>
      </c>
      <c r="J245" s="101">
        <v>2732</v>
      </c>
      <c r="K245" s="101">
        <v>3093</v>
      </c>
      <c r="L245" s="101">
        <v>491</v>
      </c>
      <c r="M245" s="101">
        <v>27</v>
      </c>
      <c r="N245" s="101">
        <v>613</v>
      </c>
      <c r="O245" s="101">
        <v>33</v>
      </c>
      <c r="P245" s="101">
        <v>3691000000</v>
      </c>
      <c r="Q245" s="101">
        <v>493000000</v>
      </c>
      <c r="R245" s="101">
        <v>428935025.38071066</v>
      </c>
      <c r="S245" s="101">
        <f t="shared" si="12"/>
        <v>7445277.1309644664</v>
      </c>
      <c r="T245" s="101">
        <f t="shared" si="13"/>
        <v>3361277.1309644664</v>
      </c>
      <c r="U245" s="101">
        <f t="shared" si="14"/>
        <v>3361277.1309644664</v>
      </c>
      <c r="V245" s="101">
        <v>73651</v>
      </c>
      <c r="W245" s="149">
        <f t="shared" si="15"/>
        <v>4.5637902146127902E-2</v>
      </c>
      <c r="AA245" s="101"/>
      <c r="AB245" s="101"/>
      <c r="AC245" s="101"/>
      <c r="AD245" s="101"/>
      <c r="AK245" s="101"/>
      <c r="AL245" s="101"/>
      <c r="AM245" s="101"/>
    </row>
    <row r="246" spans="2:39" x14ac:dyDescent="0.25">
      <c r="B246" t="s">
        <v>269</v>
      </c>
      <c r="C246" s="101">
        <v>13184</v>
      </c>
      <c r="D246" s="101">
        <v>9190</v>
      </c>
      <c r="E246" s="101">
        <v>3994</v>
      </c>
      <c r="F246" s="101">
        <v>7</v>
      </c>
      <c r="G246" s="101">
        <v>135</v>
      </c>
      <c r="H246" s="101">
        <v>2724</v>
      </c>
      <c r="I246" s="101">
        <v>2072</v>
      </c>
      <c r="J246" s="101">
        <v>5810</v>
      </c>
      <c r="K246" s="101">
        <v>7658</v>
      </c>
      <c r="L246" s="101">
        <v>831</v>
      </c>
      <c r="M246" s="101">
        <v>288</v>
      </c>
      <c r="N246" s="101">
        <v>1600</v>
      </c>
      <c r="O246" s="101">
        <v>178</v>
      </c>
      <c r="P246" s="101">
        <v>8153000000</v>
      </c>
      <c r="Q246" s="101">
        <v>980000000</v>
      </c>
      <c r="R246" s="101">
        <v>900500000</v>
      </c>
      <c r="S246" s="101">
        <f t="shared" si="12"/>
        <v>16194069</v>
      </c>
      <c r="T246" s="101">
        <f t="shared" si="13"/>
        <v>3010069</v>
      </c>
      <c r="U246" s="101">
        <f t="shared" si="14"/>
        <v>3010069</v>
      </c>
      <c r="V246" s="101">
        <v>153195</v>
      </c>
      <c r="W246" s="149">
        <f t="shared" si="15"/>
        <v>1.9648611247103365E-2</v>
      </c>
      <c r="AA246" s="101"/>
      <c r="AB246" s="101"/>
      <c r="AC246" s="101"/>
      <c r="AD246" s="101"/>
      <c r="AK246" s="101"/>
      <c r="AL246" s="101"/>
      <c r="AM246" s="101"/>
    </row>
    <row r="247" spans="2:39" x14ac:dyDescent="0.25">
      <c r="B247" t="s">
        <v>201</v>
      </c>
      <c r="C247" s="101">
        <v>2339</v>
      </c>
      <c r="D247" s="101">
        <v>1612</v>
      </c>
      <c r="E247" s="101">
        <v>727</v>
      </c>
      <c r="F247" s="101">
        <v>0</v>
      </c>
      <c r="G247" s="101">
        <v>0</v>
      </c>
      <c r="H247" s="101">
        <v>157</v>
      </c>
      <c r="I247" s="101">
        <v>48</v>
      </c>
      <c r="J247" s="101">
        <v>1193</v>
      </c>
      <c r="K247" s="101">
        <v>1079</v>
      </c>
      <c r="L247" s="101">
        <v>159</v>
      </c>
      <c r="M247" s="101">
        <v>155</v>
      </c>
      <c r="N247" s="101">
        <v>543</v>
      </c>
      <c r="O247" s="101">
        <v>73</v>
      </c>
      <c r="P247" s="101">
        <v>1761000000</v>
      </c>
      <c r="Q247" s="101">
        <v>183000000</v>
      </c>
      <c r="R247" s="101">
        <v>171500000</v>
      </c>
      <c r="S247" s="101">
        <f t="shared" si="12"/>
        <v>3414417</v>
      </c>
      <c r="T247" s="101">
        <f t="shared" si="13"/>
        <v>1075417</v>
      </c>
      <c r="U247" s="101">
        <f t="shared" si="14"/>
        <v>1075417</v>
      </c>
      <c r="V247" s="101">
        <v>28238</v>
      </c>
      <c r="W247" s="149">
        <f t="shared" si="15"/>
        <v>3.8084035696579074E-2</v>
      </c>
      <c r="AA247" s="101"/>
      <c r="AB247" s="101"/>
      <c r="AC247" s="101"/>
      <c r="AD247" s="101"/>
      <c r="AK247" s="101"/>
      <c r="AL247" s="101"/>
      <c r="AM247" s="101"/>
    </row>
    <row r="248" spans="2:39" x14ac:dyDescent="0.25">
      <c r="B248" t="s">
        <v>315</v>
      </c>
      <c r="C248" s="101">
        <v>16780</v>
      </c>
      <c r="D248" s="101">
        <v>8355</v>
      </c>
      <c r="E248" s="101">
        <v>8425</v>
      </c>
      <c r="F248" s="101">
        <v>3648</v>
      </c>
      <c r="G248" s="101">
        <v>164</v>
      </c>
      <c r="H248" s="101">
        <v>350</v>
      </c>
      <c r="I248" s="101">
        <v>67</v>
      </c>
      <c r="J248" s="101">
        <v>10927</v>
      </c>
      <c r="K248" s="101">
        <v>14189</v>
      </c>
      <c r="L248" s="101">
        <v>1582</v>
      </c>
      <c r="M248" s="101">
        <v>0</v>
      </c>
      <c r="N248" s="101">
        <v>1600</v>
      </c>
      <c r="O248" s="101">
        <v>1557</v>
      </c>
      <c r="P248" s="101">
        <v>11372000000</v>
      </c>
      <c r="Q248" s="101">
        <v>1666000000</v>
      </c>
      <c r="R248" s="101">
        <v>1631489642.7499249</v>
      </c>
      <c r="S248" s="101">
        <f t="shared" si="12"/>
        <v>23676556.283398379</v>
      </c>
      <c r="T248" s="101">
        <f t="shared" si="13"/>
        <v>6896556.2833983786</v>
      </c>
      <c r="U248" s="101">
        <f t="shared" si="14"/>
        <v>6896556.2833983786</v>
      </c>
      <c r="V248" s="101">
        <v>372427</v>
      </c>
      <c r="W248" s="149">
        <f t="shared" si="15"/>
        <v>1.8517874062295103E-2</v>
      </c>
      <c r="AA248" s="101"/>
      <c r="AB248" s="101"/>
      <c r="AC248" s="101"/>
      <c r="AD248" s="101"/>
      <c r="AK248" s="101"/>
      <c r="AL248" s="101"/>
      <c r="AM248" s="101"/>
    </row>
    <row r="249" spans="2:39" x14ac:dyDescent="0.25">
      <c r="B249" t="s">
        <v>133</v>
      </c>
      <c r="C249" s="101">
        <v>740</v>
      </c>
      <c r="D249" s="101">
        <v>525</v>
      </c>
      <c r="E249" s="101">
        <v>215</v>
      </c>
      <c r="F249" s="101">
        <v>0</v>
      </c>
      <c r="G249" s="101">
        <v>0</v>
      </c>
      <c r="H249" s="101">
        <v>1835</v>
      </c>
      <c r="I249" s="101">
        <v>384</v>
      </c>
      <c r="J249" s="101">
        <v>220</v>
      </c>
      <c r="K249" s="101">
        <v>383</v>
      </c>
      <c r="L249" s="101">
        <v>33</v>
      </c>
      <c r="M249" s="101">
        <v>41</v>
      </c>
      <c r="N249" s="101">
        <v>106</v>
      </c>
      <c r="O249" s="101">
        <v>69</v>
      </c>
      <c r="P249" s="101">
        <v>529000000</v>
      </c>
      <c r="Q249" s="101">
        <v>60000000</v>
      </c>
      <c r="R249" s="101">
        <v>60000000</v>
      </c>
      <c r="S249" s="101">
        <f t="shared" si="12"/>
        <v>1047486</v>
      </c>
      <c r="T249" s="101">
        <f t="shared" si="13"/>
        <v>307486</v>
      </c>
      <c r="U249" s="101">
        <f t="shared" si="14"/>
        <v>307486</v>
      </c>
      <c r="V249" s="101">
        <v>9946</v>
      </c>
      <c r="W249" s="149">
        <f t="shared" si="15"/>
        <v>3.091554393726121E-2</v>
      </c>
      <c r="AA249" s="101"/>
      <c r="AB249" s="101"/>
      <c r="AC249" s="101"/>
      <c r="AD249" s="101"/>
      <c r="AK249" s="101"/>
      <c r="AL249" s="101"/>
      <c r="AM249" s="101"/>
    </row>
    <row r="250" spans="2:39" x14ac:dyDescent="0.25">
      <c r="B250" t="s">
        <v>335</v>
      </c>
      <c r="C250" s="101">
        <v>11590</v>
      </c>
      <c r="D250" s="101">
        <v>7925</v>
      </c>
      <c r="E250" s="101">
        <v>3665</v>
      </c>
      <c r="F250" s="101">
        <v>2427</v>
      </c>
      <c r="G250" s="101">
        <v>163</v>
      </c>
      <c r="H250" s="101">
        <v>9980</v>
      </c>
      <c r="I250" s="101">
        <v>3577</v>
      </c>
      <c r="J250" s="101">
        <v>7421</v>
      </c>
      <c r="K250" s="101">
        <v>5080</v>
      </c>
      <c r="L250" s="101">
        <v>444</v>
      </c>
      <c r="M250" s="101">
        <v>627</v>
      </c>
      <c r="N250" s="101">
        <v>2056</v>
      </c>
      <c r="O250" s="101">
        <v>1117</v>
      </c>
      <c r="P250" s="101">
        <v>7599000000</v>
      </c>
      <c r="Q250" s="101">
        <v>1139000000</v>
      </c>
      <c r="R250" s="101">
        <v>982500000.00000012</v>
      </c>
      <c r="S250" s="101">
        <f t="shared" si="12"/>
        <v>15688887</v>
      </c>
      <c r="T250" s="101">
        <f t="shared" si="13"/>
        <v>4098887</v>
      </c>
      <c r="U250" s="101">
        <f t="shared" si="14"/>
        <v>4098887</v>
      </c>
      <c r="V250" s="101">
        <v>138069</v>
      </c>
      <c r="W250" s="149">
        <f t="shared" si="15"/>
        <v>2.9687236092098879E-2</v>
      </c>
      <c r="AA250" s="101"/>
      <c r="AB250" s="101"/>
      <c r="AC250" s="101"/>
      <c r="AD250" s="101"/>
      <c r="AK250" s="101"/>
      <c r="AL250" s="101"/>
      <c r="AM250" s="101"/>
    </row>
    <row r="251" spans="2:39" x14ac:dyDescent="0.25">
      <c r="B251" t="s">
        <v>441</v>
      </c>
      <c r="C251" s="101">
        <v>146222</v>
      </c>
      <c r="D251" s="101">
        <v>53550</v>
      </c>
      <c r="E251" s="101">
        <v>92672</v>
      </c>
      <c r="F251" s="101">
        <v>91688</v>
      </c>
      <c r="G251" s="101">
        <v>155</v>
      </c>
      <c r="H251" s="101">
        <v>16188</v>
      </c>
      <c r="I251" s="101">
        <v>1050</v>
      </c>
      <c r="J251" s="101">
        <v>54240</v>
      </c>
      <c r="K251" s="101">
        <v>111486</v>
      </c>
      <c r="L251" s="101">
        <v>13666</v>
      </c>
      <c r="M251" s="101">
        <v>2426</v>
      </c>
      <c r="N251" s="101">
        <v>25208</v>
      </c>
      <c r="O251" s="101">
        <v>5016</v>
      </c>
      <c r="P251" s="101">
        <v>100338000000</v>
      </c>
      <c r="Q251" s="101">
        <v>17022000000</v>
      </c>
      <c r="R251" s="101">
        <v>16917996945.040096</v>
      </c>
      <c r="S251" s="101">
        <f t="shared" si="12"/>
        <v>216724687.06929472</v>
      </c>
      <c r="T251" s="101">
        <f t="shared" si="13"/>
        <v>70502687.069294721</v>
      </c>
      <c r="U251" s="101">
        <f t="shared" si="14"/>
        <v>70502687.069294721</v>
      </c>
      <c r="V251" s="101">
        <v>2984957</v>
      </c>
      <c r="W251" s="149">
        <f t="shared" si="15"/>
        <v>2.3619330887947373E-2</v>
      </c>
      <c r="AA251" s="101"/>
      <c r="AB251" s="101"/>
      <c r="AC251" s="101"/>
      <c r="AD251" s="101"/>
      <c r="AK251" s="101"/>
      <c r="AL251" s="101"/>
      <c r="AM251" s="101"/>
    </row>
    <row r="252" spans="2:39" x14ac:dyDescent="0.25">
      <c r="B252" t="s">
        <v>476</v>
      </c>
      <c r="C252" s="101">
        <v>55315</v>
      </c>
      <c r="D252" s="101">
        <v>23052</v>
      </c>
      <c r="E252" s="101">
        <v>32263</v>
      </c>
      <c r="F252" s="101">
        <v>24211</v>
      </c>
      <c r="G252" s="101">
        <v>600</v>
      </c>
      <c r="H252" s="101">
        <v>2387</v>
      </c>
      <c r="I252" s="101">
        <v>1157</v>
      </c>
      <c r="J252" s="101">
        <v>13343</v>
      </c>
      <c r="K252" s="101">
        <v>20091</v>
      </c>
      <c r="L252" s="101">
        <v>3183</v>
      </c>
      <c r="M252" s="101">
        <v>154</v>
      </c>
      <c r="N252" s="101">
        <v>4482</v>
      </c>
      <c r="O252" s="101">
        <v>2457</v>
      </c>
      <c r="P252" s="101">
        <v>30838000000</v>
      </c>
      <c r="Q252" s="101">
        <v>5339000000</v>
      </c>
      <c r="R252" s="101">
        <v>5252491898.4733543</v>
      </c>
      <c r="S252" s="101">
        <f t="shared" si="12"/>
        <v>66867199.924135998</v>
      </c>
      <c r="T252" s="101">
        <f t="shared" si="13"/>
        <v>11552199.924135998</v>
      </c>
      <c r="U252" s="101">
        <f t="shared" si="14"/>
        <v>11552199.924135998</v>
      </c>
      <c r="V252" s="101">
        <v>817765</v>
      </c>
      <c r="W252" s="149">
        <f t="shared" si="15"/>
        <v>1.4126552156348093E-2</v>
      </c>
      <c r="AA252" s="101"/>
      <c r="AB252" s="101"/>
      <c r="AC252" s="101"/>
      <c r="AD252" s="101"/>
      <c r="AK252" s="101"/>
      <c r="AL252" s="101"/>
      <c r="AM252" s="101"/>
    </row>
    <row r="253" spans="2:39" x14ac:dyDescent="0.25">
      <c r="B253" t="s">
        <v>418</v>
      </c>
      <c r="C253" s="101">
        <v>2250</v>
      </c>
      <c r="D253" s="101">
        <v>1954</v>
      </c>
      <c r="E253" s="101">
        <v>296</v>
      </c>
      <c r="F253" s="101">
        <v>2</v>
      </c>
      <c r="G253" s="101">
        <v>0</v>
      </c>
      <c r="H253" s="101">
        <v>61</v>
      </c>
      <c r="I253" s="101">
        <v>39</v>
      </c>
      <c r="J253" s="101">
        <v>1689</v>
      </c>
      <c r="K253" s="101">
        <v>1427</v>
      </c>
      <c r="L253" s="101">
        <v>183</v>
      </c>
      <c r="M253" s="101">
        <v>30</v>
      </c>
      <c r="N253" s="101">
        <v>35</v>
      </c>
      <c r="O253" s="101">
        <v>9</v>
      </c>
      <c r="P253" s="101">
        <v>1289000000</v>
      </c>
      <c r="Q253" s="101">
        <v>102000000</v>
      </c>
      <c r="R253" s="101">
        <v>89500000</v>
      </c>
      <c r="S253" s="101">
        <f t="shared" si="12"/>
        <v>2389527</v>
      </c>
      <c r="T253" s="101">
        <f t="shared" si="13"/>
        <v>139527</v>
      </c>
      <c r="U253" s="101">
        <f t="shared" si="14"/>
        <v>139527</v>
      </c>
      <c r="V253" s="101">
        <v>32026</v>
      </c>
      <c r="W253" s="149">
        <f t="shared" si="15"/>
        <v>4.3566789483544619E-3</v>
      </c>
      <c r="AA253" s="101"/>
      <c r="AB253" s="101"/>
      <c r="AC253" s="101"/>
      <c r="AD253" s="101"/>
      <c r="AK253" s="101"/>
      <c r="AL253" s="101"/>
      <c r="AM253" s="101"/>
    </row>
    <row r="254" spans="2:39" x14ac:dyDescent="0.25">
      <c r="B254" t="s">
        <v>385</v>
      </c>
      <c r="C254" s="101">
        <v>8334</v>
      </c>
      <c r="D254" s="101">
        <v>6720</v>
      </c>
      <c r="E254" s="101">
        <v>1614</v>
      </c>
      <c r="F254" s="101">
        <v>0</v>
      </c>
      <c r="G254" s="101">
        <v>0</v>
      </c>
      <c r="H254" s="101">
        <v>168</v>
      </c>
      <c r="I254" s="101">
        <v>47</v>
      </c>
      <c r="J254" s="101">
        <v>1976</v>
      </c>
      <c r="K254" s="101">
        <v>3323</v>
      </c>
      <c r="L254" s="101">
        <v>438</v>
      </c>
      <c r="M254" s="101">
        <v>3</v>
      </c>
      <c r="N254" s="101">
        <v>615</v>
      </c>
      <c r="O254" s="101">
        <v>86</v>
      </c>
      <c r="P254" s="101">
        <v>5796000000</v>
      </c>
      <c r="Q254" s="101">
        <v>366000000</v>
      </c>
      <c r="R254" s="101">
        <v>333500000</v>
      </c>
      <c r="S254" s="101">
        <f t="shared" si="12"/>
        <v>10483737</v>
      </c>
      <c r="T254" s="101">
        <f t="shared" si="13"/>
        <v>2149737</v>
      </c>
      <c r="U254" s="101">
        <f t="shared" si="14"/>
        <v>2149737</v>
      </c>
      <c r="V254" s="101">
        <v>82986</v>
      </c>
      <c r="W254" s="149">
        <f t="shared" si="15"/>
        <v>2.590481527004555E-2</v>
      </c>
      <c r="AA254" s="101"/>
      <c r="AB254" s="101"/>
      <c r="AC254" s="101"/>
      <c r="AD254" s="101"/>
      <c r="AK254" s="101"/>
      <c r="AL254" s="101"/>
      <c r="AM254" s="101"/>
    </row>
    <row r="255" spans="2:39" x14ac:dyDescent="0.25">
      <c r="B255" t="s">
        <v>419</v>
      </c>
      <c r="C255" s="101">
        <v>60515</v>
      </c>
      <c r="D255" s="101">
        <v>20218</v>
      </c>
      <c r="E255" s="101">
        <v>40297</v>
      </c>
      <c r="F255" s="101">
        <v>5845</v>
      </c>
      <c r="G255" s="101">
        <v>67</v>
      </c>
      <c r="H255" s="101">
        <v>326</v>
      </c>
      <c r="I255" s="101">
        <v>664</v>
      </c>
      <c r="J255" s="101">
        <v>11342</v>
      </c>
      <c r="K255" s="101">
        <v>14508</v>
      </c>
      <c r="L255" s="101">
        <v>1768</v>
      </c>
      <c r="M255" s="101">
        <v>506</v>
      </c>
      <c r="N255" s="101">
        <v>2152</v>
      </c>
      <c r="O255" s="101">
        <v>630</v>
      </c>
      <c r="P255" s="101">
        <v>11791000000</v>
      </c>
      <c r="Q255" s="101">
        <v>3220000000</v>
      </c>
      <c r="R255" s="101">
        <v>3150489206.398509</v>
      </c>
      <c r="S255" s="101">
        <f t="shared" si="12"/>
        <v>29312643.579127196</v>
      </c>
      <c r="T255" s="101">
        <f t="shared" si="13"/>
        <v>-31202356.420872804</v>
      </c>
      <c r="U255" s="101">
        <f t="shared" si="14"/>
        <v>0</v>
      </c>
      <c r="V255" s="101">
        <v>418014</v>
      </c>
      <c r="W255" s="149">
        <f t="shared" si="15"/>
        <v>-7.4644285648023279E-2</v>
      </c>
      <c r="AA255" s="101"/>
      <c r="AB255" s="101"/>
      <c r="AC255" s="101"/>
      <c r="AD255" s="101"/>
      <c r="AK255" s="101"/>
      <c r="AL255" s="101"/>
      <c r="AM255" s="101"/>
    </row>
    <row r="256" spans="2:39" x14ac:dyDescent="0.25">
      <c r="B256" t="s">
        <v>316</v>
      </c>
      <c r="C256" s="101">
        <v>5115</v>
      </c>
      <c r="D256" s="101">
        <v>2537</v>
      </c>
      <c r="E256" s="101">
        <v>2578</v>
      </c>
      <c r="F256" s="101">
        <v>0</v>
      </c>
      <c r="G256" s="101">
        <v>43</v>
      </c>
      <c r="H256" s="101">
        <v>0</v>
      </c>
      <c r="I256" s="101">
        <v>276</v>
      </c>
      <c r="J256" s="101">
        <v>3782</v>
      </c>
      <c r="K256" s="101">
        <v>3992</v>
      </c>
      <c r="L256" s="101">
        <v>464</v>
      </c>
      <c r="M256" s="101">
        <v>597</v>
      </c>
      <c r="N256" s="101">
        <v>497</v>
      </c>
      <c r="O256" s="101">
        <v>200</v>
      </c>
      <c r="P256" s="101">
        <v>3595000000</v>
      </c>
      <c r="Q256" s="101">
        <v>696000000</v>
      </c>
      <c r="R256" s="101">
        <v>668000000</v>
      </c>
      <c r="S256" s="101">
        <f t="shared" si="12"/>
        <v>8003826</v>
      </c>
      <c r="T256" s="101">
        <f t="shared" si="13"/>
        <v>2888826</v>
      </c>
      <c r="U256" s="101">
        <f t="shared" si="14"/>
        <v>2888826</v>
      </c>
      <c r="V256" s="101">
        <v>91336</v>
      </c>
      <c r="W256" s="149">
        <f t="shared" si="15"/>
        <v>3.16285582902689E-2</v>
      </c>
      <c r="AA256" s="101"/>
      <c r="AB256" s="101"/>
      <c r="AC256" s="101"/>
      <c r="AD256" s="101"/>
      <c r="AK256" s="101"/>
      <c r="AL256" s="101"/>
      <c r="AM256" s="101"/>
    </row>
    <row r="257" spans="2:39" x14ac:dyDescent="0.25">
      <c r="B257" t="s">
        <v>336</v>
      </c>
      <c r="C257" s="101">
        <v>7364</v>
      </c>
      <c r="D257" s="101">
        <v>4733</v>
      </c>
      <c r="E257" s="101">
        <v>2631</v>
      </c>
      <c r="F257" s="101">
        <v>3058</v>
      </c>
      <c r="G257" s="101">
        <v>273</v>
      </c>
      <c r="H257" s="101">
        <v>6894</v>
      </c>
      <c r="I257" s="101">
        <v>6175</v>
      </c>
      <c r="J257" s="101">
        <v>4968</v>
      </c>
      <c r="K257" s="101">
        <v>4074</v>
      </c>
      <c r="L257" s="101">
        <v>442</v>
      </c>
      <c r="M257" s="101">
        <v>234</v>
      </c>
      <c r="N257" s="101">
        <v>512</v>
      </c>
      <c r="O257" s="101">
        <v>116</v>
      </c>
      <c r="P257" s="101">
        <v>6583000000</v>
      </c>
      <c r="Q257" s="101">
        <v>712000000</v>
      </c>
      <c r="R257" s="101">
        <v>633000000</v>
      </c>
      <c r="S257" s="101">
        <f t="shared" si="12"/>
        <v>12795792</v>
      </c>
      <c r="T257" s="101">
        <f t="shared" si="13"/>
        <v>5431792</v>
      </c>
      <c r="U257" s="101">
        <f t="shared" si="14"/>
        <v>5431792</v>
      </c>
      <c r="V257" s="101">
        <v>102920</v>
      </c>
      <c r="W257" s="149">
        <f t="shared" si="15"/>
        <v>5.2776836377769143E-2</v>
      </c>
      <c r="AA257" s="101"/>
      <c r="AB257" s="101"/>
      <c r="AC257" s="101"/>
      <c r="AD257" s="101"/>
      <c r="AK257" s="101"/>
      <c r="AL257" s="101"/>
      <c r="AM257" s="101"/>
    </row>
    <row r="258" spans="2:39" x14ac:dyDescent="0.25">
      <c r="B258" t="s">
        <v>134</v>
      </c>
      <c r="C258" s="101">
        <v>16221</v>
      </c>
      <c r="D258" s="101">
        <v>7773</v>
      </c>
      <c r="E258" s="101">
        <v>8448</v>
      </c>
      <c r="F258" s="101">
        <v>3418</v>
      </c>
      <c r="G258" s="101">
        <v>0</v>
      </c>
      <c r="H258" s="101">
        <v>150</v>
      </c>
      <c r="I258" s="101">
        <v>414</v>
      </c>
      <c r="J258" s="101">
        <v>8068</v>
      </c>
      <c r="K258" s="101">
        <v>7029</v>
      </c>
      <c r="L258" s="101">
        <v>672</v>
      </c>
      <c r="M258" s="101">
        <v>489</v>
      </c>
      <c r="N258" s="101">
        <v>1212</v>
      </c>
      <c r="O258" s="101">
        <v>280</v>
      </c>
      <c r="P258" s="101">
        <v>7469000000</v>
      </c>
      <c r="Q258" s="101">
        <v>1476000000</v>
      </c>
      <c r="R258" s="101">
        <v>1387000000</v>
      </c>
      <c r="S258" s="101">
        <f t="shared" si="12"/>
        <v>16675848</v>
      </c>
      <c r="T258" s="101">
        <f t="shared" si="13"/>
        <v>454848</v>
      </c>
      <c r="U258" s="101">
        <f t="shared" si="14"/>
        <v>454848</v>
      </c>
      <c r="V258" s="101">
        <v>228510</v>
      </c>
      <c r="W258" s="149">
        <f t="shared" si="15"/>
        <v>1.9904949455166075E-3</v>
      </c>
      <c r="AA258" s="101"/>
      <c r="AB258" s="101"/>
      <c r="AC258" s="101"/>
      <c r="AD258" s="101"/>
      <c r="AK258" s="101"/>
      <c r="AL258" s="101"/>
      <c r="AM258" s="101"/>
    </row>
    <row r="259" spans="2:39" x14ac:dyDescent="0.25">
      <c r="B259" t="s">
        <v>227</v>
      </c>
      <c r="C259" s="101">
        <v>10964</v>
      </c>
      <c r="D259" s="101">
        <v>6688</v>
      </c>
      <c r="E259" s="101">
        <v>4276</v>
      </c>
      <c r="F259" s="101">
        <v>11</v>
      </c>
      <c r="G259" s="101">
        <v>0</v>
      </c>
      <c r="H259" s="101">
        <v>0</v>
      </c>
      <c r="I259" s="101">
        <v>173</v>
      </c>
      <c r="J259" s="101">
        <v>4864</v>
      </c>
      <c r="K259" s="101">
        <v>6980</v>
      </c>
      <c r="L259" s="101">
        <v>844</v>
      </c>
      <c r="M259" s="101">
        <v>686</v>
      </c>
      <c r="N259" s="101">
        <v>1408</v>
      </c>
      <c r="O259" s="101">
        <v>132</v>
      </c>
      <c r="P259" s="101">
        <v>9723000000</v>
      </c>
      <c r="Q259" s="101">
        <v>1112000000</v>
      </c>
      <c r="R259" s="101">
        <v>1100995051.7318938</v>
      </c>
      <c r="S259" s="101">
        <f t="shared" ref="S259:S322" si="16">0.001614*(SUM(P259,Q259,R259))</f>
        <v>19264696.013495278</v>
      </c>
      <c r="T259" s="101">
        <f t="shared" ref="T259:T322" si="17">SUM(S259,-C259*1000)</f>
        <v>8300696.0134952776</v>
      </c>
      <c r="U259" s="101">
        <f t="shared" ref="U259:U322" si="18">IF(T259&gt;0,T259,0)</f>
        <v>8300696.0134952776</v>
      </c>
      <c r="V259" s="101">
        <v>149003</v>
      </c>
      <c r="W259" s="149">
        <f t="shared" ref="W259:W322" si="19">T259/(V259*1000)</f>
        <v>5.5708247575520474E-2</v>
      </c>
      <c r="AA259" s="101"/>
      <c r="AB259" s="101"/>
      <c r="AC259" s="101"/>
      <c r="AD259" s="101"/>
      <c r="AK259" s="101"/>
      <c r="AL259" s="101"/>
      <c r="AM259" s="101"/>
    </row>
    <row r="260" spans="2:39" x14ac:dyDescent="0.25">
      <c r="B260" t="s">
        <v>386</v>
      </c>
      <c r="C260" s="101">
        <v>5206</v>
      </c>
      <c r="D260" s="101">
        <v>3567</v>
      </c>
      <c r="E260" s="101">
        <v>1639</v>
      </c>
      <c r="F260" s="101">
        <v>0</v>
      </c>
      <c r="G260" s="101">
        <v>0</v>
      </c>
      <c r="H260" s="101">
        <v>390</v>
      </c>
      <c r="I260" s="101">
        <v>115</v>
      </c>
      <c r="J260" s="101">
        <v>2139</v>
      </c>
      <c r="K260" s="101">
        <v>2008</v>
      </c>
      <c r="L260" s="101">
        <v>238</v>
      </c>
      <c r="M260" s="101">
        <v>0</v>
      </c>
      <c r="N260" s="101">
        <v>832</v>
      </c>
      <c r="O260" s="101">
        <v>80</v>
      </c>
      <c r="P260" s="101">
        <v>3484000000</v>
      </c>
      <c r="Q260" s="101">
        <v>541000000</v>
      </c>
      <c r="R260" s="101">
        <v>488951896.39222938</v>
      </c>
      <c r="S260" s="101">
        <f t="shared" si="16"/>
        <v>7285518.3607770577</v>
      </c>
      <c r="T260" s="101">
        <f t="shared" si="17"/>
        <v>2079518.3607770577</v>
      </c>
      <c r="U260" s="101">
        <f t="shared" si="18"/>
        <v>2079518.3607770577</v>
      </c>
      <c r="V260" s="101">
        <v>58150</v>
      </c>
      <c r="W260" s="149">
        <f t="shared" si="19"/>
        <v>3.576127877518586E-2</v>
      </c>
      <c r="AA260" s="101"/>
      <c r="AB260" s="101"/>
      <c r="AC260" s="101"/>
      <c r="AD260" s="101"/>
      <c r="AK260" s="101"/>
      <c r="AL260" s="101"/>
      <c r="AM260" s="101"/>
    </row>
    <row r="261" spans="2:39" x14ac:dyDescent="0.25">
      <c r="B261" t="s">
        <v>387</v>
      </c>
      <c r="C261" s="101">
        <v>5480</v>
      </c>
      <c r="D261" s="101">
        <v>2804</v>
      </c>
      <c r="E261" s="101">
        <v>2676</v>
      </c>
      <c r="F261" s="101">
        <v>0</v>
      </c>
      <c r="G261" s="101">
        <v>10</v>
      </c>
      <c r="H261" s="101">
        <v>0</v>
      </c>
      <c r="I261" s="101">
        <v>0</v>
      </c>
      <c r="J261" s="101">
        <v>1594</v>
      </c>
      <c r="K261" s="101">
        <v>2359</v>
      </c>
      <c r="L261" s="101">
        <v>210</v>
      </c>
      <c r="M261" s="101">
        <v>0</v>
      </c>
      <c r="N261" s="101">
        <v>669</v>
      </c>
      <c r="O261" s="101">
        <v>83</v>
      </c>
      <c r="P261" s="101">
        <v>3747000000</v>
      </c>
      <c r="Q261" s="101">
        <v>806000000</v>
      </c>
      <c r="R261" s="101">
        <v>806000000</v>
      </c>
      <c r="S261" s="101">
        <f t="shared" si="16"/>
        <v>8649426</v>
      </c>
      <c r="T261" s="101">
        <f t="shared" si="17"/>
        <v>3169426</v>
      </c>
      <c r="U261" s="101">
        <f t="shared" si="18"/>
        <v>3169426</v>
      </c>
      <c r="V261" s="101">
        <v>48108</v>
      </c>
      <c r="W261" s="149">
        <f t="shared" si="19"/>
        <v>6.5881475014550592E-2</v>
      </c>
      <c r="AA261" s="101"/>
      <c r="AB261" s="101"/>
      <c r="AC261" s="101"/>
      <c r="AD261" s="101"/>
      <c r="AK261" s="101"/>
      <c r="AL261" s="101"/>
      <c r="AM261" s="101"/>
    </row>
    <row r="262" spans="2:39" x14ac:dyDescent="0.25">
      <c r="B262" t="s">
        <v>123</v>
      </c>
      <c r="C262" s="101">
        <v>8608</v>
      </c>
      <c r="D262" s="101">
        <v>5289</v>
      </c>
      <c r="E262" s="101">
        <v>3319</v>
      </c>
      <c r="F262" s="101">
        <v>0</v>
      </c>
      <c r="G262" s="101">
        <v>0</v>
      </c>
      <c r="H262" s="101">
        <v>173</v>
      </c>
      <c r="I262" s="101">
        <v>59</v>
      </c>
      <c r="J262" s="101">
        <v>3029</v>
      </c>
      <c r="K262" s="101">
        <v>3559</v>
      </c>
      <c r="L262" s="101">
        <v>622</v>
      </c>
      <c r="M262" s="101">
        <v>60</v>
      </c>
      <c r="N262" s="101">
        <v>450</v>
      </c>
      <c r="O262" s="101">
        <v>142</v>
      </c>
      <c r="P262" s="101">
        <v>3802000000</v>
      </c>
      <c r="Q262" s="101">
        <v>501000000</v>
      </c>
      <c r="R262" s="101">
        <v>439438561.43856144</v>
      </c>
      <c r="S262" s="101">
        <f t="shared" si="16"/>
        <v>7654295.8381618382</v>
      </c>
      <c r="T262" s="101">
        <f t="shared" si="17"/>
        <v>-953704.16183816176</v>
      </c>
      <c r="U262" s="101">
        <f t="shared" si="18"/>
        <v>0</v>
      </c>
      <c r="V262" s="101">
        <v>143829</v>
      </c>
      <c r="W262" s="149">
        <f t="shared" si="19"/>
        <v>-6.6308196666747437E-3</v>
      </c>
      <c r="AA262" s="101"/>
      <c r="AB262" s="101"/>
      <c r="AC262" s="101"/>
      <c r="AD262" s="101"/>
      <c r="AK262" s="101"/>
      <c r="AL262" s="101"/>
      <c r="AM262" s="101"/>
    </row>
    <row r="263" spans="2:39" x14ac:dyDescent="0.25">
      <c r="B263" t="s">
        <v>156</v>
      </c>
      <c r="C263" s="101">
        <v>4422</v>
      </c>
      <c r="D263" s="101">
        <v>2266</v>
      </c>
      <c r="E263" s="101">
        <v>2156</v>
      </c>
      <c r="F263" s="101">
        <v>0</v>
      </c>
      <c r="G263" s="101">
        <v>0</v>
      </c>
      <c r="H263" s="101">
        <v>127</v>
      </c>
      <c r="I263" s="101">
        <v>147</v>
      </c>
      <c r="J263" s="101">
        <v>1621</v>
      </c>
      <c r="K263" s="101">
        <v>1482</v>
      </c>
      <c r="L263" s="101">
        <v>322</v>
      </c>
      <c r="M263" s="101">
        <v>378</v>
      </c>
      <c r="N263" s="101">
        <v>748</v>
      </c>
      <c r="O263" s="101">
        <v>70</v>
      </c>
      <c r="P263" s="101">
        <v>2162000000</v>
      </c>
      <c r="Q263" s="101">
        <v>582000000</v>
      </c>
      <c r="R263" s="101">
        <v>508500000</v>
      </c>
      <c r="S263" s="101">
        <f t="shared" si="16"/>
        <v>5249535</v>
      </c>
      <c r="T263" s="101">
        <f t="shared" si="17"/>
        <v>827535</v>
      </c>
      <c r="U263" s="101">
        <f t="shared" si="18"/>
        <v>827535</v>
      </c>
      <c r="V263" s="101">
        <v>57335</v>
      </c>
      <c r="W263" s="149">
        <f t="shared" si="19"/>
        <v>1.4433330426441092E-2</v>
      </c>
      <c r="AA263" s="101"/>
      <c r="AB263" s="101"/>
      <c r="AC263" s="101"/>
      <c r="AD263" s="101"/>
      <c r="AK263" s="101"/>
      <c r="AL263" s="101"/>
      <c r="AM263" s="101"/>
    </row>
    <row r="264" spans="2:39" x14ac:dyDescent="0.25">
      <c r="B264" t="s">
        <v>270</v>
      </c>
      <c r="C264" s="101">
        <v>5679</v>
      </c>
      <c r="D264" s="101">
        <v>4587</v>
      </c>
      <c r="E264" s="101">
        <v>1092</v>
      </c>
      <c r="F264" s="101">
        <v>0</v>
      </c>
      <c r="G264" s="101">
        <v>0</v>
      </c>
      <c r="H264" s="101">
        <v>84</v>
      </c>
      <c r="I264" s="101">
        <v>118</v>
      </c>
      <c r="J264" s="101">
        <v>1980</v>
      </c>
      <c r="K264" s="101">
        <v>3548</v>
      </c>
      <c r="L264" s="101">
        <v>368</v>
      </c>
      <c r="M264" s="101">
        <v>10</v>
      </c>
      <c r="N264" s="101">
        <v>306</v>
      </c>
      <c r="O264" s="101">
        <v>74</v>
      </c>
      <c r="P264" s="101">
        <v>3409000000</v>
      </c>
      <c r="Q264" s="101">
        <v>303000000</v>
      </c>
      <c r="R264" s="101">
        <v>285000000</v>
      </c>
      <c r="S264" s="101">
        <f t="shared" si="16"/>
        <v>6451158</v>
      </c>
      <c r="T264" s="101">
        <f t="shared" si="17"/>
        <v>772158</v>
      </c>
      <c r="U264" s="101">
        <f t="shared" si="18"/>
        <v>772158</v>
      </c>
      <c r="V264" s="101">
        <v>65825</v>
      </c>
      <c r="W264" s="149">
        <f t="shared" si="19"/>
        <v>1.1730467147740221E-2</v>
      </c>
      <c r="AA264" s="101"/>
      <c r="AB264" s="101"/>
      <c r="AC264" s="101"/>
      <c r="AD264" s="101"/>
      <c r="AK264" s="101"/>
      <c r="AL264" s="101"/>
      <c r="AM264" s="101"/>
    </row>
    <row r="265" spans="2:39" x14ac:dyDescent="0.25">
      <c r="B265" t="s">
        <v>388</v>
      </c>
      <c r="C265" s="101">
        <v>5615</v>
      </c>
      <c r="D265" s="101">
        <v>3310</v>
      </c>
      <c r="E265" s="101">
        <v>2305</v>
      </c>
      <c r="F265" s="101">
        <v>0</v>
      </c>
      <c r="G265" s="101">
        <v>0</v>
      </c>
      <c r="H265" s="101">
        <v>115</v>
      </c>
      <c r="I265" s="101">
        <v>103</v>
      </c>
      <c r="J265" s="101">
        <v>1899</v>
      </c>
      <c r="K265" s="101">
        <v>3932</v>
      </c>
      <c r="L265" s="101">
        <v>441</v>
      </c>
      <c r="M265" s="101">
        <v>33</v>
      </c>
      <c r="N265" s="101">
        <v>657</v>
      </c>
      <c r="O265" s="101">
        <v>64</v>
      </c>
      <c r="P265" s="101">
        <v>3613000000</v>
      </c>
      <c r="Q265" s="101">
        <v>677000000</v>
      </c>
      <c r="R265" s="101">
        <v>605500000</v>
      </c>
      <c r="S265" s="101">
        <f t="shared" si="16"/>
        <v>7901337</v>
      </c>
      <c r="T265" s="101">
        <f t="shared" si="17"/>
        <v>2286337</v>
      </c>
      <c r="U265" s="101">
        <f t="shared" si="18"/>
        <v>2286337</v>
      </c>
      <c r="V265" s="101">
        <v>74401</v>
      </c>
      <c r="W265" s="149">
        <f t="shared" si="19"/>
        <v>3.0729922984906118E-2</v>
      </c>
      <c r="AA265" s="101"/>
      <c r="AB265" s="101"/>
      <c r="AC265" s="101"/>
      <c r="AD265" s="101"/>
      <c r="AK265" s="101"/>
      <c r="AL265" s="101"/>
      <c r="AM265" s="101"/>
    </row>
    <row r="266" spans="2:39" x14ac:dyDescent="0.25">
      <c r="B266" t="s">
        <v>157</v>
      </c>
      <c r="C266" s="101">
        <v>8505</v>
      </c>
      <c r="D266" s="101">
        <v>5133</v>
      </c>
      <c r="E266" s="101">
        <v>3372</v>
      </c>
      <c r="F266" s="101">
        <v>11</v>
      </c>
      <c r="G266" s="101">
        <v>0</v>
      </c>
      <c r="H266" s="101">
        <v>892</v>
      </c>
      <c r="I266" s="101">
        <v>881</v>
      </c>
      <c r="J266" s="101">
        <v>4846</v>
      </c>
      <c r="K266" s="101">
        <v>4349</v>
      </c>
      <c r="L266" s="101">
        <v>683</v>
      </c>
      <c r="M266" s="101">
        <v>612</v>
      </c>
      <c r="N266" s="101">
        <v>1562</v>
      </c>
      <c r="O266" s="101">
        <v>519</v>
      </c>
      <c r="P266" s="101">
        <v>6633000000</v>
      </c>
      <c r="Q266" s="101">
        <v>981000000</v>
      </c>
      <c r="R266" s="101">
        <v>869000000</v>
      </c>
      <c r="S266" s="101">
        <f t="shared" si="16"/>
        <v>13691562</v>
      </c>
      <c r="T266" s="101">
        <f t="shared" si="17"/>
        <v>5186562</v>
      </c>
      <c r="U266" s="101">
        <f t="shared" si="18"/>
        <v>5186562</v>
      </c>
      <c r="V266" s="101">
        <v>153391</v>
      </c>
      <c r="W266" s="149">
        <f t="shared" si="19"/>
        <v>3.3812687836965664E-2</v>
      </c>
      <c r="AA266" s="101"/>
      <c r="AB266" s="101"/>
      <c r="AC266" s="101"/>
      <c r="AD266" s="101"/>
      <c r="AK266" s="101"/>
      <c r="AL266" s="101"/>
      <c r="AM266" s="101"/>
    </row>
    <row r="267" spans="2:39" x14ac:dyDescent="0.25">
      <c r="B267" t="s">
        <v>727</v>
      </c>
      <c r="C267" s="101">
        <v>6272</v>
      </c>
      <c r="D267" s="101">
        <v>4087</v>
      </c>
      <c r="E267" s="101">
        <v>2185</v>
      </c>
      <c r="F267" s="101">
        <v>0</v>
      </c>
      <c r="G267" s="101">
        <v>0</v>
      </c>
      <c r="H267" s="101">
        <v>203</v>
      </c>
      <c r="I267" s="101">
        <v>0</v>
      </c>
      <c r="J267" s="101">
        <v>3348</v>
      </c>
      <c r="K267" s="101">
        <v>3734</v>
      </c>
      <c r="L267" s="101">
        <v>434</v>
      </c>
      <c r="M267" s="101">
        <v>45</v>
      </c>
      <c r="N267" s="101">
        <v>271</v>
      </c>
      <c r="O267" s="101">
        <v>54</v>
      </c>
      <c r="P267" s="101">
        <v>3411000000</v>
      </c>
      <c r="Q267" s="101">
        <v>342000000</v>
      </c>
      <c r="R267" s="101">
        <v>328980966.32503664</v>
      </c>
      <c r="S267" s="101">
        <f t="shared" si="16"/>
        <v>6588317.2796486085</v>
      </c>
      <c r="T267" s="101">
        <f t="shared" si="17"/>
        <v>316317.27964860853</v>
      </c>
      <c r="U267" s="101">
        <f t="shared" si="18"/>
        <v>316317.27964860853</v>
      </c>
      <c r="V267" s="101">
        <v>83657</v>
      </c>
      <c r="W267" s="149">
        <f t="shared" si="19"/>
        <v>3.7811214799551565E-3</v>
      </c>
      <c r="AA267" s="101"/>
      <c r="AB267" s="101"/>
      <c r="AC267" s="101"/>
      <c r="AD267" s="101"/>
      <c r="AK267" s="101"/>
      <c r="AL267" s="101"/>
      <c r="AM267" s="101"/>
    </row>
    <row r="268" spans="2:39" x14ac:dyDescent="0.25">
      <c r="B268" t="s">
        <v>228</v>
      </c>
      <c r="C268" s="101">
        <v>14924</v>
      </c>
      <c r="D268" s="101">
        <v>11218</v>
      </c>
      <c r="E268" s="101">
        <v>3706</v>
      </c>
      <c r="F268" s="101">
        <v>64</v>
      </c>
      <c r="G268" s="101">
        <v>109</v>
      </c>
      <c r="H268" s="101">
        <v>596</v>
      </c>
      <c r="I268" s="101">
        <v>571</v>
      </c>
      <c r="J268" s="101">
        <v>8402</v>
      </c>
      <c r="K268" s="101">
        <v>10247</v>
      </c>
      <c r="L268" s="101">
        <v>1423</v>
      </c>
      <c r="M268" s="101">
        <v>600</v>
      </c>
      <c r="N268" s="101">
        <v>3474</v>
      </c>
      <c r="O268" s="101">
        <v>254</v>
      </c>
      <c r="P268" s="101">
        <v>13179000000</v>
      </c>
      <c r="Q268" s="101">
        <v>1112000000</v>
      </c>
      <c r="R268" s="101">
        <v>1058475933.4233018</v>
      </c>
      <c r="S268" s="101">
        <f t="shared" si="16"/>
        <v>24774054.156545207</v>
      </c>
      <c r="T268" s="101">
        <f t="shared" si="17"/>
        <v>9850054.1565452069</v>
      </c>
      <c r="U268" s="101">
        <f t="shared" si="18"/>
        <v>9850054.1565452069</v>
      </c>
      <c r="V268" s="101">
        <v>178575</v>
      </c>
      <c r="W268" s="149">
        <f t="shared" si="19"/>
        <v>5.5159200092651309E-2</v>
      </c>
      <c r="AA268" s="101"/>
      <c r="AB268" s="101"/>
      <c r="AC268" s="101"/>
      <c r="AD268" s="101"/>
      <c r="AK268" s="101"/>
      <c r="AL268" s="101"/>
      <c r="AM268" s="101"/>
    </row>
    <row r="269" spans="2:39" x14ac:dyDescent="0.25">
      <c r="B269" t="s">
        <v>438</v>
      </c>
      <c r="C269" s="101">
        <v>25292</v>
      </c>
      <c r="D269" s="101">
        <v>13764</v>
      </c>
      <c r="E269" s="101">
        <v>11528</v>
      </c>
      <c r="F269" s="101">
        <v>2077</v>
      </c>
      <c r="G269" s="101">
        <v>116</v>
      </c>
      <c r="H269" s="101">
        <v>2272</v>
      </c>
      <c r="I269" s="101">
        <v>2142</v>
      </c>
      <c r="J269" s="101">
        <v>9436</v>
      </c>
      <c r="K269" s="101">
        <v>11629</v>
      </c>
      <c r="L269" s="101">
        <v>1462</v>
      </c>
      <c r="M269" s="101">
        <v>625</v>
      </c>
      <c r="N269" s="101">
        <v>2416</v>
      </c>
      <c r="O269" s="101">
        <v>1552</v>
      </c>
      <c r="P269" s="101">
        <v>12788000000</v>
      </c>
      <c r="Q269" s="101">
        <v>2579000000</v>
      </c>
      <c r="R269" s="101">
        <v>2371000000</v>
      </c>
      <c r="S269" s="101">
        <f t="shared" si="16"/>
        <v>28629132</v>
      </c>
      <c r="T269" s="101">
        <f t="shared" si="17"/>
        <v>3337132</v>
      </c>
      <c r="U269" s="101">
        <f t="shared" si="18"/>
        <v>3337132</v>
      </c>
      <c r="V269" s="101">
        <v>325744</v>
      </c>
      <c r="W269" s="149">
        <f t="shared" si="19"/>
        <v>1.0244646102460828E-2</v>
      </c>
      <c r="AA269" s="101"/>
      <c r="AB269" s="101"/>
      <c r="AC269" s="101"/>
      <c r="AD269" s="101"/>
      <c r="AK269" s="101"/>
      <c r="AL269" s="101"/>
      <c r="AM269" s="101"/>
    </row>
    <row r="270" spans="2:39" x14ac:dyDescent="0.25">
      <c r="B270" t="s">
        <v>337</v>
      </c>
      <c r="C270" s="101">
        <v>20896</v>
      </c>
      <c r="D270" s="101">
        <v>8616</v>
      </c>
      <c r="E270" s="101">
        <v>12280</v>
      </c>
      <c r="F270" s="101">
        <v>1142</v>
      </c>
      <c r="G270" s="101">
        <v>0</v>
      </c>
      <c r="H270" s="101">
        <v>489</v>
      </c>
      <c r="I270" s="101">
        <v>776</v>
      </c>
      <c r="J270" s="101">
        <v>6354</v>
      </c>
      <c r="K270" s="101">
        <v>9685</v>
      </c>
      <c r="L270" s="101">
        <v>1185</v>
      </c>
      <c r="M270" s="101">
        <v>594</v>
      </c>
      <c r="N270" s="101">
        <v>2265</v>
      </c>
      <c r="O270" s="101">
        <v>207</v>
      </c>
      <c r="P270" s="101">
        <v>6663000000</v>
      </c>
      <c r="Q270" s="101">
        <v>2140000000</v>
      </c>
      <c r="R270" s="101">
        <v>2140000000</v>
      </c>
      <c r="S270" s="101">
        <f t="shared" si="16"/>
        <v>17662002</v>
      </c>
      <c r="T270" s="101">
        <f t="shared" si="17"/>
        <v>-3233998</v>
      </c>
      <c r="U270" s="101">
        <f t="shared" si="18"/>
        <v>0</v>
      </c>
      <c r="V270" s="101">
        <v>223966</v>
      </c>
      <c r="W270" s="149">
        <f t="shared" si="19"/>
        <v>-1.4439682808997795E-2</v>
      </c>
      <c r="AA270" s="101"/>
      <c r="AB270" s="101"/>
      <c r="AC270" s="101"/>
      <c r="AD270" s="101"/>
      <c r="AK270" s="101"/>
      <c r="AL270" s="101"/>
      <c r="AM270" s="101"/>
    </row>
    <row r="271" spans="2:39" x14ac:dyDescent="0.25">
      <c r="B271" t="s">
        <v>135</v>
      </c>
      <c r="C271" s="101">
        <v>2805</v>
      </c>
      <c r="D271" s="101">
        <v>1418</v>
      </c>
      <c r="E271" s="101">
        <v>1387</v>
      </c>
      <c r="F271" s="101">
        <v>0</v>
      </c>
      <c r="G271" s="101">
        <v>130</v>
      </c>
      <c r="H271" s="101">
        <v>4587</v>
      </c>
      <c r="I271" s="101">
        <v>926</v>
      </c>
      <c r="J271" s="101">
        <v>940</v>
      </c>
      <c r="K271" s="101">
        <v>972</v>
      </c>
      <c r="L271" s="101">
        <v>130</v>
      </c>
      <c r="M271" s="101">
        <v>10</v>
      </c>
      <c r="N271" s="101">
        <v>457</v>
      </c>
      <c r="O271" s="101">
        <v>297</v>
      </c>
      <c r="P271" s="101">
        <v>1706000000</v>
      </c>
      <c r="Q271" s="101">
        <v>266000000</v>
      </c>
      <c r="R271" s="101">
        <v>266000000</v>
      </c>
      <c r="S271" s="101">
        <f t="shared" si="16"/>
        <v>3612132</v>
      </c>
      <c r="T271" s="101">
        <f t="shared" si="17"/>
        <v>807132</v>
      </c>
      <c r="U271" s="101">
        <f t="shared" si="18"/>
        <v>807132</v>
      </c>
      <c r="V271" s="101">
        <v>29543</v>
      </c>
      <c r="W271" s="149">
        <f t="shared" si="19"/>
        <v>2.7320583556172361E-2</v>
      </c>
      <c r="AA271" s="101"/>
      <c r="AB271" s="101"/>
      <c r="AC271" s="101"/>
      <c r="AD271" s="101"/>
      <c r="AK271" s="101"/>
      <c r="AL271" s="101"/>
      <c r="AM271" s="101"/>
    </row>
    <row r="272" spans="2:39" x14ac:dyDescent="0.25">
      <c r="B272" t="s">
        <v>271</v>
      </c>
      <c r="C272" s="101">
        <v>2011</v>
      </c>
      <c r="D272" s="101">
        <v>1132</v>
      </c>
      <c r="E272" s="101">
        <v>879</v>
      </c>
      <c r="F272" s="101">
        <v>4527</v>
      </c>
      <c r="G272" s="101">
        <v>155</v>
      </c>
      <c r="H272" s="101">
        <v>8750</v>
      </c>
      <c r="I272" s="101">
        <v>1442</v>
      </c>
      <c r="J272" s="101">
        <v>3621</v>
      </c>
      <c r="K272" s="101">
        <v>2341</v>
      </c>
      <c r="L272" s="101">
        <v>229</v>
      </c>
      <c r="M272" s="101">
        <v>69</v>
      </c>
      <c r="N272" s="101">
        <v>1154</v>
      </c>
      <c r="O272" s="101">
        <v>285</v>
      </c>
      <c r="P272" s="101">
        <v>4184000000</v>
      </c>
      <c r="Q272" s="101">
        <v>697000000</v>
      </c>
      <c r="R272" s="101">
        <v>697000000</v>
      </c>
      <c r="S272" s="101">
        <f t="shared" si="16"/>
        <v>9002892</v>
      </c>
      <c r="T272" s="101">
        <f t="shared" si="17"/>
        <v>6991892</v>
      </c>
      <c r="U272" s="101">
        <f t="shared" si="18"/>
        <v>6991892</v>
      </c>
      <c r="V272" s="101">
        <v>66836</v>
      </c>
      <c r="W272" s="149">
        <f t="shared" si="19"/>
        <v>0.10461266383386199</v>
      </c>
      <c r="AA272" s="101"/>
      <c r="AB272" s="101"/>
      <c r="AC272" s="101"/>
      <c r="AD272" s="101"/>
      <c r="AK272" s="101"/>
      <c r="AL272" s="101"/>
      <c r="AM272" s="101"/>
    </row>
    <row r="273" spans="2:39" x14ac:dyDescent="0.25">
      <c r="B273" t="s">
        <v>317</v>
      </c>
      <c r="C273" s="101">
        <v>9794</v>
      </c>
      <c r="D273" s="101">
        <v>6773</v>
      </c>
      <c r="E273" s="101">
        <v>3021</v>
      </c>
      <c r="F273" s="101">
        <v>17</v>
      </c>
      <c r="G273" s="101">
        <v>90</v>
      </c>
      <c r="H273" s="101">
        <v>0</v>
      </c>
      <c r="I273" s="101">
        <v>175</v>
      </c>
      <c r="J273" s="101">
        <v>3540</v>
      </c>
      <c r="K273" s="101">
        <v>6008</v>
      </c>
      <c r="L273" s="101">
        <v>500</v>
      </c>
      <c r="M273" s="101">
        <v>0</v>
      </c>
      <c r="N273" s="101">
        <v>644</v>
      </c>
      <c r="O273" s="101">
        <v>233</v>
      </c>
      <c r="P273" s="101">
        <v>7815000000</v>
      </c>
      <c r="Q273" s="101">
        <v>915000000</v>
      </c>
      <c r="R273" s="101">
        <v>883500000</v>
      </c>
      <c r="S273" s="101">
        <f t="shared" si="16"/>
        <v>15516189</v>
      </c>
      <c r="T273" s="101">
        <f t="shared" si="17"/>
        <v>5722189</v>
      </c>
      <c r="U273" s="101">
        <f t="shared" si="18"/>
        <v>5722189</v>
      </c>
      <c r="V273" s="101">
        <v>95483</v>
      </c>
      <c r="W273" s="149">
        <f t="shared" si="19"/>
        <v>5.9928877391787018E-2</v>
      </c>
      <c r="AA273" s="101"/>
      <c r="AB273" s="101"/>
      <c r="AC273" s="101"/>
      <c r="AD273" s="101"/>
      <c r="AK273" s="101"/>
      <c r="AL273" s="101"/>
      <c r="AM273" s="101"/>
    </row>
    <row r="274" spans="2:39" x14ac:dyDescent="0.25">
      <c r="B274" t="s">
        <v>338</v>
      </c>
      <c r="C274" s="101">
        <v>5859</v>
      </c>
      <c r="D274" s="101">
        <v>3266</v>
      </c>
      <c r="E274" s="101">
        <v>2593</v>
      </c>
      <c r="F274" s="101">
        <v>6</v>
      </c>
      <c r="G274" s="101">
        <v>12</v>
      </c>
      <c r="H274" s="101">
        <v>385</v>
      </c>
      <c r="I274" s="101">
        <v>220</v>
      </c>
      <c r="J274" s="101">
        <v>2478</v>
      </c>
      <c r="K274" s="101">
        <v>3058</v>
      </c>
      <c r="L274" s="101">
        <v>504</v>
      </c>
      <c r="M274" s="101">
        <v>496</v>
      </c>
      <c r="N274" s="101">
        <v>552</v>
      </c>
      <c r="O274" s="101">
        <v>168</v>
      </c>
      <c r="P274" s="101">
        <v>3374000000</v>
      </c>
      <c r="Q274" s="101">
        <v>559000000</v>
      </c>
      <c r="R274" s="101">
        <v>505952551.477171</v>
      </c>
      <c r="S274" s="101">
        <f t="shared" si="16"/>
        <v>7164469.4180841539</v>
      </c>
      <c r="T274" s="101">
        <f t="shared" si="17"/>
        <v>1305469.4180841539</v>
      </c>
      <c r="U274" s="101">
        <f t="shared" si="18"/>
        <v>1305469.4180841539</v>
      </c>
      <c r="V274" s="101">
        <v>82740</v>
      </c>
      <c r="W274" s="149">
        <f t="shared" si="19"/>
        <v>1.5777972178923783E-2</v>
      </c>
      <c r="AA274" s="101"/>
      <c r="AB274" s="101"/>
      <c r="AC274" s="101"/>
      <c r="AD274" s="101"/>
      <c r="AK274" s="101"/>
      <c r="AL274" s="101"/>
      <c r="AM274" s="101"/>
    </row>
    <row r="275" spans="2:39" x14ac:dyDescent="0.25">
      <c r="B275" t="s">
        <v>202</v>
      </c>
      <c r="C275" s="101">
        <v>12360</v>
      </c>
      <c r="D275" s="101">
        <v>6340</v>
      </c>
      <c r="E275" s="101">
        <v>6020</v>
      </c>
      <c r="F275" s="101">
        <v>2639</v>
      </c>
      <c r="G275" s="101">
        <v>35</v>
      </c>
      <c r="H275" s="101">
        <v>249</v>
      </c>
      <c r="I275" s="101">
        <v>722</v>
      </c>
      <c r="J275" s="101">
        <v>4579</v>
      </c>
      <c r="K275" s="101">
        <v>0</v>
      </c>
      <c r="L275" s="101">
        <v>569</v>
      </c>
      <c r="M275" s="101">
        <v>206</v>
      </c>
      <c r="N275" s="101">
        <v>1114</v>
      </c>
      <c r="O275" s="101">
        <v>458</v>
      </c>
      <c r="P275" s="101">
        <v>6397000000</v>
      </c>
      <c r="Q275" s="101">
        <v>1190000000</v>
      </c>
      <c r="R275" s="101">
        <v>1139478772.5935266</v>
      </c>
      <c r="S275" s="101">
        <f t="shared" si="16"/>
        <v>14084536.738965953</v>
      </c>
      <c r="T275" s="101">
        <f t="shared" si="17"/>
        <v>1724536.7389659528</v>
      </c>
      <c r="U275" s="101">
        <f t="shared" si="18"/>
        <v>1724536.7389659528</v>
      </c>
      <c r="V275" s="101">
        <v>170064</v>
      </c>
      <c r="W275" s="149">
        <f t="shared" si="19"/>
        <v>1.0140516152542295E-2</v>
      </c>
      <c r="AA275" s="101"/>
      <c r="AB275" s="101"/>
      <c r="AC275" s="101"/>
      <c r="AD275" s="101"/>
      <c r="AK275" s="101"/>
      <c r="AL275" s="101"/>
      <c r="AM275" s="101"/>
    </row>
    <row r="276" spans="2:39" x14ac:dyDescent="0.25">
      <c r="B276" t="s">
        <v>389</v>
      </c>
      <c r="C276" s="101">
        <v>55446</v>
      </c>
      <c r="D276" s="101">
        <v>26559</v>
      </c>
      <c r="E276" s="101">
        <v>28887</v>
      </c>
      <c r="F276" s="101">
        <v>22600</v>
      </c>
      <c r="G276" s="101">
        <v>698</v>
      </c>
      <c r="H276" s="101">
        <v>783</v>
      </c>
      <c r="I276" s="101">
        <v>3442</v>
      </c>
      <c r="J276" s="101">
        <v>15228</v>
      </c>
      <c r="K276" s="101">
        <v>32105</v>
      </c>
      <c r="L276" s="101">
        <v>4068</v>
      </c>
      <c r="M276" s="101">
        <v>250</v>
      </c>
      <c r="N276" s="101">
        <v>7074</v>
      </c>
      <c r="O276" s="101">
        <v>1850</v>
      </c>
      <c r="P276" s="101">
        <v>34773000000</v>
      </c>
      <c r="Q276" s="101">
        <v>7990000000</v>
      </c>
      <c r="R276" s="101">
        <v>7826489767.8202648</v>
      </c>
      <c r="S276" s="101">
        <f t="shared" si="16"/>
        <v>81651436.485261902</v>
      </c>
      <c r="T276" s="101">
        <f t="shared" si="17"/>
        <v>26205436.485261902</v>
      </c>
      <c r="U276" s="101">
        <f t="shared" si="18"/>
        <v>26205436.485261902</v>
      </c>
      <c r="V276" s="101">
        <v>1022428</v>
      </c>
      <c r="W276" s="149">
        <f t="shared" si="19"/>
        <v>2.5630593533492726E-2</v>
      </c>
      <c r="AA276" s="101"/>
      <c r="AB276" s="101"/>
      <c r="AC276" s="101"/>
      <c r="AD276" s="101"/>
      <c r="AK276" s="101"/>
      <c r="AL276" s="101"/>
      <c r="AM276" s="101"/>
    </row>
    <row r="277" spans="2:39" x14ac:dyDescent="0.25">
      <c r="B277" t="s">
        <v>158</v>
      </c>
      <c r="C277" s="101">
        <v>5311</v>
      </c>
      <c r="D277" s="101">
        <v>3128</v>
      </c>
      <c r="E277" s="101">
        <v>2183</v>
      </c>
      <c r="F277" s="101">
        <v>2</v>
      </c>
      <c r="G277" s="101">
        <v>0</v>
      </c>
      <c r="H277" s="101">
        <v>195</v>
      </c>
      <c r="I277" s="101">
        <v>93</v>
      </c>
      <c r="J277" s="101">
        <v>2222</v>
      </c>
      <c r="K277" s="101">
        <v>1776</v>
      </c>
      <c r="L277" s="101">
        <v>397</v>
      </c>
      <c r="M277" s="101">
        <v>0</v>
      </c>
      <c r="N277" s="101">
        <v>496</v>
      </c>
      <c r="O277" s="101">
        <v>22</v>
      </c>
      <c r="P277" s="101">
        <v>3409000000</v>
      </c>
      <c r="Q277" s="101">
        <v>661000000</v>
      </c>
      <c r="R277" s="101">
        <v>515890234.67070407</v>
      </c>
      <c r="S277" s="101">
        <f t="shared" si="16"/>
        <v>7401626.8387585161</v>
      </c>
      <c r="T277" s="101">
        <f t="shared" si="17"/>
        <v>2090626.8387585161</v>
      </c>
      <c r="U277" s="101">
        <f t="shared" si="18"/>
        <v>2090626.8387585161</v>
      </c>
      <c r="V277" s="101">
        <v>55748</v>
      </c>
      <c r="W277" s="149">
        <f t="shared" si="19"/>
        <v>3.7501378323141925E-2</v>
      </c>
      <c r="AA277" s="101"/>
      <c r="AB277" s="101"/>
      <c r="AC277" s="101"/>
      <c r="AD277" s="101"/>
      <c r="AK277" s="101"/>
      <c r="AL277" s="101"/>
      <c r="AM277" s="101"/>
    </row>
    <row r="278" spans="2:39" x14ac:dyDescent="0.25">
      <c r="B278" t="s">
        <v>159</v>
      </c>
      <c r="C278" s="101">
        <v>8693</v>
      </c>
      <c r="D278" s="101">
        <v>5835</v>
      </c>
      <c r="E278" s="101">
        <v>2858</v>
      </c>
      <c r="F278" s="101">
        <v>0</v>
      </c>
      <c r="G278" s="101">
        <v>0</v>
      </c>
      <c r="H278" s="101">
        <v>80</v>
      </c>
      <c r="I278" s="101">
        <v>6</v>
      </c>
      <c r="J278" s="101">
        <v>3826</v>
      </c>
      <c r="K278" s="101">
        <v>2515</v>
      </c>
      <c r="L278" s="101">
        <v>439</v>
      </c>
      <c r="M278" s="101">
        <v>650</v>
      </c>
      <c r="N278" s="101">
        <v>952</v>
      </c>
      <c r="O278" s="101">
        <v>29</v>
      </c>
      <c r="P278" s="101">
        <v>4629000000</v>
      </c>
      <c r="Q278" s="101">
        <v>672000000</v>
      </c>
      <c r="R278" s="101">
        <v>581432613.55174983</v>
      </c>
      <c r="S278" s="101">
        <f t="shared" si="16"/>
        <v>9494246.2382725254</v>
      </c>
      <c r="T278" s="101">
        <f t="shared" si="17"/>
        <v>801246.23827252537</v>
      </c>
      <c r="U278" s="101">
        <f t="shared" si="18"/>
        <v>801246.23827252537</v>
      </c>
      <c r="V278" s="101">
        <v>110638</v>
      </c>
      <c r="W278" s="149">
        <f t="shared" si="19"/>
        <v>7.2420528052976859E-3</v>
      </c>
      <c r="AA278" s="101"/>
      <c r="AB278" s="101"/>
      <c r="AC278" s="101"/>
      <c r="AD278" s="101"/>
      <c r="AK278" s="101"/>
      <c r="AL278" s="101"/>
      <c r="AM278" s="101"/>
    </row>
    <row r="279" spans="2:39" x14ac:dyDescent="0.25">
      <c r="B279" t="s">
        <v>113</v>
      </c>
      <c r="C279" s="101">
        <v>6509</v>
      </c>
      <c r="D279" s="101">
        <v>4979</v>
      </c>
      <c r="E279" s="101">
        <v>1530</v>
      </c>
      <c r="F279" s="101">
        <v>0</v>
      </c>
      <c r="G279" s="101">
        <v>0</v>
      </c>
      <c r="H279" s="101">
        <v>417</v>
      </c>
      <c r="I279" s="101">
        <v>71</v>
      </c>
      <c r="J279" s="101">
        <v>3217</v>
      </c>
      <c r="K279" s="101">
        <v>3388</v>
      </c>
      <c r="L279" s="101">
        <v>633</v>
      </c>
      <c r="M279" s="101">
        <v>471</v>
      </c>
      <c r="N279" s="101">
        <v>809</v>
      </c>
      <c r="O279" s="101">
        <v>319</v>
      </c>
      <c r="P279" s="101">
        <v>6187000000</v>
      </c>
      <c r="Q279" s="101">
        <v>580000000</v>
      </c>
      <c r="R279" s="101">
        <v>513442622.95081967</v>
      </c>
      <c r="S279" s="101">
        <f t="shared" si="16"/>
        <v>11750634.393442623</v>
      </c>
      <c r="T279" s="101">
        <f t="shared" si="17"/>
        <v>5241634.3934426233</v>
      </c>
      <c r="U279" s="101">
        <f t="shared" si="18"/>
        <v>5241634.3934426233</v>
      </c>
      <c r="V279" s="101">
        <v>96160</v>
      </c>
      <c r="W279" s="149">
        <f t="shared" si="19"/>
        <v>5.4509509083221955E-2</v>
      </c>
      <c r="AA279" s="101"/>
      <c r="AB279" s="101"/>
      <c r="AC279" s="101"/>
      <c r="AD279" s="101"/>
      <c r="AK279" s="101"/>
      <c r="AL279" s="101"/>
      <c r="AM279" s="101"/>
    </row>
    <row r="280" spans="2:39" x14ac:dyDescent="0.25">
      <c r="B280" t="s">
        <v>136</v>
      </c>
      <c r="C280" s="101">
        <v>8754</v>
      </c>
      <c r="D280" s="101">
        <v>6190</v>
      </c>
      <c r="E280" s="101">
        <v>2564</v>
      </c>
      <c r="F280" s="101">
        <v>0</v>
      </c>
      <c r="G280" s="101">
        <v>0</v>
      </c>
      <c r="H280" s="101">
        <v>460</v>
      </c>
      <c r="I280" s="101">
        <v>46</v>
      </c>
      <c r="J280" s="101">
        <v>2268</v>
      </c>
      <c r="K280" s="101">
        <v>3496</v>
      </c>
      <c r="L280" s="101">
        <v>294</v>
      </c>
      <c r="M280" s="101">
        <v>17</v>
      </c>
      <c r="N280" s="101">
        <v>487</v>
      </c>
      <c r="O280" s="101">
        <v>218</v>
      </c>
      <c r="P280" s="101">
        <v>4240000000</v>
      </c>
      <c r="Q280" s="101">
        <v>499000000</v>
      </c>
      <c r="R280" s="101">
        <v>420421263.79137409</v>
      </c>
      <c r="S280" s="101">
        <f t="shared" si="16"/>
        <v>8327305.9197592782</v>
      </c>
      <c r="T280" s="101">
        <f t="shared" si="17"/>
        <v>-426694.08024072181</v>
      </c>
      <c r="U280" s="101">
        <f t="shared" si="18"/>
        <v>0</v>
      </c>
      <c r="V280" s="101">
        <v>100200</v>
      </c>
      <c r="W280" s="149">
        <f t="shared" si="19"/>
        <v>-4.2584239544982217E-3</v>
      </c>
      <c r="AA280" s="101"/>
      <c r="AB280" s="101"/>
      <c r="AC280" s="101"/>
      <c r="AD280" s="101"/>
      <c r="AK280" s="101"/>
      <c r="AL280" s="101"/>
      <c r="AM280" s="101"/>
    </row>
    <row r="281" spans="2:39" x14ac:dyDescent="0.25">
      <c r="B281" t="s">
        <v>272</v>
      </c>
      <c r="C281" s="101">
        <v>3767</v>
      </c>
      <c r="D281" s="101">
        <v>2782</v>
      </c>
      <c r="E281" s="101">
        <v>985</v>
      </c>
      <c r="F281" s="101">
        <v>0</v>
      </c>
      <c r="G281" s="101">
        <v>18</v>
      </c>
      <c r="H281" s="101">
        <v>111</v>
      </c>
      <c r="I281" s="101">
        <v>61</v>
      </c>
      <c r="J281" s="101">
        <v>975</v>
      </c>
      <c r="K281" s="101">
        <v>1820</v>
      </c>
      <c r="L281" s="101">
        <v>254</v>
      </c>
      <c r="M281" s="101">
        <v>16</v>
      </c>
      <c r="N281" s="101">
        <v>182</v>
      </c>
      <c r="O281" s="101">
        <v>32</v>
      </c>
      <c r="P281" s="101">
        <v>2608000000</v>
      </c>
      <c r="Q281" s="101">
        <v>199000000</v>
      </c>
      <c r="R281" s="101">
        <v>189977329.97481108</v>
      </c>
      <c r="S281" s="101">
        <f t="shared" si="16"/>
        <v>4837121.4105793452</v>
      </c>
      <c r="T281" s="101">
        <f t="shared" si="17"/>
        <v>1070121.4105793452</v>
      </c>
      <c r="U281" s="101">
        <f t="shared" si="18"/>
        <v>1070121.4105793452</v>
      </c>
      <c r="V281" s="101">
        <v>32618</v>
      </c>
      <c r="W281" s="149">
        <f t="shared" si="19"/>
        <v>3.2807695461994767E-2</v>
      </c>
      <c r="AA281" s="101"/>
      <c r="AB281" s="101"/>
      <c r="AC281" s="101"/>
      <c r="AD281" s="101"/>
      <c r="AK281" s="101"/>
      <c r="AL281" s="101"/>
      <c r="AM281" s="101"/>
    </row>
    <row r="282" spans="2:39" x14ac:dyDescent="0.25">
      <c r="B282" t="s">
        <v>273</v>
      </c>
      <c r="C282" s="101">
        <v>9100</v>
      </c>
      <c r="D282" s="101">
        <v>5154</v>
      </c>
      <c r="E282" s="101">
        <v>3946</v>
      </c>
      <c r="F282" s="101">
        <v>2</v>
      </c>
      <c r="G282" s="101">
        <v>35</v>
      </c>
      <c r="H282" s="101">
        <v>194</v>
      </c>
      <c r="I282" s="101">
        <v>5</v>
      </c>
      <c r="J282" s="101">
        <v>3914</v>
      </c>
      <c r="K282" s="101">
        <v>4675</v>
      </c>
      <c r="L282" s="101">
        <v>678</v>
      </c>
      <c r="M282" s="101">
        <v>324</v>
      </c>
      <c r="N282" s="101">
        <v>951</v>
      </c>
      <c r="O282" s="101">
        <v>153</v>
      </c>
      <c r="P282" s="101">
        <v>5895000000</v>
      </c>
      <c r="Q282" s="101">
        <v>1104000000</v>
      </c>
      <c r="R282" s="101">
        <v>1077988219.3022201</v>
      </c>
      <c r="S282" s="101">
        <f t="shared" si="16"/>
        <v>13036258.985953784</v>
      </c>
      <c r="T282" s="101">
        <f t="shared" si="17"/>
        <v>3936258.9859537836</v>
      </c>
      <c r="U282" s="101">
        <f t="shared" si="18"/>
        <v>3936258.9859537836</v>
      </c>
      <c r="V282" s="101">
        <v>90857</v>
      </c>
      <c r="W282" s="149">
        <f t="shared" si="19"/>
        <v>4.3323673310298419E-2</v>
      </c>
      <c r="AA282" s="101"/>
      <c r="AB282" s="101"/>
      <c r="AC282" s="101"/>
      <c r="AD282" s="101"/>
      <c r="AK282" s="101"/>
      <c r="AL282" s="101"/>
      <c r="AM282" s="101"/>
    </row>
    <row r="283" spans="2:39" x14ac:dyDescent="0.25">
      <c r="B283" t="s">
        <v>431</v>
      </c>
      <c r="C283" s="101">
        <v>5793</v>
      </c>
      <c r="D283" s="101">
        <v>3037</v>
      </c>
      <c r="E283" s="101">
        <v>2756</v>
      </c>
      <c r="F283" s="101">
        <v>0</v>
      </c>
      <c r="G283" s="101">
        <v>19</v>
      </c>
      <c r="H283" s="101">
        <v>108</v>
      </c>
      <c r="I283" s="101">
        <v>74</v>
      </c>
      <c r="J283" s="101">
        <v>2304</v>
      </c>
      <c r="K283" s="101">
        <v>1928</v>
      </c>
      <c r="L283" s="101">
        <v>198</v>
      </c>
      <c r="M283" s="101">
        <v>360</v>
      </c>
      <c r="N283" s="101">
        <v>460</v>
      </c>
      <c r="O283" s="101">
        <v>762</v>
      </c>
      <c r="P283" s="101">
        <v>2377000000</v>
      </c>
      <c r="Q283" s="101">
        <v>568000000</v>
      </c>
      <c r="R283" s="101">
        <v>559992951.54185021</v>
      </c>
      <c r="S283" s="101">
        <f t="shared" si="16"/>
        <v>5657058.6237885458</v>
      </c>
      <c r="T283" s="101">
        <f t="shared" si="17"/>
        <v>-135941.37621145416</v>
      </c>
      <c r="U283" s="101">
        <f t="shared" si="18"/>
        <v>0</v>
      </c>
      <c r="V283" s="101">
        <v>83036</v>
      </c>
      <c r="W283" s="149">
        <f t="shared" si="19"/>
        <v>-1.6371378222873713E-3</v>
      </c>
      <c r="AA283" s="101"/>
      <c r="AB283" s="101"/>
      <c r="AC283" s="101"/>
      <c r="AD283" s="101"/>
      <c r="AK283" s="101"/>
      <c r="AL283" s="101"/>
      <c r="AM283" s="101"/>
    </row>
    <row r="284" spans="2:39" x14ac:dyDescent="0.25">
      <c r="B284" t="s">
        <v>728</v>
      </c>
      <c r="C284" s="101">
        <v>171257</v>
      </c>
      <c r="D284" s="101">
        <v>59611</v>
      </c>
      <c r="E284" s="101">
        <v>111646</v>
      </c>
      <c r="F284" s="101">
        <v>73499</v>
      </c>
      <c r="G284" s="101">
        <v>1153</v>
      </c>
      <c r="H284" s="101">
        <v>4514</v>
      </c>
      <c r="I284" s="101">
        <v>1041</v>
      </c>
      <c r="J284" s="101">
        <v>48759</v>
      </c>
      <c r="K284" s="101">
        <v>60537</v>
      </c>
      <c r="L284" s="101">
        <v>6946</v>
      </c>
      <c r="M284" s="101">
        <v>1243</v>
      </c>
      <c r="N284" s="101">
        <v>19083</v>
      </c>
      <c r="O284" s="101">
        <v>4667</v>
      </c>
      <c r="P284" s="101">
        <v>75089000000</v>
      </c>
      <c r="Q284" s="101">
        <v>14994000000</v>
      </c>
      <c r="R284" s="101">
        <v>14994000000</v>
      </c>
      <c r="S284" s="101">
        <f t="shared" si="16"/>
        <v>169594278</v>
      </c>
      <c r="T284" s="101">
        <f t="shared" si="17"/>
        <v>-1662722</v>
      </c>
      <c r="U284" s="101">
        <f t="shared" si="18"/>
        <v>0</v>
      </c>
      <c r="V284" s="101">
        <v>1963086</v>
      </c>
      <c r="W284" s="149">
        <f t="shared" si="19"/>
        <v>-8.4699396766112136E-4</v>
      </c>
      <c r="AA284" s="101"/>
      <c r="AB284" s="101"/>
      <c r="AC284" s="101"/>
      <c r="AD284" s="101"/>
      <c r="AK284" s="101"/>
      <c r="AL284" s="101"/>
      <c r="AM284" s="101"/>
    </row>
    <row r="285" spans="2:39" x14ac:dyDescent="0.25">
      <c r="B285" t="s">
        <v>230</v>
      </c>
      <c r="C285" s="101">
        <v>15647</v>
      </c>
      <c r="D285" s="101">
        <v>11361</v>
      </c>
      <c r="E285" s="101">
        <v>4286</v>
      </c>
      <c r="F285" s="101">
        <v>21</v>
      </c>
      <c r="G285" s="101">
        <v>0</v>
      </c>
      <c r="H285" s="101">
        <v>2047</v>
      </c>
      <c r="I285" s="101">
        <v>1167</v>
      </c>
      <c r="J285" s="101">
        <v>7703</v>
      </c>
      <c r="K285" s="101">
        <v>6919</v>
      </c>
      <c r="L285" s="101">
        <v>822</v>
      </c>
      <c r="M285" s="101">
        <v>1294</v>
      </c>
      <c r="N285" s="101">
        <v>1683</v>
      </c>
      <c r="O285" s="101">
        <v>258</v>
      </c>
      <c r="P285" s="101">
        <v>11121000000</v>
      </c>
      <c r="Q285" s="101">
        <v>949000000</v>
      </c>
      <c r="R285" s="101">
        <v>888500000</v>
      </c>
      <c r="S285" s="101">
        <f t="shared" si="16"/>
        <v>20915019</v>
      </c>
      <c r="T285" s="101">
        <f t="shared" si="17"/>
        <v>5268019</v>
      </c>
      <c r="U285" s="101">
        <f t="shared" si="18"/>
        <v>5268019</v>
      </c>
      <c r="V285" s="101">
        <v>155245</v>
      </c>
      <c r="W285" s="149">
        <f t="shared" si="19"/>
        <v>3.3933582402009728E-2</v>
      </c>
      <c r="AA285" s="101"/>
      <c r="AB285" s="101"/>
      <c r="AC285" s="101"/>
      <c r="AD285" s="101"/>
      <c r="AK285" s="101"/>
      <c r="AL285" s="101"/>
      <c r="AM285" s="101"/>
    </row>
    <row r="286" spans="2:39" x14ac:dyDescent="0.25">
      <c r="B286" t="s">
        <v>421</v>
      </c>
      <c r="C286" s="101">
        <v>2299</v>
      </c>
      <c r="D286" s="101">
        <v>1673</v>
      </c>
      <c r="E286" s="101">
        <v>626</v>
      </c>
      <c r="F286" s="101">
        <v>803</v>
      </c>
      <c r="G286" s="101">
        <v>0</v>
      </c>
      <c r="H286" s="101">
        <v>1632</v>
      </c>
      <c r="I286" s="101">
        <v>83</v>
      </c>
      <c r="J286" s="101">
        <v>1588</v>
      </c>
      <c r="K286" s="101">
        <v>2275</v>
      </c>
      <c r="L286" s="101">
        <v>103</v>
      </c>
      <c r="M286" s="101">
        <v>0</v>
      </c>
      <c r="N286" s="101">
        <v>365</v>
      </c>
      <c r="O286" s="101">
        <v>53</v>
      </c>
      <c r="P286" s="101">
        <v>1344000000</v>
      </c>
      <c r="Q286" s="101">
        <v>110000000</v>
      </c>
      <c r="R286" s="101">
        <v>101000000</v>
      </c>
      <c r="S286" s="101">
        <f t="shared" si="16"/>
        <v>2509770</v>
      </c>
      <c r="T286" s="101">
        <f t="shared" si="17"/>
        <v>210770</v>
      </c>
      <c r="U286" s="101">
        <f t="shared" si="18"/>
        <v>210770</v>
      </c>
      <c r="V286" s="101">
        <v>41359</v>
      </c>
      <c r="W286" s="149">
        <f t="shared" si="19"/>
        <v>5.0961096738315727E-3</v>
      </c>
      <c r="AA286" s="101"/>
      <c r="AB286" s="101"/>
      <c r="AC286" s="101"/>
      <c r="AD286" s="101"/>
      <c r="AK286" s="101"/>
      <c r="AL286" s="101"/>
      <c r="AM286" s="101"/>
    </row>
    <row r="287" spans="2:39" x14ac:dyDescent="0.25">
      <c r="B287" t="s">
        <v>422</v>
      </c>
      <c r="C287" s="101">
        <v>6081</v>
      </c>
      <c r="D287" s="101">
        <v>3685</v>
      </c>
      <c r="E287" s="101">
        <v>2396</v>
      </c>
      <c r="F287" s="101">
        <v>2938</v>
      </c>
      <c r="G287" s="101">
        <v>404</v>
      </c>
      <c r="H287" s="101">
        <v>2750</v>
      </c>
      <c r="I287" s="101">
        <v>281</v>
      </c>
      <c r="J287" s="101">
        <v>2413</v>
      </c>
      <c r="K287" s="101">
        <v>1761</v>
      </c>
      <c r="L287" s="101">
        <v>297</v>
      </c>
      <c r="M287" s="101">
        <v>135</v>
      </c>
      <c r="N287" s="101">
        <v>501</v>
      </c>
      <c r="O287" s="101">
        <v>345</v>
      </c>
      <c r="P287" s="101">
        <v>2743000000</v>
      </c>
      <c r="Q287" s="101">
        <v>278000000</v>
      </c>
      <c r="R287" s="101">
        <v>271488288.2882883</v>
      </c>
      <c r="S287" s="101">
        <f t="shared" si="16"/>
        <v>5314076.0972972969</v>
      </c>
      <c r="T287" s="101">
        <f t="shared" si="17"/>
        <v>-766923.90270270314</v>
      </c>
      <c r="U287" s="101">
        <f t="shared" si="18"/>
        <v>0</v>
      </c>
      <c r="V287" s="101">
        <v>65730</v>
      </c>
      <c r="W287" s="149">
        <f t="shared" si="19"/>
        <v>-1.1667791004148838E-2</v>
      </c>
      <c r="AA287" s="101"/>
      <c r="AB287" s="101"/>
      <c r="AC287" s="101"/>
      <c r="AD287" s="101"/>
      <c r="AK287" s="101"/>
      <c r="AL287" s="101"/>
      <c r="AM287" s="101"/>
    </row>
    <row r="288" spans="2:39" x14ac:dyDescent="0.25">
      <c r="B288" t="s">
        <v>391</v>
      </c>
      <c r="C288" s="101">
        <v>8649</v>
      </c>
      <c r="D288" s="101">
        <v>5782</v>
      </c>
      <c r="E288" s="101">
        <v>2867</v>
      </c>
      <c r="F288" s="101">
        <v>610</v>
      </c>
      <c r="G288" s="101">
        <v>62</v>
      </c>
      <c r="H288" s="101">
        <v>0</v>
      </c>
      <c r="I288" s="101">
        <v>90</v>
      </c>
      <c r="J288" s="101">
        <v>3455</v>
      </c>
      <c r="K288" s="101">
        <v>4400</v>
      </c>
      <c r="L288" s="101">
        <v>491</v>
      </c>
      <c r="M288" s="101">
        <v>188</v>
      </c>
      <c r="N288" s="101">
        <v>463</v>
      </c>
      <c r="O288" s="101">
        <v>209</v>
      </c>
      <c r="P288" s="101">
        <v>5790000000</v>
      </c>
      <c r="Q288" s="101">
        <v>660000000</v>
      </c>
      <c r="R288" s="101">
        <v>616500000</v>
      </c>
      <c r="S288" s="101">
        <f t="shared" si="16"/>
        <v>11405331</v>
      </c>
      <c r="T288" s="101">
        <f t="shared" si="17"/>
        <v>2756331</v>
      </c>
      <c r="U288" s="101">
        <f t="shared" si="18"/>
        <v>2756331</v>
      </c>
      <c r="V288" s="101">
        <v>103420</v>
      </c>
      <c r="W288" s="149">
        <f t="shared" si="19"/>
        <v>2.6651817830206922E-2</v>
      </c>
      <c r="AA288" s="101"/>
      <c r="AB288" s="101"/>
      <c r="AC288" s="101"/>
      <c r="AD288" s="101"/>
      <c r="AK288" s="101"/>
      <c r="AL288" s="101"/>
      <c r="AM288" s="101"/>
    </row>
    <row r="289" spans="2:39" x14ac:dyDescent="0.25">
      <c r="B289" t="s">
        <v>124</v>
      </c>
      <c r="C289" s="101">
        <v>8775</v>
      </c>
      <c r="D289" s="101">
        <v>5160</v>
      </c>
      <c r="E289" s="101">
        <v>3615</v>
      </c>
      <c r="F289" s="101">
        <v>0</v>
      </c>
      <c r="G289" s="101">
        <v>14</v>
      </c>
      <c r="H289" s="101">
        <v>0</v>
      </c>
      <c r="I289" s="101">
        <v>140</v>
      </c>
      <c r="J289" s="101">
        <v>2314</v>
      </c>
      <c r="K289" s="101">
        <v>4687</v>
      </c>
      <c r="L289" s="101">
        <v>318</v>
      </c>
      <c r="M289" s="101">
        <v>82</v>
      </c>
      <c r="N289" s="101">
        <v>404</v>
      </c>
      <c r="O289" s="101">
        <v>39</v>
      </c>
      <c r="P289" s="101">
        <v>2914000000</v>
      </c>
      <c r="Q289" s="101">
        <v>527000000</v>
      </c>
      <c r="R289" s="101">
        <v>512000000</v>
      </c>
      <c r="S289" s="101">
        <f t="shared" si="16"/>
        <v>6380142</v>
      </c>
      <c r="T289" s="101">
        <f t="shared" si="17"/>
        <v>-2394858</v>
      </c>
      <c r="U289" s="101">
        <f t="shared" si="18"/>
        <v>0</v>
      </c>
      <c r="V289" s="101">
        <v>128475</v>
      </c>
      <c r="W289" s="149">
        <f t="shared" si="19"/>
        <v>-1.8640653823701111E-2</v>
      </c>
      <c r="AA289" s="101"/>
      <c r="AB289" s="101"/>
      <c r="AC289" s="101"/>
      <c r="AD289" s="101"/>
      <c r="AK289" s="101"/>
      <c r="AL289" s="101"/>
      <c r="AM289" s="101"/>
    </row>
    <row r="290" spans="2:39" x14ac:dyDescent="0.25">
      <c r="B290" t="s">
        <v>231</v>
      </c>
      <c r="C290" s="101">
        <v>16463</v>
      </c>
      <c r="D290" s="101">
        <v>8980</v>
      </c>
      <c r="E290" s="101">
        <v>7483</v>
      </c>
      <c r="F290" s="101">
        <v>2714</v>
      </c>
      <c r="G290" s="101">
        <v>105</v>
      </c>
      <c r="H290" s="101">
        <v>113</v>
      </c>
      <c r="I290" s="101">
        <v>1332</v>
      </c>
      <c r="J290" s="101">
        <v>3609</v>
      </c>
      <c r="K290" s="101">
        <v>8808</v>
      </c>
      <c r="L290" s="101">
        <v>851</v>
      </c>
      <c r="M290" s="101">
        <v>971</v>
      </c>
      <c r="N290" s="101">
        <v>1846</v>
      </c>
      <c r="O290" s="101">
        <v>82</v>
      </c>
      <c r="P290" s="101">
        <v>11702000000</v>
      </c>
      <c r="Q290" s="101">
        <v>1594000000</v>
      </c>
      <c r="R290" s="101">
        <v>1579495450.2667084</v>
      </c>
      <c r="S290" s="101">
        <f t="shared" si="16"/>
        <v>24009049.656730466</v>
      </c>
      <c r="T290" s="101">
        <f t="shared" si="17"/>
        <v>7546049.6567304656</v>
      </c>
      <c r="U290" s="101">
        <f t="shared" si="18"/>
        <v>7546049.6567304656</v>
      </c>
      <c r="V290" s="101">
        <v>232916</v>
      </c>
      <c r="W290" s="149">
        <f t="shared" si="19"/>
        <v>3.2398159236507865E-2</v>
      </c>
      <c r="AA290" s="101"/>
      <c r="AB290" s="101"/>
      <c r="AC290" s="101"/>
      <c r="AD290" s="101"/>
      <c r="AK290" s="101"/>
      <c r="AL290" s="101"/>
      <c r="AM290" s="101"/>
    </row>
    <row r="291" spans="2:39" x14ac:dyDescent="0.25">
      <c r="B291" t="s">
        <v>339</v>
      </c>
      <c r="C291" s="101">
        <v>6657</v>
      </c>
      <c r="D291" s="101">
        <v>4753</v>
      </c>
      <c r="E291" s="101">
        <v>1904</v>
      </c>
      <c r="F291" s="101">
        <v>7150</v>
      </c>
      <c r="G291" s="101">
        <v>176</v>
      </c>
      <c r="H291" s="101">
        <v>10501</v>
      </c>
      <c r="I291" s="101">
        <v>2150</v>
      </c>
      <c r="J291" s="101">
        <v>2684</v>
      </c>
      <c r="K291" s="101">
        <v>3921</v>
      </c>
      <c r="L291" s="101">
        <v>342</v>
      </c>
      <c r="M291" s="101">
        <v>585</v>
      </c>
      <c r="N291" s="101">
        <v>889</v>
      </c>
      <c r="O291" s="101">
        <v>328</v>
      </c>
      <c r="P291" s="101">
        <v>6380000000</v>
      </c>
      <c r="Q291" s="101">
        <v>858000000</v>
      </c>
      <c r="R291" s="101">
        <v>822435233.16062176</v>
      </c>
      <c r="S291" s="101">
        <f t="shared" si="16"/>
        <v>13009542.466321243</v>
      </c>
      <c r="T291" s="101">
        <f t="shared" si="17"/>
        <v>6352542.466321243</v>
      </c>
      <c r="U291" s="101">
        <f t="shared" si="18"/>
        <v>6352542.466321243</v>
      </c>
      <c r="V291" s="101">
        <v>87803</v>
      </c>
      <c r="W291" s="149">
        <f t="shared" si="19"/>
        <v>7.234994779587535E-2</v>
      </c>
      <c r="AA291" s="101"/>
      <c r="AB291" s="101"/>
      <c r="AC291" s="101"/>
      <c r="AD291" s="101"/>
      <c r="AK291" s="101"/>
      <c r="AL291" s="101"/>
      <c r="AM291" s="101"/>
    </row>
    <row r="292" spans="2:39" x14ac:dyDescent="0.25">
      <c r="B292" t="s">
        <v>392</v>
      </c>
      <c r="C292" s="101">
        <v>15851</v>
      </c>
      <c r="D292" s="101">
        <v>8816</v>
      </c>
      <c r="E292" s="101">
        <v>7035</v>
      </c>
      <c r="F292" s="101">
        <v>819</v>
      </c>
      <c r="G292" s="101">
        <v>0</v>
      </c>
      <c r="H292" s="101">
        <v>443</v>
      </c>
      <c r="I292" s="101">
        <v>775</v>
      </c>
      <c r="J292" s="101">
        <v>3816</v>
      </c>
      <c r="K292" s="101">
        <v>5705</v>
      </c>
      <c r="L292" s="101">
        <v>557</v>
      </c>
      <c r="M292" s="101">
        <v>132</v>
      </c>
      <c r="N292" s="101">
        <v>1191</v>
      </c>
      <c r="O292" s="101">
        <v>80</v>
      </c>
      <c r="P292" s="101">
        <v>9697000000</v>
      </c>
      <c r="Q292" s="101">
        <v>2327000000</v>
      </c>
      <c r="R292" s="101">
        <v>2327000000</v>
      </c>
      <c r="S292" s="101">
        <f t="shared" si="16"/>
        <v>23162514</v>
      </c>
      <c r="T292" s="101">
        <f t="shared" si="17"/>
        <v>7311514</v>
      </c>
      <c r="U292" s="101">
        <f t="shared" si="18"/>
        <v>7311514</v>
      </c>
      <c r="V292" s="101">
        <v>163927</v>
      </c>
      <c r="W292" s="149">
        <f t="shared" si="19"/>
        <v>4.4602255882191466E-2</v>
      </c>
      <c r="AA292" s="101"/>
      <c r="AB292" s="101"/>
      <c r="AC292" s="101"/>
      <c r="AD292" s="101"/>
      <c r="AK292" s="101"/>
      <c r="AL292" s="101"/>
      <c r="AM292" s="101"/>
    </row>
    <row r="293" spans="2:39" x14ac:dyDescent="0.25">
      <c r="B293" t="s">
        <v>274</v>
      </c>
      <c r="C293" s="101">
        <v>19604</v>
      </c>
      <c r="D293" s="101">
        <v>9920</v>
      </c>
      <c r="E293" s="101">
        <v>9684</v>
      </c>
      <c r="F293" s="101">
        <v>410</v>
      </c>
      <c r="G293" s="101">
        <v>75</v>
      </c>
      <c r="H293" s="101">
        <v>1111</v>
      </c>
      <c r="I293" s="101">
        <v>678</v>
      </c>
      <c r="J293" s="101">
        <v>6285</v>
      </c>
      <c r="K293" s="101">
        <v>11986</v>
      </c>
      <c r="L293" s="101">
        <v>1331</v>
      </c>
      <c r="M293" s="101">
        <v>367</v>
      </c>
      <c r="N293" s="101">
        <v>2329</v>
      </c>
      <c r="O293" s="101">
        <v>117</v>
      </c>
      <c r="P293" s="101">
        <v>12742000000</v>
      </c>
      <c r="Q293" s="101">
        <v>1813000000</v>
      </c>
      <c r="R293" s="101">
        <v>1768000000</v>
      </c>
      <c r="S293" s="101">
        <f t="shared" si="16"/>
        <v>26345322</v>
      </c>
      <c r="T293" s="101">
        <f t="shared" si="17"/>
        <v>6741322</v>
      </c>
      <c r="U293" s="101">
        <f t="shared" si="18"/>
        <v>6741322</v>
      </c>
      <c r="V293" s="101">
        <v>229535</v>
      </c>
      <c r="W293" s="149">
        <f t="shared" si="19"/>
        <v>2.9369473065109897E-2</v>
      </c>
      <c r="AA293" s="101"/>
      <c r="AB293" s="101"/>
      <c r="AC293" s="101"/>
      <c r="AD293" s="101"/>
      <c r="AK293" s="101"/>
      <c r="AL293" s="101"/>
      <c r="AM293" s="101"/>
    </row>
    <row r="294" spans="2:39" x14ac:dyDescent="0.25">
      <c r="B294" t="s">
        <v>423</v>
      </c>
      <c r="C294" s="101">
        <v>42339</v>
      </c>
      <c r="D294" s="101">
        <v>18489</v>
      </c>
      <c r="E294" s="101">
        <v>23850</v>
      </c>
      <c r="F294" s="101">
        <v>2756</v>
      </c>
      <c r="G294" s="101">
        <v>0</v>
      </c>
      <c r="H294" s="101">
        <v>2486</v>
      </c>
      <c r="I294" s="101">
        <v>1107</v>
      </c>
      <c r="J294" s="101">
        <v>8247</v>
      </c>
      <c r="K294" s="101">
        <v>10864</v>
      </c>
      <c r="L294" s="101">
        <v>2576</v>
      </c>
      <c r="M294" s="101">
        <v>371</v>
      </c>
      <c r="N294" s="101">
        <v>4141</v>
      </c>
      <c r="O294" s="101">
        <v>1201</v>
      </c>
      <c r="P294" s="101">
        <v>13969000000</v>
      </c>
      <c r="Q294" s="101">
        <v>3954000000</v>
      </c>
      <c r="R294" s="101">
        <v>3954000000</v>
      </c>
      <c r="S294" s="101">
        <f t="shared" si="16"/>
        <v>35309478</v>
      </c>
      <c r="T294" s="101">
        <f t="shared" si="17"/>
        <v>-7029522</v>
      </c>
      <c r="U294" s="101">
        <f t="shared" si="18"/>
        <v>0</v>
      </c>
      <c r="V294" s="101">
        <v>553483</v>
      </c>
      <c r="W294" s="149">
        <f t="shared" si="19"/>
        <v>-1.2700520160510802E-2</v>
      </c>
      <c r="AA294" s="101"/>
      <c r="AB294" s="101"/>
      <c r="AC294" s="101"/>
      <c r="AD294" s="101"/>
      <c r="AK294" s="101"/>
      <c r="AL294" s="101"/>
      <c r="AM294" s="101"/>
    </row>
    <row r="295" spans="2:39" x14ac:dyDescent="0.25">
      <c r="B295" t="s">
        <v>424</v>
      </c>
      <c r="C295" s="101">
        <v>16994</v>
      </c>
      <c r="D295" s="101">
        <v>7280</v>
      </c>
      <c r="E295" s="101">
        <v>9714</v>
      </c>
      <c r="F295" s="101">
        <v>509</v>
      </c>
      <c r="G295" s="101">
        <v>0</v>
      </c>
      <c r="H295" s="101">
        <v>707</v>
      </c>
      <c r="I295" s="101">
        <v>218</v>
      </c>
      <c r="J295" s="101">
        <v>4881</v>
      </c>
      <c r="K295" s="101">
        <v>5372</v>
      </c>
      <c r="L295" s="101">
        <v>838</v>
      </c>
      <c r="M295" s="101">
        <v>17</v>
      </c>
      <c r="N295" s="101">
        <v>1013</v>
      </c>
      <c r="O295" s="101">
        <v>444</v>
      </c>
      <c r="P295" s="101">
        <v>6359000000</v>
      </c>
      <c r="Q295" s="101">
        <v>1766000000</v>
      </c>
      <c r="R295" s="101">
        <v>1766000000</v>
      </c>
      <c r="S295" s="101">
        <f t="shared" si="16"/>
        <v>15964074</v>
      </c>
      <c r="T295" s="101">
        <f t="shared" si="17"/>
        <v>-1029926</v>
      </c>
      <c r="U295" s="101">
        <f t="shared" si="18"/>
        <v>0</v>
      </c>
      <c r="V295" s="101">
        <v>158654</v>
      </c>
      <c r="W295" s="149">
        <f t="shared" si="19"/>
        <v>-6.491648492946916E-3</v>
      </c>
      <c r="AA295" s="101"/>
      <c r="AB295" s="101"/>
      <c r="AC295" s="101"/>
      <c r="AD295" s="101"/>
      <c r="AK295" s="101"/>
      <c r="AL295" s="101"/>
      <c r="AM295" s="101"/>
    </row>
    <row r="296" spans="2:39" x14ac:dyDescent="0.25">
      <c r="B296" s="164" t="s">
        <v>598</v>
      </c>
      <c r="C296" s="187">
        <v>15061</v>
      </c>
      <c r="D296" s="187">
        <v>9133</v>
      </c>
      <c r="E296" s="187">
        <v>5928</v>
      </c>
      <c r="F296" s="187">
        <v>531</v>
      </c>
      <c r="G296" s="187">
        <v>0</v>
      </c>
      <c r="H296" s="187">
        <v>229</v>
      </c>
      <c r="I296" s="187">
        <v>549</v>
      </c>
      <c r="J296" s="187">
        <v>5253</v>
      </c>
      <c r="K296" s="187">
        <v>9271</v>
      </c>
      <c r="L296" s="187">
        <v>672</v>
      </c>
      <c r="M296" s="187">
        <v>893</v>
      </c>
      <c r="N296" s="187">
        <v>2432</v>
      </c>
      <c r="O296" s="187">
        <v>354</v>
      </c>
      <c r="P296" s="101">
        <v>9958000000</v>
      </c>
      <c r="Q296" s="101">
        <v>1363000000</v>
      </c>
      <c r="R296" s="101">
        <v>1309500000</v>
      </c>
      <c r="S296" s="101">
        <f t="shared" si="16"/>
        <v>20385627</v>
      </c>
      <c r="T296" s="101">
        <f t="shared" si="17"/>
        <v>5324627</v>
      </c>
      <c r="U296" s="101">
        <f t="shared" si="18"/>
        <v>5324627</v>
      </c>
      <c r="V296" s="187">
        <v>177539</v>
      </c>
      <c r="W296" s="149">
        <f t="shared" si="19"/>
        <v>2.9991308951835934E-2</v>
      </c>
      <c r="AA296" s="101"/>
      <c r="AB296" s="101"/>
      <c r="AC296" s="101"/>
      <c r="AD296" s="101"/>
      <c r="AK296" s="101"/>
      <c r="AL296" s="101"/>
      <c r="AM296" s="101"/>
    </row>
    <row r="297" spans="2:39" x14ac:dyDescent="0.25">
      <c r="B297" t="s">
        <v>318</v>
      </c>
      <c r="C297" s="101">
        <v>22335</v>
      </c>
      <c r="D297" s="101">
        <v>11442</v>
      </c>
      <c r="E297" s="101">
        <v>10893</v>
      </c>
      <c r="F297" s="101">
        <v>2965</v>
      </c>
      <c r="G297" s="101">
        <v>344</v>
      </c>
      <c r="H297" s="101">
        <v>371</v>
      </c>
      <c r="I297" s="101">
        <v>0</v>
      </c>
      <c r="J297" s="101">
        <v>7026</v>
      </c>
      <c r="K297" s="101">
        <v>13511</v>
      </c>
      <c r="L297" s="101">
        <v>830</v>
      </c>
      <c r="M297" s="101">
        <v>866</v>
      </c>
      <c r="N297" s="101">
        <v>1480</v>
      </c>
      <c r="O297" s="101">
        <v>1359</v>
      </c>
      <c r="P297" s="101">
        <v>10598000000</v>
      </c>
      <c r="Q297" s="101">
        <v>1455000000</v>
      </c>
      <c r="R297" s="101">
        <v>1423489171.5366106</v>
      </c>
      <c r="S297" s="101">
        <f t="shared" si="16"/>
        <v>21751053.522860087</v>
      </c>
      <c r="T297" s="101">
        <f t="shared" si="17"/>
        <v>-583946.47713991255</v>
      </c>
      <c r="U297" s="101">
        <f t="shared" si="18"/>
        <v>0</v>
      </c>
      <c r="V297" s="101">
        <v>402081</v>
      </c>
      <c r="W297" s="149">
        <f t="shared" si="19"/>
        <v>-1.4523105472278286E-3</v>
      </c>
      <c r="AA297" s="101"/>
      <c r="AB297" s="101"/>
      <c r="AC297" s="101"/>
      <c r="AD297" s="101"/>
      <c r="AK297" s="101"/>
      <c r="AL297" s="101"/>
      <c r="AM297" s="101"/>
    </row>
    <row r="298" spans="2:39" x14ac:dyDescent="0.25">
      <c r="B298" t="s">
        <v>137</v>
      </c>
      <c r="C298" s="101">
        <v>711</v>
      </c>
      <c r="D298" s="101">
        <v>332</v>
      </c>
      <c r="E298" s="101">
        <v>379</v>
      </c>
      <c r="F298" s="101">
        <v>0</v>
      </c>
      <c r="G298" s="101">
        <v>47</v>
      </c>
      <c r="H298" s="101">
        <v>1869</v>
      </c>
      <c r="I298" s="101">
        <v>250</v>
      </c>
      <c r="J298" s="101">
        <v>232</v>
      </c>
      <c r="K298" s="101">
        <v>571</v>
      </c>
      <c r="L298" s="101">
        <v>112</v>
      </c>
      <c r="M298" s="101">
        <v>21</v>
      </c>
      <c r="N298" s="101">
        <v>90</v>
      </c>
      <c r="O298" s="101">
        <v>0</v>
      </c>
      <c r="P298" s="101">
        <v>577000000</v>
      </c>
      <c r="Q298" s="101">
        <v>107000000</v>
      </c>
      <c r="R298" s="101">
        <v>107000000</v>
      </c>
      <c r="S298" s="101">
        <f t="shared" si="16"/>
        <v>1276674</v>
      </c>
      <c r="T298" s="101">
        <f t="shared" si="17"/>
        <v>565674</v>
      </c>
      <c r="U298" s="101">
        <f t="shared" si="18"/>
        <v>565674</v>
      </c>
      <c r="V298" s="101">
        <v>10230</v>
      </c>
      <c r="W298" s="149">
        <f t="shared" si="19"/>
        <v>5.5295601173020528E-2</v>
      </c>
      <c r="AA298" s="101"/>
      <c r="AB298" s="101"/>
      <c r="AC298" s="101"/>
      <c r="AD298" s="101"/>
      <c r="AK298" s="101"/>
      <c r="AL298" s="101"/>
      <c r="AM298" s="101"/>
    </row>
    <row r="299" spans="2:39" x14ac:dyDescent="0.25">
      <c r="B299" t="s">
        <v>340</v>
      </c>
      <c r="C299" s="101">
        <v>16029</v>
      </c>
      <c r="D299" s="101">
        <v>7292</v>
      </c>
      <c r="E299" s="101">
        <v>8737</v>
      </c>
      <c r="F299" s="101">
        <v>3265</v>
      </c>
      <c r="G299" s="101">
        <v>203</v>
      </c>
      <c r="H299" s="101">
        <v>1080</v>
      </c>
      <c r="I299" s="101">
        <v>885</v>
      </c>
      <c r="J299" s="101">
        <v>6783</v>
      </c>
      <c r="K299" s="101">
        <v>7955</v>
      </c>
      <c r="L299" s="101">
        <v>649</v>
      </c>
      <c r="M299" s="101">
        <v>645</v>
      </c>
      <c r="N299" s="101">
        <v>2134</v>
      </c>
      <c r="O299" s="101">
        <v>406</v>
      </c>
      <c r="P299" s="101">
        <v>5962000000</v>
      </c>
      <c r="Q299" s="101">
        <v>1321000000</v>
      </c>
      <c r="R299" s="101">
        <v>1228000000</v>
      </c>
      <c r="S299" s="101">
        <f t="shared" si="16"/>
        <v>13736754</v>
      </c>
      <c r="T299" s="101">
        <f t="shared" si="17"/>
        <v>-2292246</v>
      </c>
      <c r="U299" s="101">
        <f t="shared" si="18"/>
        <v>0</v>
      </c>
      <c r="V299" s="101">
        <v>309092</v>
      </c>
      <c r="W299" s="149">
        <f t="shared" si="19"/>
        <v>-7.4160638256570858E-3</v>
      </c>
      <c r="AA299" s="101"/>
      <c r="AB299" s="101"/>
      <c r="AC299" s="101"/>
      <c r="AD299" s="101"/>
      <c r="AK299" s="101"/>
      <c r="AL299" s="101"/>
      <c r="AM299" s="101"/>
    </row>
    <row r="300" spans="2:39" x14ac:dyDescent="0.25">
      <c r="B300" t="s">
        <v>425</v>
      </c>
      <c r="C300" s="101">
        <v>3056</v>
      </c>
      <c r="D300" s="101">
        <v>2515</v>
      </c>
      <c r="E300" s="101">
        <v>541</v>
      </c>
      <c r="F300" s="101">
        <v>3</v>
      </c>
      <c r="G300" s="101">
        <v>0</v>
      </c>
      <c r="H300" s="101">
        <v>61</v>
      </c>
      <c r="I300" s="101">
        <v>1</v>
      </c>
      <c r="J300" s="101">
        <v>2088</v>
      </c>
      <c r="K300" s="101">
        <v>1788</v>
      </c>
      <c r="L300" s="101">
        <v>273</v>
      </c>
      <c r="M300" s="101">
        <v>22</v>
      </c>
      <c r="N300" s="101">
        <v>82</v>
      </c>
      <c r="O300" s="101">
        <v>40</v>
      </c>
      <c r="P300" s="101">
        <v>1868000000</v>
      </c>
      <c r="Q300" s="101">
        <v>125000000</v>
      </c>
      <c r="R300" s="101">
        <v>110441767.0682731</v>
      </c>
      <c r="S300" s="101">
        <f t="shared" si="16"/>
        <v>3394955.0120481928</v>
      </c>
      <c r="T300" s="101">
        <f t="shared" si="17"/>
        <v>338955.01204819279</v>
      </c>
      <c r="U300" s="101">
        <f t="shared" si="18"/>
        <v>338955.01204819279</v>
      </c>
      <c r="V300" s="101">
        <v>33966</v>
      </c>
      <c r="W300" s="149">
        <f t="shared" si="19"/>
        <v>9.9792443045455103E-3</v>
      </c>
      <c r="AA300" s="101"/>
      <c r="AB300" s="101"/>
      <c r="AC300" s="101"/>
      <c r="AD300" s="101"/>
      <c r="AK300" s="101"/>
      <c r="AL300" s="101"/>
      <c r="AM300" s="101"/>
    </row>
    <row r="301" spans="2:39" x14ac:dyDescent="0.25">
      <c r="B301" t="s">
        <v>827</v>
      </c>
      <c r="C301" s="101">
        <v>15027</v>
      </c>
      <c r="D301" s="101">
        <v>11904</v>
      </c>
      <c r="E301" s="101">
        <v>3123</v>
      </c>
      <c r="F301" s="101">
        <v>631</v>
      </c>
      <c r="G301" s="101">
        <v>47</v>
      </c>
      <c r="H301" s="101">
        <v>2234</v>
      </c>
      <c r="I301" s="101">
        <v>122</v>
      </c>
      <c r="J301" s="101">
        <v>7647</v>
      </c>
      <c r="K301" s="101">
        <v>10974</v>
      </c>
      <c r="L301" s="101">
        <v>926</v>
      </c>
      <c r="M301" s="101">
        <v>465</v>
      </c>
      <c r="N301" s="101">
        <v>1995</v>
      </c>
      <c r="O301" s="101">
        <v>290</v>
      </c>
      <c r="P301" s="101">
        <v>13307000000</v>
      </c>
      <c r="Q301" s="101">
        <v>1259000000</v>
      </c>
      <c r="R301" s="101">
        <v>1203978148.5895908</v>
      </c>
      <c r="S301" s="101">
        <f t="shared" si="16"/>
        <v>25452744.731823597</v>
      </c>
      <c r="T301" s="101">
        <f t="shared" si="17"/>
        <v>10425744.731823597</v>
      </c>
      <c r="U301" s="101">
        <f t="shared" si="18"/>
        <v>10425744.731823597</v>
      </c>
      <c r="V301" s="101">
        <v>270661</v>
      </c>
      <c r="W301" s="149">
        <f t="shared" si="19"/>
        <v>3.8519567768624211E-2</v>
      </c>
      <c r="AA301" s="101"/>
      <c r="AB301" s="101"/>
      <c r="AC301" s="101"/>
      <c r="AD301" s="101"/>
      <c r="AK301" s="101"/>
      <c r="AL301" s="101"/>
      <c r="AM301" s="101"/>
    </row>
    <row r="302" spans="2:39" x14ac:dyDescent="0.25">
      <c r="B302" t="s">
        <v>319</v>
      </c>
      <c r="C302" s="101">
        <v>8486</v>
      </c>
      <c r="D302" s="101">
        <v>7165</v>
      </c>
      <c r="E302" s="101">
        <v>1321</v>
      </c>
      <c r="F302" s="101">
        <v>3</v>
      </c>
      <c r="G302" s="101">
        <v>11</v>
      </c>
      <c r="H302" s="101">
        <v>176</v>
      </c>
      <c r="I302" s="101">
        <v>115</v>
      </c>
      <c r="J302" s="101">
        <v>2887</v>
      </c>
      <c r="K302" s="101">
        <v>4989</v>
      </c>
      <c r="L302" s="101">
        <v>382</v>
      </c>
      <c r="M302" s="101">
        <v>354</v>
      </c>
      <c r="N302" s="101">
        <v>648</v>
      </c>
      <c r="O302" s="101">
        <v>90</v>
      </c>
      <c r="P302" s="101">
        <v>5863000000</v>
      </c>
      <c r="Q302" s="101">
        <v>287000000</v>
      </c>
      <c r="R302" s="101">
        <v>274500000</v>
      </c>
      <c r="S302" s="101">
        <f t="shared" si="16"/>
        <v>10369143</v>
      </c>
      <c r="T302" s="101">
        <f t="shared" si="17"/>
        <v>1883143</v>
      </c>
      <c r="U302" s="101">
        <f t="shared" si="18"/>
        <v>1883143</v>
      </c>
      <c r="V302" s="101">
        <v>80498</v>
      </c>
      <c r="W302" s="149">
        <f t="shared" si="19"/>
        <v>2.3393661954334267E-2</v>
      </c>
      <c r="AA302" s="101"/>
      <c r="AB302" s="101"/>
      <c r="AC302" s="101"/>
      <c r="AD302" s="101"/>
      <c r="AK302" s="101"/>
      <c r="AL302" s="101"/>
      <c r="AM302" s="101"/>
    </row>
    <row r="303" spans="2:39" x14ac:dyDescent="0.25">
      <c r="B303" t="s">
        <v>203</v>
      </c>
      <c r="C303" s="101">
        <v>8040</v>
      </c>
      <c r="D303" s="101">
        <v>5071</v>
      </c>
      <c r="E303" s="101">
        <v>2969</v>
      </c>
      <c r="F303" s="101">
        <v>0</v>
      </c>
      <c r="G303" s="101">
        <v>0</v>
      </c>
      <c r="H303" s="101">
        <v>202</v>
      </c>
      <c r="I303" s="101">
        <v>110</v>
      </c>
      <c r="J303" s="101">
        <v>2552</v>
      </c>
      <c r="K303" s="101">
        <v>2201</v>
      </c>
      <c r="L303" s="101">
        <v>356</v>
      </c>
      <c r="M303" s="101">
        <v>170</v>
      </c>
      <c r="N303" s="101">
        <v>1074</v>
      </c>
      <c r="O303" s="101">
        <v>120</v>
      </c>
      <c r="P303" s="101">
        <v>4788000000</v>
      </c>
      <c r="Q303" s="101">
        <v>672000000</v>
      </c>
      <c r="R303" s="101">
        <v>580431868.95011163</v>
      </c>
      <c r="S303" s="101">
        <f t="shared" si="16"/>
        <v>9749257.0364854801</v>
      </c>
      <c r="T303" s="101">
        <f t="shared" si="17"/>
        <v>1709257.0364854801</v>
      </c>
      <c r="U303" s="101">
        <f t="shared" si="18"/>
        <v>1709257.0364854801</v>
      </c>
      <c r="V303" s="101">
        <v>77386</v>
      </c>
      <c r="W303" s="149">
        <f t="shared" si="19"/>
        <v>2.2087419384455589E-2</v>
      </c>
      <c r="AA303" s="101"/>
      <c r="AB303" s="101"/>
      <c r="AC303" s="101"/>
      <c r="AD303" s="101"/>
      <c r="AK303" s="101"/>
      <c r="AL303" s="101"/>
      <c r="AM303" s="101"/>
    </row>
    <row r="304" spans="2:39" x14ac:dyDescent="0.25">
      <c r="B304" t="s">
        <v>393</v>
      </c>
      <c r="C304" s="101">
        <v>10339</v>
      </c>
      <c r="D304" s="101">
        <v>6725</v>
      </c>
      <c r="E304" s="101">
        <v>3614</v>
      </c>
      <c r="F304" s="101">
        <v>0</v>
      </c>
      <c r="G304" s="101">
        <v>0</v>
      </c>
      <c r="H304" s="101">
        <v>474</v>
      </c>
      <c r="I304" s="101">
        <v>42</v>
      </c>
      <c r="J304" s="101">
        <v>4478</v>
      </c>
      <c r="K304" s="101">
        <v>3732</v>
      </c>
      <c r="L304" s="101">
        <v>560</v>
      </c>
      <c r="M304" s="101">
        <v>20</v>
      </c>
      <c r="N304" s="101">
        <v>1597</v>
      </c>
      <c r="O304" s="101">
        <v>84</v>
      </c>
      <c r="P304" s="101">
        <v>7466000000</v>
      </c>
      <c r="Q304" s="101">
        <v>825000000</v>
      </c>
      <c r="R304" s="101">
        <v>745451788.96300793</v>
      </c>
      <c r="S304" s="101">
        <f t="shared" si="16"/>
        <v>14584833.187386297</v>
      </c>
      <c r="T304" s="101">
        <f t="shared" si="17"/>
        <v>4245833.1873862967</v>
      </c>
      <c r="U304" s="101">
        <f t="shared" si="18"/>
        <v>4245833.1873862967</v>
      </c>
      <c r="V304" s="101">
        <v>104038</v>
      </c>
      <c r="W304" s="149">
        <f t="shared" si="19"/>
        <v>4.0810407614393744E-2</v>
      </c>
      <c r="AA304" s="101"/>
      <c r="AB304" s="101"/>
      <c r="AC304" s="101"/>
      <c r="AD304" s="101"/>
      <c r="AK304" s="101"/>
      <c r="AL304" s="101"/>
      <c r="AM304" s="101"/>
    </row>
    <row r="305" spans="2:39" x14ac:dyDescent="0.25">
      <c r="B305" t="s">
        <v>599</v>
      </c>
      <c r="C305" s="101">
        <v>8826</v>
      </c>
      <c r="D305" s="101">
        <v>6027</v>
      </c>
      <c r="E305" s="101">
        <v>2799</v>
      </c>
      <c r="F305" s="101">
        <v>513</v>
      </c>
      <c r="G305" s="101">
        <v>0</v>
      </c>
      <c r="H305" s="101">
        <v>0</v>
      </c>
      <c r="I305" s="101">
        <v>122</v>
      </c>
      <c r="J305" s="101">
        <v>6490</v>
      </c>
      <c r="K305" s="101">
        <v>6044</v>
      </c>
      <c r="L305" s="101">
        <v>797</v>
      </c>
      <c r="M305" s="101">
        <v>170</v>
      </c>
      <c r="N305" s="101">
        <v>759</v>
      </c>
      <c r="O305" s="101">
        <v>72</v>
      </c>
      <c r="P305" s="101">
        <v>5228000000</v>
      </c>
      <c r="Q305" s="101">
        <v>782000000</v>
      </c>
      <c r="R305" s="101">
        <v>654918746.00127959</v>
      </c>
      <c r="S305" s="101">
        <f t="shared" si="16"/>
        <v>10757178.856046066</v>
      </c>
      <c r="T305" s="101">
        <f t="shared" si="17"/>
        <v>1931178.8560460657</v>
      </c>
      <c r="U305" s="101">
        <f t="shared" si="18"/>
        <v>1931178.8560460657</v>
      </c>
      <c r="V305" s="101">
        <v>153604</v>
      </c>
      <c r="W305" s="149">
        <f t="shared" si="19"/>
        <v>1.2572451603122743E-2</v>
      </c>
      <c r="AA305" s="101"/>
      <c r="AB305" s="101"/>
      <c r="AC305" s="101"/>
      <c r="AD305" s="101"/>
      <c r="AK305" s="101"/>
      <c r="AL305" s="101"/>
      <c r="AM305" s="101"/>
    </row>
    <row r="306" spans="2:39" x14ac:dyDescent="0.25">
      <c r="B306" t="s">
        <v>394</v>
      </c>
      <c r="C306" s="101">
        <v>5020</v>
      </c>
      <c r="D306" s="101">
        <v>4124</v>
      </c>
      <c r="E306" s="101">
        <v>896</v>
      </c>
      <c r="F306" s="101">
        <v>0</v>
      </c>
      <c r="G306" s="101">
        <v>3</v>
      </c>
      <c r="H306" s="101">
        <v>220</v>
      </c>
      <c r="I306" s="101">
        <v>38</v>
      </c>
      <c r="J306" s="101">
        <v>1702</v>
      </c>
      <c r="K306" s="101">
        <v>1865</v>
      </c>
      <c r="L306" s="101">
        <v>300</v>
      </c>
      <c r="M306" s="101">
        <v>60</v>
      </c>
      <c r="N306" s="101">
        <v>800</v>
      </c>
      <c r="O306" s="101">
        <v>5</v>
      </c>
      <c r="P306" s="101">
        <v>4120000000</v>
      </c>
      <c r="Q306" s="101">
        <v>218000000</v>
      </c>
      <c r="R306" s="101">
        <v>205500000</v>
      </c>
      <c r="S306" s="101">
        <f t="shared" si="16"/>
        <v>7333209</v>
      </c>
      <c r="T306" s="101">
        <f t="shared" si="17"/>
        <v>2313209</v>
      </c>
      <c r="U306" s="101">
        <f t="shared" si="18"/>
        <v>2313209</v>
      </c>
      <c r="V306" s="101">
        <v>44985</v>
      </c>
      <c r="W306" s="149">
        <f t="shared" si="19"/>
        <v>5.1421785039457595E-2</v>
      </c>
      <c r="AA306" s="101"/>
      <c r="AB306" s="101"/>
      <c r="AC306" s="101"/>
      <c r="AD306" s="101"/>
      <c r="AK306" s="101"/>
      <c r="AL306" s="101"/>
      <c r="AM306" s="101"/>
    </row>
    <row r="307" spans="2:39" x14ac:dyDescent="0.25">
      <c r="B307" t="s">
        <v>395</v>
      </c>
      <c r="C307" s="101">
        <v>15141</v>
      </c>
      <c r="D307" s="101">
        <v>7066</v>
      </c>
      <c r="E307" s="101">
        <v>8075</v>
      </c>
      <c r="F307" s="101">
        <v>1253</v>
      </c>
      <c r="G307" s="101">
        <v>112</v>
      </c>
      <c r="H307" s="101">
        <v>492</v>
      </c>
      <c r="I307" s="101">
        <v>532</v>
      </c>
      <c r="J307" s="101">
        <v>4795</v>
      </c>
      <c r="K307" s="101">
        <v>4723</v>
      </c>
      <c r="L307" s="101">
        <v>1052</v>
      </c>
      <c r="M307" s="101">
        <v>384</v>
      </c>
      <c r="N307" s="101">
        <v>1438</v>
      </c>
      <c r="O307" s="101">
        <v>194</v>
      </c>
      <c r="P307" s="101">
        <v>7847000000</v>
      </c>
      <c r="Q307" s="101">
        <v>2053000000</v>
      </c>
      <c r="R307" s="101">
        <v>2053000000</v>
      </c>
      <c r="S307" s="101">
        <f t="shared" si="16"/>
        <v>19292142</v>
      </c>
      <c r="T307" s="101">
        <f t="shared" si="17"/>
        <v>4151142</v>
      </c>
      <c r="U307" s="101">
        <f t="shared" si="18"/>
        <v>4151142</v>
      </c>
      <c r="V307" s="101">
        <v>185574</v>
      </c>
      <c r="W307" s="149">
        <f t="shared" si="19"/>
        <v>2.2369200426783923E-2</v>
      </c>
      <c r="AA307" s="101"/>
      <c r="AB307" s="101"/>
      <c r="AC307" s="101"/>
      <c r="AD307" s="101"/>
      <c r="AK307" s="101"/>
      <c r="AL307" s="101"/>
      <c r="AM307" s="101"/>
    </row>
    <row r="308" spans="2:39" x14ac:dyDescent="0.25">
      <c r="B308" t="s">
        <v>320</v>
      </c>
      <c r="C308" s="101">
        <v>9005</v>
      </c>
      <c r="D308" s="101">
        <v>4328</v>
      </c>
      <c r="E308" s="101">
        <v>4677</v>
      </c>
      <c r="F308" s="101">
        <v>0</v>
      </c>
      <c r="G308" s="101">
        <v>37</v>
      </c>
      <c r="H308" s="101">
        <v>33</v>
      </c>
      <c r="I308" s="101">
        <v>0</v>
      </c>
      <c r="J308" s="101">
        <v>3275</v>
      </c>
      <c r="K308" s="101">
        <v>5341</v>
      </c>
      <c r="L308" s="101">
        <v>502</v>
      </c>
      <c r="M308" s="101">
        <v>373</v>
      </c>
      <c r="N308" s="101">
        <v>772</v>
      </c>
      <c r="O308" s="101">
        <v>138</v>
      </c>
      <c r="P308" s="101">
        <v>5438000000</v>
      </c>
      <c r="Q308" s="101">
        <v>980000000</v>
      </c>
      <c r="R308" s="101">
        <v>973000000</v>
      </c>
      <c r="S308" s="101">
        <f t="shared" si="16"/>
        <v>11929074</v>
      </c>
      <c r="T308" s="101">
        <f t="shared" si="17"/>
        <v>2924074</v>
      </c>
      <c r="U308" s="101">
        <f t="shared" si="18"/>
        <v>2924074</v>
      </c>
      <c r="V308" s="101">
        <v>106395</v>
      </c>
      <c r="W308" s="149">
        <f t="shared" si="19"/>
        <v>2.7483189999530054E-2</v>
      </c>
      <c r="AA308" s="101"/>
      <c r="AB308" s="101"/>
      <c r="AC308" s="101"/>
      <c r="AD308" s="101"/>
      <c r="AK308" s="101"/>
      <c r="AL308" s="101"/>
      <c r="AM308" s="101"/>
    </row>
    <row r="309" spans="2:39" x14ac:dyDescent="0.25">
      <c r="B309" t="s">
        <v>204</v>
      </c>
      <c r="C309" s="101">
        <v>14173</v>
      </c>
      <c r="D309" s="101">
        <v>7252</v>
      </c>
      <c r="E309" s="101">
        <v>6921</v>
      </c>
      <c r="F309" s="101">
        <v>1222</v>
      </c>
      <c r="G309" s="101">
        <v>103</v>
      </c>
      <c r="H309" s="101">
        <v>255</v>
      </c>
      <c r="I309" s="101">
        <v>342</v>
      </c>
      <c r="J309" s="101">
        <v>2419</v>
      </c>
      <c r="K309" s="101">
        <v>5727</v>
      </c>
      <c r="L309" s="101">
        <v>759</v>
      </c>
      <c r="M309" s="101">
        <v>544</v>
      </c>
      <c r="N309" s="101">
        <v>1352</v>
      </c>
      <c r="O309" s="101">
        <v>1354</v>
      </c>
      <c r="P309" s="101">
        <v>6566000000</v>
      </c>
      <c r="Q309" s="101">
        <v>1094000000</v>
      </c>
      <c r="R309" s="101">
        <v>1086000000</v>
      </c>
      <c r="S309" s="101">
        <f t="shared" si="16"/>
        <v>14116044</v>
      </c>
      <c r="T309" s="101">
        <f t="shared" si="17"/>
        <v>-56956</v>
      </c>
      <c r="U309" s="101">
        <f t="shared" si="18"/>
        <v>0</v>
      </c>
      <c r="V309" s="101">
        <v>128961</v>
      </c>
      <c r="W309" s="149">
        <f t="shared" si="19"/>
        <v>-4.416529028155799E-4</v>
      </c>
      <c r="AA309" s="101"/>
      <c r="AB309" s="101"/>
      <c r="AC309" s="101"/>
      <c r="AD309" s="101"/>
      <c r="AK309" s="101"/>
      <c r="AL309" s="101"/>
      <c r="AM309" s="101"/>
    </row>
    <row r="310" spans="2:39" x14ac:dyDescent="0.25">
      <c r="B310" t="s">
        <v>321</v>
      </c>
      <c r="C310" s="101">
        <v>12021</v>
      </c>
      <c r="D310" s="101">
        <v>8765</v>
      </c>
      <c r="E310" s="101">
        <v>3256</v>
      </c>
      <c r="F310" s="101">
        <v>18</v>
      </c>
      <c r="G310" s="101">
        <v>133</v>
      </c>
      <c r="H310" s="101">
        <v>2508</v>
      </c>
      <c r="I310" s="101">
        <v>373</v>
      </c>
      <c r="J310" s="101">
        <v>2759</v>
      </c>
      <c r="K310" s="101">
        <v>5716</v>
      </c>
      <c r="L310" s="101">
        <v>565</v>
      </c>
      <c r="M310" s="101">
        <v>54</v>
      </c>
      <c r="N310" s="101">
        <v>1793</v>
      </c>
      <c r="O310" s="101">
        <v>83</v>
      </c>
      <c r="P310" s="101">
        <v>9021000000</v>
      </c>
      <c r="Q310" s="101">
        <v>546000000</v>
      </c>
      <c r="R310" s="101">
        <v>523479376.71860677</v>
      </c>
      <c r="S310" s="101">
        <f t="shared" si="16"/>
        <v>16286033.714023832</v>
      </c>
      <c r="T310" s="101">
        <f t="shared" si="17"/>
        <v>4265033.7140238322</v>
      </c>
      <c r="U310" s="101">
        <f t="shared" si="18"/>
        <v>4265033.7140238322</v>
      </c>
      <c r="V310" s="101">
        <v>85973</v>
      </c>
      <c r="W310" s="149">
        <f t="shared" si="19"/>
        <v>4.9608990194873186E-2</v>
      </c>
      <c r="AA310" s="101"/>
      <c r="AB310" s="101"/>
      <c r="AC310" s="101"/>
      <c r="AD310" s="101"/>
      <c r="AK310" s="101"/>
      <c r="AL310" s="101"/>
      <c r="AM310" s="101"/>
    </row>
    <row r="311" spans="2:39" x14ac:dyDescent="0.25">
      <c r="B311" t="s">
        <v>275</v>
      </c>
      <c r="C311" s="101">
        <v>4197</v>
      </c>
      <c r="D311" s="101">
        <v>3346</v>
      </c>
      <c r="E311" s="101">
        <v>851</v>
      </c>
      <c r="F311" s="101">
        <v>503</v>
      </c>
      <c r="G311" s="101">
        <v>46</v>
      </c>
      <c r="H311" s="101">
        <v>808</v>
      </c>
      <c r="I311" s="101">
        <v>132</v>
      </c>
      <c r="J311" s="101">
        <v>1315</v>
      </c>
      <c r="K311" s="101">
        <v>1989</v>
      </c>
      <c r="L311" s="101">
        <v>262</v>
      </c>
      <c r="M311" s="101">
        <v>251</v>
      </c>
      <c r="N311" s="101">
        <v>884</v>
      </c>
      <c r="O311" s="101">
        <v>146</v>
      </c>
      <c r="P311" s="101">
        <v>3620000000</v>
      </c>
      <c r="Q311" s="101">
        <v>194000000</v>
      </c>
      <c r="R311" s="101">
        <v>187483204.13436693</v>
      </c>
      <c r="S311" s="101">
        <f t="shared" si="16"/>
        <v>6458393.8914728686</v>
      </c>
      <c r="T311" s="101">
        <f t="shared" si="17"/>
        <v>2261393.8914728686</v>
      </c>
      <c r="U311" s="101">
        <f t="shared" si="18"/>
        <v>2261393.8914728686</v>
      </c>
      <c r="V311" s="101">
        <v>49809</v>
      </c>
      <c r="W311" s="149">
        <f t="shared" si="19"/>
        <v>4.5401310836854156E-2</v>
      </c>
      <c r="AA311" s="101"/>
      <c r="AB311" s="101"/>
      <c r="AC311" s="101"/>
      <c r="AD311" s="101"/>
      <c r="AK311" s="101"/>
      <c r="AL311" s="101"/>
      <c r="AM311" s="101"/>
    </row>
    <row r="312" spans="2:39" x14ac:dyDescent="0.25">
      <c r="B312" t="s">
        <v>426</v>
      </c>
      <c r="C312" s="101">
        <v>13190</v>
      </c>
      <c r="D312" s="101">
        <v>7796</v>
      </c>
      <c r="E312" s="101">
        <v>5394</v>
      </c>
      <c r="F312" s="101">
        <v>3219</v>
      </c>
      <c r="G312" s="101">
        <v>0</v>
      </c>
      <c r="H312" s="101">
        <v>1617</v>
      </c>
      <c r="I312" s="101">
        <v>166</v>
      </c>
      <c r="J312" s="101">
        <v>5633</v>
      </c>
      <c r="K312" s="101">
        <v>7475</v>
      </c>
      <c r="L312" s="101">
        <v>988</v>
      </c>
      <c r="M312" s="101">
        <v>3</v>
      </c>
      <c r="N312" s="101">
        <v>1610</v>
      </c>
      <c r="O312" s="101">
        <v>640</v>
      </c>
      <c r="P312" s="101">
        <v>7905000000</v>
      </c>
      <c r="Q312" s="101">
        <v>1453000000</v>
      </c>
      <c r="R312" s="101">
        <v>1441500000</v>
      </c>
      <c r="S312" s="101">
        <f t="shared" si="16"/>
        <v>17430393</v>
      </c>
      <c r="T312" s="101">
        <f t="shared" si="17"/>
        <v>4240393</v>
      </c>
      <c r="U312" s="101">
        <f t="shared" si="18"/>
        <v>4240393</v>
      </c>
      <c r="V312" s="101">
        <v>195614</v>
      </c>
      <c r="W312" s="149">
        <f t="shared" si="19"/>
        <v>2.1677349269479691E-2</v>
      </c>
      <c r="AA312" s="101"/>
      <c r="AB312" s="101"/>
      <c r="AC312" s="101"/>
      <c r="AD312" s="101"/>
      <c r="AK312" s="101"/>
      <c r="AL312" s="101"/>
      <c r="AM312" s="101"/>
    </row>
    <row r="313" spans="2:39" x14ac:dyDescent="0.25">
      <c r="B313" t="s">
        <v>828</v>
      </c>
      <c r="C313" s="101">
        <v>15702</v>
      </c>
      <c r="D313" s="101">
        <v>9089</v>
      </c>
      <c r="E313" s="101">
        <v>6613</v>
      </c>
      <c r="F313" s="101">
        <v>198</v>
      </c>
      <c r="G313" s="101">
        <v>0</v>
      </c>
      <c r="H313" s="101">
        <v>232</v>
      </c>
      <c r="I313" s="101">
        <v>40</v>
      </c>
      <c r="J313" s="101">
        <v>9952</v>
      </c>
      <c r="K313" s="101">
        <v>0</v>
      </c>
      <c r="L313" s="101">
        <v>988</v>
      </c>
      <c r="M313" s="101">
        <v>794</v>
      </c>
      <c r="N313" s="101">
        <v>1616</v>
      </c>
      <c r="O313" s="101">
        <v>278</v>
      </c>
      <c r="P313" s="101">
        <v>8953000000</v>
      </c>
      <c r="Q313" s="101">
        <v>1479000000</v>
      </c>
      <c r="R313" s="101">
        <v>1323000000</v>
      </c>
      <c r="S313" s="101">
        <f t="shared" si="16"/>
        <v>18972570</v>
      </c>
      <c r="T313" s="101">
        <f t="shared" si="17"/>
        <v>3270570</v>
      </c>
      <c r="U313" s="101">
        <f t="shared" si="18"/>
        <v>3270570</v>
      </c>
      <c r="V313" s="101">
        <v>159683</v>
      </c>
      <c r="W313" s="149">
        <f t="shared" si="19"/>
        <v>2.0481641752722581E-2</v>
      </c>
      <c r="AA313" s="101"/>
      <c r="AB313" s="101"/>
      <c r="AC313" s="101"/>
      <c r="AD313" s="101"/>
      <c r="AK313" s="101"/>
      <c r="AL313" s="101"/>
      <c r="AM313" s="101"/>
    </row>
    <row r="314" spans="2:39" x14ac:dyDescent="0.25">
      <c r="B314" t="s">
        <v>205</v>
      </c>
      <c r="C314" s="101">
        <v>4381</v>
      </c>
      <c r="D314" s="101">
        <v>2707</v>
      </c>
      <c r="E314" s="101">
        <v>1674</v>
      </c>
      <c r="F314" s="101">
        <v>0</v>
      </c>
      <c r="G314" s="101">
        <v>0</v>
      </c>
      <c r="H314" s="101">
        <v>162</v>
      </c>
      <c r="I314" s="101">
        <v>135</v>
      </c>
      <c r="J314" s="101">
        <v>2625</v>
      </c>
      <c r="K314" s="101">
        <v>0</v>
      </c>
      <c r="L314" s="101">
        <v>338</v>
      </c>
      <c r="M314" s="101">
        <v>13</v>
      </c>
      <c r="N314" s="101">
        <v>1057</v>
      </c>
      <c r="O314" s="101">
        <v>56</v>
      </c>
      <c r="P314" s="101">
        <v>3420000000</v>
      </c>
      <c r="Q314" s="101">
        <v>426000000</v>
      </c>
      <c r="R314" s="101">
        <v>353414806.11045825</v>
      </c>
      <c r="S314" s="101">
        <f t="shared" si="16"/>
        <v>6777855.4970622798</v>
      </c>
      <c r="T314" s="101">
        <f t="shared" si="17"/>
        <v>2396855.4970622798</v>
      </c>
      <c r="U314" s="101">
        <f t="shared" si="18"/>
        <v>2396855.4970622798</v>
      </c>
      <c r="V314" s="101">
        <v>54178</v>
      </c>
      <c r="W314" s="149">
        <f t="shared" si="19"/>
        <v>4.4240383496295173E-2</v>
      </c>
      <c r="AA314" s="101"/>
      <c r="AB314" s="101"/>
      <c r="AC314" s="101"/>
      <c r="AD314" s="101"/>
      <c r="AK314" s="101"/>
      <c r="AL314" s="101"/>
      <c r="AM314" s="101"/>
    </row>
    <row r="315" spans="2:39" x14ac:dyDescent="0.25">
      <c r="B315" t="s">
        <v>601</v>
      </c>
      <c r="C315" s="101">
        <v>16096</v>
      </c>
      <c r="D315" s="101">
        <v>10022</v>
      </c>
      <c r="E315" s="101">
        <v>6074</v>
      </c>
      <c r="F315" s="101">
        <v>7</v>
      </c>
      <c r="G315" s="101">
        <v>0</v>
      </c>
      <c r="H315" s="101">
        <v>0</v>
      </c>
      <c r="I315" s="101">
        <v>65</v>
      </c>
      <c r="J315" s="101">
        <v>6882</v>
      </c>
      <c r="K315" s="101">
        <v>9597</v>
      </c>
      <c r="L315" s="101">
        <v>970</v>
      </c>
      <c r="M315" s="101">
        <v>542</v>
      </c>
      <c r="N315" s="101">
        <v>1280</v>
      </c>
      <c r="O315" s="101">
        <v>64</v>
      </c>
      <c r="P315" s="101">
        <v>8216000000</v>
      </c>
      <c r="Q315" s="101">
        <v>1352000000</v>
      </c>
      <c r="R315" s="101">
        <v>1225000000</v>
      </c>
      <c r="S315" s="101">
        <f t="shared" si="16"/>
        <v>17419902</v>
      </c>
      <c r="T315" s="101">
        <f t="shared" si="17"/>
        <v>1323902</v>
      </c>
      <c r="U315" s="101">
        <f t="shared" si="18"/>
        <v>1323902</v>
      </c>
      <c r="V315" s="101">
        <v>204100</v>
      </c>
      <c r="W315" s="149">
        <f t="shared" si="19"/>
        <v>6.4865360117589421E-3</v>
      </c>
      <c r="AA315" s="101"/>
      <c r="AB315" s="101"/>
      <c r="AC315" s="101"/>
      <c r="AD315" s="101"/>
      <c r="AK315" s="101"/>
      <c r="AL315" s="101"/>
      <c r="AM315" s="101"/>
    </row>
    <row r="316" spans="2:39" x14ac:dyDescent="0.25">
      <c r="B316" t="s">
        <v>114</v>
      </c>
      <c r="C316" s="101">
        <v>4452</v>
      </c>
      <c r="D316" s="101">
        <v>3253</v>
      </c>
      <c r="E316" s="101">
        <v>1199</v>
      </c>
      <c r="F316" s="101">
        <v>0</v>
      </c>
      <c r="G316" s="101">
        <v>0</v>
      </c>
      <c r="H316" s="101">
        <v>1207</v>
      </c>
      <c r="I316" s="101">
        <v>989</v>
      </c>
      <c r="J316" s="101">
        <v>2148</v>
      </c>
      <c r="K316" s="101">
        <v>2431</v>
      </c>
      <c r="L316" s="101">
        <v>292</v>
      </c>
      <c r="M316" s="101">
        <v>365</v>
      </c>
      <c r="N316" s="101">
        <v>536</v>
      </c>
      <c r="O316" s="101">
        <v>51</v>
      </c>
      <c r="P316" s="101">
        <v>3563000000</v>
      </c>
      <c r="Q316" s="101">
        <v>430000000</v>
      </c>
      <c r="R316" s="101">
        <v>351408614.66821885</v>
      </c>
      <c r="S316" s="101">
        <f t="shared" si="16"/>
        <v>7011875.5040745046</v>
      </c>
      <c r="T316" s="101">
        <f t="shared" si="17"/>
        <v>2559875.5040745046</v>
      </c>
      <c r="U316" s="101">
        <f t="shared" si="18"/>
        <v>2559875.5040745046</v>
      </c>
      <c r="V316" s="101">
        <v>64310</v>
      </c>
      <c r="W316" s="149">
        <f t="shared" si="19"/>
        <v>3.980524808077289E-2</v>
      </c>
      <c r="AA316" s="101"/>
      <c r="AB316" s="101"/>
      <c r="AC316" s="101"/>
      <c r="AD316" s="101"/>
      <c r="AK316" s="101"/>
      <c r="AL316" s="101"/>
      <c r="AM316" s="101"/>
    </row>
    <row r="317" spans="2:39" x14ac:dyDescent="0.25">
      <c r="B317" t="s">
        <v>206</v>
      </c>
      <c r="C317" s="101">
        <v>3796</v>
      </c>
      <c r="D317" s="101">
        <v>3197</v>
      </c>
      <c r="E317" s="101">
        <v>599</v>
      </c>
      <c r="F317" s="101">
        <v>2</v>
      </c>
      <c r="G317" s="101">
        <v>0</v>
      </c>
      <c r="H317" s="101">
        <v>0</v>
      </c>
      <c r="I317" s="101">
        <v>186</v>
      </c>
      <c r="J317" s="101">
        <v>1807</v>
      </c>
      <c r="K317" s="101">
        <v>1662</v>
      </c>
      <c r="L317" s="101">
        <v>271</v>
      </c>
      <c r="M317" s="101">
        <v>28</v>
      </c>
      <c r="N317" s="101">
        <v>93</v>
      </c>
      <c r="O317" s="101">
        <v>32</v>
      </c>
      <c r="P317" s="101">
        <v>2167000000</v>
      </c>
      <c r="Q317" s="101">
        <v>117000000</v>
      </c>
      <c r="R317" s="101">
        <v>115493562.23175965</v>
      </c>
      <c r="S317" s="101">
        <f t="shared" si="16"/>
        <v>3872782.6094420599</v>
      </c>
      <c r="T317" s="101">
        <f t="shared" si="17"/>
        <v>76782.609442059882</v>
      </c>
      <c r="U317" s="101">
        <f t="shared" si="18"/>
        <v>76782.609442059882</v>
      </c>
      <c r="V317" s="101">
        <v>47638</v>
      </c>
      <c r="W317" s="149">
        <f t="shared" si="19"/>
        <v>1.6117933045480474E-3</v>
      </c>
      <c r="AA317" s="101"/>
      <c r="AB317" s="101"/>
      <c r="AC317" s="101"/>
      <c r="AD317" s="101"/>
      <c r="AK317" s="101"/>
      <c r="AL317" s="101"/>
      <c r="AM317" s="101"/>
    </row>
    <row r="318" spans="2:39" x14ac:dyDescent="0.25">
      <c r="B318" t="s">
        <v>602</v>
      </c>
      <c r="C318" s="101">
        <v>7041</v>
      </c>
      <c r="D318" s="101">
        <v>4325</v>
      </c>
      <c r="E318" s="101">
        <v>2716</v>
      </c>
      <c r="F318" s="101">
        <v>0</v>
      </c>
      <c r="G318" s="101">
        <v>0</v>
      </c>
      <c r="H318" s="101">
        <v>392</v>
      </c>
      <c r="I318" s="101">
        <v>58</v>
      </c>
      <c r="J318" s="101">
        <v>4069</v>
      </c>
      <c r="K318" s="101">
        <v>4388</v>
      </c>
      <c r="L318" s="101">
        <v>464</v>
      </c>
      <c r="M318" s="101">
        <v>110</v>
      </c>
      <c r="N318" s="101">
        <v>500</v>
      </c>
      <c r="O318" s="101">
        <v>44</v>
      </c>
      <c r="P318" s="101">
        <v>3257000000</v>
      </c>
      <c r="Q318" s="101">
        <v>633000000</v>
      </c>
      <c r="R318" s="101">
        <v>547432411.06719363</v>
      </c>
      <c r="S318" s="101">
        <f t="shared" si="16"/>
        <v>7162015.9114624513</v>
      </c>
      <c r="T318" s="101">
        <f t="shared" si="17"/>
        <v>121015.91146245133</v>
      </c>
      <c r="U318" s="101">
        <f t="shared" si="18"/>
        <v>121015.91146245133</v>
      </c>
      <c r="V318" s="101">
        <v>120166</v>
      </c>
      <c r="W318" s="149">
        <f t="shared" si="19"/>
        <v>1.0070728114645684E-3</v>
      </c>
      <c r="AA318" s="101"/>
      <c r="AB318" s="101"/>
      <c r="AC318" s="101"/>
      <c r="AD318" s="101"/>
      <c r="AK318" s="101"/>
      <c r="AL318" s="101"/>
      <c r="AM318" s="101"/>
    </row>
    <row r="319" spans="2:39" x14ac:dyDescent="0.25">
      <c r="B319" t="s">
        <v>322</v>
      </c>
      <c r="C319" s="101">
        <v>37339</v>
      </c>
      <c r="D319" s="101">
        <v>16221</v>
      </c>
      <c r="E319" s="101">
        <v>21118</v>
      </c>
      <c r="F319" s="101">
        <v>373</v>
      </c>
      <c r="G319" s="101">
        <v>0</v>
      </c>
      <c r="H319" s="101">
        <v>305</v>
      </c>
      <c r="I319" s="101">
        <v>693</v>
      </c>
      <c r="J319" s="101">
        <v>16747</v>
      </c>
      <c r="K319" s="101">
        <v>14645</v>
      </c>
      <c r="L319" s="101">
        <v>1770</v>
      </c>
      <c r="M319" s="101">
        <v>1082</v>
      </c>
      <c r="N319" s="101">
        <v>5346</v>
      </c>
      <c r="O319" s="101">
        <v>435</v>
      </c>
      <c r="P319" s="101">
        <v>21038000000</v>
      </c>
      <c r="Q319" s="101">
        <v>4959000000</v>
      </c>
      <c r="R319" s="101">
        <v>4959000000</v>
      </c>
      <c r="S319" s="101">
        <f t="shared" si="16"/>
        <v>49962984</v>
      </c>
      <c r="T319" s="101">
        <f t="shared" si="17"/>
        <v>12623984</v>
      </c>
      <c r="U319" s="101">
        <f t="shared" si="18"/>
        <v>12623984</v>
      </c>
      <c r="V319" s="101">
        <v>372520</v>
      </c>
      <c r="W319" s="149">
        <f t="shared" si="19"/>
        <v>3.3888070439171053E-2</v>
      </c>
      <c r="AA319" s="101"/>
      <c r="AB319" s="101"/>
      <c r="AC319" s="101"/>
      <c r="AD319" s="101"/>
      <c r="AK319" s="101"/>
      <c r="AL319" s="101"/>
      <c r="AM319" s="101"/>
    </row>
    <row r="320" spans="2:39" x14ac:dyDescent="0.25">
      <c r="B320" t="s">
        <v>138</v>
      </c>
      <c r="C320" s="101">
        <v>5084</v>
      </c>
      <c r="D320" s="101">
        <v>3169</v>
      </c>
      <c r="E320" s="101">
        <v>1915</v>
      </c>
      <c r="F320" s="101">
        <v>0</v>
      </c>
      <c r="G320" s="101">
        <v>0</v>
      </c>
      <c r="H320" s="101">
        <v>165</v>
      </c>
      <c r="I320" s="101">
        <v>155</v>
      </c>
      <c r="J320" s="101">
        <v>2277</v>
      </c>
      <c r="K320" s="101">
        <v>3328</v>
      </c>
      <c r="L320" s="101">
        <v>400</v>
      </c>
      <c r="M320" s="101">
        <v>97</v>
      </c>
      <c r="N320" s="101">
        <v>525</v>
      </c>
      <c r="O320" s="101">
        <v>96</v>
      </c>
      <c r="P320" s="101">
        <v>3575000000</v>
      </c>
      <c r="Q320" s="101">
        <v>520000000</v>
      </c>
      <c r="R320" s="101">
        <v>443500000</v>
      </c>
      <c r="S320" s="101">
        <f t="shared" si="16"/>
        <v>7325139</v>
      </c>
      <c r="T320" s="101">
        <f t="shared" si="17"/>
        <v>2241139</v>
      </c>
      <c r="U320" s="101">
        <f t="shared" si="18"/>
        <v>2241139</v>
      </c>
      <c r="V320" s="101">
        <v>104528</v>
      </c>
      <c r="W320" s="149">
        <f t="shared" si="19"/>
        <v>2.1440561380682687E-2</v>
      </c>
      <c r="AA320" s="101"/>
      <c r="AB320" s="101"/>
      <c r="AC320" s="101"/>
      <c r="AD320" s="101"/>
      <c r="AK320" s="101"/>
      <c r="AL320" s="101"/>
      <c r="AM320" s="101"/>
    </row>
    <row r="321" spans="2:39" x14ac:dyDescent="0.25">
      <c r="B321" t="s">
        <v>160</v>
      </c>
      <c r="C321" s="101">
        <v>5425</v>
      </c>
      <c r="D321" s="101">
        <v>3658</v>
      </c>
      <c r="E321" s="101">
        <v>1767</v>
      </c>
      <c r="F321" s="101">
        <v>0</v>
      </c>
      <c r="G321" s="101">
        <v>0</v>
      </c>
      <c r="H321" s="101">
        <v>298</v>
      </c>
      <c r="I321" s="101">
        <v>176</v>
      </c>
      <c r="J321" s="101">
        <v>3652</v>
      </c>
      <c r="K321" s="101">
        <v>2496</v>
      </c>
      <c r="L321" s="101">
        <v>443</v>
      </c>
      <c r="M321" s="101">
        <v>360</v>
      </c>
      <c r="N321" s="101">
        <v>932</v>
      </c>
      <c r="O321" s="101">
        <v>38</v>
      </c>
      <c r="P321" s="101">
        <v>4274000000</v>
      </c>
      <c r="Q321" s="101">
        <v>491000000</v>
      </c>
      <c r="R321" s="101">
        <v>448456676.86034656</v>
      </c>
      <c r="S321" s="101">
        <f t="shared" si="16"/>
        <v>8414519.0764525998</v>
      </c>
      <c r="T321" s="101">
        <f t="shared" si="17"/>
        <v>2989519.0764525998</v>
      </c>
      <c r="U321" s="101">
        <f t="shared" si="18"/>
        <v>2989519.0764525998</v>
      </c>
      <c r="V321" s="101">
        <v>78769</v>
      </c>
      <c r="W321" s="149">
        <f t="shared" si="19"/>
        <v>3.7952990090677804E-2</v>
      </c>
      <c r="AA321" s="101"/>
      <c r="AB321" s="101"/>
      <c r="AC321" s="101"/>
      <c r="AD321" s="101"/>
      <c r="AK321" s="101"/>
      <c r="AL321" s="101"/>
      <c r="AM321" s="101"/>
    </row>
    <row r="322" spans="2:39" x14ac:dyDescent="0.25">
      <c r="B322" t="s">
        <v>207</v>
      </c>
      <c r="C322" s="101">
        <v>10695</v>
      </c>
      <c r="D322" s="101">
        <v>6660</v>
      </c>
      <c r="E322" s="101">
        <v>4035</v>
      </c>
      <c r="F322" s="101">
        <v>0</v>
      </c>
      <c r="G322" s="101">
        <v>0</v>
      </c>
      <c r="H322" s="101">
        <v>215</v>
      </c>
      <c r="I322" s="101">
        <v>880</v>
      </c>
      <c r="J322" s="101">
        <v>4588</v>
      </c>
      <c r="K322" s="101">
        <v>4445</v>
      </c>
      <c r="L322" s="101">
        <v>695</v>
      </c>
      <c r="M322" s="101">
        <v>0</v>
      </c>
      <c r="N322" s="101">
        <v>1157</v>
      </c>
      <c r="O322" s="101">
        <v>352</v>
      </c>
      <c r="P322" s="101">
        <v>6811000000</v>
      </c>
      <c r="Q322" s="101">
        <v>1028000000</v>
      </c>
      <c r="R322" s="101">
        <v>993500000</v>
      </c>
      <c r="S322" s="101">
        <f t="shared" si="16"/>
        <v>14255655</v>
      </c>
      <c r="T322" s="101">
        <f t="shared" si="17"/>
        <v>3560655</v>
      </c>
      <c r="U322" s="101">
        <f t="shared" si="18"/>
        <v>3560655</v>
      </c>
      <c r="V322" s="101">
        <v>127420</v>
      </c>
      <c r="W322" s="149">
        <f t="shared" si="19"/>
        <v>2.7944239522837859E-2</v>
      </c>
      <c r="AA322" s="101"/>
      <c r="AB322" s="101"/>
      <c r="AC322" s="101"/>
      <c r="AD322" s="101"/>
      <c r="AK322" s="101"/>
      <c r="AL322" s="101"/>
      <c r="AM322" s="101"/>
    </row>
    <row r="323" spans="2:39" x14ac:dyDescent="0.25">
      <c r="B323" t="s">
        <v>277</v>
      </c>
      <c r="C323" s="101">
        <v>9434</v>
      </c>
      <c r="D323" s="101">
        <v>7436</v>
      </c>
      <c r="E323" s="101">
        <v>1998</v>
      </c>
      <c r="F323" s="101">
        <v>0</v>
      </c>
      <c r="G323" s="101">
        <v>0</v>
      </c>
      <c r="H323" s="101">
        <v>317</v>
      </c>
      <c r="I323" s="101">
        <v>1388</v>
      </c>
      <c r="J323" s="101">
        <v>4642</v>
      </c>
      <c r="K323" s="101">
        <v>4457</v>
      </c>
      <c r="L323" s="101">
        <v>261</v>
      </c>
      <c r="M323" s="101">
        <v>275</v>
      </c>
      <c r="N323" s="101">
        <v>411</v>
      </c>
      <c r="O323" s="101">
        <v>32</v>
      </c>
      <c r="P323" s="101">
        <v>6302000000</v>
      </c>
      <c r="Q323" s="101">
        <v>572000000</v>
      </c>
      <c r="R323" s="101">
        <v>534000000</v>
      </c>
      <c r="S323" s="101">
        <f t="shared" ref="S323:S344" si="20">0.001614*(SUM(P323,Q323,R323))</f>
        <v>11956512</v>
      </c>
      <c r="T323" s="101">
        <f t="shared" ref="T323:T344" si="21">SUM(S323,-C323*1000)</f>
        <v>2522512</v>
      </c>
      <c r="U323" s="101">
        <f t="shared" ref="U323:U344" si="22">IF(T323&gt;0,T323,0)</f>
        <v>2522512</v>
      </c>
      <c r="V323" s="101">
        <v>67573</v>
      </c>
      <c r="W323" s="149">
        <f t="shared" ref="W323:W344" si="23">T323/(V323*1000)</f>
        <v>3.7330176253829193E-2</v>
      </c>
      <c r="AA323" s="101"/>
      <c r="AB323" s="101"/>
      <c r="AC323" s="101"/>
      <c r="AD323" s="101"/>
      <c r="AK323" s="101"/>
      <c r="AL323" s="101"/>
      <c r="AM323" s="101"/>
    </row>
    <row r="324" spans="2:39" x14ac:dyDescent="0.25">
      <c r="B324" t="s">
        <v>232</v>
      </c>
      <c r="C324" s="101">
        <v>6598</v>
      </c>
      <c r="D324" s="101">
        <v>4990</v>
      </c>
      <c r="E324" s="101">
        <v>1608</v>
      </c>
      <c r="F324" s="101">
        <v>36</v>
      </c>
      <c r="G324" s="101">
        <v>19</v>
      </c>
      <c r="H324" s="101">
        <v>46</v>
      </c>
      <c r="I324" s="101">
        <v>0</v>
      </c>
      <c r="J324" s="101">
        <v>2667</v>
      </c>
      <c r="K324" s="101">
        <v>3133</v>
      </c>
      <c r="L324" s="101">
        <v>517</v>
      </c>
      <c r="M324" s="101">
        <v>189</v>
      </c>
      <c r="N324" s="101">
        <v>603</v>
      </c>
      <c r="O324" s="101">
        <v>137</v>
      </c>
      <c r="P324" s="101">
        <v>4455000000</v>
      </c>
      <c r="Q324" s="101">
        <v>319000000</v>
      </c>
      <c r="R324" s="101">
        <v>280940345.36891681</v>
      </c>
      <c r="S324" s="101">
        <f t="shared" si="20"/>
        <v>8158673.7174254311</v>
      </c>
      <c r="T324" s="101">
        <f t="shared" si="21"/>
        <v>1560673.7174254311</v>
      </c>
      <c r="U324" s="101">
        <f t="shared" si="22"/>
        <v>1560673.7174254311</v>
      </c>
      <c r="V324" s="101">
        <v>65338</v>
      </c>
      <c r="W324" s="149">
        <f t="shared" si="23"/>
        <v>2.3886156867755842E-2</v>
      </c>
      <c r="AA324" s="101"/>
      <c r="AB324" s="101"/>
      <c r="AC324" s="101"/>
      <c r="AD324" s="101"/>
      <c r="AK324" s="101"/>
      <c r="AL324" s="101"/>
      <c r="AM324" s="101"/>
    </row>
    <row r="325" spans="2:39" x14ac:dyDescent="0.25">
      <c r="B325" t="s">
        <v>208</v>
      </c>
      <c r="C325" s="101">
        <v>6580</v>
      </c>
      <c r="D325" s="101">
        <v>3720</v>
      </c>
      <c r="E325" s="101">
        <v>2860</v>
      </c>
      <c r="F325" s="101">
        <v>0</v>
      </c>
      <c r="G325" s="101">
        <v>50</v>
      </c>
      <c r="H325" s="101">
        <v>914</v>
      </c>
      <c r="I325" s="101">
        <v>90</v>
      </c>
      <c r="J325" s="101">
        <v>4373</v>
      </c>
      <c r="K325" s="101">
        <v>2842</v>
      </c>
      <c r="L325" s="101">
        <v>492</v>
      </c>
      <c r="M325" s="101">
        <v>201</v>
      </c>
      <c r="N325" s="101">
        <v>670</v>
      </c>
      <c r="O325" s="101">
        <v>142</v>
      </c>
      <c r="P325" s="101">
        <v>4045000000</v>
      </c>
      <c r="Q325" s="101">
        <v>733000000</v>
      </c>
      <c r="R325" s="101">
        <v>640500000</v>
      </c>
      <c r="S325" s="101">
        <f t="shared" si="20"/>
        <v>8745459</v>
      </c>
      <c r="T325" s="101">
        <f t="shared" si="21"/>
        <v>2165459</v>
      </c>
      <c r="U325" s="101">
        <f t="shared" si="22"/>
        <v>2165459</v>
      </c>
      <c r="V325" s="101">
        <v>108076</v>
      </c>
      <c r="W325" s="149">
        <f t="shared" si="23"/>
        <v>2.0036446574632667E-2</v>
      </c>
      <c r="AA325" s="101"/>
      <c r="AB325" s="101"/>
      <c r="AC325" s="101"/>
      <c r="AD325" s="101"/>
      <c r="AK325" s="101"/>
      <c r="AL325" s="101"/>
      <c r="AM325" s="101"/>
    </row>
    <row r="326" spans="2:39" x14ac:dyDescent="0.25">
      <c r="B326" t="s">
        <v>396</v>
      </c>
      <c r="C326" s="101">
        <v>5828</v>
      </c>
      <c r="D326" s="101">
        <v>3641</v>
      </c>
      <c r="E326" s="101">
        <v>2187</v>
      </c>
      <c r="F326" s="101">
        <v>0</v>
      </c>
      <c r="G326" s="101">
        <v>0</v>
      </c>
      <c r="H326" s="101">
        <v>641</v>
      </c>
      <c r="I326" s="101">
        <v>183</v>
      </c>
      <c r="J326" s="101">
        <v>2172</v>
      </c>
      <c r="K326" s="101">
        <v>2882</v>
      </c>
      <c r="L326" s="101">
        <v>362</v>
      </c>
      <c r="M326" s="101">
        <v>85</v>
      </c>
      <c r="N326" s="101">
        <v>755</v>
      </c>
      <c r="O326" s="101">
        <v>120</v>
      </c>
      <c r="P326" s="101">
        <v>3396000000</v>
      </c>
      <c r="Q326" s="101">
        <v>672000000</v>
      </c>
      <c r="R326" s="101">
        <v>625965748.32464635</v>
      </c>
      <c r="S326" s="101">
        <f t="shared" si="20"/>
        <v>7576060.7177959783</v>
      </c>
      <c r="T326" s="101">
        <f t="shared" si="21"/>
        <v>1748060.7177959783</v>
      </c>
      <c r="U326" s="101">
        <f t="shared" si="22"/>
        <v>1748060.7177959783</v>
      </c>
      <c r="V326" s="101">
        <v>64115</v>
      </c>
      <c r="W326" s="149">
        <f t="shared" si="23"/>
        <v>2.7264457892786063E-2</v>
      </c>
      <c r="AA326" s="101"/>
      <c r="AB326" s="101"/>
      <c r="AC326" s="101"/>
      <c r="AD326" s="101"/>
      <c r="AK326" s="101"/>
      <c r="AL326" s="101"/>
      <c r="AM326" s="101"/>
    </row>
    <row r="327" spans="2:39" x14ac:dyDescent="0.25">
      <c r="B327" t="s">
        <v>233</v>
      </c>
      <c r="C327" s="101">
        <v>17473</v>
      </c>
      <c r="D327" s="101">
        <v>10905</v>
      </c>
      <c r="E327" s="101">
        <v>6568</v>
      </c>
      <c r="F327" s="101">
        <v>2398</v>
      </c>
      <c r="G327" s="101">
        <v>112</v>
      </c>
      <c r="H327" s="101">
        <v>117</v>
      </c>
      <c r="I327" s="101">
        <v>313</v>
      </c>
      <c r="J327" s="101">
        <v>7472</v>
      </c>
      <c r="K327" s="101">
        <v>6740</v>
      </c>
      <c r="L327" s="101">
        <v>905</v>
      </c>
      <c r="M327" s="101">
        <v>812</v>
      </c>
      <c r="N327" s="101">
        <v>1466</v>
      </c>
      <c r="O327" s="101">
        <v>348</v>
      </c>
      <c r="P327" s="101">
        <v>9401000000</v>
      </c>
      <c r="Q327" s="101">
        <v>1154000000</v>
      </c>
      <c r="R327" s="101">
        <v>1097500000</v>
      </c>
      <c r="S327" s="101">
        <f t="shared" si="20"/>
        <v>18807135</v>
      </c>
      <c r="T327" s="101">
        <f t="shared" si="21"/>
        <v>1334135</v>
      </c>
      <c r="U327" s="101">
        <f t="shared" si="22"/>
        <v>1334135</v>
      </c>
      <c r="V327" s="101">
        <v>181687</v>
      </c>
      <c r="W327" s="149">
        <f t="shared" si="23"/>
        <v>7.3430405037234366E-3</v>
      </c>
      <c r="AA327" s="101"/>
      <c r="AB327" s="101"/>
      <c r="AC327" s="101"/>
      <c r="AD327" s="101"/>
      <c r="AK327" s="101"/>
      <c r="AL327" s="101"/>
      <c r="AM327" s="101"/>
    </row>
    <row r="328" spans="2:39" x14ac:dyDescent="0.25">
      <c r="B328" t="s">
        <v>278</v>
      </c>
      <c r="C328" s="101">
        <v>4055</v>
      </c>
      <c r="D328" s="101">
        <v>2973</v>
      </c>
      <c r="E328" s="101">
        <v>1082</v>
      </c>
      <c r="F328" s="101">
        <v>0</v>
      </c>
      <c r="G328" s="101">
        <v>0</v>
      </c>
      <c r="H328" s="101">
        <v>30</v>
      </c>
      <c r="I328" s="101">
        <v>148</v>
      </c>
      <c r="J328" s="101">
        <v>2139</v>
      </c>
      <c r="K328" s="101">
        <v>2805</v>
      </c>
      <c r="L328" s="101">
        <v>217</v>
      </c>
      <c r="M328" s="101">
        <v>176</v>
      </c>
      <c r="N328" s="101">
        <v>2073</v>
      </c>
      <c r="O328" s="101">
        <v>63</v>
      </c>
      <c r="P328" s="101">
        <v>3060000000</v>
      </c>
      <c r="Q328" s="101">
        <v>313000000</v>
      </c>
      <c r="R328" s="101">
        <v>293969600</v>
      </c>
      <c r="S328" s="101">
        <f t="shared" si="20"/>
        <v>5918488.9343999997</v>
      </c>
      <c r="T328" s="101">
        <f t="shared" si="21"/>
        <v>1863488.9343999997</v>
      </c>
      <c r="U328" s="101">
        <f t="shared" si="22"/>
        <v>1863488.9343999997</v>
      </c>
      <c r="V328" s="101">
        <v>48709</v>
      </c>
      <c r="W328" s="149">
        <f t="shared" si="23"/>
        <v>3.8257589652836224E-2</v>
      </c>
      <c r="AA328" s="101"/>
      <c r="AB328" s="101"/>
      <c r="AC328" s="101"/>
      <c r="AD328" s="101"/>
      <c r="AK328" s="101"/>
      <c r="AL328" s="101"/>
      <c r="AM328" s="101"/>
    </row>
    <row r="329" spans="2:39" x14ac:dyDescent="0.25">
      <c r="B329" t="s">
        <v>234</v>
      </c>
      <c r="C329" s="101">
        <v>3139</v>
      </c>
      <c r="D329" s="101">
        <v>2345</v>
      </c>
      <c r="E329" s="101">
        <v>794</v>
      </c>
      <c r="F329" s="101">
        <v>0</v>
      </c>
      <c r="G329" s="101">
        <v>0</v>
      </c>
      <c r="H329" s="101">
        <v>367</v>
      </c>
      <c r="I329" s="101">
        <v>102</v>
      </c>
      <c r="J329" s="101">
        <v>1493</v>
      </c>
      <c r="K329" s="101">
        <v>1847</v>
      </c>
      <c r="L329" s="101">
        <v>205</v>
      </c>
      <c r="M329" s="101">
        <v>166</v>
      </c>
      <c r="N329" s="101">
        <v>332</v>
      </c>
      <c r="O329" s="101">
        <v>7</v>
      </c>
      <c r="P329" s="101">
        <v>2726000000</v>
      </c>
      <c r="Q329" s="101">
        <v>298000000</v>
      </c>
      <c r="R329" s="101">
        <v>275963025.21008402</v>
      </c>
      <c r="S329" s="101">
        <f t="shared" si="20"/>
        <v>5326140.322689075</v>
      </c>
      <c r="T329" s="101">
        <f t="shared" si="21"/>
        <v>2187140.322689075</v>
      </c>
      <c r="U329" s="101">
        <f t="shared" si="22"/>
        <v>2187140.322689075</v>
      </c>
      <c r="V329" s="101">
        <v>45081</v>
      </c>
      <c r="W329" s="149">
        <f t="shared" si="23"/>
        <v>4.8515789860231029E-2</v>
      </c>
      <c r="AA329" s="101"/>
      <c r="AB329" s="101"/>
      <c r="AC329" s="101"/>
      <c r="AD329" s="101"/>
      <c r="AK329" s="101"/>
      <c r="AL329" s="101"/>
      <c r="AM329" s="101"/>
    </row>
    <row r="330" spans="2:39" x14ac:dyDescent="0.25">
      <c r="B330" t="s">
        <v>279</v>
      </c>
      <c r="C330" s="101">
        <v>40627</v>
      </c>
      <c r="D330" s="101">
        <v>21325</v>
      </c>
      <c r="E330" s="101">
        <v>19302</v>
      </c>
      <c r="F330" s="101">
        <v>5962</v>
      </c>
      <c r="G330" s="101">
        <v>328</v>
      </c>
      <c r="H330" s="101">
        <v>2968</v>
      </c>
      <c r="I330" s="101">
        <v>460</v>
      </c>
      <c r="J330" s="101">
        <v>25097</v>
      </c>
      <c r="K330" s="101">
        <v>24000</v>
      </c>
      <c r="L330" s="101">
        <v>3567</v>
      </c>
      <c r="M330" s="101">
        <v>1128</v>
      </c>
      <c r="N330" s="101">
        <v>7779</v>
      </c>
      <c r="O330" s="101">
        <v>1907</v>
      </c>
      <c r="P330" s="101">
        <v>28017000000</v>
      </c>
      <c r="Q330" s="101">
        <v>3802000000</v>
      </c>
      <c r="R330" s="101">
        <v>3769500000</v>
      </c>
      <c r="S330" s="101">
        <f t="shared" si="20"/>
        <v>57439839</v>
      </c>
      <c r="T330" s="101">
        <f t="shared" si="21"/>
        <v>16812839</v>
      </c>
      <c r="U330" s="101">
        <f t="shared" si="22"/>
        <v>16812839</v>
      </c>
      <c r="V330" s="101">
        <v>694884</v>
      </c>
      <c r="W330" s="149">
        <f t="shared" si="23"/>
        <v>2.4195173582928949E-2</v>
      </c>
      <c r="AA330" s="101"/>
      <c r="AB330" s="101"/>
      <c r="AC330" s="101"/>
      <c r="AD330" s="101"/>
      <c r="AK330" s="101"/>
      <c r="AL330" s="101"/>
      <c r="AM330" s="101"/>
    </row>
    <row r="331" spans="2:39" x14ac:dyDescent="0.25">
      <c r="B331" t="s">
        <v>209</v>
      </c>
      <c r="C331" s="101">
        <v>8066</v>
      </c>
      <c r="D331" s="101">
        <v>3884</v>
      </c>
      <c r="E331" s="101">
        <v>4182</v>
      </c>
      <c r="F331" s="101">
        <v>782</v>
      </c>
      <c r="G331" s="101">
        <v>0</v>
      </c>
      <c r="H331" s="101">
        <v>249</v>
      </c>
      <c r="I331" s="101">
        <v>369</v>
      </c>
      <c r="J331" s="101">
        <v>4064</v>
      </c>
      <c r="K331" s="101">
        <v>0</v>
      </c>
      <c r="L331" s="101">
        <v>390</v>
      </c>
      <c r="M331" s="101">
        <v>434</v>
      </c>
      <c r="N331" s="101">
        <v>1171</v>
      </c>
      <c r="O331" s="101">
        <v>157</v>
      </c>
      <c r="P331" s="101">
        <v>4567000000</v>
      </c>
      <c r="Q331" s="101">
        <v>921000000</v>
      </c>
      <c r="R331" s="101">
        <v>886481260.18468225</v>
      </c>
      <c r="S331" s="101">
        <f t="shared" si="20"/>
        <v>10288412.753938077</v>
      </c>
      <c r="T331" s="101">
        <f t="shared" si="21"/>
        <v>2222412.753938077</v>
      </c>
      <c r="U331" s="101">
        <f t="shared" si="22"/>
        <v>2222412.753938077</v>
      </c>
      <c r="V331" s="101">
        <v>95772</v>
      </c>
      <c r="W331" s="149">
        <f t="shared" si="23"/>
        <v>2.3205245311135582E-2</v>
      </c>
      <c r="AA331" s="101"/>
      <c r="AB331" s="101"/>
      <c r="AC331" s="101"/>
      <c r="AD331" s="101"/>
      <c r="AK331" s="101"/>
      <c r="AL331" s="101"/>
      <c r="AM331" s="101"/>
    </row>
    <row r="332" spans="2:39" x14ac:dyDescent="0.25">
      <c r="B332" t="s">
        <v>280</v>
      </c>
      <c r="C332" s="101">
        <v>4320</v>
      </c>
      <c r="D332" s="101">
        <v>3091</v>
      </c>
      <c r="E332" s="101">
        <v>1229</v>
      </c>
      <c r="F332" s="101">
        <v>9022</v>
      </c>
      <c r="G332" s="101">
        <v>159</v>
      </c>
      <c r="H332" s="101">
        <v>3660</v>
      </c>
      <c r="I332" s="101">
        <v>847</v>
      </c>
      <c r="J332" s="101">
        <v>2413</v>
      </c>
      <c r="K332" s="101">
        <v>2575</v>
      </c>
      <c r="L332" s="101">
        <v>381</v>
      </c>
      <c r="M332" s="101">
        <v>141</v>
      </c>
      <c r="N332" s="101">
        <v>442</v>
      </c>
      <c r="O332" s="101">
        <v>988</v>
      </c>
      <c r="P332" s="101">
        <v>4533000000</v>
      </c>
      <c r="Q332" s="101">
        <v>353000000</v>
      </c>
      <c r="R332" s="101">
        <v>335000000</v>
      </c>
      <c r="S332" s="101">
        <f t="shared" si="20"/>
        <v>8426694</v>
      </c>
      <c r="T332" s="101">
        <f t="shared" si="21"/>
        <v>4106694</v>
      </c>
      <c r="U332" s="101">
        <f t="shared" si="22"/>
        <v>4106694</v>
      </c>
      <c r="V332" s="101">
        <v>72584</v>
      </c>
      <c r="W332" s="149">
        <f t="shared" si="23"/>
        <v>5.6578502149233989E-2</v>
      </c>
      <c r="AA332" s="101"/>
      <c r="AB332" s="101"/>
      <c r="AC332" s="101"/>
      <c r="AD332" s="101"/>
      <c r="AK332" s="101"/>
      <c r="AL332" s="101"/>
      <c r="AM332" s="101"/>
    </row>
    <row r="333" spans="2:39" x14ac:dyDescent="0.25">
      <c r="B333" t="s">
        <v>432</v>
      </c>
      <c r="C333" s="101">
        <v>10685</v>
      </c>
      <c r="D333" s="101">
        <v>5437</v>
      </c>
      <c r="E333" s="101">
        <v>5248</v>
      </c>
      <c r="F333" s="101">
        <v>0</v>
      </c>
      <c r="G333" s="101">
        <v>0</v>
      </c>
      <c r="H333" s="101">
        <v>3400</v>
      </c>
      <c r="I333" s="101">
        <v>583</v>
      </c>
      <c r="J333" s="101">
        <v>1483</v>
      </c>
      <c r="K333" s="101">
        <v>3652</v>
      </c>
      <c r="L333" s="101">
        <v>496</v>
      </c>
      <c r="M333" s="101">
        <v>100</v>
      </c>
      <c r="N333" s="101">
        <v>1075</v>
      </c>
      <c r="O333" s="101">
        <v>85</v>
      </c>
      <c r="P333" s="101">
        <v>4237000000</v>
      </c>
      <c r="Q333" s="101">
        <v>1310000000</v>
      </c>
      <c r="R333" s="101">
        <v>1310000000</v>
      </c>
      <c r="S333" s="101">
        <f t="shared" si="20"/>
        <v>11067198</v>
      </c>
      <c r="T333" s="101">
        <f t="shared" si="21"/>
        <v>382198</v>
      </c>
      <c r="U333" s="101">
        <f t="shared" si="22"/>
        <v>382198</v>
      </c>
      <c r="V333" s="101">
        <v>84672</v>
      </c>
      <c r="W333" s="149">
        <f t="shared" si="23"/>
        <v>4.5138652683295545E-3</v>
      </c>
      <c r="AA333" s="101"/>
      <c r="AB333" s="101"/>
      <c r="AC333" s="101"/>
      <c r="AD333" s="101"/>
      <c r="AK333" s="101"/>
      <c r="AL333" s="101"/>
      <c r="AM333" s="101"/>
    </row>
    <row r="334" spans="2:39" x14ac:dyDescent="0.25">
      <c r="B334" t="s">
        <v>235</v>
      </c>
      <c r="C334" s="101">
        <v>15470</v>
      </c>
      <c r="D334" s="101">
        <v>9459</v>
      </c>
      <c r="E334" s="101">
        <v>6011</v>
      </c>
      <c r="F334" s="101">
        <v>3730</v>
      </c>
      <c r="G334" s="101">
        <v>158</v>
      </c>
      <c r="H334" s="101">
        <v>451</v>
      </c>
      <c r="I334" s="101">
        <v>200</v>
      </c>
      <c r="J334" s="101">
        <v>6027</v>
      </c>
      <c r="K334" s="101">
        <v>10333</v>
      </c>
      <c r="L334" s="101">
        <v>1370</v>
      </c>
      <c r="M334" s="101">
        <v>1645</v>
      </c>
      <c r="N334" s="101">
        <v>4007</v>
      </c>
      <c r="O334" s="101">
        <v>110</v>
      </c>
      <c r="P334" s="101">
        <v>15406000000</v>
      </c>
      <c r="Q334" s="101">
        <v>1631000000</v>
      </c>
      <c r="R334" s="101">
        <v>1538500000</v>
      </c>
      <c r="S334" s="101">
        <f t="shared" si="20"/>
        <v>29980857</v>
      </c>
      <c r="T334" s="101">
        <f t="shared" si="21"/>
        <v>14510857</v>
      </c>
      <c r="U334" s="101">
        <f t="shared" si="22"/>
        <v>14510857</v>
      </c>
      <c r="V334" s="101">
        <v>208464</v>
      </c>
      <c r="W334" s="149">
        <f t="shared" si="23"/>
        <v>6.9608455176913039E-2</v>
      </c>
      <c r="AA334" s="101"/>
      <c r="AB334" s="101"/>
      <c r="AC334" s="101"/>
      <c r="AD334" s="101"/>
      <c r="AK334" s="101"/>
      <c r="AL334" s="101"/>
      <c r="AM334" s="101"/>
    </row>
    <row r="335" spans="2:39" x14ac:dyDescent="0.25">
      <c r="B335" t="s">
        <v>210</v>
      </c>
      <c r="C335" s="101">
        <v>14774</v>
      </c>
      <c r="D335" s="101">
        <v>8826</v>
      </c>
      <c r="E335" s="101">
        <v>5948</v>
      </c>
      <c r="F335" s="101">
        <v>1278</v>
      </c>
      <c r="G335" s="101">
        <v>37</v>
      </c>
      <c r="H335" s="101">
        <v>382</v>
      </c>
      <c r="I335" s="101">
        <v>105</v>
      </c>
      <c r="J335" s="101">
        <v>5101</v>
      </c>
      <c r="K335" s="101">
        <v>4097</v>
      </c>
      <c r="L335" s="101">
        <v>879</v>
      </c>
      <c r="M335" s="101">
        <v>135</v>
      </c>
      <c r="N335" s="101">
        <v>950</v>
      </c>
      <c r="O335" s="101">
        <v>161</v>
      </c>
      <c r="P335" s="101">
        <v>6539000000</v>
      </c>
      <c r="Q335" s="101">
        <v>1066000000</v>
      </c>
      <c r="R335" s="101">
        <v>1038500000</v>
      </c>
      <c r="S335" s="101">
        <f t="shared" si="20"/>
        <v>13950609</v>
      </c>
      <c r="T335" s="101">
        <f t="shared" si="21"/>
        <v>-823391</v>
      </c>
      <c r="U335" s="101">
        <f t="shared" si="22"/>
        <v>0</v>
      </c>
      <c r="V335" s="101">
        <v>160033</v>
      </c>
      <c r="W335" s="149">
        <f t="shared" si="23"/>
        <v>-5.1451325664081783E-3</v>
      </c>
      <c r="AA335" s="101"/>
      <c r="AB335" s="101"/>
      <c r="AC335" s="101"/>
      <c r="AD335" s="101"/>
      <c r="AK335" s="101"/>
      <c r="AL335" s="101"/>
      <c r="AM335" s="101"/>
    </row>
    <row r="336" spans="2:39" x14ac:dyDescent="0.25">
      <c r="B336" t="s">
        <v>324</v>
      </c>
      <c r="C336" s="101">
        <v>42900</v>
      </c>
      <c r="D336" s="101">
        <v>25936</v>
      </c>
      <c r="E336" s="101">
        <v>16964</v>
      </c>
      <c r="F336" s="101">
        <v>2032</v>
      </c>
      <c r="G336" s="101">
        <v>145</v>
      </c>
      <c r="H336" s="101">
        <v>530</v>
      </c>
      <c r="I336" s="101">
        <v>715</v>
      </c>
      <c r="J336" s="101">
        <v>7958</v>
      </c>
      <c r="K336" s="101">
        <v>18566</v>
      </c>
      <c r="L336" s="101">
        <v>2825</v>
      </c>
      <c r="M336" s="101">
        <v>474</v>
      </c>
      <c r="N336" s="101">
        <v>5913</v>
      </c>
      <c r="O336" s="101">
        <v>400</v>
      </c>
      <c r="P336" s="101">
        <v>21023000000</v>
      </c>
      <c r="Q336" s="101">
        <v>2405000000</v>
      </c>
      <c r="R336" s="101">
        <v>2377994385.5271363</v>
      </c>
      <c r="S336" s="101">
        <f t="shared" si="20"/>
        <v>41650874.938240796</v>
      </c>
      <c r="T336" s="101">
        <f t="shared" si="21"/>
        <v>-1249125.0617592037</v>
      </c>
      <c r="U336" s="101">
        <f t="shared" si="22"/>
        <v>0</v>
      </c>
      <c r="V336" s="101">
        <v>471277</v>
      </c>
      <c r="W336" s="149">
        <f t="shared" si="23"/>
        <v>-2.6505114014883043E-3</v>
      </c>
      <c r="AA336" s="101"/>
      <c r="AB336" s="101"/>
      <c r="AC336" s="101"/>
      <c r="AD336" s="101"/>
      <c r="AK336" s="101"/>
      <c r="AL336" s="101"/>
      <c r="AM336" s="101"/>
    </row>
    <row r="337" spans="2:39" x14ac:dyDescent="0.25">
      <c r="B337" t="s">
        <v>325</v>
      </c>
      <c r="C337" s="101">
        <v>5596</v>
      </c>
      <c r="D337" s="101">
        <v>2364</v>
      </c>
      <c r="E337" s="101">
        <v>3232</v>
      </c>
      <c r="F337" s="101">
        <v>0</v>
      </c>
      <c r="G337" s="101">
        <v>0</v>
      </c>
      <c r="H337" s="101">
        <v>0</v>
      </c>
      <c r="I337" s="101">
        <v>0</v>
      </c>
      <c r="J337" s="101">
        <v>1309</v>
      </c>
      <c r="K337" s="101">
        <v>1242</v>
      </c>
      <c r="L337" s="101">
        <v>85</v>
      </c>
      <c r="M337" s="101">
        <v>5</v>
      </c>
      <c r="N337" s="101">
        <v>183</v>
      </c>
      <c r="O337" s="101">
        <v>27</v>
      </c>
      <c r="P337" s="101">
        <v>2018000000</v>
      </c>
      <c r="Q337" s="101">
        <v>441000000</v>
      </c>
      <c r="R337" s="101">
        <v>441000000</v>
      </c>
      <c r="S337" s="101">
        <f t="shared" si="20"/>
        <v>4680600</v>
      </c>
      <c r="T337" s="101">
        <f t="shared" si="21"/>
        <v>-915400</v>
      </c>
      <c r="U337" s="101">
        <f t="shared" si="22"/>
        <v>0</v>
      </c>
      <c r="V337" s="101">
        <v>27550</v>
      </c>
      <c r="W337" s="149">
        <f t="shared" si="23"/>
        <v>-3.3226860254083487E-2</v>
      </c>
      <c r="AA337" s="101"/>
      <c r="AB337" s="101"/>
      <c r="AC337" s="101"/>
      <c r="AD337" s="101"/>
      <c r="AK337" s="101"/>
      <c r="AL337" s="101"/>
      <c r="AM337" s="101"/>
    </row>
    <row r="338" spans="2:39" x14ac:dyDescent="0.25">
      <c r="B338" t="s">
        <v>326</v>
      </c>
      <c r="C338" s="101">
        <v>12407</v>
      </c>
      <c r="D338" s="101">
        <v>8734</v>
      </c>
      <c r="E338" s="101">
        <v>3673</v>
      </c>
      <c r="F338" s="101">
        <v>12</v>
      </c>
      <c r="G338" s="101">
        <v>21</v>
      </c>
      <c r="H338" s="101">
        <v>464</v>
      </c>
      <c r="I338" s="101">
        <v>190</v>
      </c>
      <c r="J338" s="101">
        <v>4326</v>
      </c>
      <c r="K338" s="101">
        <v>5719</v>
      </c>
      <c r="L338" s="101">
        <v>719</v>
      </c>
      <c r="M338" s="101">
        <v>312</v>
      </c>
      <c r="N338" s="101">
        <v>1922</v>
      </c>
      <c r="O338" s="101">
        <v>49</v>
      </c>
      <c r="P338" s="101">
        <v>8471000000</v>
      </c>
      <c r="Q338" s="101">
        <v>1161000000</v>
      </c>
      <c r="R338" s="101">
        <v>1157500000</v>
      </c>
      <c r="S338" s="101">
        <f t="shared" si="20"/>
        <v>17414253</v>
      </c>
      <c r="T338" s="101">
        <f t="shared" si="21"/>
        <v>5007253</v>
      </c>
      <c r="U338" s="101">
        <f t="shared" si="22"/>
        <v>5007253</v>
      </c>
      <c r="V338" s="101">
        <v>146989</v>
      </c>
      <c r="W338" s="149">
        <f t="shared" si="23"/>
        <v>3.4065494696882082E-2</v>
      </c>
      <c r="AA338" s="101"/>
      <c r="AB338" s="101"/>
      <c r="AC338" s="101"/>
      <c r="AD338" s="101"/>
      <c r="AK338" s="101"/>
      <c r="AL338" s="101"/>
      <c r="AM338" s="101"/>
    </row>
    <row r="339" spans="2:39" x14ac:dyDescent="0.25">
      <c r="B339" t="s">
        <v>397</v>
      </c>
      <c r="C339" s="101">
        <v>6167</v>
      </c>
      <c r="D339" s="101">
        <v>4379</v>
      </c>
      <c r="E339" s="101">
        <v>1788</v>
      </c>
      <c r="F339" s="101">
        <v>0</v>
      </c>
      <c r="G339" s="101">
        <v>0</v>
      </c>
      <c r="H339" s="101">
        <v>162</v>
      </c>
      <c r="I339" s="101">
        <v>14</v>
      </c>
      <c r="J339" s="101">
        <v>3087</v>
      </c>
      <c r="K339" s="101">
        <v>3749</v>
      </c>
      <c r="L339" s="101">
        <v>232</v>
      </c>
      <c r="M339" s="101">
        <v>2</v>
      </c>
      <c r="N339" s="101">
        <v>1272</v>
      </c>
      <c r="O339" s="101">
        <v>115</v>
      </c>
      <c r="P339" s="101">
        <v>4249000000</v>
      </c>
      <c r="Q339" s="101">
        <v>664000000</v>
      </c>
      <c r="R339" s="101">
        <v>585941220.79879427</v>
      </c>
      <c r="S339" s="101">
        <f t="shared" si="20"/>
        <v>8875291.1303692535</v>
      </c>
      <c r="T339" s="101">
        <f t="shared" si="21"/>
        <v>2708291.1303692535</v>
      </c>
      <c r="U339" s="101">
        <f t="shared" si="22"/>
        <v>2708291.1303692535</v>
      </c>
      <c r="V339" s="101">
        <v>66572</v>
      </c>
      <c r="W339" s="149">
        <f t="shared" si="23"/>
        <v>4.0682135588073869E-2</v>
      </c>
      <c r="AA339" s="101"/>
      <c r="AB339" s="101"/>
      <c r="AC339" s="101"/>
      <c r="AD339" s="101"/>
      <c r="AK339" s="101"/>
      <c r="AL339" s="101"/>
      <c r="AM339" s="101"/>
    </row>
    <row r="340" spans="2:39" x14ac:dyDescent="0.25">
      <c r="B340" t="s">
        <v>211</v>
      </c>
      <c r="C340" s="101">
        <v>14541</v>
      </c>
      <c r="D340" s="101">
        <v>8232</v>
      </c>
      <c r="E340" s="101">
        <v>6309</v>
      </c>
      <c r="F340" s="101">
        <v>2806</v>
      </c>
      <c r="G340" s="101">
        <v>95</v>
      </c>
      <c r="H340" s="101">
        <v>194</v>
      </c>
      <c r="I340" s="101">
        <v>0</v>
      </c>
      <c r="J340" s="101">
        <v>3823</v>
      </c>
      <c r="K340" s="101">
        <v>6382</v>
      </c>
      <c r="L340" s="101">
        <v>888</v>
      </c>
      <c r="M340" s="101">
        <v>209</v>
      </c>
      <c r="N340" s="101">
        <v>1489</v>
      </c>
      <c r="O340" s="101">
        <v>287</v>
      </c>
      <c r="P340" s="101">
        <v>7658000000</v>
      </c>
      <c r="Q340" s="101">
        <v>977000000</v>
      </c>
      <c r="R340" s="101">
        <v>936979518.68919611</v>
      </c>
      <c r="S340" s="101">
        <f t="shared" si="20"/>
        <v>15449174.943164362</v>
      </c>
      <c r="T340" s="101">
        <f t="shared" si="21"/>
        <v>908174.94316436164</v>
      </c>
      <c r="U340" s="101">
        <f t="shared" si="22"/>
        <v>908174.94316436164</v>
      </c>
      <c r="V340" s="101">
        <v>204747</v>
      </c>
      <c r="W340" s="149">
        <f t="shared" si="23"/>
        <v>4.435595848360961E-3</v>
      </c>
      <c r="AA340" s="101"/>
      <c r="AB340" s="101"/>
      <c r="AC340" s="101"/>
      <c r="AD340" s="101"/>
      <c r="AK340" s="101"/>
      <c r="AL340" s="101"/>
      <c r="AM340" s="101"/>
    </row>
    <row r="341" spans="2:39" x14ac:dyDescent="0.25">
      <c r="B341" t="s">
        <v>161</v>
      </c>
      <c r="C341" s="101">
        <v>5990</v>
      </c>
      <c r="D341" s="101">
        <v>2569</v>
      </c>
      <c r="E341" s="101">
        <v>3421</v>
      </c>
      <c r="F341" s="101">
        <v>0</v>
      </c>
      <c r="G341" s="101">
        <v>17</v>
      </c>
      <c r="H341" s="101">
        <v>85</v>
      </c>
      <c r="I341" s="101">
        <v>70</v>
      </c>
      <c r="J341" s="101">
        <v>3313</v>
      </c>
      <c r="K341" s="101">
        <v>2011</v>
      </c>
      <c r="L341" s="101">
        <v>385</v>
      </c>
      <c r="M341" s="101">
        <v>468</v>
      </c>
      <c r="N341" s="101">
        <v>917</v>
      </c>
      <c r="O341" s="101">
        <v>345</v>
      </c>
      <c r="P341" s="101">
        <v>2821000000</v>
      </c>
      <c r="Q341" s="101">
        <v>810000000</v>
      </c>
      <c r="R341" s="101">
        <v>751500000</v>
      </c>
      <c r="S341" s="101">
        <f t="shared" si="20"/>
        <v>7073355</v>
      </c>
      <c r="T341" s="101">
        <f t="shared" si="21"/>
        <v>1083355</v>
      </c>
      <c r="U341" s="101">
        <f t="shared" si="22"/>
        <v>1083355</v>
      </c>
      <c r="V341" s="101">
        <v>74751</v>
      </c>
      <c r="W341" s="149">
        <f t="shared" si="23"/>
        <v>1.4492849593985365E-2</v>
      </c>
      <c r="AA341" s="101"/>
      <c r="AB341" s="101"/>
      <c r="AC341" s="101"/>
      <c r="AD341" s="101"/>
      <c r="AK341" s="101"/>
      <c r="AL341" s="101"/>
      <c r="AM341" s="101"/>
    </row>
    <row r="342" spans="2:39" x14ac:dyDescent="0.25">
      <c r="B342" t="s">
        <v>327</v>
      </c>
      <c r="C342" s="101">
        <v>11392</v>
      </c>
      <c r="D342" s="101">
        <v>5831</v>
      </c>
      <c r="E342" s="101">
        <v>5561</v>
      </c>
      <c r="F342" s="101">
        <v>210</v>
      </c>
      <c r="G342" s="101">
        <v>102</v>
      </c>
      <c r="H342" s="101">
        <v>0</v>
      </c>
      <c r="I342" s="101">
        <v>91</v>
      </c>
      <c r="J342" s="101">
        <v>7055</v>
      </c>
      <c r="K342" s="101">
        <v>7249</v>
      </c>
      <c r="L342" s="101">
        <v>576</v>
      </c>
      <c r="M342" s="101">
        <v>832</v>
      </c>
      <c r="N342" s="101">
        <v>1666</v>
      </c>
      <c r="O342" s="101">
        <v>358</v>
      </c>
      <c r="P342" s="101">
        <v>6575000000</v>
      </c>
      <c r="Q342" s="101">
        <v>1047000000</v>
      </c>
      <c r="R342" s="101">
        <v>1020500000</v>
      </c>
      <c r="S342" s="101">
        <f t="shared" si="20"/>
        <v>13948995</v>
      </c>
      <c r="T342" s="101">
        <f t="shared" si="21"/>
        <v>2556995</v>
      </c>
      <c r="U342" s="101">
        <f t="shared" si="22"/>
        <v>2556995</v>
      </c>
      <c r="V342" s="101">
        <v>173233</v>
      </c>
      <c r="W342" s="149">
        <f t="shared" si="23"/>
        <v>1.4760438253681459E-2</v>
      </c>
      <c r="AA342" s="101"/>
      <c r="AB342" s="101"/>
      <c r="AC342" s="101"/>
      <c r="AD342" s="101"/>
      <c r="AK342" s="101"/>
      <c r="AL342" s="101"/>
      <c r="AM342" s="101"/>
    </row>
    <row r="343" spans="2:39" x14ac:dyDescent="0.25">
      <c r="B343" t="s">
        <v>162</v>
      </c>
      <c r="C343" s="101">
        <v>54773</v>
      </c>
      <c r="D343" s="101">
        <v>20991</v>
      </c>
      <c r="E343" s="101">
        <v>33782</v>
      </c>
      <c r="F343" s="101">
        <v>12640</v>
      </c>
      <c r="G343" s="101">
        <v>389</v>
      </c>
      <c r="H343" s="101">
        <v>806</v>
      </c>
      <c r="I343" s="101">
        <v>517</v>
      </c>
      <c r="J343" s="101">
        <v>8323</v>
      </c>
      <c r="K343" s="101">
        <v>17727</v>
      </c>
      <c r="L343" s="101">
        <v>2976</v>
      </c>
      <c r="M343" s="101">
        <v>1334</v>
      </c>
      <c r="N343" s="101">
        <v>4339</v>
      </c>
      <c r="O343" s="101">
        <v>788</v>
      </c>
      <c r="P343" s="101">
        <v>21672000000</v>
      </c>
      <c r="Q343" s="101">
        <v>4392000000</v>
      </c>
      <c r="R343" s="101">
        <v>4311490834.5667763</v>
      </c>
      <c r="S343" s="101">
        <f t="shared" si="20"/>
        <v>49026042.206990778</v>
      </c>
      <c r="T343" s="101">
        <f t="shared" si="21"/>
        <v>-5746957.7930092216</v>
      </c>
      <c r="U343" s="101">
        <f t="shared" si="22"/>
        <v>0</v>
      </c>
      <c r="V343" s="101">
        <v>724657</v>
      </c>
      <c r="W343" s="149">
        <f t="shared" si="23"/>
        <v>-7.930590324814666E-3</v>
      </c>
      <c r="AA343" s="101"/>
      <c r="AB343" s="101"/>
      <c r="AC343" s="101"/>
      <c r="AD343" s="101"/>
      <c r="AK343" s="101"/>
      <c r="AL343" s="101"/>
      <c r="AM343" s="101"/>
    </row>
    <row r="344" spans="2:39" x14ac:dyDescent="0.25">
      <c r="B344" t="s">
        <v>440</v>
      </c>
      <c r="C344" s="101">
        <f t="shared" ref="C344:J344" si="24">SUM(C2:C343)</f>
        <v>5492275</v>
      </c>
      <c r="D344" s="101">
        <f t="shared" si="24"/>
        <v>2817168</v>
      </c>
      <c r="E344" s="101">
        <f t="shared" si="24"/>
        <v>2675107</v>
      </c>
      <c r="F344" s="101">
        <f t="shared" si="24"/>
        <v>1321445</v>
      </c>
      <c r="G344" s="101">
        <f t="shared" si="24"/>
        <v>44630</v>
      </c>
      <c r="H344" s="101">
        <f t="shared" si="24"/>
        <v>538438</v>
      </c>
      <c r="I344" s="101">
        <f t="shared" si="24"/>
        <v>138573</v>
      </c>
      <c r="J344" s="101">
        <f t="shared" si="24"/>
        <v>1973647</v>
      </c>
      <c r="K344" s="101">
        <f t="shared" ref="K344:O344" si="25">SUM(K2:K343)</f>
        <v>2527782</v>
      </c>
      <c r="L344" s="101">
        <f t="shared" si="25"/>
        <v>327501</v>
      </c>
      <c r="M344" s="101">
        <f t="shared" si="25"/>
        <v>125300</v>
      </c>
      <c r="N344" s="101">
        <f t="shared" si="25"/>
        <v>627855</v>
      </c>
      <c r="O344" s="101">
        <f t="shared" si="25"/>
        <v>176585</v>
      </c>
      <c r="P344" s="101">
        <f>SUM(P2:P343)</f>
        <v>3122828051000</v>
      </c>
      <c r="Q344" s="101">
        <f>SUM(Q2:Q343)</f>
        <v>521086000000</v>
      </c>
      <c r="R344" s="101">
        <f>SUM(R2:R343)</f>
        <v>504360624535.22845</v>
      </c>
      <c r="S344" s="101">
        <f t="shared" si="20"/>
        <v>6695315326.313859</v>
      </c>
      <c r="T344" s="101">
        <f t="shared" si="21"/>
        <v>1203040326.313859</v>
      </c>
      <c r="U344" s="101">
        <f t="shared" si="22"/>
        <v>1203040326.313859</v>
      </c>
      <c r="V344" s="101">
        <f>SUM(V2:V343)</f>
        <v>73794617</v>
      </c>
      <c r="W344" s="149">
        <f t="shared" si="23"/>
        <v>1.6302548549223569E-2</v>
      </c>
    </row>
    <row r="346" spans="2:39" x14ac:dyDescent="0.25">
      <c r="W346" s="102">
        <f>COUNTIF(W2:W343,"&lt;0")</f>
        <v>53</v>
      </c>
    </row>
  </sheetData>
  <sheetProtection algorithmName="SHA-512" hashValue="DHo4CRcDg8pExqcgjwysA3+kK+/tLZu/ck0VXhadhNHEhNRnneVH77ec6hkI7e9YB4ZtqBnKDHHIaeGIiIRKiw==" saltValue="wTQkI4ooIwb2YqsBgG9+bg==" spinCount="100000" sheet="1" objects="1" scenarios="1"/>
  <sortState xmlns:xlrd2="http://schemas.microsoft.com/office/spreadsheetml/2017/richdata2" ref="AG2:AJ343">
    <sortCondition ref="AG2:AG343"/>
  </sortState>
  <pageMargins left="0.7" right="0.7" top="0.75" bottom="0.75" header="0.3" footer="0.3"/>
  <pageSetup paperSize="9" orientation="portrait" verticalDpi="0"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19EA9-FF2E-4165-9D45-5DD3AD2CCD02}">
  <sheetPr codeName="Blad14"/>
  <dimension ref="A1:AB391"/>
  <sheetViews>
    <sheetView workbookViewId="0">
      <pane xSplit="2" ySplit="1" topLeftCell="U2" activePane="bottomRight" state="frozen"/>
      <selection pane="topRight" activeCell="C1" sqref="C1"/>
      <selection pane="bottomLeft" activeCell="A2" sqref="A2"/>
      <selection pane="bottomRight" activeCell="B155" sqref="B155"/>
    </sheetView>
  </sheetViews>
  <sheetFormatPr defaultRowHeight="12.5" x14ac:dyDescent="0.25"/>
  <cols>
    <col min="1" max="1" width="10.6328125" bestFit="1" customWidth="1"/>
    <col min="2" max="2" width="28.08984375" bestFit="1" customWidth="1"/>
    <col min="3" max="3" width="24" bestFit="1" customWidth="1"/>
    <col min="4" max="4" width="32.453125" bestFit="1" customWidth="1"/>
    <col min="5" max="5" width="36.08984375" bestFit="1" customWidth="1"/>
    <col min="6" max="6" width="17.36328125" bestFit="1" customWidth="1"/>
    <col min="7" max="7" width="17.453125" bestFit="1" customWidth="1"/>
    <col min="8" max="8" width="17.90625" bestFit="1" customWidth="1"/>
    <col min="9" max="9" width="19.1796875" bestFit="1" customWidth="1"/>
    <col min="10" max="10" width="12.6328125" bestFit="1" customWidth="1"/>
    <col min="11" max="11" width="37.08984375" bestFit="1" customWidth="1"/>
    <col min="12" max="12" width="27.90625" bestFit="1" customWidth="1"/>
    <col min="13" max="13" width="21.6328125" bestFit="1" customWidth="1"/>
    <col min="14" max="14" width="24.453125" bestFit="1" customWidth="1"/>
    <col min="15" max="15" width="15.1796875" bestFit="1" customWidth="1"/>
    <col min="16" max="16" width="23" style="101" bestFit="1" customWidth="1"/>
    <col min="17" max="17" width="35.08984375" style="101" bestFit="1" customWidth="1"/>
    <col min="18" max="18" width="35.6328125" style="101" bestFit="1" customWidth="1"/>
    <col min="19" max="19" width="36" style="101" bestFit="1" customWidth="1"/>
    <col min="20" max="21" width="32.453125" bestFit="1" customWidth="1"/>
    <col min="22" max="22" width="28.6328125" style="101" bestFit="1" customWidth="1"/>
    <col min="23" max="23" width="32.453125" bestFit="1" customWidth="1"/>
    <col min="24" max="24" width="28.54296875" bestFit="1" customWidth="1"/>
    <col min="25" max="25" width="12.90625" bestFit="1" customWidth="1"/>
    <col min="28" max="28" width="28.08984375" bestFit="1" customWidth="1"/>
    <col min="29" max="29" width="23" bestFit="1" customWidth="1"/>
    <col min="30" max="30" width="28.08984375" bestFit="1" customWidth="1"/>
    <col min="31" max="31" width="12" bestFit="1" customWidth="1"/>
  </cols>
  <sheetData>
    <row r="1" spans="1:23" x14ac:dyDescent="0.25">
      <c r="A1" t="s">
        <v>549</v>
      </c>
      <c r="B1" t="s">
        <v>526</v>
      </c>
      <c r="C1" t="s">
        <v>614</v>
      </c>
      <c r="D1" t="s">
        <v>615</v>
      </c>
      <c r="E1" t="s">
        <v>616</v>
      </c>
      <c r="F1" t="s">
        <v>617</v>
      </c>
      <c r="G1" t="s">
        <v>618</v>
      </c>
      <c r="H1" t="s">
        <v>619</v>
      </c>
      <c r="I1" t="s">
        <v>620</v>
      </c>
      <c r="J1" t="s">
        <v>621</v>
      </c>
      <c r="K1" t="s">
        <v>622</v>
      </c>
      <c r="L1" t="s">
        <v>623</v>
      </c>
      <c r="M1" t="s">
        <v>624</v>
      </c>
      <c r="N1" t="s">
        <v>625</v>
      </c>
      <c r="O1" t="s">
        <v>626</v>
      </c>
      <c r="P1" s="101" t="s">
        <v>839</v>
      </c>
      <c r="Q1" s="101" t="s">
        <v>840</v>
      </c>
      <c r="R1" s="101" t="s">
        <v>841</v>
      </c>
      <c r="S1" s="101" t="s">
        <v>949</v>
      </c>
      <c r="T1" t="s">
        <v>717</v>
      </c>
      <c r="U1" t="s">
        <v>632</v>
      </c>
      <c r="V1" s="101" t="s">
        <v>950</v>
      </c>
      <c r="W1" t="s">
        <v>951</v>
      </c>
    </row>
    <row r="2" spans="1:23" x14ac:dyDescent="0.25">
      <c r="A2" t="s">
        <v>512</v>
      </c>
      <c r="B2" t="s">
        <v>104</v>
      </c>
      <c r="C2" s="101">
        <f>SUM(D2:E2)</f>
        <v>5250</v>
      </c>
      <c r="D2" s="101">
        <v>3887</v>
      </c>
      <c r="E2" s="101">
        <v>1363</v>
      </c>
      <c r="F2" s="101">
        <v>0</v>
      </c>
      <c r="G2" s="101">
        <v>0</v>
      </c>
      <c r="H2" s="101">
        <v>1940</v>
      </c>
      <c r="I2" s="101">
        <v>230</v>
      </c>
      <c r="J2" s="101">
        <v>2352</v>
      </c>
      <c r="K2" s="101">
        <v>2796</v>
      </c>
      <c r="L2" s="101">
        <v>399</v>
      </c>
      <c r="M2" s="101">
        <v>100</v>
      </c>
      <c r="N2" s="101">
        <v>484</v>
      </c>
      <c r="O2" s="101">
        <v>97</v>
      </c>
      <c r="P2" s="101">
        <v>4237624538.070467</v>
      </c>
      <c r="Q2" s="101">
        <v>559484268.2532773</v>
      </c>
      <c r="R2" s="101">
        <v>471950077.48717374</v>
      </c>
      <c r="S2" s="101">
        <f>SUM(P2,R2,R2)*0.1595%</f>
        <v>8264531.8854064802</v>
      </c>
      <c r="T2" s="101">
        <f>SUM(S2,-C2*1000)</f>
        <v>3014531.8854064802</v>
      </c>
      <c r="U2" s="101">
        <f>IF(T2&lt;0,0,T2)</f>
        <v>3014531.8854064802</v>
      </c>
      <c r="V2" s="101">
        <v>78152</v>
      </c>
      <c r="W2" s="149">
        <f>T2/(V2*1000)</f>
        <v>3.8572677415888018E-2</v>
      </c>
    </row>
    <row r="3" spans="1:23" x14ac:dyDescent="0.25">
      <c r="A3" t="s">
        <v>514</v>
      </c>
      <c r="B3" t="s">
        <v>236</v>
      </c>
      <c r="C3" s="101">
        <f t="shared" ref="C3:C61" si="0">SUM(D3:E3)</f>
        <v>15394</v>
      </c>
      <c r="D3" s="101">
        <v>6719</v>
      </c>
      <c r="E3" s="101">
        <v>8675</v>
      </c>
      <c r="F3" s="101">
        <v>21</v>
      </c>
      <c r="G3" s="101">
        <v>21</v>
      </c>
      <c r="H3" s="101">
        <v>1049</v>
      </c>
      <c r="I3" s="101">
        <v>289</v>
      </c>
      <c r="J3" s="101">
        <v>3283</v>
      </c>
      <c r="K3" s="101">
        <v>5263</v>
      </c>
      <c r="L3" s="101">
        <v>682</v>
      </c>
      <c r="M3" s="101">
        <v>560</v>
      </c>
      <c r="N3" s="101">
        <v>1214</v>
      </c>
      <c r="O3" s="101">
        <v>148</v>
      </c>
      <c r="P3" s="101">
        <v>7126486269.7972622</v>
      </c>
      <c r="Q3" s="101">
        <v>1806305699.6988807</v>
      </c>
      <c r="R3" s="101">
        <v>1806305699.6988807</v>
      </c>
      <c r="S3" s="101">
        <f t="shared" ref="S3:S66" si="1">SUM(P3,R3,R3)*0.1595%</f>
        <v>17128860.782366063</v>
      </c>
      <c r="T3" s="101">
        <f t="shared" ref="T3:T62" si="2">SUM(S3,-C3*1000)</f>
        <v>1734860.7823660634</v>
      </c>
      <c r="U3" s="101">
        <f t="shared" ref="U3:U62" si="3">IF(T3&lt;0,0,T3)</f>
        <v>1734860.7823660634</v>
      </c>
      <c r="V3" s="101">
        <v>111180</v>
      </c>
      <c r="W3" s="149">
        <f t="shared" ref="W3:W62" si="4">T3/(V3*1000)</f>
        <v>1.5604072516334444E-2</v>
      </c>
    </row>
    <row r="4" spans="1:23" x14ac:dyDescent="0.25">
      <c r="A4" t="s">
        <v>515</v>
      </c>
      <c r="B4" t="s">
        <v>163</v>
      </c>
      <c r="C4" s="101">
        <f t="shared" si="0"/>
        <v>5789</v>
      </c>
      <c r="D4" s="101">
        <v>3934</v>
      </c>
      <c r="E4" s="101">
        <v>1855</v>
      </c>
      <c r="F4" s="101">
        <v>1</v>
      </c>
      <c r="G4" s="101">
        <v>0</v>
      </c>
      <c r="H4" s="101">
        <v>169</v>
      </c>
      <c r="I4" s="101">
        <v>219</v>
      </c>
      <c r="J4" s="101">
        <v>2115</v>
      </c>
      <c r="K4" s="101">
        <v>1977</v>
      </c>
      <c r="L4" s="101">
        <v>520</v>
      </c>
      <c r="M4" s="101">
        <v>321</v>
      </c>
      <c r="N4" s="101">
        <v>173</v>
      </c>
      <c r="O4" s="101">
        <v>147</v>
      </c>
      <c r="P4" s="101">
        <v>4145615912.5214415</v>
      </c>
      <c r="Q4" s="101">
        <v>570735323.00791371</v>
      </c>
      <c r="R4" s="101">
        <v>525690741.46110082</v>
      </c>
      <c r="S4" s="101">
        <f t="shared" si="1"/>
        <v>8289210.8457326107</v>
      </c>
      <c r="T4" s="101">
        <f t="shared" si="2"/>
        <v>2500210.8457326107</v>
      </c>
      <c r="U4" s="101">
        <f t="shared" si="3"/>
        <v>2500210.8457326107</v>
      </c>
      <c r="V4" s="101">
        <v>88229</v>
      </c>
      <c r="W4" s="149">
        <f t="shared" si="4"/>
        <v>2.8337744344066131E-2</v>
      </c>
    </row>
    <row r="5" spans="1:23" x14ac:dyDescent="0.25">
      <c r="A5" t="s">
        <v>516</v>
      </c>
      <c r="B5" t="s">
        <v>125</v>
      </c>
      <c r="C5" s="101">
        <f t="shared" si="0"/>
        <v>6689</v>
      </c>
      <c r="D5" s="101">
        <v>4351</v>
      </c>
      <c r="E5" s="101">
        <v>2338</v>
      </c>
      <c r="F5" s="101">
        <v>0</v>
      </c>
      <c r="G5" s="101">
        <v>0</v>
      </c>
      <c r="H5" s="101">
        <v>20</v>
      </c>
      <c r="I5" s="101">
        <v>49</v>
      </c>
      <c r="J5" s="101">
        <v>2857</v>
      </c>
      <c r="K5" s="101">
        <v>3670</v>
      </c>
      <c r="L5" s="101">
        <v>507</v>
      </c>
      <c r="M5" s="101">
        <v>0</v>
      </c>
      <c r="N5" s="101">
        <v>484</v>
      </c>
      <c r="O5" s="101">
        <v>133</v>
      </c>
      <c r="P5" s="101">
        <v>3420002433.7598071</v>
      </c>
      <c r="Q5" s="101">
        <v>463338891.25911272</v>
      </c>
      <c r="R5" s="101">
        <v>416800437.50129896</v>
      </c>
      <c r="S5" s="101">
        <f t="shared" si="1"/>
        <v>6784497.277476036</v>
      </c>
      <c r="T5" s="101">
        <f t="shared" si="2"/>
        <v>95497.27747603599</v>
      </c>
      <c r="U5" s="101">
        <f t="shared" si="3"/>
        <v>95497.27747603599</v>
      </c>
      <c r="V5" s="101">
        <v>102094</v>
      </c>
      <c r="W5" s="149">
        <f t="shared" si="4"/>
        <v>9.3538579618817946E-4</v>
      </c>
    </row>
    <row r="6" spans="1:23" x14ac:dyDescent="0.25">
      <c r="A6" t="s">
        <v>517</v>
      </c>
      <c r="B6" t="s">
        <v>281</v>
      </c>
      <c r="C6" s="101">
        <f t="shared" si="0"/>
        <v>6959</v>
      </c>
      <c r="D6" s="101">
        <v>3086</v>
      </c>
      <c r="E6" s="101">
        <v>3873</v>
      </c>
      <c r="F6" s="101">
        <v>0</v>
      </c>
      <c r="G6" s="101">
        <v>0</v>
      </c>
      <c r="H6" s="101">
        <v>51</v>
      </c>
      <c r="I6" s="101">
        <v>98</v>
      </c>
      <c r="J6" s="101">
        <v>1768</v>
      </c>
      <c r="K6" s="101">
        <v>3920</v>
      </c>
      <c r="L6" s="101">
        <v>492</v>
      </c>
      <c r="M6" s="101">
        <v>773</v>
      </c>
      <c r="N6" s="101">
        <v>704</v>
      </c>
      <c r="O6" s="101">
        <v>107</v>
      </c>
      <c r="P6" s="101">
        <v>3049876826.4375901</v>
      </c>
      <c r="Q6" s="101">
        <v>643355767.33329332</v>
      </c>
      <c r="R6" s="101">
        <v>639264474.69524372</v>
      </c>
      <c r="S6" s="101">
        <f t="shared" si="1"/>
        <v>6903807.2124457834</v>
      </c>
      <c r="T6" s="101">
        <f t="shared" si="2"/>
        <v>-55192.787554216571</v>
      </c>
      <c r="U6" s="101">
        <f t="shared" si="3"/>
        <v>0</v>
      </c>
      <c r="V6" s="101">
        <v>68829</v>
      </c>
      <c r="W6" s="149">
        <f t="shared" si="4"/>
        <v>-8.018827464327038E-4</v>
      </c>
    </row>
    <row r="7" spans="1:23" x14ac:dyDescent="0.25">
      <c r="A7" t="s">
        <v>517</v>
      </c>
      <c r="B7" t="s">
        <v>282</v>
      </c>
      <c r="C7" s="101">
        <f t="shared" si="0"/>
        <v>8280</v>
      </c>
      <c r="D7" s="101">
        <v>5006</v>
      </c>
      <c r="E7" s="101">
        <v>3274</v>
      </c>
      <c r="F7" s="101">
        <v>0</v>
      </c>
      <c r="G7" s="101">
        <v>0</v>
      </c>
      <c r="H7" s="101">
        <v>0</v>
      </c>
      <c r="I7" s="101">
        <v>0</v>
      </c>
      <c r="J7" s="101">
        <v>3401</v>
      </c>
      <c r="K7" s="101">
        <v>4351</v>
      </c>
      <c r="L7" s="101">
        <v>650</v>
      </c>
      <c r="M7" s="101">
        <v>213</v>
      </c>
      <c r="N7" s="101">
        <v>485</v>
      </c>
      <c r="O7" s="101">
        <v>41</v>
      </c>
      <c r="P7" s="101">
        <v>5053155537.2550135</v>
      </c>
      <c r="Q7" s="101">
        <v>513457226.07521981</v>
      </c>
      <c r="R7" s="101">
        <v>501171110.99465615</v>
      </c>
      <c r="S7" s="101">
        <f t="shared" si="1"/>
        <v>9658518.9259947017</v>
      </c>
      <c r="T7" s="101">
        <f t="shared" si="2"/>
        <v>1378518.9259947017</v>
      </c>
      <c r="U7" s="101">
        <f t="shared" si="3"/>
        <v>1378518.9259947017</v>
      </c>
      <c r="V7" s="101">
        <v>75171</v>
      </c>
      <c r="W7" s="149">
        <f t="shared" si="4"/>
        <v>1.8338440701795928E-2</v>
      </c>
    </row>
    <row r="8" spans="1:23" x14ac:dyDescent="0.25">
      <c r="A8" t="s">
        <v>514</v>
      </c>
      <c r="B8" t="s">
        <v>237</v>
      </c>
      <c r="C8" s="101">
        <f t="shared" si="0"/>
        <v>30195</v>
      </c>
      <c r="D8" s="101">
        <v>11997</v>
      </c>
      <c r="E8" s="101">
        <v>18198</v>
      </c>
      <c r="F8" s="101">
        <v>13234</v>
      </c>
      <c r="G8" s="101">
        <v>493</v>
      </c>
      <c r="H8" s="101">
        <v>655</v>
      </c>
      <c r="I8" s="101">
        <v>840</v>
      </c>
      <c r="J8" s="101">
        <v>11850</v>
      </c>
      <c r="K8" s="101">
        <v>18008</v>
      </c>
      <c r="L8" s="101">
        <v>1712</v>
      </c>
      <c r="M8" s="101">
        <v>503</v>
      </c>
      <c r="N8" s="101">
        <v>4117</v>
      </c>
      <c r="O8" s="101">
        <v>955</v>
      </c>
      <c r="P8" s="101">
        <v>20692530775.463264</v>
      </c>
      <c r="Q8" s="101">
        <v>3447936870.7162666</v>
      </c>
      <c r="R8" s="101">
        <v>3382476188.5074739</v>
      </c>
      <c r="S8" s="101">
        <f t="shared" si="1"/>
        <v>43794685.628202744</v>
      </c>
      <c r="T8" s="101">
        <f t="shared" si="2"/>
        <v>13599685.628202744</v>
      </c>
      <c r="U8" s="101">
        <f t="shared" si="3"/>
        <v>13599685.628202744</v>
      </c>
      <c r="V8" s="101">
        <v>481697</v>
      </c>
      <c r="W8" s="149">
        <f t="shared" si="4"/>
        <v>2.8232863456078706E-2</v>
      </c>
    </row>
    <row r="9" spans="1:23" x14ac:dyDescent="0.25">
      <c r="A9" t="s">
        <v>518</v>
      </c>
      <c r="B9" t="s">
        <v>139</v>
      </c>
      <c r="C9" s="101">
        <f t="shared" si="0"/>
        <v>28406</v>
      </c>
      <c r="D9" s="101">
        <v>11814</v>
      </c>
      <c r="E9" s="101">
        <v>16592</v>
      </c>
      <c r="F9" s="101">
        <v>1720</v>
      </c>
      <c r="G9" s="101">
        <v>100</v>
      </c>
      <c r="H9" s="101">
        <v>467</v>
      </c>
      <c r="I9" s="101">
        <v>216</v>
      </c>
      <c r="J9" s="101">
        <v>12418</v>
      </c>
      <c r="K9" s="101">
        <v>9310</v>
      </c>
      <c r="L9" s="101">
        <v>1498</v>
      </c>
      <c r="M9" s="101">
        <v>431</v>
      </c>
      <c r="N9" s="101">
        <v>1418</v>
      </c>
      <c r="O9" s="101">
        <v>224</v>
      </c>
      <c r="P9" s="101">
        <v>10180545306.487082</v>
      </c>
      <c r="Q9" s="101">
        <v>2358630205.8355718</v>
      </c>
      <c r="R9" s="101">
        <v>2236376330.4951463</v>
      </c>
      <c r="S9" s="101">
        <f t="shared" si="1"/>
        <v>23372010.258126412</v>
      </c>
      <c r="T9" s="101">
        <f t="shared" si="2"/>
        <v>-5033989.7418735884</v>
      </c>
      <c r="U9" s="101">
        <f t="shared" si="3"/>
        <v>0</v>
      </c>
      <c r="V9" s="101">
        <v>372942</v>
      </c>
      <c r="W9" s="149">
        <f t="shared" si="4"/>
        <v>-1.349804994308388E-2</v>
      </c>
    </row>
    <row r="10" spans="1:23" x14ac:dyDescent="0.25">
      <c r="A10" t="s">
        <v>519</v>
      </c>
      <c r="B10" t="s">
        <v>427</v>
      </c>
      <c r="C10" s="101">
        <f t="shared" si="0"/>
        <v>69753</v>
      </c>
      <c r="D10" s="101">
        <v>38757</v>
      </c>
      <c r="E10" s="101">
        <v>30996</v>
      </c>
      <c r="F10" s="101">
        <v>23673</v>
      </c>
      <c r="G10" s="101">
        <v>240</v>
      </c>
      <c r="H10" s="101">
        <v>1718</v>
      </c>
      <c r="I10" s="101">
        <v>840</v>
      </c>
      <c r="J10" s="101">
        <v>24906</v>
      </c>
      <c r="K10" s="101">
        <v>42705</v>
      </c>
      <c r="L10" s="101">
        <v>4143</v>
      </c>
      <c r="M10" s="101">
        <v>0</v>
      </c>
      <c r="N10" s="101">
        <v>11538</v>
      </c>
      <c r="O10" s="101">
        <v>835</v>
      </c>
      <c r="P10" s="101">
        <v>36733398197.885452</v>
      </c>
      <c r="Q10" s="101">
        <v>4609863979.9223413</v>
      </c>
      <c r="R10" s="101">
        <v>4543884566.4739914</v>
      </c>
      <c r="S10" s="101">
        <f t="shared" si="1"/>
        <v>73084761.892679334</v>
      </c>
      <c r="T10" s="101">
        <f t="shared" si="2"/>
        <v>3331761.8926793337</v>
      </c>
      <c r="U10" s="101">
        <f t="shared" si="3"/>
        <v>3331761.8926793337</v>
      </c>
      <c r="V10" s="101">
        <v>1124610</v>
      </c>
      <c r="W10" s="149">
        <f t="shared" si="4"/>
        <v>2.9625931591212365E-3</v>
      </c>
    </row>
    <row r="11" spans="1:23" x14ac:dyDescent="0.25">
      <c r="A11" t="s">
        <v>517</v>
      </c>
      <c r="B11" t="s">
        <v>283</v>
      </c>
      <c r="C11" s="101">
        <f t="shared" si="0"/>
        <v>30364</v>
      </c>
      <c r="D11" s="101">
        <v>17273</v>
      </c>
      <c r="E11" s="101">
        <v>13091</v>
      </c>
      <c r="F11" s="101">
        <v>3772</v>
      </c>
      <c r="G11" s="101">
        <v>0</v>
      </c>
      <c r="H11" s="101">
        <v>300</v>
      </c>
      <c r="I11" s="101">
        <v>624</v>
      </c>
      <c r="J11" s="101">
        <v>15840</v>
      </c>
      <c r="K11" s="101">
        <v>14725</v>
      </c>
      <c r="L11" s="101">
        <v>2292</v>
      </c>
      <c r="M11" s="101">
        <v>900</v>
      </c>
      <c r="N11" s="101">
        <v>5725</v>
      </c>
      <c r="O11" s="101">
        <v>219</v>
      </c>
      <c r="P11" s="101">
        <v>20008739399.223915</v>
      </c>
      <c r="Q11" s="101">
        <v>2785147463.3522382</v>
      </c>
      <c r="R11" s="101">
        <v>2669547219.6942759</v>
      </c>
      <c r="S11" s="101">
        <f t="shared" si="1"/>
        <v>40429794.972586885</v>
      </c>
      <c r="T11" s="101">
        <f t="shared" si="2"/>
        <v>10065794.972586885</v>
      </c>
      <c r="U11" s="101">
        <f t="shared" si="3"/>
        <v>10065794.972586885</v>
      </c>
      <c r="V11" s="101">
        <v>416678</v>
      </c>
      <c r="W11" s="149">
        <f t="shared" si="4"/>
        <v>2.4157250856985214E-2</v>
      </c>
    </row>
    <row r="12" spans="1:23" x14ac:dyDescent="0.25">
      <c r="A12" t="s">
        <v>513</v>
      </c>
      <c r="B12" t="s">
        <v>341</v>
      </c>
      <c r="C12" s="101">
        <f t="shared" si="0"/>
        <v>2896</v>
      </c>
      <c r="D12" s="101">
        <v>1948</v>
      </c>
      <c r="E12" s="101">
        <v>948</v>
      </c>
      <c r="F12" s="101">
        <v>0</v>
      </c>
      <c r="G12" s="101">
        <v>0</v>
      </c>
      <c r="H12" s="101">
        <v>300</v>
      </c>
      <c r="I12" s="101">
        <v>39</v>
      </c>
      <c r="J12" s="101">
        <v>1769</v>
      </c>
      <c r="K12" s="101">
        <v>1363</v>
      </c>
      <c r="L12" s="101">
        <v>160</v>
      </c>
      <c r="M12" s="101">
        <v>19</v>
      </c>
      <c r="N12" s="101">
        <v>398</v>
      </c>
      <c r="O12" s="101">
        <v>89</v>
      </c>
      <c r="P12" s="101">
        <v>2031508630.0199649</v>
      </c>
      <c r="Q12" s="101">
        <v>332417526.84152675</v>
      </c>
      <c r="R12" s="101">
        <v>285295165.56352907</v>
      </c>
      <c r="S12" s="101">
        <f t="shared" si="1"/>
        <v>4150347.8430295023</v>
      </c>
      <c r="T12" s="101">
        <f t="shared" si="2"/>
        <v>1254347.8430295023</v>
      </c>
      <c r="U12" s="101">
        <f t="shared" si="3"/>
        <v>1254347.8430295023</v>
      </c>
      <c r="V12" s="101">
        <v>30190</v>
      </c>
      <c r="W12" s="149">
        <f t="shared" si="4"/>
        <v>4.1548454555465464E-2</v>
      </c>
    </row>
    <row r="13" spans="1:23" x14ac:dyDescent="0.25">
      <c r="A13" t="s">
        <v>513</v>
      </c>
      <c r="B13" t="s">
        <v>591</v>
      </c>
      <c r="C13" s="101">
        <f t="shared" si="0"/>
        <v>11720</v>
      </c>
      <c r="D13" s="101">
        <v>7775</v>
      </c>
      <c r="E13" s="101">
        <v>3945</v>
      </c>
      <c r="F13" s="101">
        <v>0</v>
      </c>
      <c r="G13" s="101">
        <v>0</v>
      </c>
      <c r="H13" s="101">
        <v>418</v>
      </c>
      <c r="I13" s="101">
        <v>257</v>
      </c>
      <c r="J13" s="101">
        <v>7085</v>
      </c>
      <c r="K13" s="101">
        <v>7732</v>
      </c>
      <c r="L13" s="101">
        <v>1218</v>
      </c>
      <c r="M13" s="101">
        <v>963</v>
      </c>
      <c r="N13" s="101">
        <v>2789</v>
      </c>
      <c r="O13" s="101">
        <v>1172</v>
      </c>
      <c r="P13" s="101">
        <v>9587717003.2336998</v>
      </c>
      <c r="Q13" s="101">
        <v>1277506126.2309752</v>
      </c>
      <c r="R13" s="101">
        <v>1205879831.6084936</v>
      </c>
      <c r="S13" s="101">
        <f t="shared" si="1"/>
        <v>19139165.282988846</v>
      </c>
      <c r="T13" s="101">
        <f t="shared" si="2"/>
        <v>7419165.2829888463</v>
      </c>
      <c r="U13" s="101">
        <f t="shared" si="3"/>
        <v>7419165.2829888463</v>
      </c>
      <c r="V13" s="101">
        <v>187283</v>
      </c>
      <c r="W13" s="149">
        <f t="shared" si="4"/>
        <v>3.9614728955585113E-2</v>
      </c>
    </row>
    <row r="14" spans="1:23" x14ac:dyDescent="0.25">
      <c r="A14" t="s">
        <v>516</v>
      </c>
      <c r="B14" t="s">
        <v>126</v>
      </c>
      <c r="C14" s="101">
        <f t="shared" si="0"/>
        <v>1663</v>
      </c>
      <c r="D14" s="101">
        <v>1126</v>
      </c>
      <c r="E14" s="101">
        <v>537</v>
      </c>
      <c r="F14" s="101">
        <v>0</v>
      </c>
      <c r="G14" s="101">
        <v>40</v>
      </c>
      <c r="H14" s="101">
        <v>4112</v>
      </c>
      <c r="I14" s="101">
        <v>1998</v>
      </c>
      <c r="J14" s="101">
        <v>855</v>
      </c>
      <c r="K14" s="101">
        <v>1509</v>
      </c>
      <c r="L14" s="101">
        <v>58</v>
      </c>
      <c r="M14" s="101">
        <v>50</v>
      </c>
      <c r="N14" s="101">
        <v>238</v>
      </c>
      <c r="O14" s="101">
        <v>91</v>
      </c>
      <c r="P14" s="101">
        <v>1734571702.1117456</v>
      </c>
      <c r="Q14" s="101">
        <v>208655924.54052758</v>
      </c>
      <c r="R14" s="101">
        <v>208655924.54052758</v>
      </c>
      <c r="S14" s="101">
        <f t="shared" si="1"/>
        <v>3432254.2641525171</v>
      </c>
      <c r="T14" s="101">
        <f t="shared" si="2"/>
        <v>1769254.2641525171</v>
      </c>
      <c r="U14" s="101">
        <f t="shared" si="3"/>
        <v>1769254.2641525171</v>
      </c>
      <c r="V14" s="101">
        <v>29351</v>
      </c>
      <c r="W14" s="149">
        <f t="shared" si="4"/>
        <v>6.0279181770723896E-2</v>
      </c>
    </row>
    <row r="15" spans="1:23" x14ac:dyDescent="0.25">
      <c r="A15" t="s">
        <v>520</v>
      </c>
      <c r="B15" t="s">
        <v>212</v>
      </c>
      <c r="C15" s="101">
        <f t="shared" si="0"/>
        <v>60519</v>
      </c>
      <c r="D15" s="101">
        <v>32706</v>
      </c>
      <c r="E15" s="101">
        <v>27813</v>
      </c>
      <c r="F15" s="101">
        <v>3867</v>
      </c>
      <c r="G15" s="101">
        <v>309</v>
      </c>
      <c r="H15" s="101">
        <v>1152</v>
      </c>
      <c r="I15" s="101">
        <v>1337</v>
      </c>
      <c r="J15" s="101">
        <v>16939</v>
      </c>
      <c r="K15" s="101">
        <v>25693</v>
      </c>
      <c r="L15" s="101">
        <v>2899</v>
      </c>
      <c r="M15" s="101">
        <v>4401</v>
      </c>
      <c r="N15" s="101">
        <v>6105</v>
      </c>
      <c r="O15" s="101">
        <v>1239</v>
      </c>
      <c r="P15" s="101">
        <v>31654103846.554008</v>
      </c>
      <c r="Q15" s="101">
        <v>4082087229.6139488</v>
      </c>
      <c r="R15" s="101">
        <v>3955241266.3331242</v>
      </c>
      <c r="S15" s="101">
        <f t="shared" si="1"/>
        <v>63105515.274856307</v>
      </c>
      <c r="T15" s="101">
        <f t="shared" si="2"/>
        <v>2586515.2748563066</v>
      </c>
      <c r="U15" s="101">
        <f t="shared" si="3"/>
        <v>2586515.2748563066</v>
      </c>
      <c r="V15" s="101">
        <v>712096</v>
      </c>
      <c r="W15" s="149">
        <f t="shared" si="4"/>
        <v>3.6322564301109776E-3</v>
      </c>
    </row>
    <row r="16" spans="1:23" x14ac:dyDescent="0.25">
      <c r="A16" t="s">
        <v>514</v>
      </c>
      <c r="B16" t="s">
        <v>238</v>
      </c>
      <c r="C16" s="101">
        <f t="shared" si="0"/>
        <v>32731</v>
      </c>
      <c r="D16" s="101">
        <v>15937</v>
      </c>
      <c r="E16" s="101">
        <v>16794</v>
      </c>
      <c r="F16" s="101">
        <v>4402</v>
      </c>
      <c r="G16" s="101">
        <v>0</v>
      </c>
      <c r="H16" s="101">
        <v>3020</v>
      </c>
      <c r="I16" s="101">
        <v>134</v>
      </c>
      <c r="J16" s="101">
        <v>9548</v>
      </c>
      <c r="K16" s="101">
        <v>12581</v>
      </c>
      <c r="L16" s="101">
        <v>2978</v>
      </c>
      <c r="M16" s="101">
        <v>5044</v>
      </c>
      <c r="N16" s="101">
        <v>2189</v>
      </c>
      <c r="O16" s="101">
        <v>299</v>
      </c>
      <c r="P16" s="101">
        <v>24422016767.887978</v>
      </c>
      <c r="Q16" s="101">
        <v>3093017234.3654675</v>
      </c>
      <c r="R16" s="101">
        <v>3033172184.5191374</v>
      </c>
      <c r="S16" s="101">
        <f t="shared" si="1"/>
        <v>48628936.013397381</v>
      </c>
      <c r="T16" s="101">
        <f t="shared" si="2"/>
        <v>15897936.013397381</v>
      </c>
      <c r="U16" s="101">
        <f t="shared" si="3"/>
        <v>15897936.013397381</v>
      </c>
      <c r="V16" s="101">
        <v>379297</v>
      </c>
      <c r="W16" s="149">
        <f t="shared" si="4"/>
        <v>4.19142150172487E-2</v>
      </c>
    </row>
    <row r="17" spans="1:24" x14ac:dyDescent="0.25">
      <c r="A17" t="s">
        <v>514</v>
      </c>
      <c r="B17" t="s">
        <v>239</v>
      </c>
      <c r="C17">
        <v>222911</v>
      </c>
      <c r="D17" s="101">
        <v>163897</v>
      </c>
      <c r="E17" s="101">
        <v>229182</v>
      </c>
      <c r="F17" s="101">
        <v>409258</v>
      </c>
      <c r="G17" s="101">
        <v>13110</v>
      </c>
      <c r="H17" s="101">
        <v>265696</v>
      </c>
      <c r="I17" s="101">
        <v>6306</v>
      </c>
      <c r="J17" s="101">
        <v>111174</v>
      </c>
      <c r="K17" s="101">
        <v>198170</v>
      </c>
      <c r="L17" s="101">
        <v>24843</v>
      </c>
      <c r="M17" s="101">
        <v>8206</v>
      </c>
      <c r="N17" s="101">
        <v>63269</v>
      </c>
      <c r="O17" s="101">
        <v>53627</v>
      </c>
      <c r="P17" s="101">
        <v>255361575790.81635</v>
      </c>
      <c r="Q17" s="101">
        <v>62340048749.120659</v>
      </c>
      <c r="R17" s="101">
        <v>62340048749.120659</v>
      </c>
      <c r="S17" s="101">
        <f t="shared" si="1"/>
        <v>606166468.896047</v>
      </c>
      <c r="T17" s="101">
        <f t="shared" si="2"/>
        <v>383255468.896047</v>
      </c>
      <c r="U17" s="101">
        <f t="shared" si="3"/>
        <v>383255468.896047</v>
      </c>
      <c r="V17" s="101">
        <v>6818481</v>
      </c>
      <c r="W17" s="149">
        <f t="shared" si="4"/>
        <v>5.6208335682983793E-2</v>
      </c>
      <c r="X17" s="149"/>
    </row>
    <row r="18" spans="1:24" x14ac:dyDescent="0.25">
      <c r="A18" t="s">
        <v>515</v>
      </c>
      <c r="B18" t="s">
        <v>164</v>
      </c>
      <c r="C18" s="101">
        <f t="shared" si="0"/>
        <v>62534</v>
      </c>
      <c r="D18" s="101">
        <v>30405</v>
      </c>
      <c r="E18" s="101">
        <v>32129</v>
      </c>
      <c r="F18" s="101">
        <v>4374</v>
      </c>
      <c r="G18" s="101">
        <v>528</v>
      </c>
      <c r="H18" s="101">
        <v>2389</v>
      </c>
      <c r="I18" s="101">
        <v>863</v>
      </c>
      <c r="J18" s="101">
        <v>14043</v>
      </c>
      <c r="K18" s="101">
        <v>23418</v>
      </c>
      <c r="L18" s="101">
        <v>3929</v>
      </c>
      <c r="M18" s="101">
        <v>1802</v>
      </c>
      <c r="N18" s="101">
        <v>5549</v>
      </c>
      <c r="O18" s="101">
        <v>1090</v>
      </c>
      <c r="P18" s="101">
        <v>30231106808.23328</v>
      </c>
      <c r="Q18" s="101">
        <v>4201757539.2768984</v>
      </c>
      <c r="R18" s="101">
        <v>4009978196.8683248</v>
      </c>
      <c r="S18" s="101">
        <f t="shared" si="1"/>
        <v>61010445.807142042</v>
      </c>
      <c r="T18" s="101">
        <f t="shared" si="2"/>
        <v>-1523554.1928579584</v>
      </c>
      <c r="U18" s="101">
        <f t="shared" si="3"/>
        <v>0</v>
      </c>
      <c r="V18" s="101">
        <v>724161</v>
      </c>
      <c r="W18" s="149">
        <f t="shared" si="4"/>
        <v>-2.1038887662521988E-3</v>
      </c>
    </row>
    <row r="19" spans="1:24" x14ac:dyDescent="0.25">
      <c r="A19" t="s">
        <v>515</v>
      </c>
      <c r="B19" t="s">
        <v>165</v>
      </c>
      <c r="C19" s="101">
        <f t="shared" si="0"/>
        <v>65902</v>
      </c>
      <c r="D19" s="101">
        <v>32838</v>
      </c>
      <c r="E19" s="101">
        <v>33064</v>
      </c>
      <c r="F19" s="101">
        <v>27217</v>
      </c>
      <c r="G19" s="101">
        <v>0</v>
      </c>
      <c r="H19" s="101">
        <v>1882</v>
      </c>
      <c r="I19" s="101">
        <v>301</v>
      </c>
      <c r="J19" s="101">
        <v>18096</v>
      </c>
      <c r="K19" s="101">
        <v>25685</v>
      </c>
      <c r="L19" s="101">
        <v>3439</v>
      </c>
      <c r="M19" s="101">
        <v>0</v>
      </c>
      <c r="N19" s="101">
        <v>3761</v>
      </c>
      <c r="O19" s="101">
        <v>1287</v>
      </c>
      <c r="P19" s="101">
        <v>27926708959.255409</v>
      </c>
      <c r="Q19" s="101">
        <v>3733304532.2202239</v>
      </c>
      <c r="R19" s="101">
        <v>3687271184.1040683</v>
      </c>
      <c r="S19" s="101">
        <f t="shared" si="1"/>
        <v>56305495.867304362</v>
      </c>
      <c r="T19" s="101">
        <f t="shared" si="2"/>
        <v>-9596504.1326956376</v>
      </c>
      <c r="U19" s="101">
        <f t="shared" si="3"/>
        <v>0</v>
      </c>
      <c r="V19" s="101">
        <v>1016174</v>
      </c>
      <c r="W19" s="149">
        <f t="shared" si="4"/>
        <v>-9.4437607463836292E-3</v>
      </c>
    </row>
    <row r="20" spans="1:24" x14ac:dyDescent="0.25">
      <c r="A20" t="s">
        <v>512</v>
      </c>
      <c r="B20" t="s">
        <v>105</v>
      </c>
      <c r="C20" s="101">
        <f t="shared" si="0"/>
        <v>24862</v>
      </c>
      <c r="D20" s="101">
        <v>13506</v>
      </c>
      <c r="E20" s="101">
        <v>11356</v>
      </c>
      <c r="F20" s="101">
        <v>4866</v>
      </c>
      <c r="G20" s="101">
        <v>92</v>
      </c>
      <c r="H20" s="101">
        <v>700</v>
      </c>
      <c r="I20" s="101">
        <v>172</v>
      </c>
      <c r="J20" s="101">
        <v>6393</v>
      </c>
      <c r="K20" s="101">
        <v>8623</v>
      </c>
      <c r="L20" s="101">
        <v>1514</v>
      </c>
      <c r="M20" s="101">
        <v>595</v>
      </c>
      <c r="N20" s="101">
        <v>1884</v>
      </c>
      <c r="O20" s="101">
        <v>143</v>
      </c>
      <c r="P20" s="101">
        <v>9696454469.7916393</v>
      </c>
      <c r="Q20" s="101">
        <v>1371605856.9061151</v>
      </c>
      <c r="R20" s="101">
        <v>1349095354.2191069</v>
      </c>
      <c r="S20" s="101">
        <f t="shared" si="1"/>
        <v>19769459.059276614</v>
      </c>
      <c r="T20" s="101">
        <f t="shared" si="2"/>
        <v>-5092540.9407233857</v>
      </c>
      <c r="U20" s="101">
        <f t="shared" si="3"/>
        <v>0</v>
      </c>
      <c r="V20" s="101">
        <v>381097</v>
      </c>
      <c r="W20" s="149">
        <f t="shared" si="4"/>
        <v>-1.3362847098569093E-2</v>
      </c>
    </row>
    <row r="21" spans="1:24" x14ac:dyDescent="0.25">
      <c r="A21" t="s">
        <v>513</v>
      </c>
      <c r="B21" t="s">
        <v>342</v>
      </c>
      <c r="C21" s="101">
        <f t="shared" si="0"/>
        <v>5856</v>
      </c>
      <c r="D21" s="101">
        <v>3392</v>
      </c>
      <c r="E21" s="101">
        <v>2464</v>
      </c>
      <c r="F21" s="101">
        <v>0</v>
      </c>
      <c r="G21" s="101">
        <v>0</v>
      </c>
      <c r="H21" s="101">
        <v>507</v>
      </c>
      <c r="I21" s="101">
        <v>129</v>
      </c>
      <c r="J21" s="101">
        <v>3091</v>
      </c>
      <c r="K21" s="101">
        <v>1139</v>
      </c>
      <c r="L21" s="101">
        <v>279</v>
      </c>
      <c r="M21" s="101">
        <v>0</v>
      </c>
      <c r="N21" s="101">
        <v>1014</v>
      </c>
      <c r="O21" s="101">
        <v>49</v>
      </c>
      <c r="P21" s="101">
        <v>3120974400.7254734</v>
      </c>
      <c r="Q21" s="101">
        <v>483795354.44936049</v>
      </c>
      <c r="R21" s="101">
        <v>435211254.372522</v>
      </c>
      <c r="S21" s="101">
        <f t="shared" si="1"/>
        <v>6366278.0706054755</v>
      </c>
      <c r="T21" s="101">
        <f t="shared" si="2"/>
        <v>510278.07060547546</v>
      </c>
      <c r="U21" s="101">
        <f t="shared" si="3"/>
        <v>510278.07060547546</v>
      </c>
      <c r="V21" s="101">
        <v>55114</v>
      </c>
      <c r="W21" s="149">
        <f t="shared" si="4"/>
        <v>9.2585925646020157E-3</v>
      </c>
    </row>
    <row r="22" spans="1:24" x14ac:dyDescent="0.25">
      <c r="A22" t="s">
        <v>513</v>
      </c>
      <c r="B22" t="s">
        <v>343</v>
      </c>
      <c r="C22" s="101">
        <f t="shared" si="0"/>
        <v>2221</v>
      </c>
      <c r="D22" s="101">
        <v>1290</v>
      </c>
      <c r="E22" s="101">
        <v>931</v>
      </c>
      <c r="F22" s="101">
        <v>1</v>
      </c>
      <c r="G22" s="101">
        <v>11</v>
      </c>
      <c r="H22" s="101">
        <v>168</v>
      </c>
      <c r="I22" s="101">
        <v>432</v>
      </c>
      <c r="J22" s="101">
        <v>740</v>
      </c>
      <c r="K22" s="101">
        <v>811</v>
      </c>
      <c r="L22" s="101">
        <v>70</v>
      </c>
      <c r="M22" s="101">
        <v>0</v>
      </c>
      <c r="N22" s="101">
        <v>410</v>
      </c>
      <c r="O22" s="101">
        <v>42</v>
      </c>
      <c r="P22" s="101">
        <v>1280801889.7449598</v>
      </c>
      <c r="Q22" s="101">
        <v>284344838.34444439</v>
      </c>
      <c r="R22" s="101">
        <v>276302762.10843986</v>
      </c>
      <c r="S22" s="101">
        <f t="shared" si="1"/>
        <v>2924284.8252691342</v>
      </c>
      <c r="T22" s="101">
        <f t="shared" si="2"/>
        <v>703284.82526913425</v>
      </c>
      <c r="U22" s="101">
        <f t="shared" si="3"/>
        <v>703284.82526913425</v>
      </c>
      <c r="V22" s="101">
        <v>24472</v>
      </c>
      <c r="W22" s="149">
        <f t="shared" si="4"/>
        <v>2.8738346897234972E-2</v>
      </c>
    </row>
    <row r="23" spans="1:24" x14ac:dyDescent="0.25">
      <c r="A23" t="s">
        <v>520</v>
      </c>
      <c r="B23" t="s">
        <v>213</v>
      </c>
      <c r="C23" s="101">
        <f t="shared" si="0"/>
        <v>7357</v>
      </c>
      <c r="D23" s="101">
        <v>5309</v>
      </c>
      <c r="E23" s="101">
        <v>2048</v>
      </c>
      <c r="F23" s="101">
        <v>24</v>
      </c>
      <c r="G23" s="101">
        <v>41</v>
      </c>
      <c r="H23" s="101">
        <v>107</v>
      </c>
      <c r="I23" s="101">
        <v>200</v>
      </c>
      <c r="J23" s="101">
        <v>3555</v>
      </c>
      <c r="K23" s="101">
        <v>5475</v>
      </c>
      <c r="L23" s="101">
        <v>516</v>
      </c>
      <c r="M23" s="101">
        <v>507</v>
      </c>
      <c r="N23" s="101">
        <v>513</v>
      </c>
      <c r="O23" s="101">
        <v>61</v>
      </c>
      <c r="P23" s="101">
        <v>6273315378.3426609</v>
      </c>
      <c r="Q23" s="101">
        <v>433677019.63325334</v>
      </c>
      <c r="R23" s="101">
        <v>422924696.83242893</v>
      </c>
      <c r="S23" s="101">
        <f t="shared" si="1"/>
        <v>11355067.811351992</v>
      </c>
      <c r="T23" s="101">
        <f t="shared" si="2"/>
        <v>3998067.8113519922</v>
      </c>
      <c r="U23" s="101">
        <f t="shared" si="3"/>
        <v>3998067.8113519922</v>
      </c>
      <c r="V23" s="101">
        <v>75445</v>
      </c>
      <c r="W23" s="149">
        <f t="shared" si="4"/>
        <v>5.2993144825395883E-2</v>
      </c>
    </row>
    <row r="24" spans="1:24" x14ac:dyDescent="0.25">
      <c r="A24" t="s">
        <v>517</v>
      </c>
      <c r="B24" t="s">
        <v>284</v>
      </c>
      <c r="C24" s="101">
        <f t="shared" si="0"/>
        <v>14510</v>
      </c>
      <c r="D24" s="101">
        <v>7737</v>
      </c>
      <c r="E24" s="101">
        <v>6773</v>
      </c>
      <c r="F24" s="101">
        <v>63</v>
      </c>
      <c r="G24" s="101">
        <v>0</v>
      </c>
      <c r="H24" s="101">
        <v>83</v>
      </c>
      <c r="I24" s="101">
        <v>359</v>
      </c>
      <c r="J24" s="101">
        <v>4342</v>
      </c>
      <c r="K24" s="101">
        <v>8253</v>
      </c>
      <c r="L24" s="101">
        <v>1040</v>
      </c>
      <c r="M24" s="101">
        <v>748</v>
      </c>
      <c r="N24" s="101">
        <v>1546</v>
      </c>
      <c r="O24" s="101">
        <v>139</v>
      </c>
      <c r="P24" s="101">
        <v>8981296516.6605759</v>
      </c>
      <c r="Q24" s="101">
        <v>1257049663.0407274</v>
      </c>
      <c r="R24" s="101">
        <v>1253468324.9693861</v>
      </c>
      <c r="S24" s="101">
        <f t="shared" si="1"/>
        <v>18323731.900725964</v>
      </c>
      <c r="T24" s="101">
        <f t="shared" si="2"/>
        <v>3813731.9007259645</v>
      </c>
      <c r="U24" s="101">
        <f t="shared" si="3"/>
        <v>3813731.9007259645</v>
      </c>
      <c r="V24" s="101">
        <v>146896</v>
      </c>
      <c r="W24" s="149">
        <f t="shared" si="4"/>
        <v>2.5962122186621587E-2</v>
      </c>
    </row>
    <row r="25" spans="1:24" x14ac:dyDescent="0.25">
      <c r="A25" t="s">
        <v>515</v>
      </c>
      <c r="B25" t="s">
        <v>166</v>
      </c>
      <c r="C25" s="101">
        <f t="shared" si="0"/>
        <v>17194</v>
      </c>
      <c r="D25" s="101">
        <v>8824</v>
      </c>
      <c r="E25" s="101">
        <v>8370</v>
      </c>
      <c r="F25" s="101">
        <v>871</v>
      </c>
      <c r="G25" s="101">
        <v>0</v>
      </c>
      <c r="H25" s="101">
        <v>992</v>
      </c>
      <c r="I25" s="101">
        <v>1849</v>
      </c>
      <c r="J25" s="101">
        <v>6295</v>
      </c>
      <c r="K25" s="101">
        <v>7772</v>
      </c>
      <c r="L25" s="101">
        <v>1297</v>
      </c>
      <c r="M25" s="101">
        <v>1157</v>
      </c>
      <c r="N25" s="101">
        <v>3586</v>
      </c>
      <c r="O25" s="101">
        <v>163</v>
      </c>
      <c r="P25" s="101">
        <v>11701824285.735176</v>
      </c>
      <c r="Q25" s="101">
        <v>2248165304.6082335</v>
      </c>
      <c r="R25" s="101">
        <v>2160927664.3928943</v>
      </c>
      <c r="S25" s="101">
        <f t="shared" si="1"/>
        <v>25557768.985160939</v>
      </c>
      <c r="T25" s="101">
        <f t="shared" si="2"/>
        <v>8363768.9851609394</v>
      </c>
      <c r="U25" s="101">
        <f t="shared" si="3"/>
        <v>8363768.9851609394</v>
      </c>
      <c r="V25" s="101">
        <v>188912</v>
      </c>
      <c r="W25" s="149">
        <f t="shared" si="4"/>
        <v>4.4273360004451486E-2</v>
      </c>
    </row>
    <row r="26" spans="1:24" x14ac:dyDescent="0.25">
      <c r="A26" t="s">
        <v>522</v>
      </c>
      <c r="B26" t="s">
        <v>826</v>
      </c>
      <c r="C26" s="101">
        <f t="shared" si="0"/>
        <v>5702</v>
      </c>
      <c r="D26" s="101">
        <v>2856</v>
      </c>
      <c r="E26" s="101">
        <v>2846</v>
      </c>
      <c r="F26" s="101">
        <v>0</v>
      </c>
      <c r="G26" s="101">
        <v>0</v>
      </c>
      <c r="H26" s="101">
        <v>39</v>
      </c>
      <c r="I26" s="101">
        <v>102</v>
      </c>
      <c r="J26" s="101">
        <v>2082</v>
      </c>
      <c r="K26" s="101">
        <v>2454</v>
      </c>
      <c r="L26" s="101">
        <v>391</v>
      </c>
      <c r="M26" s="101">
        <v>56</v>
      </c>
      <c r="N26" s="101">
        <v>508</v>
      </c>
      <c r="O26" s="101">
        <v>41</v>
      </c>
      <c r="P26" s="101">
        <v>2331582215.6173553</v>
      </c>
      <c r="Q26" s="101">
        <v>516525695.55375695</v>
      </c>
      <c r="R26" s="101">
        <v>505786052.37887692</v>
      </c>
      <c r="S26" s="101">
        <f t="shared" si="1"/>
        <v>5332331.1409982983</v>
      </c>
      <c r="T26" s="101">
        <f t="shared" si="2"/>
        <v>-369668.8590017017</v>
      </c>
      <c r="U26" s="101">
        <f t="shared" si="3"/>
        <v>0</v>
      </c>
      <c r="V26" s="101">
        <v>54339</v>
      </c>
      <c r="W26" s="149">
        <f t="shared" si="4"/>
        <v>-6.8030118147500264E-3</v>
      </c>
    </row>
    <row r="27" spans="1:24" x14ac:dyDescent="0.25">
      <c r="A27" t="s">
        <v>522</v>
      </c>
      <c r="B27" t="s">
        <v>592</v>
      </c>
      <c r="C27" s="101">
        <f t="shared" si="0"/>
        <v>8563</v>
      </c>
      <c r="D27" s="101">
        <v>6622</v>
      </c>
      <c r="E27" s="101">
        <v>1941</v>
      </c>
      <c r="F27" s="101">
        <v>0</v>
      </c>
      <c r="G27" s="101">
        <v>0</v>
      </c>
      <c r="H27" s="101">
        <v>363</v>
      </c>
      <c r="I27" s="101">
        <v>0</v>
      </c>
      <c r="J27" s="101">
        <v>6304</v>
      </c>
      <c r="K27" s="101">
        <v>5725</v>
      </c>
      <c r="L27" s="101">
        <v>707</v>
      </c>
      <c r="M27" s="101">
        <v>129</v>
      </c>
      <c r="N27" s="101">
        <v>957</v>
      </c>
      <c r="O27" s="101">
        <v>117</v>
      </c>
      <c r="P27" s="101">
        <v>5287359311.3798056</v>
      </c>
      <c r="Q27" s="101">
        <v>414243379.6025179</v>
      </c>
      <c r="R27" s="101">
        <v>370261983.74348515</v>
      </c>
      <c r="S27" s="101">
        <f t="shared" si="1"/>
        <v>9614473.8297925089</v>
      </c>
      <c r="T27" s="101">
        <f t="shared" si="2"/>
        <v>1051473.8297925089</v>
      </c>
      <c r="U27" s="101">
        <f t="shared" si="3"/>
        <v>1051473.8297925089</v>
      </c>
      <c r="V27" s="101">
        <v>110203</v>
      </c>
      <c r="W27" s="149">
        <f t="shared" si="4"/>
        <v>9.5412450640409863E-3</v>
      </c>
    </row>
    <row r="28" spans="1:24" x14ac:dyDescent="0.25">
      <c r="A28" t="s">
        <v>522</v>
      </c>
      <c r="B28" t="s">
        <v>399</v>
      </c>
      <c r="C28" s="101">
        <f t="shared" si="0"/>
        <v>4115</v>
      </c>
      <c r="D28" s="101">
        <v>2937</v>
      </c>
      <c r="E28" s="101">
        <v>1178</v>
      </c>
      <c r="F28" s="101">
        <v>0</v>
      </c>
      <c r="G28" s="101">
        <v>0</v>
      </c>
      <c r="H28" s="101">
        <v>1181</v>
      </c>
      <c r="I28" s="101">
        <v>90</v>
      </c>
      <c r="J28" s="101">
        <v>1248</v>
      </c>
      <c r="K28" s="101">
        <v>1377</v>
      </c>
      <c r="L28" s="101">
        <v>152</v>
      </c>
      <c r="M28" s="101">
        <v>55</v>
      </c>
      <c r="N28" s="101">
        <v>130</v>
      </c>
      <c r="O28" s="101">
        <v>68</v>
      </c>
      <c r="P28" s="101">
        <v>1937408899.344825</v>
      </c>
      <c r="Q28" s="101">
        <v>170811467.63856915</v>
      </c>
      <c r="R28" s="101">
        <v>161606059.20295763</v>
      </c>
      <c r="S28" s="101">
        <f t="shared" si="1"/>
        <v>3605690.5233124304</v>
      </c>
      <c r="T28" s="101">
        <f t="shared" si="2"/>
        <v>-509309.47668756964</v>
      </c>
      <c r="U28" s="101">
        <f t="shared" si="3"/>
        <v>0</v>
      </c>
      <c r="V28" s="101">
        <v>47069</v>
      </c>
      <c r="W28" s="149">
        <f t="shared" si="4"/>
        <v>-1.0820486449416168E-2</v>
      </c>
    </row>
    <row r="29" spans="1:24" x14ac:dyDescent="0.25">
      <c r="A29" t="s">
        <v>515</v>
      </c>
      <c r="B29" t="s">
        <v>523</v>
      </c>
      <c r="C29" s="101">
        <f t="shared" si="0"/>
        <v>7273</v>
      </c>
      <c r="D29" s="101">
        <v>4800</v>
      </c>
      <c r="E29" s="101">
        <v>2473</v>
      </c>
      <c r="F29" s="101">
        <v>69</v>
      </c>
      <c r="G29" s="101">
        <v>0</v>
      </c>
      <c r="H29" s="101">
        <v>725</v>
      </c>
      <c r="I29" s="101">
        <v>76</v>
      </c>
      <c r="J29" s="101">
        <v>4471</v>
      </c>
      <c r="K29" s="101">
        <v>4817</v>
      </c>
      <c r="L29" s="101">
        <v>688</v>
      </c>
      <c r="M29" s="101">
        <v>75</v>
      </c>
      <c r="N29" s="101">
        <v>843</v>
      </c>
      <c r="O29" s="101">
        <v>176</v>
      </c>
      <c r="P29" s="101">
        <v>6210582224.5592337</v>
      </c>
      <c r="Q29" s="101">
        <v>619830834.66450834</v>
      </c>
      <c r="R29" s="101">
        <v>549197758.54254127</v>
      </c>
      <c r="S29" s="101">
        <f t="shared" si="1"/>
        <v>11657819.497922685</v>
      </c>
      <c r="T29" s="101">
        <f t="shared" si="2"/>
        <v>4384819.497922685</v>
      </c>
      <c r="U29" s="101">
        <f t="shared" si="3"/>
        <v>4384819.497922685</v>
      </c>
      <c r="V29" s="101">
        <v>117178</v>
      </c>
      <c r="W29" s="149">
        <f t="shared" si="4"/>
        <v>3.7420159909903605E-2</v>
      </c>
    </row>
    <row r="30" spans="1:24" x14ac:dyDescent="0.25">
      <c r="A30" t="s">
        <v>513</v>
      </c>
      <c r="B30" t="s">
        <v>344</v>
      </c>
      <c r="C30" s="101">
        <f t="shared" si="0"/>
        <v>4448</v>
      </c>
      <c r="D30" s="101">
        <v>2862</v>
      </c>
      <c r="E30" s="101">
        <v>1586</v>
      </c>
      <c r="F30" s="101">
        <v>0</v>
      </c>
      <c r="G30" s="101">
        <v>0</v>
      </c>
      <c r="H30" s="101">
        <v>1340</v>
      </c>
      <c r="I30" s="101">
        <v>57</v>
      </c>
      <c r="J30" s="101">
        <v>2136</v>
      </c>
      <c r="K30" s="101">
        <v>1898</v>
      </c>
      <c r="L30" s="101">
        <v>877</v>
      </c>
      <c r="M30" s="101">
        <v>14</v>
      </c>
      <c r="N30" s="101">
        <v>887</v>
      </c>
      <c r="O30" s="101">
        <v>118</v>
      </c>
      <c r="P30" s="101">
        <v>4018058499.828474</v>
      </c>
      <c r="Q30" s="101">
        <v>538004981.90351713</v>
      </c>
      <c r="R30" s="101">
        <v>444327615.8822577</v>
      </c>
      <c r="S30" s="101">
        <f t="shared" si="1"/>
        <v>7826208.401890818</v>
      </c>
      <c r="T30" s="101">
        <f t="shared" si="2"/>
        <v>3378208.401890818</v>
      </c>
      <c r="U30" s="101">
        <f t="shared" si="3"/>
        <v>3378208.401890818</v>
      </c>
      <c r="V30" s="101">
        <v>58661</v>
      </c>
      <c r="W30" s="149">
        <f t="shared" si="4"/>
        <v>5.7588660300554338E-2</v>
      </c>
    </row>
    <row r="31" spans="1:24" x14ac:dyDescent="0.25">
      <c r="A31" t="s">
        <v>522</v>
      </c>
      <c r="B31" t="s">
        <v>434</v>
      </c>
      <c r="C31" s="101">
        <f t="shared" si="0"/>
        <v>2541</v>
      </c>
      <c r="D31" s="101">
        <v>1701</v>
      </c>
      <c r="E31" s="101">
        <v>840</v>
      </c>
      <c r="F31" s="101">
        <v>0</v>
      </c>
      <c r="G31" s="101">
        <v>0</v>
      </c>
      <c r="H31" s="101">
        <v>683</v>
      </c>
      <c r="I31" s="101">
        <v>105</v>
      </c>
      <c r="J31" s="101">
        <v>1788</v>
      </c>
      <c r="K31" s="101">
        <v>1229</v>
      </c>
      <c r="L31" s="101">
        <v>235</v>
      </c>
      <c r="M31" s="101">
        <v>10</v>
      </c>
      <c r="N31" s="101">
        <v>221</v>
      </c>
      <c r="O31" s="101">
        <v>35</v>
      </c>
      <c r="P31" s="101">
        <v>2024189762.0785651</v>
      </c>
      <c r="Q31" s="101">
        <v>231158034.04980013</v>
      </c>
      <c r="R31" s="101">
        <v>211212982.43930855</v>
      </c>
      <c r="S31" s="101">
        <f t="shared" si="1"/>
        <v>3902352.0844967063</v>
      </c>
      <c r="T31" s="101">
        <f t="shared" si="2"/>
        <v>1361352.0844967063</v>
      </c>
      <c r="U31" s="101">
        <f t="shared" si="3"/>
        <v>1361352.0844967063</v>
      </c>
      <c r="V31" s="101">
        <v>43697</v>
      </c>
      <c r="W31" s="149">
        <f t="shared" si="4"/>
        <v>3.1154360356470838E-2</v>
      </c>
    </row>
    <row r="32" spans="1:24" x14ac:dyDescent="0.25">
      <c r="A32" t="s">
        <v>514</v>
      </c>
      <c r="B32" t="s">
        <v>435</v>
      </c>
      <c r="C32" s="101">
        <f t="shared" si="0"/>
        <v>12834</v>
      </c>
      <c r="D32" s="101">
        <v>9118</v>
      </c>
      <c r="E32" s="101">
        <v>3716</v>
      </c>
      <c r="F32" s="101">
        <v>6108</v>
      </c>
      <c r="G32" s="101">
        <v>110</v>
      </c>
      <c r="H32" s="101">
        <v>3704</v>
      </c>
      <c r="I32" s="101">
        <v>1830</v>
      </c>
      <c r="J32" s="101">
        <v>4154</v>
      </c>
      <c r="K32" s="101">
        <v>5167</v>
      </c>
      <c r="L32" s="101">
        <v>673</v>
      </c>
      <c r="M32" s="101">
        <v>469</v>
      </c>
      <c r="N32" s="101">
        <v>1424</v>
      </c>
      <c r="O32" s="101">
        <v>163</v>
      </c>
      <c r="P32" s="101">
        <v>10170089780.85651</v>
      </c>
      <c r="Q32" s="101">
        <v>812121588.65283751</v>
      </c>
      <c r="R32" s="101">
        <v>759413004.13409638</v>
      </c>
      <c r="S32" s="101">
        <f t="shared" si="1"/>
        <v>18643820.683653902</v>
      </c>
      <c r="T32" s="101">
        <f t="shared" si="2"/>
        <v>5809820.6836539023</v>
      </c>
      <c r="U32" s="101">
        <f t="shared" si="3"/>
        <v>5809820.6836539023</v>
      </c>
      <c r="V32" s="101">
        <v>102427</v>
      </c>
      <c r="W32" s="149">
        <f t="shared" si="4"/>
        <v>5.6721574229977471E-2</v>
      </c>
    </row>
    <row r="33" spans="1:23" x14ac:dyDescent="0.25">
      <c r="A33" t="s">
        <v>513</v>
      </c>
      <c r="B33" t="s">
        <v>345</v>
      </c>
      <c r="C33" s="101">
        <f t="shared" si="0"/>
        <v>18639</v>
      </c>
      <c r="D33" s="101">
        <v>9078</v>
      </c>
      <c r="E33" s="101">
        <v>9561</v>
      </c>
      <c r="F33" s="101">
        <v>5724</v>
      </c>
      <c r="G33" s="101">
        <v>202</v>
      </c>
      <c r="H33" s="101">
        <v>594</v>
      </c>
      <c r="I33" s="101">
        <v>0</v>
      </c>
      <c r="J33" s="101">
        <v>15005</v>
      </c>
      <c r="K33" s="101">
        <v>10686</v>
      </c>
      <c r="L33" s="101">
        <v>1824</v>
      </c>
      <c r="M33" s="101">
        <v>35</v>
      </c>
      <c r="N33" s="101">
        <v>1185</v>
      </c>
      <c r="O33" s="101">
        <v>732</v>
      </c>
      <c r="P33" s="101">
        <v>10406384660.107416</v>
      </c>
      <c r="Q33" s="101">
        <v>1926998832.521343</v>
      </c>
      <c r="R33" s="101">
        <v>1786360648.0883892</v>
      </c>
      <c r="S33" s="101">
        <f t="shared" si="1"/>
        <v>22296674.000273287</v>
      </c>
      <c r="T33" s="101">
        <f t="shared" si="2"/>
        <v>3657674.0002732873</v>
      </c>
      <c r="U33" s="101">
        <f t="shared" si="3"/>
        <v>3657674.0002732873</v>
      </c>
      <c r="V33" s="101">
        <v>376281</v>
      </c>
      <c r="W33" s="149">
        <f t="shared" si="4"/>
        <v>9.720591792498923E-3</v>
      </c>
    </row>
    <row r="34" spans="1:23" x14ac:dyDescent="0.25">
      <c r="A34" t="s">
        <v>515</v>
      </c>
      <c r="B34" t="s">
        <v>167</v>
      </c>
      <c r="C34" s="101">
        <f t="shared" si="0"/>
        <v>11638</v>
      </c>
      <c r="D34" s="101">
        <v>7472</v>
      </c>
      <c r="E34" s="101">
        <v>4166</v>
      </c>
      <c r="F34" s="101">
        <v>11</v>
      </c>
      <c r="G34" s="101">
        <v>0</v>
      </c>
      <c r="H34" s="101">
        <v>538</v>
      </c>
      <c r="I34" s="101">
        <v>203</v>
      </c>
      <c r="J34" s="101">
        <v>7805</v>
      </c>
      <c r="K34" s="101">
        <v>3352</v>
      </c>
      <c r="L34" s="101">
        <v>516</v>
      </c>
      <c r="M34" s="101">
        <v>265</v>
      </c>
      <c r="N34" s="101">
        <v>1247</v>
      </c>
      <c r="O34" s="101">
        <v>100</v>
      </c>
      <c r="P34" s="101">
        <v>7430742065.6468811</v>
      </c>
      <c r="Q34" s="101">
        <v>1133288060.739728</v>
      </c>
      <c r="R34" s="101">
        <v>950714126.76676643</v>
      </c>
      <c r="S34" s="101">
        <f t="shared" si="1"/>
        <v>14884811.659092762</v>
      </c>
      <c r="T34" s="101">
        <f t="shared" si="2"/>
        <v>3246811.6590927616</v>
      </c>
      <c r="U34" s="101">
        <f t="shared" si="3"/>
        <v>3246811.6590927616</v>
      </c>
      <c r="V34" s="101">
        <v>142886</v>
      </c>
      <c r="W34" s="149">
        <f t="shared" si="4"/>
        <v>2.2723091549156402E-2</v>
      </c>
    </row>
    <row r="35" spans="1:23" x14ac:dyDescent="0.25">
      <c r="A35" t="s">
        <v>513</v>
      </c>
      <c r="B35" t="s">
        <v>346</v>
      </c>
      <c r="C35" s="101">
        <f t="shared" si="0"/>
        <v>8875</v>
      </c>
      <c r="D35" s="101">
        <v>5381</v>
      </c>
      <c r="E35" s="101">
        <v>3494</v>
      </c>
      <c r="F35" s="101">
        <v>0</v>
      </c>
      <c r="G35" s="101">
        <v>0</v>
      </c>
      <c r="H35" s="101">
        <v>172</v>
      </c>
      <c r="I35" s="101">
        <v>38</v>
      </c>
      <c r="J35" s="101">
        <v>2885</v>
      </c>
      <c r="K35" s="101">
        <v>3741</v>
      </c>
      <c r="L35" s="101">
        <v>571</v>
      </c>
      <c r="M35" s="101">
        <v>42</v>
      </c>
      <c r="N35" s="101">
        <v>1135</v>
      </c>
      <c r="O35" s="101">
        <v>242</v>
      </c>
      <c r="P35" s="101">
        <v>6271224273.2165461</v>
      </c>
      <c r="Q35" s="101">
        <v>652561175.76890492</v>
      </c>
      <c r="R35" s="101">
        <v>572269557.74718225</v>
      </c>
      <c r="S35" s="101">
        <f t="shared" si="1"/>
        <v>11828142.604993902</v>
      </c>
      <c r="T35" s="101">
        <f t="shared" si="2"/>
        <v>2953142.6049939021</v>
      </c>
      <c r="U35" s="101">
        <f t="shared" si="3"/>
        <v>2953142.6049939021</v>
      </c>
      <c r="V35" s="101">
        <v>97356</v>
      </c>
      <c r="W35" s="149">
        <f t="shared" si="4"/>
        <v>3.0333442263382863E-2</v>
      </c>
    </row>
    <row r="36" spans="1:23" x14ac:dyDescent="0.25">
      <c r="A36" t="s">
        <v>513</v>
      </c>
      <c r="B36" t="s">
        <v>347</v>
      </c>
      <c r="C36" s="101">
        <f t="shared" si="0"/>
        <v>8313</v>
      </c>
      <c r="D36" s="101">
        <v>5061</v>
      </c>
      <c r="E36" s="101">
        <v>3252</v>
      </c>
      <c r="F36" s="101">
        <v>0</v>
      </c>
      <c r="G36" s="101">
        <v>84</v>
      </c>
      <c r="H36" s="101">
        <v>252</v>
      </c>
      <c r="I36" s="101">
        <v>63</v>
      </c>
      <c r="J36" s="101">
        <v>2927</v>
      </c>
      <c r="K36" s="101">
        <v>5381</v>
      </c>
      <c r="L36" s="101">
        <v>616</v>
      </c>
      <c r="M36" s="101">
        <v>4</v>
      </c>
      <c r="N36" s="101">
        <v>1168</v>
      </c>
      <c r="O36" s="101">
        <v>678</v>
      </c>
      <c r="P36" s="101">
        <v>6045384919.5962105</v>
      </c>
      <c r="Q36" s="101">
        <v>819281350.76942432</v>
      </c>
      <c r="R36" s="101">
        <v>792159607.11497128</v>
      </c>
      <c r="S36" s="101">
        <f t="shared" si="1"/>
        <v>12169378.093452714</v>
      </c>
      <c r="T36" s="101">
        <f t="shared" si="2"/>
        <v>3856378.0934527144</v>
      </c>
      <c r="U36" s="101">
        <f t="shared" si="3"/>
        <v>3856378.0934527144</v>
      </c>
      <c r="V36" s="101">
        <v>104630</v>
      </c>
      <c r="W36" s="149">
        <f t="shared" si="4"/>
        <v>3.6857288477995929E-2</v>
      </c>
    </row>
    <row r="37" spans="1:23" x14ac:dyDescent="0.25">
      <c r="A37" t="s">
        <v>515</v>
      </c>
      <c r="B37" t="s">
        <v>168</v>
      </c>
      <c r="C37" s="101">
        <f t="shared" si="0"/>
        <v>9467</v>
      </c>
      <c r="D37" s="101">
        <v>5702</v>
      </c>
      <c r="E37" s="101">
        <v>3765</v>
      </c>
      <c r="F37" s="101">
        <v>0</v>
      </c>
      <c r="G37" s="101">
        <v>0</v>
      </c>
      <c r="H37" s="101">
        <v>280</v>
      </c>
      <c r="I37" s="101">
        <v>369</v>
      </c>
      <c r="J37" s="101">
        <v>2811</v>
      </c>
      <c r="K37" s="101">
        <v>2828</v>
      </c>
      <c r="L37" s="101">
        <v>368</v>
      </c>
      <c r="M37" s="101">
        <v>54</v>
      </c>
      <c r="N37" s="101">
        <v>784</v>
      </c>
      <c r="O37" s="101">
        <v>43</v>
      </c>
      <c r="P37" s="101">
        <v>4710214296.5722809</v>
      </c>
      <c r="Q37" s="101">
        <v>406060794.32641882</v>
      </c>
      <c r="R37" s="101">
        <v>387138565.87543964</v>
      </c>
      <c r="S37" s="101">
        <f t="shared" si="1"/>
        <v>8747763.8281754404</v>
      </c>
      <c r="T37" s="101">
        <f t="shared" si="2"/>
        <v>-719236.17182455957</v>
      </c>
      <c r="U37" s="101">
        <f t="shared" si="3"/>
        <v>0</v>
      </c>
      <c r="V37" s="101">
        <v>86813</v>
      </c>
      <c r="W37" s="149">
        <f t="shared" si="4"/>
        <v>-8.284890187236469E-3</v>
      </c>
    </row>
    <row r="38" spans="1:23" x14ac:dyDescent="0.25">
      <c r="A38" t="s">
        <v>514</v>
      </c>
      <c r="B38" t="s">
        <v>241</v>
      </c>
      <c r="C38" s="101">
        <f t="shared" si="0"/>
        <v>10812</v>
      </c>
      <c r="D38" s="101">
        <v>5523</v>
      </c>
      <c r="E38" s="101">
        <v>5289</v>
      </c>
      <c r="F38" s="101">
        <v>2069</v>
      </c>
      <c r="G38" s="101">
        <v>94</v>
      </c>
      <c r="H38" s="101">
        <v>172</v>
      </c>
      <c r="I38" s="101">
        <v>198</v>
      </c>
      <c r="J38" s="101">
        <v>4364</v>
      </c>
      <c r="K38" s="101">
        <v>6385</v>
      </c>
      <c r="L38" s="101">
        <v>847</v>
      </c>
      <c r="M38" s="101">
        <v>598</v>
      </c>
      <c r="N38" s="101">
        <v>785</v>
      </c>
      <c r="O38" s="101">
        <v>657</v>
      </c>
      <c r="P38" s="101">
        <v>7108711876.2252913</v>
      </c>
      <c r="Q38" s="101">
        <v>1182383572.396323</v>
      </c>
      <c r="R38" s="101">
        <v>1168575459.7429056</v>
      </c>
      <c r="S38" s="101">
        <f t="shared" si="1"/>
        <v>15066151.159159208</v>
      </c>
      <c r="T38" s="101">
        <f t="shared" si="2"/>
        <v>4254151.1591592077</v>
      </c>
      <c r="U38" s="101">
        <f t="shared" si="3"/>
        <v>4254151.1591592077</v>
      </c>
      <c r="V38" s="101">
        <v>158530</v>
      </c>
      <c r="W38" s="149">
        <f t="shared" si="4"/>
        <v>2.68349912266398E-2</v>
      </c>
    </row>
    <row r="39" spans="1:23" x14ac:dyDescent="0.25">
      <c r="A39" t="s">
        <v>513</v>
      </c>
      <c r="B39" t="s">
        <v>348</v>
      </c>
      <c r="C39" s="101">
        <f t="shared" si="0"/>
        <v>5554</v>
      </c>
      <c r="D39" s="101">
        <v>3000</v>
      </c>
      <c r="E39" s="101">
        <v>2554</v>
      </c>
      <c r="F39" s="101">
        <v>4</v>
      </c>
      <c r="G39" s="101">
        <v>0</v>
      </c>
      <c r="H39" s="101">
        <v>1559</v>
      </c>
      <c r="I39" s="101">
        <v>96</v>
      </c>
      <c r="J39" s="101">
        <v>2229</v>
      </c>
      <c r="K39" s="101">
        <v>1508</v>
      </c>
      <c r="L39" s="101">
        <v>282</v>
      </c>
      <c r="M39" s="101">
        <v>0</v>
      </c>
      <c r="N39" s="101">
        <v>812</v>
      </c>
      <c r="O39" s="101">
        <v>92</v>
      </c>
      <c r="P39" s="101">
        <v>4170709174.034812</v>
      </c>
      <c r="Q39" s="101">
        <v>817235704.45039964</v>
      </c>
      <c r="R39" s="101">
        <v>817235704.45039964</v>
      </c>
      <c r="S39" s="101">
        <f t="shared" si="1"/>
        <v>9259263.029782299</v>
      </c>
      <c r="T39" s="101">
        <f t="shared" si="2"/>
        <v>3705263.029782299</v>
      </c>
      <c r="U39" s="101">
        <f t="shared" si="3"/>
        <v>3705263.029782299</v>
      </c>
      <c r="V39" s="101">
        <v>69366</v>
      </c>
      <c r="W39" s="149">
        <f t="shared" si="4"/>
        <v>5.3416126485342948E-2</v>
      </c>
    </row>
    <row r="40" spans="1:23" x14ac:dyDescent="0.25">
      <c r="A40" t="s">
        <v>514</v>
      </c>
      <c r="B40" t="s">
        <v>242</v>
      </c>
      <c r="C40" s="101">
        <f t="shared" si="0"/>
        <v>5597</v>
      </c>
      <c r="D40" s="101">
        <v>4418</v>
      </c>
      <c r="E40" s="101">
        <v>1179</v>
      </c>
      <c r="F40" s="101">
        <v>0</v>
      </c>
      <c r="G40" s="101">
        <v>0</v>
      </c>
      <c r="H40" s="101">
        <v>10</v>
      </c>
      <c r="I40" s="101">
        <v>2</v>
      </c>
      <c r="J40" s="101">
        <v>1409</v>
      </c>
      <c r="K40" s="101">
        <v>1845</v>
      </c>
      <c r="L40" s="101">
        <v>312</v>
      </c>
      <c r="M40" s="101">
        <v>150</v>
      </c>
      <c r="N40" s="101">
        <v>809</v>
      </c>
      <c r="O40" s="101">
        <v>56</v>
      </c>
      <c r="P40" s="101">
        <v>4999832356.5391006</v>
      </c>
      <c r="Q40" s="101">
        <v>190245107.66930455</v>
      </c>
      <c r="R40" s="101">
        <v>181551110.81344923</v>
      </c>
      <c r="S40" s="101">
        <f t="shared" si="1"/>
        <v>8553880.6521747671</v>
      </c>
      <c r="T40" s="101">
        <f t="shared" si="2"/>
        <v>2956880.6521747671</v>
      </c>
      <c r="U40" s="101">
        <f t="shared" si="3"/>
        <v>2956880.6521747671</v>
      </c>
      <c r="V40" s="101">
        <v>41388</v>
      </c>
      <c r="W40" s="149">
        <f t="shared" si="4"/>
        <v>7.1442946075547673E-2</v>
      </c>
    </row>
    <row r="41" spans="1:23" x14ac:dyDescent="0.25">
      <c r="A41" t="s">
        <v>514</v>
      </c>
      <c r="B41" t="s">
        <v>243</v>
      </c>
      <c r="C41" s="101">
        <f t="shared" si="0"/>
        <v>12883</v>
      </c>
      <c r="D41" s="101">
        <v>10723</v>
      </c>
      <c r="E41" s="101">
        <v>2160</v>
      </c>
      <c r="F41" s="101">
        <v>2612</v>
      </c>
      <c r="G41" s="101">
        <v>60</v>
      </c>
      <c r="H41" s="101">
        <v>2195</v>
      </c>
      <c r="I41" s="101">
        <v>2</v>
      </c>
      <c r="J41" s="101">
        <v>3621</v>
      </c>
      <c r="K41" s="101">
        <v>4982</v>
      </c>
      <c r="L41" s="101">
        <v>528</v>
      </c>
      <c r="M41" s="101">
        <v>338</v>
      </c>
      <c r="N41" s="101">
        <v>663</v>
      </c>
      <c r="O41" s="101">
        <v>72</v>
      </c>
      <c r="P41" s="101">
        <v>9964115925.9342594</v>
      </c>
      <c r="Q41" s="101">
        <v>293550246.78005594</v>
      </c>
      <c r="R41" s="101">
        <v>274082691.14717263</v>
      </c>
      <c r="S41" s="101">
        <f t="shared" si="1"/>
        <v>16767088.686624626</v>
      </c>
      <c r="T41" s="101">
        <f t="shared" si="2"/>
        <v>3884088.6866246257</v>
      </c>
      <c r="U41" s="101">
        <f t="shared" si="3"/>
        <v>3884088.6866246257</v>
      </c>
      <c r="V41" s="101">
        <v>77060</v>
      </c>
      <c r="W41" s="149">
        <f t="shared" si="4"/>
        <v>5.04034348121545E-2</v>
      </c>
    </row>
    <row r="42" spans="1:23" x14ac:dyDescent="0.25">
      <c r="A42" t="s">
        <v>517</v>
      </c>
      <c r="B42" t="s">
        <v>285</v>
      </c>
      <c r="C42" s="101">
        <f t="shared" si="0"/>
        <v>14368</v>
      </c>
      <c r="D42" s="101">
        <v>8899</v>
      </c>
      <c r="E42" s="101">
        <v>5469</v>
      </c>
      <c r="F42" s="101">
        <v>13</v>
      </c>
      <c r="G42" s="101">
        <v>12</v>
      </c>
      <c r="H42" s="101">
        <v>1016</v>
      </c>
      <c r="I42" s="101">
        <v>390</v>
      </c>
      <c r="J42" s="101">
        <v>5786</v>
      </c>
      <c r="K42" s="101">
        <v>5933</v>
      </c>
      <c r="L42" s="101">
        <v>687</v>
      </c>
      <c r="M42" s="101">
        <v>427</v>
      </c>
      <c r="N42" s="101">
        <v>2216</v>
      </c>
      <c r="O42" s="101">
        <v>165</v>
      </c>
      <c r="P42" s="101">
        <v>7311549073.4583712</v>
      </c>
      <c r="Q42" s="101">
        <v>818258527.60991204</v>
      </c>
      <c r="R42" s="101">
        <v>778879835.96868503</v>
      </c>
      <c r="S42" s="101">
        <f t="shared" si="1"/>
        <v>14146547.448906207</v>
      </c>
      <c r="T42" s="101">
        <f t="shared" si="2"/>
        <v>-221452.55109379254</v>
      </c>
      <c r="U42" s="101">
        <f t="shared" si="3"/>
        <v>0</v>
      </c>
      <c r="V42" s="101">
        <v>119637</v>
      </c>
      <c r="W42" s="149">
        <f t="shared" si="4"/>
        <v>-1.8510373136554122E-3</v>
      </c>
    </row>
    <row r="43" spans="1:23" x14ac:dyDescent="0.25">
      <c r="A43" t="s">
        <v>513</v>
      </c>
      <c r="B43" t="s">
        <v>349</v>
      </c>
      <c r="C43" s="101">
        <f t="shared" si="0"/>
        <v>3387</v>
      </c>
      <c r="D43" s="101">
        <v>2212</v>
      </c>
      <c r="E43" s="101">
        <v>1175</v>
      </c>
      <c r="F43" s="101">
        <v>0</v>
      </c>
      <c r="G43" s="101">
        <v>0</v>
      </c>
      <c r="H43" s="101">
        <v>40</v>
      </c>
      <c r="I43" s="101">
        <v>0</v>
      </c>
      <c r="J43" s="101">
        <v>1369</v>
      </c>
      <c r="K43" s="101">
        <v>1542</v>
      </c>
      <c r="L43" s="101">
        <v>229</v>
      </c>
      <c r="M43" s="101">
        <v>98</v>
      </c>
      <c r="N43" s="101">
        <v>185</v>
      </c>
      <c r="O43" s="101">
        <v>93</v>
      </c>
      <c r="P43" s="101">
        <v>1952046635.2276244</v>
      </c>
      <c r="Q43" s="101">
        <v>304801301.53469223</v>
      </c>
      <c r="R43" s="101">
        <v>261258258.45830762</v>
      </c>
      <c r="S43" s="101">
        <f t="shared" si="1"/>
        <v>3946928.2276700628</v>
      </c>
      <c r="T43" s="101">
        <f t="shared" si="2"/>
        <v>559928.2276700628</v>
      </c>
      <c r="U43" s="101">
        <f t="shared" si="3"/>
        <v>559928.2276700628</v>
      </c>
      <c r="V43" s="101">
        <v>50657</v>
      </c>
      <c r="W43" s="149">
        <f t="shared" si="4"/>
        <v>1.1053323877648949E-2</v>
      </c>
    </row>
    <row r="44" spans="1:23" x14ac:dyDescent="0.25">
      <c r="A44" t="s">
        <v>512</v>
      </c>
      <c r="B44" t="s">
        <v>106</v>
      </c>
      <c r="C44" s="101">
        <f t="shared" si="0"/>
        <v>7253</v>
      </c>
      <c r="D44" s="101">
        <v>5457</v>
      </c>
      <c r="E44" s="101">
        <v>1796</v>
      </c>
      <c r="F44" s="101">
        <v>0</v>
      </c>
      <c r="G44" s="101">
        <v>0</v>
      </c>
      <c r="H44" s="101">
        <v>1948</v>
      </c>
      <c r="I44" s="101">
        <v>162</v>
      </c>
      <c r="J44" s="101">
        <v>3213</v>
      </c>
      <c r="K44" s="101">
        <v>2847</v>
      </c>
      <c r="L44" s="101">
        <v>445</v>
      </c>
      <c r="M44" s="101">
        <v>201</v>
      </c>
      <c r="N44" s="101">
        <v>449</v>
      </c>
      <c r="O44" s="101">
        <v>29</v>
      </c>
      <c r="P44" s="101">
        <v>3739941518.0552826</v>
      </c>
      <c r="Q44" s="101">
        <v>635173182.05719423</v>
      </c>
      <c r="R44" s="101">
        <v>553858740.87595928</v>
      </c>
      <c r="S44" s="101">
        <f t="shared" si="1"/>
        <v>7732016.1046924861</v>
      </c>
      <c r="T44" s="101">
        <f t="shared" si="2"/>
        <v>479016.10469248611</v>
      </c>
      <c r="U44" s="101">
        <f t="shared" si="3"/>
        <v>479016.10469248611</v>
      </c>
      <c r="V44" s="101">
        <v>91564</v>
      </c>
      <c r="W44" s="149">
        <f t="shared" si="4"/>
        <v>5.2314895012503396E-3</v>
      </c>
    </row>
    <row r="45" spans="1:23" x14ac:dyDescent="0.25">
      <c r="A45" t="s">
        <v>518</v>
      </c>
      <c r="B45" t="s">
        <v>140</v>
      </c>
      <c r="C45" s="101">
        <f t="shared" si="0"/>
        <v>8861</v>
      </c>
      <c r="D45" s="101">
        <v>5803</v>
      </c>
      <c r="E45" s="101">
        <v>3058</v>
      </c>
      <c r="F45" s="101">
        <v>10</v>
      </c>
      <c r="G45" s="101">
        <v>0</v>
      </c>
      <c r="H45" s="101">
        <v>0</v>
      </c>
      <c r="I45" s="101">
        <v>224</v>
      </c>
      <c r="J45" s="101">
        <v>2082</v>
      </c>
      <c r="K45" s="101">
        <v>2528</v>
      </c>
      <c r="L45" s="101">
        <v>359</v>
      </c>
      <c r="M45" s="101">
        <v>127</v>
      </c>
      <c r="N45" s="101">
        <v>453</v>
      </c>
      <c r="O45" s="101">
        <v>134</v>
      </c>
      <c r="P45" s="101">
        <v>4286765508.5341516</v>
      </c>
      <c r="Q45" s="101">
        <v>393786916.41227007</v>
      </c>
      <c r="R45" s="101">
        <v>367671009.08193749</v>
      </c>
      <c r="S45" s="101">
        <f t="shared" si="1"/>
        <v>8010261.5050833533</v>
      </c>
      <c r="T45" s="101">
        <f t="shared" si="2"/>
        <v>-850738.49491664674</v>
      </c>
      <c r="U45" s="101">
        <f t="shared" si="3"/>
        <v>0</v>
      </c>
      <c r="V45" s="101">
        <v>78086</v>
      </c>
      <c r="W45" s="149">
        <f t="shared" si="4"/>
        <v>-1.0894891464752282E-2</v>
      </c>
    </row>
    <row r="46" spans="1:23" x14ac:dyDescent="0.25">
      <c r="A46" t="s">
        <v>524</v>
      </c>
      <c r="B46" t="s">
        <v>328</v>
      </c>
      <c r="C46" s="101">
        <f t="shared" si="0"/>
        <v>10071</v>
      </c>
      <c r="D46" s="101">
        <v>3356</v>
      </c>
      <c r="E46" s="101">
        <v>6715</v>
      </c>
      <c r="F46" s="101">
        <v>0</v>
      </c>
      <c r="G46" s="101">
        <v>0</v>
      </c>
      <c r="H46" s="101">
        <v>0</v>
      </c>
      <c r="I46" s="101">
        <v>56</v>
      </c>
      <c r="J46" s="101">
        <v>2015</v>
      </c>
      <c r="K46" s="101">
        <v>3591</v>
      </c>
      <c r="L46" s="101">
        <v>661</v>
      </c>
      <c r="M46" s="101">
        <v>332</v>
      </c>
      <c r="N46" s="101">
        <v>515</v>
      </c>
      <c r="O46" s="101">
        <v>65</v>
      </c>
      <c r="P46" s="101">
        <v>3330084913.3368955</v>
      </c>
      <c r="Q46" s="101">
        <v>1155790170.2490008</v>
      </c>
      <c r="R46" s="101">
        <v>1155790170.2490008</v>
      </c>
      <c r="S46" s="101">
        <f t="shared" si="1"/>
        <v>8998456.0798666608</v>
      </c>
      <c r="T46" s="101">
        <f t="shared" si="2"/>
        <v>-1072543.9201333392</v>
      </c>
      <c r="U46" s="101">
        <f t="shared" si="3"/>
        <v>0</v>
      </c>
      <c r="V46" s="101">
        <v>76675</v>
      </c>
      <c r="W46" s="149">
        <f t="shared" si="4"/>
        <v>-1.3988182851429269E-2</v>
      </c>
    </row>
    <row r="47" spans="1:23" x14ac:dyDescent="0.25">
      <c r="A47" t="s">
        <v>513</v>
      </c>
      <c r="B47" t="s">
        <v>351</v>
      </c>
      <c r="C47" s="102">
        <v>8310.2524856462678</v>
      </c>
      <c r="D47" s="102">
        <v>6264</v>
      </c>
      <c r="E47" s="102">
        <v>3867</v>
      </c>
      <c r="F47" s="102">
        <v>190</v>
      </c>
      <c r="G47" s="102">
        <v>21</v>
      </c>
      <c r="H47" s="102">
        <v>73</v>
      </c>
      <c r="I47" s="102">
        <v>49</v>
      </c>
      <c r="J47" s="102">
        <v>3639</v>
      </c>
      <c r="K47" s="102">
        <v>3678</v>
      </c>
      <c r="L47" s="102">
        <v>677</v>
      </c>
      <c r="M47" s="102">
        <v>205</v>
      </c>
      <c r="N47" s="102">
        <v>1076</v>
      </c>
      <c r="O47" s="102">
        <v>198</v>
      </c>
      <c r="P47" s="101">
        <v>5854048800.5567598</v>
      </c>
      <c r="Q47" s="101">
        <v>703702333.74452436</v>
      </c>
      <c r="R47" s="101">
        <v>671459972.27113891</v>
      </c>
      <c r="S47" s="101">
        <f t="shared" si="1"/>
        <v>11479165.148432966</v>
      </c>
      <c r="T47">
        <v>1962853.4658123506</v>
      </c>
      <c r="U47">
        <v>1962853.4658123506</v>
      </c>
      <c r="V47" s="101">
        <v>120282</v>
      </c>
      <c r="W47" s="149">
        <v>2.0019349534624996E-2</v>
      </c>
    </row>
    <row r="48" spans="1:23" x14ac:dyDescent="0.25">
      <c r="A48" t="s">
        <v>513</v>
      </c>
      <c r="B48" t="s">
        <v>352</v>
      </c>
      <c r="C48" s="101">
        <f t="shared" si="0"/>
        <v>42353</v>
      </c>
      <c r="D48" s="101">
        <v>20657</v>
      </c>
      <c r="E48" s="101">
        <v>21696</v>
      </c>
      <c r="F48" s="101">
        <v>25997</v>
      </c>
      <c r="G48" s="101">
        <v>982</v>
      </c>
      <c r="H48" s="101">
        <v>1665</v>
      </c>
      <c r="I48" s="101">
        <v>961</v>
      </c>
      <c r="J48" s="101">
        <v>19014</v>
      </c>
      <c r="K48" s="101">
        <v>29862</v>
      </c>
      <c r="L48" s="101">
        <v>6540</v>
      </c>
      <c r="M48" s="101">
        <v>0</v>
      </c>
      <c r="N48" s="101">
        <v>6584</v>
      </c>
      <c r="O48" s="101">
        <v>1436</v>
      </c>
      <c r="P48" s="101">
        <v>36164617603.582382</v>
      </c>
      <c r="Q48" s="101">
        <v>5515062476.090807</v>
      </c>
      <c r="R48" s="101">
        <v>5394369343.2683458</v>
      </c>
      <c r="S48" s="101">
        <f t="shared" si="1"/>
        <v>74890603.282739937</v>
      </c>
      <c r="T48" s="101">
        <f t="shared" si="2"/>
        <v>32537603.282739937</v>
      </c>
      <c r="U48" s="101">
        <f t="shared" si="3"/>
        <v>32537603.282739937</v>
      </c>
      <c r="V48" s="101">
        <v>893295</v>
      </c>
      <c r="W48" s="149">
        <f t="shared" si="4"/>
        <v>3.6424253222888225E-2</v>
      </c>
    </row>
    <row r="49" spans="1:23" x14ac:dyDescent="0.25">
      <c r="A49" t="s">
        <v>515</v>
      </c>
      <c r="B49" t="s">
        <v>169</v>
      </c>
      <c r="C49" s="101">
        <f t="shared" si="0"/>
        <v>9769</v>
      </c>
      <c r="D49" s="101">
        <v>6785</v>
      </c>
      <c r="E49" s="101">
        <v>2984</v>
      </c>
      <c r="F49" s="101">
        <v>0</v>
      </c>
      <c r="G49" s="101">
        <v>0</v>
      </c>
      <c r="H49" s="101">
        <v>342</v>
      </c>
      <c r="I49" s="101">
        <v>212</v>
      </c>
      <c r="J49" s="101">
        <v>4461</v>
      </c>
      <c r="K49" s="101">
        <v>4061</v>
      </c>
      <c r="L49" s="101">
        <v>666</v>
      </c>
      <c r="M49" s="101">
        <v>147</v>
      </c>
      <c r="N49" s="101">
        <v>1714</v>
      </c>
      <c r="O49" s="101">
        <v>84</v>
      </c>
      <c r="P49" s="101">
        <v>7385783305.4354258</v>
      </c>
      <c r="Q49" s="101">
        <v>862239923.46894467</v>
      </c>
      <c r="R49" s="101">
        <v>718021857.97769773</v>
      </c>
      <c r="S49" s="101">
        <f t="shared" si="1"/>
        <v>14070814.099118361</v>
      </c>
      <c r="T49" s="101">
        <f t="shared" si="2"/>
        <v>4301814.0991183612</v>
      </c>
      <c r="U49" s="101">
        <f t="shared" si="3"/>
        <v>4301814.0991183612</v>
      </c>
      <c r="V49" s="101">
        <v>107013</v>
      </c>
      <c r="W49" s="149">
        <f t="shared" si="4"/>
        <v>4.0198986096253365E-2</v>
      </c>
    </row>
    <row r="50" spans="1:23" x14ac:dyDescent="0.25">
      <c r="A50" t="s">
        <v>515</v>
      </c>
      <c r="B50" t="s">
        <v>170</v>
      </c>
      <c r="C50" s="101">
        <f t="shared" si="0"/>
        <v>7199</v>
      </c>
      <c r="D50" s="101">
        <v>5003</v>
      </c>
      <c r="E50" s="101">
        <v>2196</v>
      </c>
      <c r="F50" s="101">
        <v>0</v>
      </c>
      <c r="G50" s="101">
        <v>0</v>
      </c>
      <c r="H50" s="101">
        <v>1330</v>
      </c>
      <c r="I50" s="101">
        <v>44</v>
      </c>
      <c r="J50" s="101">
        <v>3643</v>
      </c>
      <c r="K50" s="101">
        <v>1920</v>
      </c>
      <c r="L50" s="101">
        <v>401</v>
      </c>
      <c r="M50" s="101">
        <v>124</v>
      </c>
      <c r="N50" s="101">
        <v>771</v>
      </c>
      <c r="O50" s="101">
        <v>115</v>
      </c>
      <c r="P50" s="101">
        <v>3939642057.5991907</v>
      </c>
      <c r="Q50" s="101">
        <v>384581507.9766587</v>
      </c>
      <c r="R50" s="101">
        <v>353855954.74283773</v>
      </c>
      <c r="S50" s="101">
        <f t="shared" si="1"/>
        <v>7412529.5775003619</v>
      </c>
      <c r="T50" s="101">
        <f t="shared" si="2"/>
        <v>213529.57750036195</v>
      </c>
      <c r="U50" s="101">
        <f t="shared" si="3"/>
        <v>213529.57750036195</v>
      </c>
      <c r="V50" s="101">
        <v>69534</v>
      </c>
      <c r="W50" s="149">
        <f t="shared" si="4"/>
        <v>3.0708657275629468E-3</v>
      </c>
    </row>
    <row r="51" spans="1:23" x14ac:dyDescent="0.25">
      <c r="A51" t="s">
        <v>522</v>
      </c>
      <c r="B51" t="s">
        <v>400</v>
      </c>
      <c r="C51" s="101">
        <f t="shared" si="0"/>
        <v>6819</v>
      </c>
      <c r="D51" s="101">
        <v>4935</v>
      </c>
      <c r="E51" s="101">
        <v>1884</v>
      </c>
      <c r="F51" s="101">
        <v>0</v>
      </c>
      <c r="G51" s="101">
        <v>24</v>
      </c>
      <c r="H51" s="101">
        <v>212</v>
      </c>
      <c r="I51" s="101">
        <v>199</v>
      </c>
      <c r="J51" s="101">
        <v>4369</v>
      </c>
      <c r="K51" s="101">
        <v>4407</v>
      </c>
      <c r="L51" s="101">
        <v>490</v>
      </c>
      <c r="M51" s="101">
        <v>65</v>
      </c>
      <c r="N51" s="101">
        <v>274</v>
      </c>
      <c r="O51" s="101">
        <v>103</v>
      </c>
      <c r="P51" s="101">
        <v>3391772514.5572653</v>
      </c>
      <c r="Q51" s="101">
        <v>380490215.33860904</v>
      </c>
      <c r="R51" s="101">
        <v>373320816.93384391</v>
      </c>
      <c r="S51" s="101">
        <f t="shared" si="1"/>
        <v>6600770.5667378008</v>
      </c>
      <c r="T51" s="101">
        <f t="shared" si="2"/>
        <v>-218229.43326219916</v>
      </c>
      <c r="U51" s="101">
        <f t="shared" si="3"/>
        <v>0</v>
      </c>
      <c r="V51" s="101">
        <v>122723</v>
      </c>
      <c r="W51" s="149">
        <f t="shared" si="4"/>
        <v>-1.7782276611735303E-3</v>
      </c>
    </row>
    <row r="52" spans="1:23" x14ac:dyDescent="0.25">
      <c r="A52" t="s">
        <v>520</v>
      </c>
      <c r="B52" t="s">
        <v>214</v>
      </c>
      <c r="C52" s="101">
        <f t="shared" si="0"/>
        <v>7061</v>
      </c>
      <c r="D52" s="101">
        <v>4652</v>
      </c>
      <c r="E52" s="101">
        <v>2409</v>
      </c>
      <c r="F52" s="101">
        <v>6</v>
      </c>
      <c r="G52" s="101">
        <v>0</v>
      </c>
      <c r="H52" s="101">
        <v>283</v>
      </c>
      <c r="I52" s="101">
        <v>0</v>
      </c>
      <c r="J52" s="101">
        <v>2138</v>
      </c>
      <c r="K52" s="101">
        <v>2685</v>
      </c>
      <c r="L52" s="101">
        <v>329</v>
      </c>
      <c r="M52" s="101">
        <v>31</v>
      </c>
      <c r="N52" s="101">
        <v>2108</v>
      </c>
      <c r="O52" s="101">
        <v>131</v>
      </c>
      <c r="P52" s="101">
        <v>3676162811.7087989</v>
      </c>
      <c r="Q52" s="101">
        <v>359010928.98884892</v>
      </c>
      <c r="R52" s="101">
        <v>342110271.84672052</v>
      </c>
      <c r="S52" s="101">
        <f t="shared" si="1"/>
        <v>6954811.4518665727</v>
      </c>
      <c r="T52" s="101">
        <f t="shared" si="2"/>
        <v>-106188.54813342728</v>
      </c>
      <c r="U52" s="101">
        <f t="shared" si="3"/>
        <v>0</v>
      </c>
      <c r="V52" s="101">
        <v>60016</v>
      </c>
      <c r="W52" s="149">
        <f t="shared" si="4"/>
        <v>-1.7693373122738482E-3</v>
      </c>
    </row>
    <row r="53" spans="1:23" x14ac:dyDescent="0.25">
      <c r="A53" t="s">
        <v>520</v>
      </c>
      <c r="B53" t="s">
        <v>215</v>
      </c>
      <c r="C53" s="101">
        <f t="shared" si="0"/>
        <v>5766</v>
      </c>
      <c r="D53" s="101">
        <v>3368</v>
      </c>
      <c r="E53" s="101">
        <v>2398</v>
      </c>
      <c r="F53" s="101">
        <v>66</v>
      </c>
      <c r="G53" s="101">
        <v>79</v>
      </c>
      <c r="H53" s="101">
        <v>0</v>
      </c>
      <c r="I53" s="101">
        <v>29</v>
      </c>
      <c r="J53" s="101">
        <v>1938</v>
      </c>
      <c r="K53" s="101">
        <v>2895</v>
      </c>
      <c r="L53" s="101">
        <v>357</v>
      </c>
      <c r="M53" s="101">
        <v>473</v>
      </c>
      <c r="N53" s="101">
        <v>655</v>
      </c>
      <c r="O53" s="101">
        <v>323</v>
      </c>
      <c r="P53" s="101">
        <v>4051516181.8463016</v>
      </c>
      <c r="Q53" s="101">
        <v>648469883.13085532</v>
      </c>
      <c r="R53" s="101">
        <v>612131002.54499054</v>
      </c>
      <c r="S53" s="101">
        <f t="shared" si="1"/>
        <v>8414866.2081633713</v>
      </c>
      <c r="T53" s="101">
        <f t="shared" si="2"/>
        <v>2648866.2081633713</v>
      </c>
      <c r="U53" s="101">
        <f t="shared" si="3"/>
        <v>2648866.2081633713</v>
      </c>
      <c r="V53" s="101">
        <v>67617</v>
      </c>
      <c r="W53" s="149">
        <f t="shared" si="4"/>
        <v>3.917455977288805E-2</v>
      </c>
    </row>
    <row r="54" spans="1:23" x14ac:dyDescent="0.25">
      <c r="A54" t="s">
        <v>515</v>
      </c>
      <c r="B54" t="s">
        <v>171</v>
      </c>
      <c r="C54" s="101">
        <f t="shared" si="0"/>
        <v>8948</v>
      </c>
      <c r="D54" s="101">
        <v>6435</v>
      </c>
      <c r="E54" s="101">
        <v>2513</v>
      </c>
      <c r="F54" s="101">
        <v>1</v>
      </c>
      <c r="G54" s="101">
        <v>0</v>
      </c>
      <c r="H54" s="101">
        <v>410</v>
      </c>
      <c r="I54" s="101">
        <v>104</v>
      </c>
      <c r="J54" s="101">
        <v>3206</v>
      </c>
      <c r="K54" s="101">
        <v>0</v>
      </c>
      <c r="L54" s="101">
        <v>566</v>
      </c>
      <c r="M54" s="101">
        <v>151</v>
      </c>
      <c r="N54" s="101">
        <v>1273</v>
      </c>
      <c r="O54" s="101">
        <v>430</v>
      </c>
      <c r="P54" s="101">
        <v>5108569823.0970402</v>
      </c>
      <c r="Q54" s="101">
        <v>587100493.56011188</v>
      </c>
      <c r="R54" s="101">
        <v>521639811.3513189</v>
      </c>
      <c r="S54" s="101">
        <f t="shared" si="1"/>
        <v>9812199.8660504874</v>
      </c>
      <c r="T54" s="101">
        <f t="shared" si="2"/>
        <v>864199.86605048738</v>
      </c>
      <c r="U54" s="101">
        <f t="shared" si="3"/>
        <v>864199.86605048738</v>
      </c>
      <c r="V54" s="101">
        <v>84826</v>
      </c>
      <c r="W54" s="149">
        <f t="shared" si="4"/>
        <v>1.0187912503837118E-2</v>
      </c>
    </row>
    <row r="55" spans="1:23" x14ac:dyDescent="0.25">
      <c r="A55" t="s">
        <v>517</v>
      </c>
      <c r="B55" t="s">
        <v>287</v>
      </c>
      <c r="C55" s="101">
        <f t="shared" si="0"/>
        <v>15901</v>
      </c>
      <c r="D55" s="101">
        <v>9341</v>
      </c>
      <c r="E55" s="101">
        <v>6560</v>
      </c>
      <c r="F55" s="101">
        <v>0</v>
      </c>
      <c r="G55" s="101">
        <v>0</v>
      </c>
      <c r="H55" s="101">
        <v>55</v>
      </c>
      <c r="I55" s="101">
        <v>288</v>
      </c>
      <c r="J55" s="101">
        <v>4210</v>
      </c>
      <c r="K55" s="101">
        <v>8379</v>
      </c>
      <c r="L55" s="101">
        <v>1708</v>
      </c>
      <c r="M55" s="101">
        <v>0</v>
      </c>
      <c r="N55" s="101">
        <v>800</v>
      </c>
      <c r="O55" s="101">
        <v>245</v>
      </c>
      <c r="P55" s="101">
        <v>11680913234.474033</v>
      </c>
      <c r="Q55" s="101">
        <v>1284665888.3475618</v>
      </c>
      <c r="R55" s="101">
        <v>1242201822.7430825</v>
      </c>
      <c r="S55" s="101">
        <f t="shared" si="1"/>
        <v>22593680.423536517</v>
      </c>
      <c r="T55" s="101">
        <f t="shared" si="2"/>
        <v>6692680.4235365167</v>
      </c>
      <c r="U55" s="101">
        <f t="shared" si="3"/>
        <v>6692680.4235365167</v>
      </c>
      <c r="V55" s="101">
        <v>277389</v>
      </c>
      <c r="W55" s="149">
        <f t="shared" si="4"/>
        <v>2.4127418259327214E-2</v>
      </c>
    </row>
    <row r="56" spans="1:23" x14ac:dyDescent="0.25">
      <c r="A56" t="s">
        <v>514</v>
      </c>
      <c r="B56" s="140" t="s">
        <v>244</v>
      </c>
      <c r="C56" s="101">
        <f t="shared" si="0"/>
        <v>8018</v>
      </c>
      <c r="D56" s="101">
        <v>5772</v>
      </c>
      <c r="E56" s="101">
        <v>2246</v>
      </c>
      <c r="F56" s="101">
        <v>0</v>
      </c>
      <c r="G56" s="101">
        <v>67</v>
      </c>
      <c r="H56" s="101">
        <v>1657</v>
      </c>
      <c r="I56" s="101">
        <v>181</v>
      </c>
      <c r="J56" s="101">
        <v>3917</v>
      </c>
      <c r="K56" s="101">
        <v>4643</v>
      </c>
      <c r="L56" s="101">
        <v>776</v>
      </c>
      <c r="M56" s="101">
        <v>260</v>
      </c>
      <c r="N56" s="101">
        <v>1480</v>
      </c>
      <c r="O56" s="101">
        <v>108</v>
      </c>
      <c r="P56" s="101">
        <v>8546346650.4288177</v>
      </c>
      <c r="Q56" s="101">
        <v>540050628.22254193</v>
      </c>
      <c r="R56" s="101">
        <v>525205634.65054786</v>
      </c>
      <c r="S56" s="101">
        <f t="shared" si="1"/>
        <v>15306828.88196921</v>
      </c>
      <c r="T56" s="101">
        <f t="shared" si="2"/>
        <v>7288828.8819692098</v>
      </c>
      <c r="U56" s="101">
        <f t="shared" si="3"/>
        <v>7288828.8819692098</v>
      </c>
      <c r="V56" s="101">
        <v>91700</v>
      </c>
      <c r="W56" s="149">
        <f t="shared" si="4"/>
        <v>7.9485593042194214E-2</v>
      </c>
    </row>
    <row r="57" spans="1:23" x14ac:dyDescent="0.25">
      <c r="A57" t="s">
        <v>512</v>
      </c>
      <c r="B57" t="s">
        <v>107</v>
      </c>
      <c r="C57" s="101">
        <f t="shared" si="0"/>
        <v>10181</v>
      </c>
      <c r="D57" s="101">
        <v>6974</v>
      </c>
      <c r="E57" s="101">
        <v>3207</v>
      </c>
      <c r="F57" s="101">
        <v>0</v>
      </c>
      <c r="G57" s="101">
        <v>0</v>
      </c>
      <c r="H57" s="101">
        <v>2030</v>
      </c>
      <c r="I57" s="101">
        <v>346</v>
      </c>
      <c r="J57" s="101">
        <v>3872</v>
      </c>
      <c r="K57" s="101">
        <v>5024</v>
      </c>
      <c r="L57" s="101">
        <v>690</v>
      </c>
      <c r="M57" s="101">
        <v>481</v>
      </c>
      <c r="N57" s="101">
        <v>1218</v>
      </c>
      <c r="O57" s="101">
        <v>145</v>
      </c>
      <c r="P57" s="101">
        <v>4986240173.2193584</v>
      </c>
      <c r="Q57" s="101">
        <v>844851929.75723422</v>
      </c>
      <c r="R57" s="101">
        <v>755812416.86943364</v>
      </c>
      <c r="S57" s="101">
        <f t="shared" si="1"/>
        <v>10364094.686098369</v>
      </c>
      <c r="T57" s="101">
        <f t="shared" si="2"/>
        <v>183094.68609836884</v>
      </c>
      <c r="U57" s="101">
        <f t="shared" si="3"/>
        <v>183094.68609836884</v>
      </c>
      <c r="V57" s="101">
        <v>138265</v>
      </c>
      <c r="W57" s="149">
        <f t="shared" si="4"/>
        <v>1.3242301818852844E-3</v>
      </c>
    </row>
    <row r="58" spans="1:23" x14ac:dyDescent="0.25">
      <c r="A58" t="s">
        <v>513</v>
      </c>
      <c r="B58" t="s">
        <v>353</v>
      </c>
      <c r="C58" s="101">
        <f t="shared" si="0"/>
        <v>6509</v>
      </c>
      <c r="D58" s="101">
        <v>3752</v>
      </c>
      <c r="E58" s="101">
        <v>2757</v>
      </c>
      <c r="F58" s="101">
        <v>0</v>
      </c>
      <c r="G58" s="101">
        <v>12</v>
      </c>
      <c r="H58" s="101">
        <v>253</v>
      </c>
      <c r="I58" s="101">
        <v>33</v>
      </c>
      <c r="J58" s="101">
        <v>2350</v>
      </c>
      <c r="K58" s="101">
        <v>2230</v>
      </c>
      <c r="L58" s="101">
        <v>466</v>
      </c>
      <c r="M58" s="101">
        <v>55</v>
      </c>
      <c r="N58" s="101">
        <v>634</v>
      </c>
      <c r="O58" s="101">
        <v>72</v>
      </c>
      <c r="P58" s="101">
        <v>3569516450.2769737</v>
      </c>
      <c r="Q58" s="101">
        <v>540050628.22254193</v>
      </c>
      <c r="R58" s="101">
        <v>490908580.53594089</v>
      </c>
      <c r="S58" s="101">
        <f t="shared" si="1"/>
        <v>7259377.110101426</v>
      </c>
      <c r="T58" s="101">
        <f t="shared" si="2"/>
        <v>750377.11010142602</v>
      </c>
      <c r="U58" s="101">
        <f t="shared" si="3"/>
        <v>750377.11010142602</v>
      </c>
      <c r="V58" s="101">
        <v>70053</v>
      </c>
      <c r="W58" s="149">
        <f t="shared" si="4"/>
        <v>1.0711562818172328E-2</v>
      </c>
    </row>
    <row r="59" spans="1:23" x14ac:dyDescent="0.25">
      <c r="A59" t="s">
        <v>515</v>
      </c>
      <c r="B59" t="s">
        <v>172</v>
      </c>
      <c r="C59" s="101">
        <f t="shared" si="0"/>
        <v>9313</v>
      </c>
      <c r="D59" s="101">
        <v>5626</v>
      </c>
      <c r="E59" s="101">
        <v>3687</v>
      </c>
      <c r="F59" s="101">
        <v>697</v>
      </c>
      <c r="G59" s="101">
        <v>34</v>
      </c>
      <c r="H59" s="101">
        <v>26</v>
      </c>
      <c r="I59" s="101">
        <v>123</v>
      </c>
      <c r="J59" s="101">
        <v>4228</v>
      </c>
      <c r="K59" s="101">
        <v>0</v>
      </c>
      <c r="L59" s="101">
        <v>581</v>
      </c>
      <c r="M59" s="101">
        <v>0</v>
      </c>
      <c r="N59" s="101">
        <v>1200</v>
      </c>
      <c r="O59" s="101">
        <v>140</v>
      </c>
      <c r="P59" s="101">
        <v>5326044756.2129192</v>
      </c>
      <c r="Q59" s="101">
        <v>577895085.12450039</v>
      </c>
      <c r="R59" s="101">
        <v>557932367.39212179</v>
      </c>
      <c r="S59" s="101">
        <f t="shared" si="1"/>
        <v>10274845.638140477</v>
      </c>
      <c r="T59" s="101">
        <f t="shared" si="2"/>
        <v>961845.63814047724</v>
      </c>
      <c r="U59" s="101">
        <f t="shared" si="3"/>
        <v>961845.63814047724</v>
      </c>
      <c r="V59" s="101">
        <v>102963</v>
      </c>
      <c r="W59" s="149">
        <f t="shared" si="4"/>
        <v>9.3416629093992717E-3</v>
      </c>
    </row>
    <row r="60" spans="1:23" x14ac:dyDescent="0.25">
      <c r="A60" t="s">
        <v>518</v>
      </c>
      <c r="B60" t="s">
        <v>141</v>
      </c>
      <c r="C60" s="101">
        <f t="shared" si="0"/>
        <v>8571</v>
      </c>
      <c r="D60" s="101">
        <v>5796</v>
      </c>
      <c r="E60" s="101">
        <v>2775</v>
      </c>
      <c r="F60" s="101">
        <v>0</v>
      </c>
      <c r="G60" s="101">
        <v>12</v>
      </c>
      <c r="H60" s="101">
        <v>207</v>
      </c>
      <c r="I60" s="101">
        <v>220</v>
      </c>
      <c r="J60" s="101">
        <v>1761</v>
      </c>
      <c r="K60" s="101">
        <v>3014</v>
      </c>
      <c r="L60" s="101">
        <v>629</v>
      </c>
      <c r="M60" s="101">
        <v>309</v>
      </c>
      <c r="N60" s="101">
        <v>1301</v>
      </c>
      <c r="O60" s="101">
        <v>175</v>
      </c>
      <c r="P60" s="101">
        <v>5472422115.0409145</v>
      </c>
      <c r="Q60" s="101">
        <v>688359986.35183847</v>
      </c>
      <c r="R60" s="101">
        <v>610055839.20549548</v>
      </c>
      <c r="S60" s="101">
        <f t="shared" si="1"/>
        <v>10674591.400555791</v>
      </c>
      <c r="T60" s="101">
        <f t="shared" si="2"/>
        <v>2103591.4005557913</v>
      </c>
      <c r="U60" s="101">
        <f t="shared" si="3"/>
        <v>2103591.4005557913</v>
      </c>
      <c r="V60" s="101">
        <v>97816</v>
      </c>
      <c r="W60" s="149">
        <f t="shared" si="4"/>
        <v>2.1505596227159068E-2</v>
      </c>
    </row>
    <row r="61" spans="1:23" x14ac:dyDescent="0.25">
      <c r="A61" t="s">
        <v>516</v>
      </c>
      <c r="B61" t="s">
        <v>127</v>
      </c>
      <c r="C61" s="101">
        <f t="shared" si="0"/>
        <v>4787</v>
      </c>
      <c r="D61" s="101">
        <v>3604</v>
      </c>
      <c r="E61" s="101">
        <v>1183</v>
      </c>
      <c r="F61" s="101">
        <v>2</v>
      </c>
      <c r="G61" s="101">
        <v>0</v>
      </c>
      <c r="H61" s="101">
        <v>47</v>
      </c>
      <c r="I61" s="101">
        <v>0</v>
      </c>
      <c r="J61" s="101">
        <v>1554</v>
      </c>
      <c r="K61" s="101">
        <v>2026</v>
      </c>
      <c r="L61" s="101">
        <v>294</v>
      </c>
      <c r="M61" s="101">
        <v>0</v>
      </c>
      <c r="N61" s="101">
        <v>263</v>
      </c>
      <c r="O61" s="101">
        <v>34</v>
      </c>
      <c r="P61" s="101">
        <v>2581469278.188005</v>
      </c>
      <c r="Q61" s="101">
        <v>280253545.70639485</v>
      </c>
      <c r="R61" s="101">
        <v>232180857.2093125</v>
      </c>
      <c r="S61" s="101">
        <f t="shared" si="1"/>
        <v>4858100.4332075752</v>
      </c>
      <c r="T61" s="101">
        <f t="shared" si="2"/>
        <v>71100.433207575232</v>
      </c>
      <c r="U61" s="101">
        <f t="shared" si="3"/>
        <v>71100.433207575232</v>
      </c>
      <c r="V61" s="101">
        <v>72622</v>
      </c>
      <c r="W61" s="149">
        <f t="shared" si="4"/>
        <v>9.7904812877055471E-4</v>
      </c>
    </row>
    <row r="62" spans="1:23" x14ac:dyDescent="0.25">
      <c r="A62" t="s">
        <v>520</v>
      </c>
      <c r="B62" s="164" t="s">
        <v>216</v>
      </c>
      <c r="C62" s="101">
        <f t="shared" ref="C62:C122" si="5">SUM(D62:E62)</f>
        <v>14691</v>
      </c>
      <c r="D62" s="101">
        <v>10217</v>
      </c>
      <c r="E62" s="101">
        <v>4474</v>
      </c>
      <c r="F62" s="101">
        <v>0</v>
      </c>
      <c r="G62" s="101">
        <v>69</v>
      </c>
      <c r="H62" s="101">
        <v>335</v>
      </c>
      <c r="I62" s="101">
        <v>463</v>
      </c>
      <c r="J62" s="101">
        <v>5094</v>
      </c>
      <c r="K62" s="101">
        <v>6145</v>
      </c>
      <c r="L62" s="101">
        <v>870</v>
      </c>
      <c r="M62" s="101">
        <v>532</v>
      </c>
      <c r="N62" s="101">
        <v>1449</v>
      </c>
      <c r="O62" s="101">
        <v>251</v>
      </c>
      <c r="P62" s="101">
        <v>11892114852.211571</v>
      </c>
      <c r="Q62" s="101">
        <v>860194277.14991999</v>
      </c>
      <c r="R62" s="101">
        <v>815701469.71113098</v>
      </c>
      <c r="S62" s="101">
        <f t="shared" si="1"/>
        <v>21570010.877655961</v>
      </c>
      <c r="T62" s="101">
        <f t="shared" si="2"/>
        <v>6879010.8776559606</v>
      </c>
      <c r="U62" s="101">
        <f t="shared" si="3"/>
        <v>6879010.8776559606</v>
      </c>
      <c r="V62" s="187">
        <f>130190*(78/73)</f>
        <v>139107.12328767125</v>
      </c>
      <c r="W62" s="149">
        <f t="shared" si="4"/>
        <v>4.9451176295481861E-2</v>
      </c>
    </row>
    <row r="63" spans="1:23" x14ac:dyDescent="0.25">
      <c r="A63" t="s">
        <v>516</v>
      </c>
      <c r="B63" t="s">
        <v>525</v>
      </c>
      <c r="C63" s="101">
        <f t="shared" si="5"/>
        <v>13028</v>
      </c>
      <c r="D63" s="101">
        <v>8269</v>
      </c>
      <c r="E63" s="101">
        <v>4759</v>
      </c>
      <c r="F63" s="101">
        <v>0</v>
      </c>
      <c r="G63" s="101">
        <v>92</v>
      </c>
      <c r="H63" s="101">
        <v>1700</v>
      </c>
      <c r="I63" s="101">
        <v>1839</v>
      </c>
      <c r="J63" s="101">
        <v>5707</v>
      </c>
      <c r="K63" s="101">
        <v>6384</v>
      </c>
      <c r="L63" s="101">
        <v>478</v>
      </c>
      <c r="M63" s="101">
        <v>454</v>
      </c>
      <c r="N63" s="101">
        <v>1345</v>
      </c>
      <c r="O63" s="101">
        <v>905</v>
      </c>
      <c r="P63" s="101">
        <v>8821326974.5128384</v>
      </c>
      <c r="Q63" s="101">
        <v>1234547553.5314548</v>
      </c>
      <c r="R63" s="101">
        <v>1092375134.3592324</v>
      </c>
      <c r="S63" s="101">
        <f t="shared" si="1"/>
        <v>17554693.202953927</v>
      </c>
      <c r="T63" s="101">
        <f t="shared" ref="T63:T124" si="6">SUM(S63,-C63*1000)</f>
        <v>4526693.2029539272</v>
      </c>
      <c r="U63" s="101">
        <f t="shared" ref="U63:U124" si="7">IF(T63&lt;0,0,T63)</f>
        <v>4526693.2029539272</v>
      </c>
      <c r="V63" s="101">
        <v>170346</v>
      </c>
      <c r="W63" s="149">
        <f t="shared" ref="W63:W125" si="8">T63/(V63*1000)</f>
        <v>2.6573522142896971E-2</v>
      </c>
    </row>
    <row r="64" spans="1:23" x14ac:dyDescent="0.25">
      <c r="A64" t="s">
        <v>520</v>
      </c>
      <c r="B64" t="s">
        <v>217</v>
      </c>
      <c r="C64" s="101">
        <f t="shared" si="5"/>
        <v>13100</v>
      </c>
      <c r="D64" s="101">
        <v>7805</v>
      </c>
      <c r="E64" s="101">
        <v>5295</v>
      </c>
      <c r="F64" s="101">
        <v>37</v>
      </c>
      <c r="G64" s="101">
        <v>0</v>
      </c>
      <c r="H64" s="101">
        <v>823</v>
      </c>
      <c r="I64" s="101">
        <v>657</v>
      </c>
      <c r="J64" s="101">
        <v>5758</v>
      </c>
      <c r="K64" s="101">
        <v>6515</v>
      </c>
      <c r="L64" s="101">
        <v>899</v>
      </c>
      <c r="M64" s="101">
        <v>71</v>
      </c>
      <c r="N64" s="101">
        <v>2159</v>
      </c>
      <c r="O64" s="101">
        <v>378</v>
      </c>
      <c r="P64" s="101">
        <v>10723187086.71372</v>
      </c>
      <c r="Q64" s="101">
        <v>1131242414.4207034</v>
      </c>
      <c r="R64" s="101">
        <v>1035097037.4265387</v>
      </c>
      <c r="S64" s="101">
        <f t="shared" si="1"/>
        <v>20405442.952699043</v>
      </c>
      <c r="T64" s="101">
        <f t="shared" si="6"/>
        <v>7305442.9526990429</v>
      </c>
      <c r="U64" s="101">
        <f t="shared" si="7"/>
        <v>7305442.9526990429</v>
      </c>
      <c r="V64" s="101">
        <v>132390</v>
      </c>
      <c r="W64" s="149">
        <f t="shared" si="8"/>
        <v>5.5181229342843439E-2</v>
      </c>
    </row>
    <row r="65" spans="1:23" x14ac:dyDescent="0.25">
      <c r="A65" t="s">
        <v>512</v>
      </c>
      <c r="B65" t="s">
        <v>115</v>
      </c>
      <c r="C65" s="101">
        <f t="shared" si="5"/>
        <v>5163</v>
      </c>
      <c r="D65" s="101">
        <v>3606</v>
      </c>
      <c r="E65" s="101">
        <v>1557</v>
      </c>
      <c r="F65" s="101">
        <v>0</v>
      </c>
      <c r="G65" s="101">
        <v>0</v>
      </c>
      <c r="H65" s="101">
        <v>406</v>
      </c>
      <c r="I65" s="101">
        <v>173</v>
      </c>
      <c r="J65" s="101">
        <v>2729</v>
      </c>
      <c r="K65" s="101">
        <v>2613</v>
      </c>
      <c r="L65" s="101">
        <v>393</v>
      </c>
      <c r="M65" s="101">
        <v>300</v>
      </c>
      <c r="N65" s="101">
        <v>666</v>
      </c>
      <c r="O65" s="101">
        <v>58</v>
      </c>
      <c r="P65" s="101">
        <v>4346362004.6284065</v>
      </c>
      <c r="Q65" s="101">
        <v>494023586.04448438</v>
      </c>
      <c r="R65" s="101">
        <v>414754791.1822741</v>
      </c>
      <c r="S65" s="101">
        <f t="shared" si="1"/>
        <v>8255515.181253762</v>
      </c>
      <c r="T65" s="101">
        <f t="shared" si="6"/>
        <v>3092515.181253762</v>
      </c>
      <c r="U65" s="101">
        <f t="shared" si="7"/>
        <v>3092515.181253762</v>
      </c>
      <c r="V65" s="101">
        <v>71400</v>
      </c>
      <c r="W65" s="149">
        <f t="shared" si="8"/>
        <v>4.33125375525737E-2</v>
      </c>
    </row>
    <row r="66" spans="1:23" x14ac:dyDescent="0.25">
      <c r="A66" t="s">
        <v>517</v>
      </c>
      <c r="B66" t="s">
        <v>288</v>
      </c>
      <c r="C66" s="101">
        <f t="shared" si="5"/>
        <v>35040</v>
      </c>
      <c r="D66" s="101">
        <v>18049</v>
      </c>
      <c r="E66" s="101">
        <v>16991</v>
      </c>
      <c r="F66" s="101">
        <v>9009</v>
      </c>
      <c r="G66" s="101">
        <v>390</v>
      </c>
      <c r="H66" s="101">
        <v>1682</v>
      </c>
      <c r="I66" s="101">
        <v>261</v>
      </c>
      <c r="J66" s="101">
        <v>14374</v>
      </c>
      <c r="K66" s="101">
        <v>18826</v>
      </c>
      <c r="L66" s="101">
        <v>1989</v>
      </c>
      <c r="M66" s="101">
        <v>0</v>
      </c>
      <c r="N66" s="101">
        <v>4059</v>
      </c>
      <c r="O66" s="101">
        <v>269</v>
      </c>
      <c r="P66" s="101">
        <v>18976779019.486549</v>
      </c>
      <c r="Q66" s="101">
        <v>2859813553.9966426</v>
      </c>
      <c r="R66" s="101">
        <v>2783599599.5080895</v>
      </c>
      <c r="S66" s="101">
        <f t="shared" si="1"/>
        <v>39147645.258511856</v>
      </c>
      <c r="T66" s="101">
        <f t="shared" si="6"/>
        <v>4107645.2585118562</v>
      </c>
      <c r="U66" s="101">
        <f t="shared" si="7"/>
        <v>4107645.2585118562</v>
      </c>
      <c r="V66" s="101">
        <v>493717</v>
      </c>
      <c r="W66" s="149">
        <f t="shared" si="8"/>
        <v>8.3198375962582945E-3</v>
      </c>
    </row>
    <row r="67" spans="1:23" x14ac:dyDescent="0.25">
      <c r="A67" t="s">
        <v>514</v>
      </c>
      <c r="B67" t="s">
        <v>245</v>
      </c>
      <c r="C67" s="101">
        <f t="shared" si="5"/>
        <v>16535</v>
      </c>
      <c r="D67" s="101">
        <v>7673</v>
      </c>
      <c r="E67" s="101">
        <v>8862</v>
      </c>
      <c r="F67" s="101">
        <v>54</v>
      </c>
      <c r="G67" s="101">
        <v>0</v>
      </c>
      <c r="H67" s="101">
        <v>1306</v>
      </c>
      <c r="I67" s="101">
        <v>829</v>
      </c>
      <c r="J67" s="101">
        <v>6386</v>
      </c>
      <c r="K67" s="101">
        <v>12290</v>
      </c>
      <c r="L67" s="101">
        <v>1397</v>
      </c>
      <c r="M67" s="101">
        <v>323</v>
      </c>
      <c r="N67" s="101">
        <v>1825</v>
      </c>
      <c r="O67" s="101">
        <v>72</v>
      </c>
      <c r="P67" s="101">
        <v>7778964392.3256149</v>
      </c>
      <c r="Q67" s="101">
        <v>1271369187.273901</v>
      </c>
      <c r="R67" s="101">
        <v>1253469781.982434</v>
      </c>
      <c r="S67" s="101">
        <f t="shared" ref="S67:S130" si="9">SUM(P67,R67,R67)*0.1595%</f>
        <v>16406016.810283318</v>
      </c>
      <c r="T67" s="101">
        <f t="shared" si="6"/>
        <v>-128983.18971668184</v>
      </c>
      <c r="U67" s="101">
        <f t="shared" si="7"/>
        <v>0</v>
      </c>
      <c r="V67" s="101">
        <v>257876</v>
      </c>
      <c r="W67" s="149">
        <f t="shared" si="8"/>
        <v>-5.0017523816362061E-4</v>
      </c>
    </row>
    <row r="68" spans="1:23" x14ac:dyDescent="0.25">
      <c r="A68" t="s">
        <v>513</v>
      </c>
      <c r="B68" t="s">
        <v>355</v>
      </c>
      <c r="C68" s="101">
        <f t="shared" si="5"/>
        <v>10202</v>
      </c>
      <c r="D68" s="101">
        <v>6385</v>
      </c>
      <c r="E68" s="101">
        <v>3817</v>
      </c>
      <c r="F68" s="101">
        <v>26</v>
      </c>
      <c r="G68" s="101">
        <v>0</v>
      </c>
      <c r="H68" s="101">
        <v>460</v>
      </c>
      <c r="I68" s="101">
        <v>201</v>
      </c>
      <c r="J68" s="101">
        <v>4667</v>
      </c>
      <c r="K68" s="101">
        <v>2583</v>
      </c>
      <c r="L68" s="101">
        <v>620</v>
      </c>
      <c r="M68" s="101">
        <v>40</v>
      </c>
      <c r="N68" s="101">
        <v>1666</v>
      </c>
      <c r="O68" s="101">
        <v>177</v>
      </c>
      <c r="P68" s="101">
        <v>5828955539.0433884</v>
      </c>
      <c r="Q68" s="101">
        <v>906221319.32797754</v>
      </c>
      <c r="R68" s="101">
        <v>796779241.26015186</v>
      </c>
      <c r="S68" s="101">
        <f t="shared" si="9"/>
        <v>11838909.864394089</v>
      </c>
      <c r="T68" s="101">
        <f t="shared" si="6"/>
        <v>1636909.8643940892</v>
      </c>
      <c r="U68" s="101">
        <f t="shared" si="7"/>
        <v>1636909.8643940892</v>
      </c>
      <c r="V68" s="101">
        <v>114415</v>
      </c>
      <c r="W68" s="149">
        <f t="shared" si="8"/>
        <v>1.4306776772224701E-2</v>
      </c>
    </row>
    <row r="69" spans="1:23" x14ac:dyDescent="0.25">
      <c r="A69" t="s">
        <v>518</v>
      </c>
      <c r="B69" t="s">
        <v>142</v>
      </c>
      <c r="C69" s="101">
        <f t="shared" si="5"/>
        <v>33854</v>
      </c>
      <c r="D69" s="101">
        <v>18918</v>
      </c>
      <c r="E69" s="101">
        <v>14936</v>
      </c>
      <c r="F69" s="101">
        <v>6194</v>
      </c>
      <c r="G69" s="101">
        <v>215</v>
      </c>
      <c r="H69" s="101">
        <v>463</v>
      </c>
      <c r="I69" s="101">
        <v>403</v>
      </c>
      <c r="J69" s="101">
        <v>9891</v>
      </c>
      <c r="K69" s="101">
        <v>14482</v>
      </c>
      <c r="L69" s="101">
        <v>2014</v>
      </c>
      <c r="M69" s="101">
        <v>187</v>
      </c>
      <c r="N69" s="101">
        <v>5350</v>
      </c>
      <c r="O69" s="101">
        <v>904</v>
      </c>
      <c r="P69" s="101">
        <v>17049825645.772295</v>
      </c>
      <c r="Q69" s="101">
        <v>2510008033.4434052</v>
      </c>
      <c r="R69" s="101">
        <v>2409259952.2314348</v>
      </c>
      <c r="S69" s="101">
        <f t="shared" si="9"/>
        <v>34880011.152625091</v>
      </c>
      <c r="T69" s="101">
        <f t="shared" si="6"/>
        <v>1026011.1526250914</v>
      </c>
      <c r="U69" s="101">
        <f t="shared" si="7"/>
        <v>1026011.1526250914</v>
      </c>
      <c r="V69" s="101">
        <v>460883</v>
      </c>
      <c r="W69" s="149">
        <f t="shared" si="8"/>
        <v>2.2261857187726415E-3</v>
      </c>
    </row>
    <row r="70" spans="1:23" x14ac:dyDescent="0.25">
      <c r="A70" t="s">
        <v>514</v>
      </c>
      <c r="B70" t="s">
        <v>246</v>
      </c>
      <c r="C70" s="101">
        <f t="shared" si="5"/>
        <v>9282</v>
      </c>
      <c r="D70" s="101">
        <v>4832</v>
      </c>
      <c r="E70" s="101">
        <v>4450</v>
      </c>
      <c r="F70" s="101">
        <v>1363</v>
      </c>
      <c r="G70" s="101">
        <v>50</v>
      </c>
      <c r="H70" s="101">
        <v>825</v>
      </c>
      <c r="I70" s="101">
        <v>0</v>
      </c>
      <c r="J70" s="101">
        <v>4240</v>
      </c>
      <c r="K70" s="101">
        <v>5908</v>
      </c>
      <c r="L70" s="101">
        <v>571</v>
      </c>
      <c r="M70" s="101">
        <v>2</v>
      </c>
      <c r="N70" s="101">
        <v>982</v>
      </c>
      <c r="O70" s="101">
        <v>90</v>
      </c>
      <c r="P70" s="101">
        <v>7191310528.7068033</v>
      </c>
      <c r="Q70" s="101">
        <v>962476593.10115898</v>
      </c>
      <c r="R70" s="101">
        <v>943544304.98593163</v>
      </c>
      <c r="S70" s="101">
        <f t="shared" si="9"/>
        <v>14480046.626192475</v>
      </c>
      <c r="T70" s="101">
        <f t="shared" si="6"/>
        <v>5198046.6261924747</v>
      </c>
      <c r="U70" s="101">
        <f t="shared" si="7"/>
        <v>5198046.6261924747</v>
      </c>
      <c r="V70" s="101">
        <v>104352</v>
      </c>
      <c r="W70" s="149">
        <f t="shared" si="8"/>
        <v>4.981262099617137E-2</v>
      </c>
    </row>
    <row r="71" spans="1:23" x14ac:dyDescent="0.25">
      <c r="A71" t="s">
        <v>514</v>
      </c>
      <c r="B71" t="s">
        <v>772</v>
      </c>
      <c r="C71" s="101">
        <v>18163</v>
      </c>
      <c r="D71" s="101">
        <v>12550</v>
      </c>
      <c r="E71" s="101">
        <v>11415</v>
      </c>
      <c r="F71" s="101">
        <v>470</v>
      </c>
      <c r="G71" s="101">
        <v>0</v>
      </c>
      <c r="H71" s="101">
        <v>80</v>
      </c>
      <c r="I71" s="101">
        <v>75</v>
      </c>
      <c r="J71" s="101">
        <v>13771</v>
      </c>
      <c r="K71" s="101">
        <v>10331</v>
      </c>
      <c r="L71" s="101">
        <v>1639</v>
      </c>
      <c r="M71" s="101">
        <v>422</v>
      </c>
      <c r="N71" s="101">
        <v>2208</v>
      </c>
      <c r="O71" s="101">
        <v>332</v>
      </c>
      <c r="P71" s="101">
        <v>15792025912.414591</v>
      </c>
      <c r="Q71" s="101">
        <v>1872789205.0671861</v>
      </c>
      <c r="R71" s="101">
        <v>1828795795.7157037</v>
      </c>
      <c r="S71" s="101">
        <f t="shared" si="9"/>
        <v>31022139.918634366</v>
      </c>
      <c r="T71" s="101">
        <v>6335693.6480000019</v>
      </c>
      <c r="U71" s="101">
        <v>6335693.6480000019</v>
      </c>
      <c r="V71" s="101">
        <v>286971</v>
      </c>
      <c r="W71" s="149">
        <v>2.6835129832229982E-2</v>
      </c>
    </row>
    <row r="72" spans="1:23" x14ac:dyDescent="0.25">
      <c r="A72" t="s">
        <v>518</v>
      </c>
      <c r="B72" t="s">
        <v>143</v>
      </c>
      <c r="C72" s="101">
        <f t="shared" si="5"/>
        <v>7782</v>
      </c>
      <c r="D72" s="101">
        <v>4424</v>
      </c>
      <c r="E72" s="101">
        <v>3358</v>
      </c>
      <c r="F72" s="101">
        <v>2</v>
      </c>
      <c r="G72" s="101">
        <v>16</v>
      </c>
      <c r="H72" s="101">
        <v>562</v>
      </c>
      <c r="I72" s="101">
        <v>202</v>
      </c>
      <c r="J72" s="101">
        <v>3573</v>
      </c>
      <c r="K72" s="101">
        <v>2126</v>
      </c>
      <c r="L72" s="101">
        <v>634</v>
      </c>
      <c r="M72" s="101">
        <v>0</v>
      </c>
      <c r="N72" s="101">
        <v>767</v>
      </c>
      <c r="O72" s="101">
        <v>73</v>
      </c>
      <c r="P72" s="101">
        <v>4528288150.6003437</v>
      </c>
      <c r="Q72" s="101">
        <v>778368424.38892877</v>
      </c>
      <c r="R72" s="101">
        <v>648384479.75067246</v>
      </c>
      <c r="S72" s="101">
        <f t="shared" si="9"/>
        <v>9290966.0906121936</v>
      </c>
      <c r="T72" s="101">
        <f t="shared" si="6"/>
        <v>1508966.0906121936</v>
      </c>
      <c r="U72" s="101">
        <f t="shared" si="7"/>
        <v>1508966.0906121936</v>
      </c>
      <c r="V72" s="101">
        <v>77500</v>
      </c>
      <c r="W72" s="149">
        <f t="shared" si="8"/>
        <v>1.947053020144766E-2</v>
      </c>
    </row>
    <row r="73" spans="1:23" x14ac:dyDescent="0.25">
      <c r="A73" t="s">
        <v>515</v>
      </c>
      <c r="B73" t="s">
        <v>173</v>
      </c>
      <c r="C73" s="101">
        <f t="shared" si="5"/>
        <v>2774</v>
      </c>
      <c r="D73" s="101">
        <v>2249</v>
      </c>
      <c r="E73" s="101">
        <v>525</v>
      </c>
      <c r="F73" s="101">
        <v>720</v>
      </c>
      <c r="G73" s="101">
        <v>26</v>
      </c>
      <c r="H73" s="101">
        <v>421</v>
      </c>
      <c r="I73" s="101">
        <v>115</v>
      </c>
      <c r="J73" s="101">
        <v>1412</v>
      </c>
      <c r="K73" s="101">
        <v>1758</v>
      </c>
      <c r="L73" s="101">
        <v>157</v>
      </c>
      <c r="M73" s="101">
        <v>77</v>
      </c>
      <c r="N73" s="101">
        <v>355</v>
      </c>
      <c r="O73" s="101">
        <v>148</v>
      </c>
      <c r="P73" s="101">
        <v>1689612941.90029</v>
      </c>
      <c r="Q73" s="101">
        <v>152400650.76734611</v>
      </c>
      <c r="R73" s="101">
        <v>145240888.65075937</v>
      </c>
      <c r="S73" s="101">
        <f t="shared" si="9"/>
        <v>3158251.0771268853</v>
      </c>
      <c r="T73" s="101">
        <f t="shared" si="6"/>
        <v>384251.0771268853</v>
      </c>
      <c r="U73" s="101">
        <f t="shared" si="7"/>
        <v>384251.0771268853</v>
      </c>
      <c r="V73" s="101">
        <v>46096</v>
      </c>
      <c r="W73" s="149">
        <f t="shared" si="8"/>
        <v>8.3358876502708547E-3</v>
      </c>
    </row>
    <row r="74" spans="1:23" x14ac:dyDescent="0.25">
      <c r="A74" t="s">
        <v>515</v>
      </c>
      <c r="B74" t="s">
        <v>174</v>
      </c>
      <c r="C74" s="101">
        <f t="shared" si="5"/>
        <v>15150</v>
      </c>
      <c r="D74" s="101">
        <v>8383</v>
      </c>
      <c r="E74" s="101">
        <v>6767</v>
      </c>
      <c r="F74" s="101">
        <v>3888</v>
      </c>
      <c r="G74" s="101">
        <v>122</v>
      </c>
      <c r="H74" s="101">
        <v>95</v>
      </c>
      <c r="I74" s="101">
        <v>609</v>
      </c>
      <c r="J74" s="101">
        <v>6839</v>
      </c>
      <c r="K74" s="101">
        <v>9104</v>
      </c>
      <c r="L74" s="101">
        <v>1105</v>
      </c>
      <c r="M74" s="101">
        <v>0</v>
      </c>
      <c r="N74" s="101">
        <v>1994</v>
      </c>
      <c r="O74" s="101">
        <v>299</v>
      </c>
      <c r="P74" s="101">
        <v>8872559050.1026363</v>
      </c>
      <c r="Q74" s="101">
        <v>1339898338.961231</v>
      </c>
      <c r="R74" s="101">
        <v>1308178714.2893729</v>
      </c>
      <c r="S74" s="101">
        <f t="shared" si="9"/>
        <v>18324821.783496808</v>
      </c>
      <c r="T74" s="101">
        <f t="shared" si="6"/>
        <v>3174821.7834968083</v>
      </c>
      <c r="U74" s="101">
        <f t="shared" si="7"/>
        <v>3174821.7834968083</v>
      </c>
      <c r="V74" s="101">
        <v>314509</v>
      </c>
      <c r="W74" s="149">
        <f t="shared" si="8"/>
        <v>1.0094533967221314E-2</v>
      </c>
    </row>
    <row r="75" spans="1:23" x14ac:dyDescent="0.25">
      <c r="A75" t="s">
        <v>513</v>
      </c>
      <c r="B75" t="s">
        <v>356</v>
      </c>
      <c r="C75" s="101">
        <f t="shared" si="5"/>
        <v>7185</v>
      </c>
      <c r="D75" s="101">
        <v>4823</v>
      </c>
      <c r="E75" s="101">
        <v>2362</v>
      </c>
      <c r="F75" s="101">
        <v>1</v>
      </c>
      <c r="G75" s="101">
        <v>0</v>
      </c>
      <c r="H75" s="101">
        <v>140</v>
      </c>
      <c r="I75" s="101">
        <v>70</v>
      </c>
      <c r="J75" s="101">
        <v>2512</v>
      </c>
      <c r="K75" s="101">
        <v>4267</v>
      </c>
      <c r="L75" s="101">
        <v>624</v>
      </c>
      <c r="M75" s="101">
        <v>134</v>
      </c>
      <c r="N75" s="101">
        <v>609</v>
      </c>
      <c r="O75" s="101">
        <v>69</v>
      </c>
      <c r="P75" s="101">
        <v>4280492193.1558084</v>
      </c>
      <c r="Q75" s="101">
        <v>562552737.7318145</v>
      </c>
      <c r="R75" s="101">
        <v>514991460.81448841</v>
      </c>
      <c r="S75" s="101">
        <f t="shared" si="9"/>
        <v>8470207.8080817331</v>
      </c>
      <c r="T75" s="101">
        <f t="shared" si="6"/>
        <v>1285207.8080817331</v>
      </c>
      <c r="U75" s="101">
        <f t="shared" si="7"/>
        <v>1285207.8080817331</v>
      </c>
      <c r="V75" s="101">
        <v>82093</v>
      </c>
      <c r="W75" s="149">
        <f t="shared" si="8"/>
        <v>1.5655510312471626E-2</v>
      </c>
    </row>
    <row r="76" spans="1:23" x14ac:dyDescent="0.25">
      <c r="A76" t="s">
        <v>517</v>
      </c>
      <c r="B76" t="s">
        <v>289</v>
      </c>
      <c r="C76" s="101">
        <f t="shared" si="5"/>
        <v>36157</v>
      </c>
      <c r="D76" s="101">
        <v>16690</v>
      </c>
      <c r="E76" s="101">
        <v>19467</v>
      </c>
      <c r="F76" s="101">
        <v>12262</v>
      </c>
      <c r="G76" s="101">
        <v>211</v>
      </c>
      <c r="H76" s="101">
        <v>1601</v>
      </c>
      <c r="I76" s="101">
        <v>3</v>
      </c>
      <c r="J76" s="101">
        <v>16100</v>
      </c>
      <c r="K76" s="101">
        <v>19796</v>
      </c>
      <c r="L76" s="101">
        <v>2764</v>
      </c>
      <c r="M76" s="101">
        <v>2447</v>
      </c>
      <c r="N76" s="101">
        <v>5185</v>
      </c>
      <c r="O76" s="101">
        <v>1536</v>
      </c>
      <c r="P76" s="101">
        <v>18753030770.992325</v>
      </c>
      <c r="Q76" s="101">
        <v>3505214967.6489606</v>
      </c>
      <c r="R76" s="101">
        <v>3474014309.101377</v>
      </c>
      <c r="S76" s="101">
        <f t="shared" si="9"/>
        <v>40993189.725766145</v>
      </c>
      <c r="T76" s="101">
        <f t="shared" si="6"/>
        <v>4836189.7257661447</v>
      </c>
      <c r="U76" s="101">
        <f t="shared" si="7"/>
        <v>4836189.7257661447</v>
      </c>
      <c r="V76" s="101">
        <v>769647</v>
      </c>
      <c r="W76" s="149">
        <f t="shared" si="8"/>
        <v>6.2836465623411055E-3</v>
      </c>
    </row>
    <row r="77" spans="1:23" x14ac:dyDescent="0.25">
      <c r="A77" t="s">
        <v>514</v>
      </c>
      <c r="B77" t="s">
        <v>247</v>
      </c>
      <c r="C77" s="101">
        <f t="shared" si="5"/>
        <v>4173</v>
      </c>
      <c r="D77" s="101">
        <v>3230</v>
      </c>
      <c r="E77" s="101">
        <v>943</v>
      </c>
      <c r="F77" s="101">
        <v>0</v>
      </c>
      <c r="G77" s="101">
        <v>0</v>
      </c>
      <c r="H77" s="101">
        <v>126</v>
      </c>
      <c r="I77" s="101">
        <v>20</v>
      </c>
      <c r="J77" s="101">
        <v>1631</v>
      </c>
      <c r="K77" s="101">
        <v>3367</v>
      </c>
      <c r="L77" s="101">
        <v>366</v>
      </c>
      <c r="M77" s="101">
        <v>36</v>
      </c>
      <c r="N77" s="101">
        <v>415</v>
      </c>
      <c r="O77" s="101">
        <v>100</v>
      </c>
      <c r="P77" s="101">
        <v>3725303782.1724834</v>
      </c>
      <c r="Q77" s="101">
        <v>318098002.60835332</v>
      </c>
      <c r="R77" s="101">
        <v>295559657.81806743</v>
      </c>
      <c r="S77" s="101">
        <f t="shared" si="9"/>
        <v>6884694.841004747</v>
      </c>
      <c r="T77" s="101">
        <f t="shared" si="6"/>
        <v>2711694.841004747</v>
      </c>
      <c r="U77" s="101">
        <f t="shared" si="7"/>
        <v>2711694.841004747</v>
      </c>
      <c r="V77" s="101">
        <v>56093</v>
      </c>
      <c r="W77" s="149">
        <f t="shared" si="8"/>
        <v>4.8342838518259802E-2</v>
      </c>
    </row>
    <row r="78" spans="1:23" x14ac:dyDescent="0.25">
      <c r="A78" t="s">
        <v>513</v>
      </c>
      <c r="B78" t="s">
        <v>357</v>
      </c>
      <c r="C78" s="101">
        <f t="shared" si="5"/>
        <v>6014</v>
      </c>
      <c r="D78" s="101">
        <v>4518</v>
      </c>
      <c r="E78" s="101">
        <v>1496</v>
      </c>
      <c r="F78" s="101">
        <v>2</v>
      </c>
      <c r="G78" s="101">
        <v>55</v>
      </c>
      <c r="H78" s="101">
        <v>325</v>
      </c>
      <c r="I78" s="101">
        <v>22</v>
      </c>
      <c r="J78" s="101">
        <v>3833</v>
      </c>
      <c r="K78" s="101">
        <v>3926</v>
      </c>
      <c r="L78" s="101">
        <v>598</v>
      </c>
      <c r="M78" s="101">
        <v>127</v>
      </c>
      <c r="N78" s="101">
        <v>969</v>
      </c>
      <c r="O78" s="101">
        <v>176</v>
      </c>
      <c r="P78" s="101">
        <v>5174439634.5696383</v>
      </c>
      <c r="Q78" s="101">
        <v>519594165.03229415</v>
      </c>
      <c r="R78" s="101">
        <v>473567122.85423654</v>
      </c>
      <c r="S78" s="101">
        <f t="shared" si="9"/>
        <v>9763910.3390435874</v>
      </c>
      <c r="T78" s="101">
        <f t="shared" si="6"/>
        <v>3749910.3390435874</v>
      </c>
      <c r="U78" s="101">
        <f t="shared" si="7"/>
        <v>3749910.3390435874</v>
      </c>
      <c r="V78" s="101">
        <v>77305</v>
      </c>
      <c r="W78" s="149">
        <f t="shared" si="8"/>
        <v>4.8507992226163733E-2</v>
      </c>
    </row>
    <row r="79" spans="1:23" x14ac:dyDescent="0.25">
      <c r="A79" t="s">
        <v>519</v>
      </c>
      <c r="B79" t="s">
        <v>428</v>
      </c>
      <c r="C79" s="101">
        <f t="shared" si="5"/>
        <v>14631</v>
      </c>
      <c r="D79" s="101">
        <v>8090</v>
      </c>
      <c r="E79" s="101">
        <v>6541</v>
      </c>
      <c r="F79" s="101">
        <v>52</v>
      </c>
      <c r="G79" s="101">
        <v>0</v>
      </c>
      <c r="H79" s="101">
        <v>2258</v>
      </c>
      <c r="I79" s="101">
        <v>456</v>
      </c>
      <c r="J79" s="101">
        <v>3717</v>
      </c>
      <c r="K79" s="101">
        <v>7009</v>
      </c>
      <c r="L79" s="101">
        <v>459</v>
      </c>
      <c r="M79" s="101">
        <v>401</v>
      </c>
      <c r="N79" s="101">
        <v>799</v>
      </c>
      <c r="O79" s="101">
        <v>166</v>
      </c>
      <c r="P79" s="101">
        <v>6703037481.7591324</v>
      </c>
      <c r="Q79" s="101">
        <v>1432975246.4768584</v>
      </c>
      <c r="R79" s="101">
        <v>1301031058.8997602</v>
      </c>
      <c r="S79" s="101">
        <f t="shared" si="9"/>
        <v>14841633.861296052</v>
      </c>
      <c r="T79" s="101">
        <f t="shared" si="6"/>
        <v>210633.86129605211</v>
      </c>
      <c r="U79" s="101">
        <f t="shared" si="7"/>
        <v>210633.86129605211</v>
      </c>
      <c r="V79" s="101">
        <v>147113</v>
      </c>
      <c r="W79" s="149">
        <f t="shared" si="8"/>
        <v>1.4317827880340427E-3</v>
      </c>
    </row>
    <row r="80" spans="1:23" x14ac:dyDescent="0.25">
      <c r="A80" t="s">
        <v>515</v>
      </c>
      <c r="B80" t="s">
        <v>175</v>
      </c>
      <c r="C80" s="101">
        <f t="shared" si="5"/>
        <v>5265</v>
      </c>
      <c r="D80" s="101">
        <v>3524</v>
      </c>
      <c r="E80" s="101">
        <v>1741</v>
      </c>
      <c r="F80" s="101">
        <v>0</v>
      </c>
      <c r="G80" s="101">
        <v>0</v>
      </c>
      <c r="H80" s="101">
        <v>23</v>
      </c>
      <c r="I80" s="101">
        <v>229</v>
      </c>
      <c r="J80" s="101">
        <v>2382</v>
      </c>
      <c r="K80" s="101">
        <v>2046</v>
      </c>
      <c r="L80" s="101">
        <v>416</v>
      </c>
      <c r="M80" s="101">
        <v>31</v>
      </c>
      <c r="N80" s="101">
        <v>958</v>
      </c>
      <c r="O80" s="101">
        <v>105</v>
      </c>
      <c r="P80" s="101">
        <v>3153386530.180244</v>
      </c>
      <c r="Q80" s="101">
        <v>416289025.92154276</v>
      </c>
      <c r="R80" s="101">
        <v>356965282.66982418</v>
      </c>
      <c r="S80" s="101">
        <f t="shared" si="9"/>
        <v>6168370.7673542285</v>
      </c>
      <c r="T80" s="101">
        <f t="shared" si="6"/>
        <v>903370.76735422853</v>
      </c>
      <c r="U80" s="101">
        <f t="shared" si="7"/>
        <v>903370.76735422853</v>
      </c>
      <c r="V80" s="101">
        <v>71860</v>
      </c>
      <c r="W80" s="149">
        <f t="shared" si="8"/>
        <v>1.2571260330562601E-2</v>
      </c>
    </row>
    <row r="81" spans="1:23" x14ac:dyDescent="0.25">
      <c r="A81" t="s">
        <v>515</v>
      </c>
      <c r="B81" t="s">
        <v>176</v>
      </c>
      <c r="C81" s="101">
        <f t="shared" si="5"/>
        <v>7430</v>
      </c>
      <c r="D81" s="101">
        <v>4272</v>
      </c>
      <c r="E81" s="101">
        <v>3158</v>
      </c>
      <c r="F81" s="101">
        <v>1</v>
      </c>
      <c r="G81" s="101">
        <v>0</v>
      </c>
      <c r="H81" s="101">
        <v>169</v>
      </c>
      <c r="I81" s="101">
        <v>62</v>
      </c>
      <c r="J81" s="101">
        <v>2439</v>
      </c>
      <c r="K81" s="101">
        <v>3700</v>
      </c>
      <c r="L81" s="101">
        <v>430</v>
      </c>
      <c r="M81" s="101">
        <v>195</v>
      </c>
      <c r="N81" s="101">
        <v>814</v>
      </c>
      <c r="O81" s="101">
        <v>128</v>
      </c>
      <c r="P81" s="101">
        <v>3987737475.4998178</v>
      </c>
      <c r="Q81" s="101">
        <v>901107203.53041577</v>
      </c>
      <c r="R81" s="101">
        <v>896966561.58426785</v>
      </c>
      <c r="S81" s="101">
        <f t="shared" si="9"/>
        <v>9221764.6048760228</v>
      </c>
      <c r="T81" s="101">
        <f t="shared" si="6"/>
        <v>1791764.6048760228</v>
      </c>
      <c r="U81" s="101">
        <f t="shared" si="7"/>
        <v>1791764.6048760228</v>
      </c>
      <c r="V81" s="101">
        <v>76686</v>
      </c>
      <c r="W81" s="149">
        <f t="shared" si="8"/>
        <v>2.3364950641264672E-2</v>
      </c>
    </row>
    <row r="82" spans="1:23" x14ac:dyDescent="0.25">
      <c r="A82" t="s">
        <v>522</v>
      </c>
      <c r="B82" t="s">
        <v>401</v>
      </c>
      <c r="C82" s="101">
        <f t="shared" si="5"/>
        <v>8445</v>
      </c>
      <c r="D82" s="101">
        <v>5389</v>
      </c>
      <c r="E82" s="101">
        <v>3056</v>
      </c>
      <c r="F82" s="101">
        <v>0</v>
      </c>
      <c r="G82" s="101">
        <v>4</v>
      </c>
      <c r="H82" s="101">
        <v>513</v>
      </c>
      <c r="I82" s="101">
        <v>265</v>
      </c>
      <c r="J82" s="101">
        <v>4708</v>
      </c>
      <c r="K82" s="101">
        <v>3846</v>
      </c>
      <c r="L82" s="101">
        <v>915</v>
      </c>
      <c r="M82" s="101">
        <v>51</v>
      </c>
      <c r="N82" s="101">
        <v>2138</v>
      </c>
      <c r="O82" s="101">
        <v>86</v>
      </c>
      <c r="P82" s="101">
        <v>4747854188.8423367</v>
      </c>
      <c r="Q82" s="101">
        <v>811098765.49332535</v>
      </c>
      <c r="R82" s="101">
        <v>762514665.41648686</v>
      </c>
      <c r="S82" s="101">
        <f t="shared" si="9"/>
        <v>10005249.21388212</v>
      </c>
      <c r="T82" s="101">
        <f t="shared" si="6"/>
        <v>1560249.2138821203</v>
      </c>
      <c r="U82" s="101">
        <f t="shared" si="7"/>
        <v>1560249.2138821203</v>
      </c>
      <c r="V82" s="101">
        <v>109305</v>
      </c>
      <c r="W82" s="149">
        <f t="shared" si="8"/>
        <v>1.427427120334953E-2</v>
      </c>
    </row>
    <row r="83" spans="1:23" x14ac:dyDescent="0.25">
      <c r="A83" t="s">
        <v>514</v>
      </c>
      <c r="B83" t="s">
        <v>248</v>
      </c>
      <c r="C83" s="101">
        <f t="shared" si="5"/>
        <v>9109</v>
      </c>
      <c r="D83" s="101">
        <v>6472</v>
      </c>
      <c r="E83" s="101">
        <v>2637</v>
      </c>
      <c r="F83" s="101">
        <v>261</v>
      </c>
      <c r="G83" s="101">
        <v>62</v>
      </c>
      <c r="H83" s="101">
        <v>1666</v>
      </c>
      <c r="I83" s="101">
        <v>0</v>
      </c>
      <c r="J83" s="101">
        <v>4065</v>
      </c>
      <c r="K83" s="101">
        <v>6145</v>
      </c>
      <c r="L83" s="101">
        <v>504</v>
      </c>
      <c r="M83" s="101">
        <v>178</v>
      </c>
      <c r="N83" s="101">
        <v>1000</v>
      </c>
      <c r="O83" s="101">
        <v>366</v>
      </c>
      <c r="P83" s="101">
        <v>6836868209.8304424</v>
      </c>
      <c r="Q83" s="101">
        <v>766094546.47478008</v>
      </c>
      <c r="R83" s="101">
        <v>734898440.10965216</v>
      </c>
      <c r="S83" s="101">
        <f t="shared" si="9"/>
        <v>13249130.818629349</v>
      </c>
      <c r="T83" s="101">
        <f t="shared" si="6"/>
        <v>4140130.8186293487</v>
      </c>
      <c r="U83" s="101">
        <f t="shared" si="7"/>
        <v>4140130.8186293487</v>
      </c>
      <c r="V83" s="101">
        <v>110172</v>
      </c>
      <c r="W83" s="149">
        <f t="shared" si="8"/>
        <v>3.7578793328879832E-2</v>
      </c>
    </row>
    <row r="84" spans="1:23" x14ac:dyDescent="0.25">
      <c r="A84" t="s">
        <v>515</v>
      </c>
      <c r="B84" t="s">
        <v>177</v>
      </c>
      <c r="C84" s="101">
        <f t="shared" si="5"/>
        <v>33137</v>
      </c>
      <c r="D84" s="101">
        <v>18442</v>
      </c>
      <c r="E84" s="101">
        <v>14695</v>
      </c>
      <c r="F84" s="101">
        <v>1634</v>
      </c>
      <c r="G84" s="101">
        <v>0</v>
      </c>
      <c r="H84" s="101">
        <v>1629</v>
      </c>
      <c r="I84" s="101">
        <v>1877</v>
      </c>
      <c r="J84" s="101">
        <v>12900</v>
      </c>
      <c r="K84" s="101">
        <v>15052</v>
      </c>
      <c r="L84" s="101">
        <v>2173</v>
      </c>
      <c r="M84" s="101">
        <v>1489</v>
      </c>
      <c r="N84" s="101">
        <v>4999</v>
      </c>
      <c r="O84" s="101">
        <v>833</v>
      </c>
      <c r="P84" s="101">
        <v>22436512450.642525</v>
      </c>
      <c r="Q84" s="101">
        <v>3538968131.912869</v>
      </c>
      <c r="R84" s="101">
        <v>3309311145.1765084</v>
      </c>
      <c r="S84" s="101">
        <f t="shared" si="9"/>
        <v>46342939.911887892</v>
      </c>
      <c r="T84" s="101">
        <f t="shared" si="6"/>
        <v>13205939.911887892</v>
      </c>
      <c r="U84" s="101">
        <f t="shared" si="7"/>
        <v>13205939.911887892</v>
      </c>
      <c r="V84" s="101">
        <v>471127</v>
      </c>
      <c r="W84" s="149">
        <f t="shared" si="8"/>
        <v>2.8030530858744865E-2</v>
      </c>
    </row>
    <row r="85" spans="1:23" x14ac:dyDescent="0.25">
      <c r="A85" t="s">
        <v>520</v>
      </c>
      <c r="B85" t="s">
        <v>218</v>
      </c>
      <c r="C85" s="101">
        <f t="shared" si="5"/>
        <v>3673</v>
      </c>
      <c r="D85" s="101">
        <v>2574</v>
      </c>
      <c r="E85" s="101">
        <v>1099</v>
      </c>
      <c r="F85" s="101">
        <v>2</v>
      </c>
      <c r="G85" s="101">
        <v>0</v>
      </c>
      <c r="H85" s="101">
        <v>146</v>
      </c>
      <c r="I85" s="101">
        <v>58</v>
      </c>
      <c r="J85" s="101">
        <v>1083</v>
      </c>
      <c r="K85" s="101">
        <v>1615</v>
      </c>
      <c r="L85" s="101">
        <v>192</v>
      </c>
      <c r="M85" s="101">
        <v>15</v>
      </c>
      <c r="N85" s="101">
        <v>1298</v>
      </c>
      <c r="O85" s="101">
        <v>52</v>
      </c>
      <c r="P85" s="101">
        <v>2379677633.5179825</v>
      </c>
      <c r="Q85" s="101">
        <v>226043918.25223818</v>
      </c>
      <c r="R85" s="101">
        <v>213742208.41538173</v>
      </c>
      <c r="S85" s="101">
        <f t="shared" si="9"/>
        <v>4477423.4703062503</v>
      </c>
      <c r="T85" s="101">
        <f t="shared" si="6"/>
        <v>804423.47030625027</v>
      </c>
      <c r="U85" s="101">
        <f t="shared" si="7"/>
        <v>804423.47030625027</v>
      </c>
      <c r="V85" s="101">
        <v>31304</v>
      </c>
      <c r="W85" s="149">
        <f t="shared" si="8"/>
        <v>2.5697146380853894E-2</v>
      </c>
    </row>
    <row r="86" spans="1:23" x14ac:dyDescent="0.25">
      <c r="A86" t="s">
        <v>521</v>
      </c>
      <c r="B86" t="s">
        <v>719</v>
      </c>
      <c r="C86" s="101">
        <v>17029</v>
      </c>
      <c r="D86" s="101">
        <v>7918</v>
      </c>
      <c r="E86" s="101">
        <v>13697</v>
      </c>
      <c r="F86" s="101">
        <v>2</v>
      </c>
      <c r="G86" s="101">
        <v>0</v>
      </c>
      <c r="H86" s="101">
        <v>232</v>
      </c>
      <c r="I86" s="101">
        <v>143</v>
      </c>
      <c r="J86" s="101">
        <v>5120</v>
      </c>
      <c r="K86" s="101">
        <v>6326</v>
      </c>
      <c r="L86" s="101">
        <v>847</v>
      </c>
      <c r="M86" s="101">
        <v>349</v>
      </c>
      <c r="N86" s="101">
        <v>3020</v>
      </c>
      <c r="O86" s="101">
        <v>542</v>
      </c>
      <c r="P86" s="101">
        <v>5390869015.1224594</v>
      </c>
      <c r="Q86" s="101">
        <v>1565942257.2134693</v>
      </c>
      <c r="R86" s="101">
        <v>1449851828.6088128</v>
      </c>
      <c r="S86" s="101">
        <f t="shared" si="9"/>
        <v>13223463.412382435</v>
      </c>
      <c r="T86" s="101">
        <v>-6192656.0000000019</v>
      </c>
      <c r="U86" s="101">
        <v>0</v>
      </c>
      <c r="V86" s="101">
        <v>302529</v>
      </c>
      <c r="W86" s="149">
        <v>-2.6675006030531728E-2</v>
      </c>
    </row>
    <row r="87" spans="1:23" x14ac:dyDescent="0.25">
      <c r="A87" t="s">
        <v>513</v>
      </c>
      <c r="B87" t="s">
        <v>358</v>
      </c>
      <c r="C87" s="101">
        <f t="shared" si="5"/>
        <v>4752</v>
      </c>
      <c r="D87" s="101">
        <v>2942</v>
      </c>
      <c r="E87" s="101">
        <v>1810</v>
      </c>
      <c r="F87" s="101">
        <v>6</v>
      </c>
      <c r="G87" s="101">
        <v>31</v>
      </c>
      <c r="H87" s="101">
        <v>726</v>
      </c>
      <c r="I87" s="101">
        <v>137</v>
      </c>
      <c r="J87" s="101">
        <v>2437</v>
      </c>
      <c r="K87" s="101">
        <v>1702</v>
      </c>
      <c r="L87" s="101">
        <v>356</v>
      </c>
      <c r="M87" s="101">
        <v>0</v>
      </c>
      <c r="N87" s="101">
        <v>577</v>
      </c>
      <c r="O87" s="101">
        <v>167</v>
      </c>
      <c r="P87" s="101">
        <v>4436279525.0513182</v>
      </c>
      <c r="Q87" s="101">
        <v>517548518.71326935</v>
      </c>
      <c r="R87" s="101">
        <v>466918772.31740606</v>
      </c>
      <c r="S87" s="101">
        <f t="shared" si="9"/>
        <v>8565336.7261493765</v>
      </c>
      <c r="T87" s="101">
        <f t="shared" si="6"/>
        <v>3813336.7261493765</v>
      </c>
      <c r="U87" s="101">
        <f t="shared" si="7"/>
        <v>3813336.7261493765</v>
      </c>
      <c r="V87" s="101">
        <v>61268</v>
      </c>
      <c r="W87" s="149">
        <f t="shared" si="8"/>
        <v>6.2240267776806434E-2</v>
      </c>
    </row>
    <row r="88" spans="1:23" x14ac:dyDescent="0.25">
      <c r="A88" t="s">
        <v>522</v>
      </c>
      <c r="B88" t="s">
        <v>402</v>
      </c>
      <c r="C88" s="101">
        <f t="shared" si="5"/>
        <v>6502</v>
      </c>
      <c r="D88" s="101">
        <v>5265</v>
      </c>
      <c r="E88" s="101">
        <v>1237</v>
      </c>
      <c r="F88" s="101">
        <v>8</v>
      </c>
      <c r="G88" s="101">
        <v>10</v>
      </c>
      <c r="H88" s="101">
        <v>1187</v>
      </c>
      <c r="I88" s="101">
        <v>260</v>
      </c>
      <c r="J88" s="101">
        <v>3756</v>
      </c>
      <c r="K88" s="101">
        <v>3913</v>
      </c>
      <c r="L88" s="101">
        <v>499</v>
      </c>
      <c r="M88" s="101">
        <v>134</v>
      </c>
      <c r="N88" s="101">
        <v>463</v>
      </c>
      <c r="O88" s="101">
        <v>40</v>
      </c>
      <c r="P88" s="101">
        <v>4645390037.6627398</v>
      </c>
      <c r="Q88" s="101">
        <v>436745489.11179054</v>
      </c>
      <c r="R88" s="101">
        <v>403976777.15029627</v>
      </c>
      <c r="S88" s="101">
        <f t="shared" si="9"/>
        <v>8698083.0291815158</v>
      </c>
      <c r="T88" s="101">
        <f t="shared" si="6"/>
        <v>2196083.0291815158</v>
      </c>
      <c r="U88" s="101">
        <f t="shared" si="7"/>
        <v>2196083.0291815158</v>
      </c>
      <c r="V88" s="101">
        <v>78812</v>
      </c>
      <c r="W88" s="149">
        <f t="shared" si="8"/>
        <v>2.7864830599166571E-2</v>
      </c>
    </row>
    <row r="89" spans="1:23" x14ac:dyDescent="0.25">
      <c r="A89" t="s">
        <v>513</v>
      </c>
      <c r="B89" t="s">
        <v>359</v>
      </c>
      <c r="C89" s="101">
        <f t="shared" si="5"/>
        <v>92637</v>
      </c>
      <c r="D89" s="101">
        <v>42841</v>
      </c>
      <c r="E89" s="101">
        <v>49796</v>
      </c>
      <c r="F89" s="101">
        <v>21831</v>
      </c>
      <c r="G89" s="101">
        <v>1221</v>
      </c>
      <c r="H89" s="101">
        <v>5400</v>
      </c>
      <c r="I89" s="101">
        <v>3072</v>
      </c>
      <c r="J89" s="101">
        <v>26671</v>
      </c>
      <c r="K89" s="101">
        <v>34006</v>
      </c>
      <c r="L89" s="101">
        <v>5255</v>
      </c>
      <c r="M89" s="101">
        <v>624</v>
      </c>
      <c r="N89" s="101">
        <v>9193</v>
      </c>
      <c r="O89" s="101">
        <v>1535</v>
      </c>
      <c r="P89" s="101">
        <v>45898711965.644073</v>
      </c>
      <c r="Q89" s="101">
        <v>10325399795.277576</v>
      </c>
      <c r="R89" s="101">
        <v>10325399795.277576</v>
      </c>
      <c r="S89" s="101">
        <f t="shared" si="9"/>
        <v>106146470.93213776</v>
      </c>
      <c r="T89" s="101">
        <f t="shared" si="6"/>
        <v>13509470.932137758</v>
      </c>
      <c r="U89" s="101">
        <f t="shared" si="7"/>
        <v>13509470.932137758</v>
      </c>
      <c r="V89" s="101">
        <v>1188910</v>
      </c>
      <c r="W89" s="149">
        <f t="shared" si="8"/>
        <v>1.1362904620314201E-2</v>
      </c>
    </row>
    <row r="90" spans="1:23" x14ac:dyDescent="0.25">
      <c r="A90" t="s">
        <v>515</v>
      </c>
      <c r="B90" t="s">
        <v>178</v>
      </c>
      <c r="C90" s="101">
        <f t="shared" si="5"/>
        <v>5544</v>
      </c>
      <c r="D90" s="101">
        <v>3529</v>
      </c>
      <c r="E90" s="101">
        <v>2015</v>
      </c>
      <c r="F90" s="101">
        <v>40</v>
      </c>
      <c r="G90" s="101">
        <v>55</v>
      </c>
      <c r="H90" s="101">
        <v>380</v>
      </c>
      <c r="I90" s="101">
        <v>241</v>
      </c>
      <c r="J90" s="101">
        <v>2709</v>
      </c>
      <c r="K90" s="101">
        <v>2716</v>
      </c>
      <c r="L90" s="101">
        <v>373</v>
      </c>
      <c r="M90" s="101">
        <v>720</v>
      </c>
      <c r="N90" s="101">
        <v>648</v>
      </c>
      <c r="O90" s="101">
        <v>362</v>
      </c>
      <c r="P90" s="101">
        <v>3744123728.3075113</v>
      </c>
      <c r="Q90" s="101">
        <v>534936512.42497998</v>
      </c>
      <c r="R90" s="101">
        <v>505274640.79912072</v>
      </c>
      <c r="S90" s="101">
        <f t="shared" si="9"/>
        <v>7583703.4507996766</v>
      </c>
      <c r="T90" s="101">
        <f t="shared" si="6"/>
        <v>2039703.4507996766</v>
      </c>
      <c r="U90" s="101">
        <f t="shared" si="7"/>
        <v>2039703.4507996766</v>
      </c>
      <c r="V90" s="101">
        <v>75086</v>
      </c>
      <c r="W90" s="149">
        <f t="shared" si="8"/>
        <v>2.7164896928850605E-2</v>
      </c>
    </row>
    <row r="91" spans="1:23" x14ac:dyDescent="0.25">
      <c r="A91" t="s">
        <v>512</v>
      </c>
      <c r="B91" t="s">
        <v>108</v>
      </c>
      <c r="C91" s="101">
        <f t="shared" si="5"/>
        <v>29085</v>
      </c>
      <c r="D91" s="101">
        <v>17058</v>
      </c>
      <c r="E91" s="101">
        <v>12027</v>
      </c>
      <c r="F91" s="101">
        <v>4643</v>
      </c>
      <c r="G91" s="101">
        <v>127</v>
      </c>
      <c r="H91" s="101">
        <v>709</v>
      </c>
      <c r="I91" s="101">
        <v>298</v>
      </c>
      <c r="J91" s="101">
        <v>12080</v>
      </c>
      <c r="K91" s="101">
        <v>15531</v>
      </c>
      <c r="L91" s="101">
        <v>1873</v>
      </c>
      <c r="M91" s="101">
        <v>875</v>
      </c>
      <c r="N91" s="101">
        <v>3328</v>
      </c>
      <c r="O91" s="101">
        <v>299</v>
      </c>
      <c r="P91" s="101">
        <v>13155142348.38456</v>
      </c>
      <c r="Q91" s="101">
        <v>2160202512.8901677</v>
      </c>
      <c r="R91" s="101">
        <v>2072239721.1721022</v>
      </c>
      <c r="S91" s="101">
        <f t="shared" si="9"/>
        <v>27592896.75621238</v>
      </c>
      <c r="T91" s="101">
        <f t="shared" si="6"/>
        <v>-1492103.2437876202</v>
      </c>
      <c r="U91" s="101">
        <f t="shared" si="7"/>
        <v>0</v>
      </c>
      <c r="V91" s="101">
        <v>517187</v>
      </c>
      <c r="W91" s="149">
        <f t="shared" si="8"/>
        <v>-2.8850362514673033E-3</v>
      </c>
    </row>
    <row r="92" spans="1:23" x14ac:dyDescent="0.25">
      <c r="A92" t="s">
        <v>514</v>
      </c>
      <c r="B92" t="s">
        <v>249</v>
      </c>
      <c r="C92" s="101">
        <f t="shared" si="5"/>
        <v>6344</v>
      </c>
      <c r="D92" s="101">
        <v>2936</v>
      </c>
      <c r="E92" s="101">
        <v>3408</v>
      </c>
      <c r="F92" s="101">
        <v>170</v>
      </c>
      <c r="G92" s="101">
        <v>67</v>
      </c>
      <c r="H92" s="101">
        <v>870</v>
      </c>
      <c r="I92" s="101">
        <v>44</v>
      </c>
      <c r="J92" s="101">
        <v>2149</v>
      </c>
      <c r="K92" s="101">
        <v>3621</v>
      </c>
      <c r="L92" s="101">
        <v>358</v>
      </c>
      <c r="M92" s="101">
        <v>227</v>
      </c>
      <c r="N92" s="101">
        <v>401</v>
      </c>
      <c r="O92" s="101">
        <v>871</v>
      </c>
      <c r="P92" s="101">
        <v>3009100276.478363</v>
      </c>
      <c r="Q92" s="101">
        <v>432654196.47374094</v>
      </c>
      <c r="R92" s="101">
        <v>417311849.0810551</v>
      </c>
      <c r="S92" s="101">
        <f t="shared" si="9"/>
        <v>6130739.7395515554</v>
      </c>
      <c r="T92" s="101">
        <f t="shared" si="6"/>
        <v>-213260.26044844463</v>
      </c>
      <c r="U92" s="101">
        <f t="shared" si="7"/>
        <v>0</v>
      </c>
      <c r="V92" s="101">
        <v>70940</v>
      </c>
      <c r="W92" s="149">
        <f t="shared" si="8"/>
        <v>-3.0062060959746917E-3</v>
      </c>
    </row>
    <row r="93" spans="1:23" x14ac:dyDescent="0.25">
      <c r="A93" t="s">
        <v>518</v>
      </c>
      <c r="B93" t="s">
        <v>144</v>
      </c>
      <c r="C93" s="101">
        <f t="shared" si="5"/>
        <v>61309</v>
      </c>
      <c r="D93" s="101">
        <v>27408</v>
      </c>
      <c r="E93" s="101">
        <v>33901</v>
      </c>
      <c r="F93" s="101">
        <v>15307</v>
      </c>
      <c r="G93" s="101">
        <v>432</v>
      </c>
      <c r="H93" s="101">
        <v>820</v>
      </c>
      <c r="I93" s="101">
        <v>1080</v>
      </c>
      <c r="J93" s="101">
        <v>22813</v>
      </c>
      <c r="K93" s="101">
        <v>21041</v>
      </c>
      <c r="L93" s="101">
        <v>4073</v>
      </c>
      <c r="M93" s="101">
        <v>608</v>
      </c>
      <c r="N93" s="101">
        <v>4146</v>
      </c>
      <c r="O93" s="101">
        <v>443</v>
      </c>
      <c r="P93" s="101">
        <v>23696403289.126343</v>
      </c>
      <c r="Q93" s="101">
        <v>3901047530.3802552</v>
      </c>
      <c r="R93" s="101">
        <v>3716403744.0334253</v>
      </c>
      <c r="S93" s="101">
        <f t="shared" si="9"/>
        <v>49651091.18962314</v>
      </c>
      <c r="T93" s="101">
        <f t="shared" si="6"/>
        <v>-11657908.81037686</v>
      </c>
      <c r="U93" s="101">
        <f t="shared" si="7"/>
        <v>0</v>
      </c>
      <c r="V93" s="101">
        <v>903796</v>
      </c>
      <c r="W93" s="149">
        <f t="shared" si="8"/>
        <v>-1.2898827623022076E-2</v>
      </c>
    </row>
    <row r="94" spans="1:23" x14ac:dyDescent="0.25">
      <c r="A94" t="s">
        <v>515</v>
      </c>
      <c r="B94" t="s">
        <v>179</v>
      </c>
      <c r="C94" s="101">
        <f t="shared" si="5"/>
        <v>7207</v>
      </c>
      <c r="D94" s="101">
        <v>5311</v>
      </c>
      <c r="E94" s="101">
        <v>1896</v>
      </c>
      <c r="F94" s="101">
        <v>1</v>
      </c>
      <c r="G94" s="101">
        <v>89</v>
      </c>
      <c r="H94" s="101">
        <v>862</v>
      </c>
      <c r="I94" s="101">
        <v>468</v>
      </c>
      <c r="J94" s="101">
        <v>3513</v>
      </c>
      <c r="K94" s="101">
        <v>5627</v>
      </c>
      <c r="L94" s="101">
        <v>715</v>
      </c>
      <c r="M94" s="101">
        <v>985</v>
      </c>
      <c r="N94" s="101">
        <v>816</v>
      </c>
      <c r="O94" s="101">
        <v>143</v>
      </c>
      <c r="P94" s="101">
        <v>7084664167.2749777</v>
      </c>
      <c r="Q94" s="101">
        <v>689382809.51135087</v>
      </c>
      <c r="R94" s="101">
        <v>651026941.02963626</v>
      </c>
      <c r="S94" s="101">
        <f t="shared" si="9"/>
        <v>13376815.288688131</v>
      </c>
      <c r="T94" s="101">
        <f t="shared" si="6"/>
        <v>6169815.2886881307</v>
      </c>
      <c r="U94" s="101">
        <f t="shared" si="7"/>
        <v>6169815.2886881307</v>
      </c>
      <c r="V94" s="101">
        <v>109860</v>
      </c>
      <c r="W94" s="149">
        <f t="shared" si="8"/>
        <v>5.6160707160824053E-2</v>
      </c>
    </row>
    <row r="95" spans="1:23" x14ac:dyDescent="0.25">
      <c r="A95" t="s">
        <v>515</v>
      </c>
      <c r="B95" t="s">
        <v>180</v>
      </c>
      <c r="C95" s="101">
        <f t="shared" si="5"/>
        <v>11215</v>
      </c>
      <c r="D95" s="101">
        <v>7117</v>
      </c>
      <c r="E95" s="101">
        <v>4098</v>
      </c>
      <c r="F95" s="101">
        <v>0</v>
      </c>
      <c r="G95" s="101">
        <v>0</v>
      </c>
      <c r="H95" s="101">
        <v>1354</v>
      </c>
      <c r="I95" s="101">
        <v>1707</v>
      </c>
      <c r="J95" s="101">
        <v>2925</v>
      </c>
      <c r="K95" s="101">
        <v>2560</v>
      </c>
      <c r="L95" s="101">
        <v>407</v>
      </c>
      <c r="M95" s="101">
        <v>433</v>
      </c>
      <c r="N95" s="101">
        <v>934</v>
      </c>
      <c r="O95" s="101">
        <v>231</v>
      </c>
      <c r="P95" s="101">
        <v>5422235592.0141726</v>
      </c>
      <c r="Q95" s="101">
        <v>815190058.13137484</v>
      </c>
      <c r="R95" s="101">
        <v>736383235.18584335</v>
      </c>
      <c r="S95" s="101">
        <f t="shared" si="9"/>
        <v>10997528.289505446</v>
      </c>
      <c r="T95" s="101">
        <f t="shared" si="6"/>
        <v>-217471.71049455367</v>
      </c>
      <c r="U95" s="101">
        <f t="shared" si="7"/>
        <v>0</v>
      </c>
      <c r="V95" s="101">
        <v>98566</v>
      </c>
      <c r="W95" s="149">
        <f t="shared" si="8"/>
        <v>-2.2063562536224833E-3</v>
      </c>
    </row>
    <row r="96" spans="1:23" x14ac:dyDescent="0.25">
      <c r="A96" t="s">
        <v>513</v>
      </c>
      <c r="B96" t="s">
        <v>360</v>
      </c>
      <c r="C96" s="101">
        <f t="shared" si="5"/>
        <v>10589</v>
      </c>
      <c r="D96" s="101">
        <v>6419</v>
      </c>
      <c r="E96" s="101">
        <v>4170</v>
      </c>
      <c r="F96" s="101">
        <v>2725</v>
      </c>
      <c r="G96" s="101">
        <v>50</v>
      </c>
      <c r="H96" s="101">
        <v>84</v>
      </c>
      <c r="I96" s="101">
        <v>167</v>
      </c>
      <c r="J96" s="101">
        <v>3177</v>
      </c>
      <c r="K96" s="101">
        <v>5995</v>
      </c>
      <c r="L96" s="101">
        <v>923</v>
      </c>
      <c r="M96" s="101">
        <v>97</v>
      </c>
      <c r="N96" s="101">
        <v>956</v>
      </c>
      <c r="O96" s="101">
        <v>541</v>
      </c>
      <c r="P96" s="101">
        <v>7383692200.3093119</v>
      </c>
      <c r="Q96" s="101">
        <v>1327624461.0470822</v>
      </c>
      <c r="R96" s="101">
        <v>1266743031.0414548</v>
      </c>
      <c r="S96" s="101">
        <f t="shared" si="9"/>
        <v>15817899.328515593</v>
      </c>
      <c r="T96" s="101">
        <f t="shared" si="6"/>
        <v>5228899.328515593</v>
      </c>
      <c r="U96" s="101">
        <f t="shared" si="7"/>
        <v>5228899.328515593</v>
      </c>
      <c r="V96" s="101">
        <v>154312</v>
      </c>
      <c r="W96" s="149">
        <f t="shared" si="8"/>
        <v>3.3885241125224175E-2</v>
      </c>
    </row>
    <row r="97" spans="1:23" x14ac:dyDescent="0.25">
      <c r="A97" t="s">
        <v>513</v>
      </c>
      <c r="B97" t="s">
        <v>361</v>
      </c>
      <c r="C97" s="101">
        <f t="shared" si="5"/>
        <v>8081</v>
      </c>
      <c r="D97" s="101">
        <v>3628</v>
      </c>
      <c r="E97" s="101">
        <v>4453</v>
      </c>
      <c r="F97" s="101">
        <v>5</v>
      </c>
      <c r="G97" s="101">
        <v>14</v>
      </c>
      <c r="H97" s="101">
        <v>44</v>
      </c>
      <c r="I97" s="101">
        <v>0</v>
      </c>
      <c r="J97" s="101">
        <v>2613</v>
      </c>
      <c r="K97" s="101">
        <v>2913</v>
      </c>
      <c r="L97" s="101">
        <v>415</v>
      </c>
      <c r="M97" s="101">
        <v>50</v>
      </c>
      <c r="N97" s="101">
        <v>1006</v>
      </c>
      <c r="O97" s="101">
        <v>58</v>
      </c>
      <c r="P97" s="101">
        <v>3584154186.1597733</v>
      </c>
      <c r="Q97" s="101">
        <v>770185839.11282969</v>
      </c>
      <c r="R97" s="101">
        <v>746645275.25954723</v>
      </c>
      <c r="S97" s="101">
        <f t="shared" si="9"/>
        <v>8098524.3550027953</v>
      </c>
      <c r="T97" s="101">
        <f t="shared" si="6"/>
        <v>17524.355002795346</v>
      </c>
      <c r="U97" s="101">
        <f t="shared" si="7"/>
        <v>17524.355002795346</v>
      </c>
      <c r="V97" s="101">
        <v>82004</v>
      </c>
      <c r="W97" s="149">
        <f t="shared" si="8"/>
        <v>2.1370122192570297E-4</v>
      </c>
    </row>
    <row r="98" spans="1:23" x14ac:dyDescent="0.25">
      <c r="A98" t="s">
        <v>513</v>
      </c>
      <c r="B98" t="s">
        <v>362</v>
      </c>
      <c r="C98" s="101">
        <f t="shared" si="5"/>
        <v>7333</v>
      </c>
      <c r="D98" s="101">
        <v>5135</v>
      </c>
      <c r="E98" s="101">
        <v>2198</v>
      </c>
      <c r="F98" s="101">
        <v>445</v>
      </c>
      <c r="G98" s="101">
        <v>0</v>
      </c>
      <c r="H98" s="101">
        <v>819</v>
      </c>
      <c r="I98" s="101">
        <v>381</v>
      </c>
      <c r="J98" s="101">
        <v>4254</v>
      </c>
      <c r="K98" s="101">
        <v>5920</v>
      </c>
      <c r="L98" s="101">
        <v>768</v>
      </c>
      <c r="M98" s="101">
        <v>0</v>
      </c>
      <c r="N98" s="101">
        <v>845</v>
      </c>
      <c r="O98" s="101">
        <v>67</v>
      </c>
      <c r="P98" s="101">
        <v>7515431823.2545071</v>
      </c>
      <c r="Q98" s="101">
        <v>679154577.91622698</v>
      </c>
      <c r="R98" s="101">
        <v>640287297.85475612</v>
      </c>
      <c r="S98" s="101">
        <f t="shared" si="9"/>
        <v>14029630.238247612</v>
      </c>
      <c r="T98" s="101">
        <f t="shared" si="6"/>
        <v>6696630.2382476125</v>
      </c>
      <c r="U98" s="101">
        <f t="shared" si="7"/>
        <v>6696630.2382476125</v>
      </c>
      <c r="V98" s="101">
        <v>147578</v>
      </c>
      <c r="W98" s="149">
        <f t="shared" si="8"/>
        <v>4.5376887058014154E-2</v>
      </c>
    </row>
    <row r="99" spans="1:23" x14ac:dyDescent="0.25">
      <c r="A99" t="s">
        <v>513</v>
      </c>
      <c r="B99" t="s">
        <v>363</v>
      </c>
      <c r="C99" s="101">
        <f t="shared" si="5"/>
        <v>10200</v>
      </c>
      <c r="D99" s="101">
        <v>6670</v>
      </c>
      <c r="E99" s="101">
        <v>3530</v>
      </c>
      <c r="F99" s="101">
        <v>10</v>
      </c>
      <c r="G99" s="101">
        <v>0</v>
      </c>
      <c r="H99" s="101">
        <v>263</v>
      </c>
      <c r="I99" s="101">
        <v>272</v>
      </c>
      <c r="J99" s="101">
        <v>3315</v>
      </c>
      <c r="K99" s="101">
        <v>3170</v>
      </c>
      <c r="L99" s="101">
        <v>603</v>
      </c>
      <c r="M99" s="101">
        <v>21</v>
      </c>
      <c r="N99" s="101">
        <v>1325</v>
      </c>
      <c r="O99" s="101">
        <v>249</v>
      </c>
      <c r="P99" s="101">
        <v>5428508907.3925152</v>
      </c>
      <c r="Q99" s="101">
        <v>757911961.198681</v>
      </c>
      <c r="R99" s="101">
        <v>675063285.2781775</v>
      </c>
      <c r="S99" s="101">
        <f t="shared" si="9"/>
        <v>10811923.587328447</v>
      </c>
      <c r="T99" s="101">
        <f t="shared" si="6"/>
        <v>611923.58732844703</v>
      </c>
      <c r="U99" s="101">
        <f t="shared" si="7"/>
        <v>611923.58732844703</v>
      </c>
      <c r="V99" s="101">
        <v>105372</v>
      </c>
      <c r="W99" s="149">
        <f t="shared" si="8"/>
        <v>5.8072693630988022E-3</v>
      </c>
    </row>
    <row r="100" spans="1:23" x14ac:dyDescent="0.25">
      <c r="A100" t="s">
        <v>522</v>
      </c>
      <c r="B100" t="s">
        <v>403</v>
      </c>
      <c r="C100" s="101">
        <f t="shared" si="5"/>
        <v>4098</v>
      </c>
      <c r="D100" s="101">
        <v>2785</v>
      </c>
      <c r="E100" s="101">
        <v>1313</v>
      </c>
      <c r="F100" s="101">
        <v>5</v>
      </c>
      <c r="G100" s="101">
        <v>0</v>
      </c>
      <c r="H100" s="101">
        <v>2000</v>
      </c>
      <c r="I100" s="101">
        <v>125</v>
      </c>
      <c r="J100" s="101">
        <v>2018</v>
      </c>
      <c r="K100" s="101">
        <v>1925</v>
      </c>
      <c r="L100" s="101">
        <v>332</v>
      </c>
      <c r="M100" s="101">
        <v>45</v>
      </c>
      <c r="N100" s="101">
        <v>370</v>
      </c>
      <c r="O100" s="101">
        <v>69</v>
      </c>
      <c r="P100" s="101">
        <v>2866905127.902596</v>
      </c>
      <c r="Q100" s="101">
        <v>440836781.74984008</v>
      </c>
      <c r="R100" s="101">
        <v>418308537.38631749</v>
      </c>
      <c r="S100" s="101">
        <f t="shared" si="9"/>
        <v>5907117.9132669941</v>
      </c>
      <c r="T100" s="101">
        <f t="shared" si="6"/>
        <v>1809117.9132669941</v>
      </c>
      <c r="U100" s="101">
        <f t="shared" si="7"/>
        <v>1809117.9132669941</v>
      </c>
      <c r="V100" s="101">
        <v>73829</v>
      </c>
      <c r="W100" s="149">
        <f t="shared" si="8"/>
        <v>2.4504163855219412E-2</v>
      </c>
    </row>
    <row r="101" spans="1:23" x14ac:dyDescent="0.25">
      <c r="A101" t="s">
        <v>513</v>
      </c>
      <c r="B101" t="s">
        <v>364</v>
      </c>
      <c r="C101" s="101">
        <f t="shared" si="5"/>
        <v>9262</v>
      </c>
      <c r="D101" s="101">
        <v>4263</v>
      </c>
      <c r="E101" s="101">
        <v>4999</v>
      </c>
      <c r="F101" s="101">
        <v>15</v>
      </c>
      <c r="G101" s="101">
        <v>0</v>
      </c>
      <c r="H101" s="101">
        <v>503</v>
      </c>
      <c r="I101" s="101">
        <v>133</v>
      </c>
      <c r="J101" s="101">
        <v>1787</v>
      </c>
      <c r="K101" s="101">
        <v>2486</v>
      </c>
      <c r="L101" s="101">
        <v>207</v>
      </c>
      <c r="M101" s="101">
        <v>0</v>
      </c>
      <c r="N101" s="101">
        <v>676</v>
      </c>
      <c r="O101" s="101">
        <v>101</v>
      </c>
      <c r="P101" s="101">
        <v>4325450953.3672647</v>
      </c>
      <c r="Q101" s="101">
        <v>919518020.40163851</v>
      </c>
      <c r="R101" s="101">
        <v>874488757.29905415</v>
      </c>
      <c r="S101" s="101">
        <f t="shared" si="9"/>
        <v>9688713.4064047709</v>
      </c>
      <c r="T101" s="101">
        <f t="shared" si="6"/>
        <v>426713.40640477091</v>
      </c>
      <c r="U101" s="101">
        <f t="shared" si="7"/>
        <v>426713.40640477091</v>
      </c>
      <c r="V101" s="101">
        <v>97203</v>
      </c>
      <c r="W101" s="149">
        <f t="shared" si="8"/>
        <v>4.3899201300862207E-3</v>
      </c>
    </row>
    <row r="102" spans="1:23" x14ac:dyDescent="0.25">
      <c r="A102" t="s">
        <v>517</v>
      </c>
      <c r="B102" t="s">
        <v>290</v>
      </c>
      <c r="C102" s="101">
        <f t="shared" si="5"/>
        <v>11823</v>
      </c>
      <c r="D102" s="101">
        <v>8802</v>
      </c>
      <c r="E102" s="101">
        <v>3021</v>
      </c>
      <c r="F102" s="101">
        <v>14</v>
      </c>
      <c r="G102" s="101">
        <v>35</v>
      </c>
      <c r="H102" s="101">
        <v>3651</v>
      </c>
      <c r="I102" s="101">
        <v>1380</v>
      </c>
      <c r="J102" s="101">
        <v>6548</v>
      </c>
      <c r="K102" s="101">
        <v>7254</v>
      </c>
      <c r="L102" s="101">
        <v>1055</v>
      </c>
      <c r="M102" s="101">
        <v>1047</v>
      </c>
      <c r="N102" s="101">
        <v>1802</v>
      </c>
      <c r="O102" s="101">
        <v>438</v>
      </c>
      <c r="P102" s="101">
        <v>9866879537.5699482</v>
      </c>
      <c r="Q102" s="101">
        <v>1325578814.7280576</v>
      </c>
      <c r="R102" s="101">
        <v>1265208957.4768376</v>
      </c>
      <c r="S102" s="101">
        <f t="shared" si="9"/>
        <v>19773689.436775178</v>
      </c>
      <c r="T102" s="101">
        <f t="shared" si="6"/>
        <v>7950689.4367751777</v>
      </c>
      <c r="U102" s="101">
        <f t="shared" si="7"/>
        <v>7950689.4367751777</v>
      </c>
      <c r="V102" s="101">
        <v>178991</v>
      </c>
      <c r="W102" s="149">
        <f t="shared" si="8"/>
        <v>4.4419492805644854E-2</v>
      </c>
    </row>
    <row r="103" spans="1:23" x14ac:dyDescent="0.25">
      <c r="A103" t="s">
        <v>524</v>
      </c>
      <c r="B103" t="s">
        <v>329</v>
      </c>
      <c r="C103" s="101">
        <f t="shared" si="5"/>
        <v>12811</v>
      </c>
      <c r="D103" s="101">
        <v>7213</v>
      </c>
      <c r="E103" s="101">
        <v>5598</v>
      </c>
      <c r="F103" s="101">
        <v>4581</v>
      </c>
      <c r="G103" s="101">
        <v>17</v>
      </c>
      <c r="H103" s="101">
        <v>351</v>
      </c>
      <c r="I103" s="101">
        <v>563</v>
      </c>
      <c r="J103" s="101">
        <v>6778</v>
      </c>
      <c r="K103" s="101">
        <v>5118</v>
      </c>
      <c r="L103" s="101">
        <v>887</v>
      </c>
      <c r="M103" s="101">
        <v>516</v>
      </c>
      <c r="N103" s="101">
        <v>1903</v>
      </c>
      <c r="O103" s="101">
        <v>502</v>
      </c>
      <c r="P103" s="101">
        <v>6486608101.2063112</v>
      </c>
      <c r="Q103" s="101">
        <v>1221250852.4577937</v>
      </c>
      <c r="R103" s="101">
        <v>1178274282.8698363</v>
      </c>
      <c r="S103" s="101">
        <f t="shared" si="9"/>
        <v>14104834.883778844</v>
      </c>
      <c r="T103" s="101">
        <f t="shared" si="6"/>
        <v>1293834.883778844</v>
      </c>
      <c r="U103" s="101">
        <f t="shared" si="7"/>
        <v>1293834.883778844</v>
      </c>
      <c r="V103" s="101">
        <v>201541</v>
      </c>
      <c r="W103" s="149">
        <f t="shared" si="8"/>
        <v>6.4197105491133021E-3</v>
      </c>
    </row>
    <row r="104" spans="1:23" x14ac:dyDescent="0.25">
      <c r="A104" t="s">
        <v>513</v>
      </c>
      <c r="B104" t="s">
        <v>365</v>
      </c>
      <c r="C104" s="101">
        <f t="shared" si="5"/>
        <v>7407</v>
      </c>
      <c r="D104" s="101">
        <v>5223</v>
      </c>
      <c r="E104" s="101">
        <v>2184</v>
      </c>
      <c r="F104" s="101">
        <v>2</v>
      </c>
      <c r="G104" s="101">
        <v>18</v>
      </c>
      <c r="H104" s="101">
        <v>125</v>
      </c>
      <c r="I104" s="101">
        <v>0</v>
      </c>
      <c r="J104" s="101">
        <v>2607</v>
      </c>
      <c r="K104" s="101">
        <v>2213</v>
      </c>
      <c r="L104" s="101">
        <v>550</v>
      </c>
      <c r="M104" s="101">
        <v>0</v>
      </c>
      <c r="N104" s="101">
        <v>1126</v>
      </c>
      <c r="O104" s="101">
        <v>176</v>
      </c>
      <c r="P104" s="101">
        <v>4649572247.9149685</v>
      </c>
      <c r="Q104" s="101">
        <v>396855385.89080733</v>
      </c>
      <c r="R104" s="101">
        <v>373330453.22202235</v>
      </c>
      <c r="S104" s="101">
        <f t="shared" si="9"/>
        <v>8606991.8812026251</v>
      </c>
      <c r="T104" s="101">
        <f t="shared" si="6"/>
        <v>1199991.8812026251</v>
      </c>
      <c r="U104" s="101">
        <f t="shared" si="7"/>
        <v>1199991.8812026251</v>
      </c>
      <c r="V104" s="101">
        <v>72657</v>
      </c>
      <c r="W104" s="149">
        <f t="shared" si="8"/>
        <v>1.6515846803509988E-2</v>
      </c>
    </row>
    <row r="105" spans="1:23" x14ac:dyDescent="0.25">
      <c r="A105" t="s">
        <v>514</v>
      </c>
      <c r="B105" t="s">
        <v>486</v>
      </c>
      <c r="C105" s="101">
        <f t="shared" si="5"/>
        <v>13203</v>
      </c>
      <c r="D105" s="101">
        <v>10448</v>
      </c>
      <c r="E105" s="101">
        <v>2755</v>
      </c>
      <c r="F105" s="101">
        <v>3603</v>
      </c>
      <c r="G105" s="101">
        <v>45</v>
      </c>
      <c r="H105" s="101">
        <v>346</v>
      </c>
      <c r="I105" s="101">
        <v>276</v>
      </c>
      <c r="J105" s="101">
        <v>7310</v>
      </c>
      <c r="K105" s="101">
        <v>9498</v>
      </c>
      <c r="L105" s="101">
        <v>1262</v>
      </c>
      <c r="M105" s="101">
        <v>769</v>
      </c>
      <c r="N105" s="101">
        <v>2875</v>
      </c>
      <c r="O105" s="101">
        <v>76</v>
      </c>
      <c r="P105" s="101">
        <v>16858489526.732843</v>
      </c>
      <c r="Q105" s="101">
        <v>982933056.29140675</v>
      </c>
      <c r="R105" s="101">
        <v>946603932.39932454</v>
      </c>
      <c r="S105" s="101">
        <f t="shared" si="9"/>
        <v>29908957.339492735</v>
      </c>
      <c r="T105" s="101">
        <f t="shared" si="6"/>
        <v>16705957.339492735</v>
      </c>
      <c r="U105" s="101">
        <f t="shared" si="7"/>
        <v>16705957.339492735</v>
      </c>
      <c r="V105" s="101">
        <v>175898</v>
      </c>
      <c r="W105" s="149">
        <f t="shared" si="8"/>
        <v>9.4975254633325762E-2</v>
      </c>
    </row>
    <row r="106" spans="1:23" x14ac:dyDescent="0.25">
      <c r="A106" t="s">
        <v>517</v>
      </c>
      <c r="B106" t="s">
        <v>291</v>
      </c>
      <c r="C106" s="101">
        <f t="shared" si="5"/>
        <v>12000</v>
      </c>
      <c r="D106" s="101">
        <v>5771</v>
      </c>
      <c r="E106" s="101">
        <v>6229</v>
      </c>
      <c r="F106" s="101">
        <v>3627</v>
      </c>
      <c r="G106" s="101">
        <v>150</v>
      </c>
      <c r="H106" s="101">
        <v>337</v>
      </c>
      <c r="I106" s="101">
        <v>151</v>
      </c>
      <c r="J106" s="101">
        <v>3962</v>
      </c>
      <c r="K106" s="101">
        <v>6628</v>
      </c>
      <c r="L106" s="101">
        <v>738</v>
      </c>
      <c r="M106" s="101">
        <v>344</v>
      </c>
      <c r="N106" s="101">
        <v>1176</v>
      </c>
      <c r="O106" s="101">
        <v>1622</v>
      </c>
      <c r="P106" s="101">
        <v>6448968208.9362555</v>
      </c>
      <c r="Q106" s="101">
        <v>1078055610.1260591</v>
      </c>
      <c r="R106" s="101">
        <v>1056054475.2255272</v>
      </c>
      <c r="S106" s="101">
        <f t="shared" si="9"/>
        <v>13654918.069222758</v>
      </c>
      <c r="T106" s="101">
        <f t="shared" si="6"/>
        <v>1654918.0692227576</v>
      </c>
      <c r="U106" s="101">
        <f t="shared" si="7"/>
        <v>1654918.0692227576</v>
      </c>
      <c r="V106" s="101">
        <v>181797</v>
      </c>
      <c r="W106" s="149">
        <f t="shared" si="8"/>
        <v>9.1031098930277037E-3</v>
      </c>
    </row>
    <row r="107" spans="1:23" x14ac:dyDescent="0.25">
      <c r="A107" t="s">
        <v>517</v>
      </c>
      <c r="B107" t="s">
        <v>292</v>
      </c>
      <c r="C107" s="101">
        <f t="shared" si="5"/>
        <v>20581</v>
      </c>
      <c r="D107" s="101">
        <v>10913</v>
      </c>
      <c r="E107" s="101">
        <v>9668</v>
      </c>
      <c r="F107" s="101">
        <v>5713</v>
      </c>
      <c r="G107" s="101">
        <v>342</v>
      </c>
      <c r="H107" s="101">
        <v>233</v>
      </c>
      <c r="I107" s="101">
        <v>328</v>
      </c>
      <c r="J107" s="101">
        <v>20708</v>
      </c>
      <c r="K107" s="101">
        <v>14710</v>
      </c>
      <c r="L107" s="101">
        <v>1819</v>
      </c>
      <c r="M107" s="101">
        <v>0</v>
      </c>
      <c r="N107" s="101">
        <v>3082</v>
      </c>
      <c r="O107" s="101">
        <v>413</v>
      </c>
      <c r="P107" s="101">
        <v>12218327251.885389</v>
      </c>
      <c r="Q107" s="101">
        <v>1526052153.9924858</v>
      </c>
      <c r="R107" s="101">
        <v>1449851828.6088128</v>
      </c>
      <c r="S107" s="101">
        <f t="shared" si="9"/>
        <v>24113259.300019309</v>
      </c>
      <c r="T107" s="101">
        <f t="shared" si="6"/>
        <v>3532259.3000193089</v>
      </c>
      <c r="U107" s="101">
        <f t="shared" si="7"/>
        <v>3532259.3000193089</v>
      </c>
      <c r="V107" s="101">
        <v>365365</v>
      </c>
      <c r="W107" s="149">
        <f t="shared" si="8"/>
        <v>9.667754984794134E-3</v>
      </c>
    </row>
    <row r="108" spans="1:23" x14ac:dyDescent="0.25">
      <c r="A108" t="s">
        <v>521</v>
      </c>
      <c r="B108" t="s">
        <v>721</v>
      </c>
      <c r="C108" s="101">
        <f t="shared" si="5"/>
        <v>119494</v>
      </c>
      <c r="D108" s="101">
        <v>60526</v>
      </c>
      <c r="E108" s="101">
        <v>58968</v>
      </c>
      <c r="F108" s="101">
        <v>31415</v>
      </c>
      <c r="G108" s="101">
        <v>1469</v>
      </c>
      <c r="H108" s="101">
        <v>2477</v>
      </c>
      <c r="I108" s="101">
        <v>818</v>
      </c>
      <c r="J108" s="101">
        <v>22876</v>
      </c>
      <c r="K108" s="101">
        <v>37468</v>
      </c>
      <c r="L108" s="101">
        <v>4771</v>
      </c>
      <c r="M108" s="101">
        <v>1869</v>
      </c>
      <c r="N108" s="101">
        <v>17408</v>
      </c>
      <c r="O108" s="101">
        <v>2639</v>
      </c>
      <c r="P108" s="101">
        <v>39258407637.668373</v>
      </c>
      <c r="Q108" s="101">
        <v>6761883907.5364103</v>
      </c>
      <c r="R108" s="101">
        <v>6607949022.0297947</v>
      </c>
      <c r="S108" s="101">
        <f t="shared" si="9"/>
        <v>83696517.562356099</v>
      </c>
      <c r="T108" s="101">
        <f t="shared" si="6"/>
        <v>-35797482.437643901</v>
      </c>
      <c r="U108" s="101">
        <f t="shared" si="7"/>
        <v>0</v>
      </c>
      <c r="V108" s="101">
        <v>1376051</v>
      </c>
      <c r="W108" s="149">
        <f t="shared" si="8"/>
        <v>-2.6014648030955177E-2</v>
      </c>
    </row>
    <row r="109" spans="1:23" x14ac:dyDescent="0.25">
      <c r="A109" t="s">
        <v>522</v>
      </c>
      <c r="B109" t="s">
        <v>404</v>
      </c>
      <c r="C109" s="101">
        <f t="shared" si="5"/>
        <v>4523</v>
      </c>
      <c r="D109" s="101">
        <v>3100</v>
      </c>
      <c r="E109" s="101">
        <v>1423</v>
      </c>
      <c r="F109" s="101">
        <v>5</v>
      </c>
      <c r="G109" s="101">
        <v>0</v>
      </c>
      <c r="H109" s="101">
        <v>2665</v>
      </c>
      <c r="I109" s="101">
        <v>267</v>
      </c>
      <c r="J109" s="101">
        <v>2566</v>
      </c>
      <c r="K109" s="101">
        <v>2216</v>
      </c>
      <c r="L109" s="101">
        <v>210</v>
      </c>
      <c r="M109" s="101">
        <v>15</v>
      </c>
      <c r="N109" s="101">
        <v>516</v>
      </c>
      <c r="O109" s="101">
        <v>31</v>
      </c>
      <c r="P109" s="101">
        <v>2440319682.1752949</v>
      </c>
      <c r="Q109" s="101">
        <v>216838509.8166267</v>
      </c>
      <c r="R109" s="101">
        <v>186665226.61101118</v>
      </c>
      <c r="S109" s="101">
        <f t="shared" si="9"/>
        <v>4487771.965958721</v>
      </c>
      <c r="T109" s="101">
        <f t="shared" si="6"/>
        <v>-35228.034041278996</v>
      </c>
      <c r="U109" s="101">
        <f t="shared" si="7"/>
        <v>0</v>
      </c>
      <c r="V109" s="101">
        <v>48778</v>
      </c>
      <c r="W109" s="149">
        <f t="shared" si="8"/>
        <v>-7.222115306342818E-4</v>
      </c>
    </row>
    <row r="110" spans="1:23" x14ac:dyDescent="0.25">
      <c r="A110" t="s">
        <v>518</v>
      </c>
      <c r="B110" t="s">
        <v>145</v>
      </c>
      <c r="C110" s="101">
        <f t="shared" si="5"/>
        <v>7911</v>
      </c>
      <c r="D110" s="101">
        <v>4578</v>
      </c>
      <c r="E110" s="101">
        <v>3333</v>
      </c>
      <c r="F110" s="101">
        <v>0</v>
      </c>
      <c r="G110" s="101">
        <v>0</v>
      </c>
      <c r="H110" s="101">
        <v>167</v>
      </c>
      <c r="I110" s="101">
        <v>191</v>
      </c>
      <c r="J110" s="101">
        <v>4292</v>
      </c>
      <c r="K110" s="101">
        <v>2652</v>
      </c>
      <c r="L110" s="101">
        <v>467</v>
      </c>
      <c r="M110" s="101">
        <v>153</v>
      </c>
      <c r="N110" s="101">
        <v>705</v>
      </c>
      <c r="O110" s="101">
        <v>46</v>
      </c>
      <c r="P110" s="101">
        <v>4057789497.2246442</v>
      </c>
      <c r="Q110" s="101">
        <v>622899304.14304554</v>
      </c>
      <c r="R110" s="101">
        <v>535447924.00473619</v>
      </c>
      <c r="S110" s="101">
        <f t="shared" si="9"/>
        <v>8180253.1256484166</v>
      </c>
      <c r="T110" s="101">
        <f t="shared" si="6"/>
        <v>269253.12564841658</v>
      </c>
      <c r="U110" s="101">
        <f t="shared" si="7"/>
        <v>269253.12564841658</v>
      </c>
      <c r="V110" s="101">
        <v>83183</v>
      </c>
      <c r="W110" s="149">
        <f t="shared" si="8"/>
        <v>3.2368768335887931E-3</v>
      </c>
    </row>
    <row r="111" spans="1:23" x14ac:dyDescent="0.25">
      <c r="A111" t="s">
        <v>514</v>
      </c>
      <c r="B111" t="s">
        <v>250</v>
      </c>
      <c r="C111" s="101">
        <f t="shared" si="5"/>
        <v>52474</v>
      </c>
      <c r="D111" s="101">
        <v>29218</v>
      </c>
      <c r="E111" s="101">
        <v>23256</v>
      </c>
      <c r="F111" s="101">
        <v>29538</v>
      </c>
      <c r="G111" s="101">
        <v>1206</v>
      </c>
      <c r="H111" s="101">
        <v>3512</v>
      </c>
      <c r="I111" s="101">
        <v>2496</v>
      </c>
      <c r="J111" s="101">
        <v>16164</v>
      </c>
      <c r="K111" s="101">
        <v>31719</v>
      </c>
      <c r="L111" s="101">
        <v>2784</v>
      </c>
      <c r="M111" s="101">
        <v>1105</v>
      </c>
      <c r="N111" s="101">
        <v>12396</v>
      </c>
      <c r="O111" s="101">
        <v>3334</v>
      </c>
      <c r="P111" s="101">
        <v>40651083651.660439</v>
      </c>
      <c r="Q111" s="101">
        <v>4642594321.0267382</v>
      </c>
      <c r="R111" s="101">
        <v>4572523215.8178959</v>
      </c>
      <c r="S111" s="101">
        <f t="shared" si="9"/>
        <v>79424827.482857481</v>
      </c>
      <c r="T111" s="101">
        <f t="shared" si="6"/>
        <v>26950827.482857481</v>
      </c>
      <c r="U111" s="101">
        <f t="shared" si="7"/>
        <v>26950827.482857481</v>
      </c>
      <c r="V111" s="101">
        <v>763986</v>
      </c>
      <c r="W111" s="149">
        <f t="shared" si="8"/>
        <v>3.5276598632510911E-2</v>
      </c>
    </row>
    <row r="112" spans="1:23" x14ac:dyDescent="0.25">
      <c r="A112" t="s">
        <v>514</v>
      </c>
      <c r="B112" t="s">
        <v>251</v>
      </c>
      <c r="C112" s="101">
        <f t="shared" si="5"/>
        <v>102524</v>
      </c>
      <c r="D112" s="101">
        <v>23548</v>
      </c>
      <c r="E112" s="101">
        <v>78976</v>
      </c>
      <c r="F112" s="101">
        <v>3221</v>
      </c>
      <c r="G112" s="101">
        <v>125</v>
      </c>
      <c r="H112" s="101">
        <v>15281</v>
      </c>
      <c r="I112" s="101">
        <v>1856</v>
      </c>
      <c r="J112" s="101">
        <v>13809</v>
      </c>
      <c r="K112" s="101">
        <v>27718</v>
      </c>
      <c r="L112" s="101">
        <v>4178</v>
      </c>
      <c r="M112" s="101">
        <v>888</v>
      </c>
      <c r="N112" s="101">
        <v>10683</v>
      </c>
      <c r="O112" s="101">
        <v>725</v>
      </c>
      <c r="P112" s="101">
        <v>33934453986.581566</v>
      </c>
      <c r="Q112" s="101">
        <v>14173260521.363188</v>
      </c>
      <c r="R112" s="101">
        <v>14173260521.363188</v>
      </c>
      <c r="S112" s="101">
        <f t="shared" si="9"/>
        <v>99338155.171746179</v>
      </c>
      <c r="T112" s="101">
        <f t="shared" si="6"/>
        <v>-3185844.8282538205</v>
      </c>
      <c r="U112" s="101">
        <f t="shared" si="7"/>
        <v>0</v>
      </c>
      <c r="V112" s="101">
        <v>608756</v>
      </c>
      <c r="W112" s="149">
        <f t="shared" si="8"/>
        <v>-5.2333690809681062E-3</v>
      </c>
    </row>
    <row r="113" spans="1:23" x14ac:dyDescent="0.25">
      <c r="A113" t="s">
        <v>513</v>
      </c>
      <c r="B113" t="s">
        <v>368</v>
      </c>
      <c r="C113" s="101">
        <f t="shared" si="5"/>
        <v>8883</v>
      </c>
      <c r="D113" s="101">
        <v>4265</v>
      </c>
      <c r="E113" s="101">
        <v>4618</v>
      </c>
      <c r="F113" s="101">
        <v>1</v>
      </c>
      <c r="G113" s="101">
        <v>0</v>
      </c>
      <c r="H113" s="101">
        <v>624</v>
      </c>
      <c r="I113" s="101">
        <v>0</v>
      </c>
      <c r="J113" s="101">
        <v>3442</v>
      </c>
      <c r="K113" s="101">
        <v>4790</v>
      </c>
      <c r="L113" s="101">
        <v>750</v>
      </c>
      <c r="M113" s="101">
        <v>30</v>
      </c>
      <c r="N113" s="101">
        <v>1213</v>
      </c>
      <c r="O113" s="101">
        <v>137</v>
      </c>
      <c r="P113" s="101">
        <v>5088704324.3989544</v>
      </c>
      <c r="Q113" s="101">
        <v>1067827378.5309352</v>
      </c>
      <c r="R113" s="101">
        <v>1008986866.5371367</v>
      </c>
      <c r="S113" s="101">
        <f t="shared" si="9"/>
        <v>11335151.5016698</v>
      </c>
      <c r="T113" s="101">
        <f t="shared" si="6"/>
        <v>2452151.5016697999</v>
      </c>
      <c r="U113" s="101">
        <f t="shared" si="7"/>
        <v>2452151.5016697999</v>
      </c>
      <c r="V113" s="101">
        <v>113605</v>
      </c>
      <c r="W113" s="149">
        <f t="shared" si="8"/>
        <v>2.1584890644512123E-2</v>
      </c>
    </row>
    <row r="114" spans="1:23" x14ac:dyDescent="0.25">
      <c r="A114" t="s">
        <v>518</v>
      </c>
      <c r="B114" t="s">
        <v>146</v>
      </c>
      <c r="C114" s="101">
        <f t="shared" si="5"/>
        <v>16538</v>
      </c>
      <c r="D114" s="101">
        <v>7490</v>
      </c>
      <c r="E114" s="101">
        <v>9048</v>
      </c>
      <c r="F114" s="101">
        <v>1675</v>
      </c>
      <c r="G114" s="101">
        <v>0</v>
      </c>
      <c r="H114" s="101">
        <v>1520</v>
      </c>
      <c r="I114" s="101">
        <v>619</v>
      </c>
      <c r="J114" s="101">
        <v>8643</v>
      </c>
      <c r="K114" s="101">
        <v>6160</v>
      </c>
      <c r="L114" s="101">
        <v>1249</v>
      </c>
      <c r="M114" s="101">
        <v>496</v>
      </c>
      <c r="N114" s="101">
        <v>2311</v>
      </c>
      <c r="O114" s="101">
        <v>296</v>
      </c>
      <c r="P114" s="101">
        <v>8850602446.2784367</v>
      </c>
      <c r="Q114" s="101">
        <v>1865629442.9505992</v>
      </c>
      <c r="R114" s="101">
        <v>1697886444.7905672</v>
      </c>
      <c r="S114" s="101">
        <f t="shared" si="9"/>
        <v>19532968.660696018</v>
      </c>
      <c r="T114" s="101">
        <f t="shared" si="6"/>
        <v>2994968.6606960185</v>
      </c>
      <c r="U114" s="101">
        <f t="shared" si="7"/>
        <v>2994968.6606960185</v>
      </c>
      <c r="V114" s="101">
        <v>254955</v>
      </c>
      <c r="W114" s="149">
        <f t="shared" si="8"/>
        <v>1.1747048148481177E-2</v>
      </c>
    </row>
    <row r="115" spans="1:23" x14ac:dyDescent="0.25">
      <c r="A115" t="s">
        <v>515</v>
      </c>
      <c r="B115" t="s">
        <v>181</v>
      </c>
      <c r="C115" s="101">
        <f t="shared" si="5"/>
        <v>15075</v>
      </c>
      <c r="D115" s="101">
        <v>8820</v>
      </c>
      <c r="E115" s="101">
        <v>6255</v>
      </c>
      <c r="F115" s="101">
        <v>2872</v>
      </c>
      <c r="G115" s="101">
        <v>201</v>
      </c>
      <c r="H115" s="101">
        <v>322</v>
      </c>
      <c r="I115" s="101">
        <v>450</v>
      </c>
      <c r="J115" s="101">
        <v>4218</v>
      </c>
      <c r="K115" s="101">
        <v>6076</v>
      </c>
      <c r="L115" s="101">
        <v>724</v>
      </c>
      <c r="M115" s="101">
        <v>1188</v>
      </c>
      <c r="N115" s="101">
        <v>910</v>
      </c>
      <c r="O115" s="101">
        <v>736</v>
      </c>
      <c r="P115" s="101">
        <v>8856875761.6567802</v>
      </c>
      <c r="Q115" s="101">
        <v>1281597418.8690248</v>
      </c>
      <c r="R115" s="101">
        <v>1249877243.2323463</v>
      </c>
      <c r="S115" s="101">
        <f t="shared" si="9"/>
        <v>18113825.245753746</v>
      </c>
      <c r="T115" s="101">
        <f t="shared" si="6"/>
        <v>3038825.2457537465</v>
      </c>
      <c r="U115" s="101">
        <f t="shared" si="7"/>
        <v>3038825.2457537465</v>
      </c>
      <c r="V115" s="101">
        <v>224776</v>
      </c>
      <c r="W115" s="149">
        <f t="shared" si="8"/>
        <v>1.3519349244375495E-2</v>
      </c>
    </row>
    <row r="116" spans="1:23" x14ac:dyDescent="0.25">
      <c r="A116" t="s">
        <v>517</v>
      </c>
      <c r="B116" t="s">
        <v>293</v>
      </c>
      <c r="C116" s="101">
        <f t="shared" si="5"/>
        <v>5347</v>
      </c>
      <c r="D116" s="101">
        <v>3072</v>
      </c>
      <c r="E116" s="101">
        <v>2275</v>
      </c>
      <c r="F116" s="101">
        <v>0</v>
      </c>
      <c r="G116" s="101">
        <v>24</v>
      </c>
      <c r="H116" s="101">
        <v>0</v>
      </c>
      <c r="I116" s="101">
        <v>94</v>
      </c>
      <c r="J116" s="101">
        <v>1676</v>
      </c>
      <c r="K116" s="101">
        <v>2879</v>
      </c>
      <c r="L116" s="101">
        <v>344</v>
      </c>
      <c r="M116" s="101">
        <v>390</v>
      </c>
      <c r="N116" s="101">
        <v>416</v>
      </c>
      <c r="O116" s="101">
        <v>70</v>
      </c>
      <c r="P116" s="101">
        <v>2887816179.1637383</v>
      </c>
      <c r="Q116" s="101">
        <v>464361714.41862506</v>
      </c>
      <c r="R116" s="101">
        <v>458218009.26644927</v>
      </c>
      <c r="S116" s="101">
        <f t="shared" si="9"/>
        <v>6067782.2553261369</v>
      </c>
      <c r="T116" s="101">
        <f t="shared" si="6"/>
        <v>720782.25532613695</v>
      </c>
      <c r="U116" s="101">
        <f t="shared" si="7"/>
        <v>720782.25532613695</v>
      </c>
      <c r="V116" s="101">
        <v>58387</v>
      </c>
      <c r="W116" s="149">
        <f t="shared" si="8"/>
        <v>1.2344909917038672E-2</v>
      </c>
    </row>
    <row r="117" spans="1:23" x14ac:dyDescent="0.25">
      <c r="A117" t="s">
        <v>516</v>
      </c>
      <c r="B117" t="s">
        <v>128</v>
      </c>
      <c r="C117" s="101">
        <f t="shared" si="5"/>
        <v>5056</v>
      </c>
      <c r="D117" s="101">
        <v>2114</v>
      </c>
      <c r="E117" s="101">
        <v>2942</v>
      </c>
      <c r="F117" s="101">
        <v>7610</v>
      </c>
      <c r="G117" s="101">
        <v>137</v>
      </c>
      <c r="H117" s="101">
        <v>295</v>
      </c>
      <c r="I117" s="101">
        <v>0</v>
      </c>
      <c r="J117" s="101">
        <v>1826</v>
      </c>
      <c r="K117" s="101">
        <v>2189</v>
      </c>
      <c r="L117" s="101">
        <v>196</v>
      </c>
      <c r="M117" s="101">
        <v>40</v>
      </c>
      <c r="N117" s="101">
        <v>354</v>
      </c>
      <c r="O117" s="101">
        <v>313</v>
      </c>
      <c r="P117" s="101">
        <v>2038827497.9613647</v>
      </c>
      <c r="Q117" s="101">
        <v>457201952.30203831</v>
      </c>
      <c r="R117" s="101">
        <v>438258534.34551495</v>
      </c>
      <c r="S117" s="101">
        <f t="shared" si="9"/>
        <v>4649974.5838105688</v>
      </c>
      <c r="T117" s="101">
        <f t="shared" si="6"/>
        <v>-406025.41618943121</v>
      </c>
      <c r="U117" s="101">
        <f t="shared" si="7"/>
        <v>0</v>
      </c>
      <c r="V117" s="101">
        <v>77423</v>
      </c>
      <c r="W117" s="149">
        <f t="shared" si="8"/>
        <v>-5.2442480424348221E-3</v>
      </c>
    </row>
    <row r="118" spans="1:23" x14ac:dyDescent="0.25">
      <c r="A118" t="s">
        <v>518</v>
      </c>
      <c r="B118" t="s">
        <v>182</v>
      </c>
      <c r="C118" s="101">
        <f t="shared" si="5"/>
        <v>4484</v>
      </c>
      <c r="D118" s="101">
        <v>3303</v>
      </c>
      <c r="E118" s="101">
        <v>1181</v>
      </c>
      <c r="F118" s="101">
        <v>0</v>
      </c>
      <c r="G118" s="101">
        <v>13</v>
      </c>
      <c r="H118" s="101">
        <v>365</v>
      </c>
      <c r="I118" s="101">
        <v>60</v>
      </c>
      <c r="J118" s="101">
        <v>1542</v>
      </c>
      <c r="K118" s="101">
        <v>1482</v>
      </c>
      <c r="L118" s="101">
        <v>186</v>
      </c>
      <c r="M118" s="101">
        <v>398</v>
      </c>
      <c r="N118" s="101">
        <v>304</v>
      </c>
      <c r="O118" s="101">
        <v>180</v>
      </c>
      <c r="P118" s="101">
        <v>2406862000.1574674</v>
      </c>
      <c r="Q118" s="101">
        <v>171834290.79808149</v>
      </c>
      <c r="R118" s="101">
        <v>162088465.34983212</v>
      </c>
      <c r="S118" s="101">
        <f t="shared" si="9"/>
        <v>4356007.0947171245</v>
      </c>
      <c r="T118" s="101">
        <f t="shared" si="6"/>
        <v>-127992.90528287552</v>
      </c>
      <c r="U118" s="101">
        <f t="shared" si="7"/>
        <v>0</v>
      </c>
      <c r="V118" s="101">
        <v>37335</v>
      </c>
      <c r="W118" s="149">
        <f t="shared" si="8"/>
        <v>-3.4282283455973088E-3</v>
      </c>
    </row>
    <row r="119" spans="1:23" x14ac:dyDescent="0.25">
      <c r="A119" t="s">
        <v>514</v>
      </c>
      <c r="B119" t="s">
        <v>252</v>
      </c>
      <c r="C119" s="101">
        <f t="shared" si="5"/>
        <v>8846</v>
      </c>
      <c r="D119" s="101">
        <v>6250</v>
      </c>
      <c r="E119" s="101">
        <v>2596</v>
      </c>
      <c r="F119" s="101">
        <v>0</v>
      </c>
      <c r="G119" s="101">
        <v>47</v>
      </c>
      <c r="H119" s="101">
        <v>134</v>
      </c>
      <c r="I119" s="101">
        <v>181</v>
      </c>
      <c r="J119" s="101">
        <v>4180</v>
      </c>
      <c r="K119" s="101">
        <v>7635</v>
      </c>
      <c r="L119" s="101">
        <v>805</v>
      </c>
      <c r="M119" s="101">
        <v>262</v>
      </c>
      <c r="N119" s="101">
        <v>906</v>
      </c>
      <c r="O119" s="101">
        <v>131</v>
      </c>
      <c r="P119" s="101">
        <v>7506021850.1869936</v>
      </c>
      <c r="Q119" s="101">
        <v>555392975.6152277</v>
      </c>
      <c r="R119" s="101">
        <v>543630509.28083527</v>
      </c>
      <c r="S119" s="101">
        <f t="shared" si="9"/>
        <v>13706286.175654121</v>
      </c>
      <c r="T119" s="101">
        <f t="shared" si="6"/>
        <v>4860286.1756541207</v>
      </c>
      <c r="U119" s="101">
        <f t="shared" si="7"/>
        <v>4860286.1756541207</v>
      </c>
      <c r="V119" s="101">
        <v>128373</v>
      </c>
      <c r="W119" s="149">
        <f t="shared" si="8"/>
        <v>3.7860657425269492E-2</v>
      </c>
    </row>
    <row r="120" spans="1:23" x14ac:dyDescent="0.25">
      <c r="A120" t="s">
        <v>514</v>
      </c>
      <c r="B120" t="s">
        <v>253</v>
      </c>
      <c r="C120" s="101">
        <f t="shared" si="5"/>
        <v>8792</v>
      </c>
      <c r="D120" s="101">
        <v>6934</v>
      </c>
      <c r="E120" s="101">
        <v>1858</v>
      </c>
      <c r="F120" s="101">
        <v>878</v>
      </c>
      <c r="G120" s="101">
        <v>120</v>
      </c>
      <c r="H120" s="101">
        <v>33</v>
      </c>
      <c r="I120" s="101">
        <v>7</v>
      </c>
      <c r="J120" s="101">
        <v>3801</v>
      </c>
      <c r="K120" s="101">
        <v>5061</v>
      </c>
      <c r="L120" s="101">
        <v>569</v>
      </c>
      <c r="M120" s="101">
        <v>607</v>
      </c>
      <c r="N120" s="101">
        <v>700</v>
      </c>
      <c r="O120" s="101">
        <v>91</v>
      </c>
      <c r="P120" s="101">
        <v>8901834521.8682346</v>
      </c>
      <c r="Q120" s="101">
        <v>339577288.95811349</v>
      </c>
      <c r="R120" s="101">
        <v>319602154.31351858</v>
      </c>
      <c r="S120" s="101">
        <f t="shared" si="9"/>
        <v>15217956.934639959</v>
      </c>
      <c r="T120" s="101">
        <f t="shared" si="6"/>
        <v>6425956.9346399587</v>
      </c>
      <c r="U120" s="101">
        <f t="shared" si="7"/>
        <v>6425956.9346399587</v>
      </c>
      <c r="V120" s="101">
        <v>89268</v>
      </c>
      <c r="W120" s="149">
        <f t="shared" si="8"/>
        <v>7.1984999491866722E-2</v>
      </c>
    </row>
    <row r="121" spans="1:23" x14ac:dyDescent="0.25">
      <c r="A121" t="s">
        <v>515</v>
      </c>
      <c r="B121" t="s">
        <v>183</v>
      </c>
      <c r="C121" s="101">
        <f t="shared" si="5"/>
        <v>5559</v>
      </c>
      <c r="D121" s="101">
        <v>4219</v>
      </c>
      <c r="E121" s="101">
        <v>1340</v>
      </c>
      <c r="F121" s="101">
        <v>0</v>
      </c>
      <c r="G121" s="101">
        <v>0</v>
      </c>
      <c r="H121" s="101">
        <v>305</v>
      </c>
      <c r="I121" s="101">
        <v>0</v>
      </c>
      <c r="J121" s="101">
        <v>1609</v>
      </c>
      <c r="K121" s="101">
        <v>2214</v>
      </c>
      <c r="L121" s="101">
        <v>169</v>
      </c>
      <c r="M121" s="101">
        <v>296</v>
      </c>
      <c r="N121" s="101">
        <v>509</v>
      </c>
      <c r="O121" s="101">
        <v>122</v>
      </c>
      <c r="P121" s="101">
        <v>3602974132.2948012</v>
      </c>
      <c r="Q121" s="101">
        <v>301732832.05615503</v>
      </c>
      <c r="R121" s="101">
        <v>277143399.22305578</v>
      </c>
      <c r="S121" s="101">
        <f t="shared" si="9"/>
        <v>6630831.1845317567</v>
      </c>
      <c r="T121" s="101">
        <f t="shared" si="6"/>
        <v>1071831.1845317567</v>
      </c>
      <c r="U121" s="101">
        <f t="shared" si="7"/>
        <v>1071831.1845317567</v>
      </c>
      <c r="V121" s="101">
        <v>58038</v>
      </c>
      <c r="W121" s="149">
        <f t="shared" si="8"/>
        <v>1.8467748449839012E-2</v>
      </c>
    </row>
    <row r="122" spans="1:23" x14ac:dyDescent="0.25">
      <c r="A122" t="s">
        <v>516</v>
      </c>
      <c r="B122" t="s">
        <v>129</v>
      </c>
      <c r="C122" s="101">
        <f t="shared" si="5"/>
        <v>17293</v>
      </c>
      <c r="D122" s="101">
        <v>8433</v>
      </c>
      <c r="E122" s="101">
        <v>8860</v>
      </c>
      <c r="F122" s="101">
        <v>3814</v>
      </c>
      <c r="G122" s="101">
        <v>46</v>
      </c>
      <c r="H122" s="101">
        <v>268</v>
      </c>
      <c r="I122" s="101">
        <v>189</v>
      </c>
      <c r="J122" s="101">
        <v>7292</v>
      </c>
      <c r="K122" s="101">
        <v>6602</v>
      </c>
      <c r="L122" s="101">
        <v>1021</v>
      </c>
      <c r="M122" s="101">
        <v>297</v>
      </c>
      <c r="N122" s="101">
        <v>1837</v>
      </c>
      <c r="O122" s="101">
        <v>235</v>
      </c>
      <c r="P122" s="101">
        <v>8064346918.8594904</v>
      </c>
      <c r="Q122" s="101">
        <v>1463659941.2622302</v>
      </c>
      <c r="R122" s="101">
        <v>1411477727.3479528</v>
      </c>
      <c r="S122" s="101">
        <f t="shared" si="9"/>
        <v>17365247.28582086</v>
      </c>
      <c r="T122" s="101">
        <f t="shared" si="6"/>
        <v>72247.285820860416</v>
      </c>
      <c r="U122" s="101">
        <f t="shared" si="7"/>
        <v>72247.285820860416</v>
      </c>
      <c r="V122" s="101">
        <v>221296</v>
      </c>
      <c r="W122" s="149">
        <f t="shared" si="8"/>
        <v>3.2647352785798397E-4</v>
      </c>
    </row>
    <row r="123" spans="1:23" x14ac:dyDescent="0.25">
      <c r="A123" t="s">
        <v>522</v>
      </c>
      <c r="B123" t="s">
        <v>405</v>
      </c>
      <c r="C123" s="101">
        <f t="shared" ref="C123:C183" si="10">SUM(D123:E123)</f>
        <v>28969</v>
      </c>
      <c r="D123" s="101">
        <v>15570</v>
      </c>
      <c r="E123" s="101">
        <v>13399</v>
      </c>
      <c r="F123" s="101">
        <v>2061</v>
      </c>
      <c r="G123" s="101">
        <v>0</v>
      </c>
      <c r="H123" s="101">
        <v>393</v>
      </c>
      <c r="I123" s="101">
        <v>646</v>
      </c>
      <c r="J123" s="101">
        <v>10040</v>
      </c>
      <c r="K123" s="101">
        <v>13803</v>
      </c>
      <c r="L123" s="101">
        <v>1561</v>
      </c>
      <c r="M123" s="101">
        <v>490</v>
      </c>
      <c r="N123" s="101">
        <v>2252</v>
      </c>
      <c r="O123" s="101">
        <v>169</v>
      </c>
      <c r="P123" s="101">
        <v>9719456626.178896</v>
      </c>
      <c r="Q123" s="101">
        <v>2322831395.2526379</v>
      </c>
      <c r="R123" s="101">
        <v>2269632878.3827252</v>
      </c>
      <c r="S123" s="101">
        <f t="shared" si="9"/>
        <v>22742662.200796232</v>
      </c>
      <c r="T123" s="101">
        <f t="shared" si="6"/>
        <v>-6226337.7992037684</v>
      </c>
      <c r="U123" s="101">
        <f t="shared" si="7"/>
        <v>0</v>
      </c>
      <c r="V123" s="101">
        <v>492884</v>
      </c>
      <c r="W123" s="149">
        <f t="shared" si="8"/>
        <v>-1.2632460780231796E-2</v>
      </c>
    </row>
    <row r="124" spans="1:23" x14ac:dyDescent="0.25">
      <c r="A124" t="s">
        <v>513</v>
      </c>
      <c r="B124" t="s">
        <v>369</v>
      </c>
      <c r="C124" s="101">
        <f t="shared" si="10"/>
        <v>4737</v>
      </c>
      <c r="D124" s="101">
        <v>3337</v>
      </c>
      <c r="E124" s="101">
        <v>1400</v>
      </c>
      <c r="F124" s="101">
        <v>0</v>
      </c>
      <c r="G124" s="101">
        <v>0</v>
      </c>
      <c r="H124" s="101">
        <v>395</v>
      </c>
      <c r="I124" s="101">
        <v>0</v>
      </c>
      <c r="J124" s="101">
        <v>2733</v>
      </c>
      <c r="K124" s="101">
        <v>1845</v>
      </c>
      <c r="L124" s="101">
        <v>175</v>
      </c>
      <c r="M124" s="101">
        <v>2</v>
      </c>
      <c r="N124" s="101">
        <v>405</v>
      </c>
      <c r="O124" s="101">
        <v>17</v>
      </c>
      <c r="P124" s="101">
        <v>3588336396.4120016</v>
      </c>
      <c r="Q124" s="101">
        <v>420380318.55959225</v>
      </c>
      <c r="R124" s="101">
        <v>375321283.19632298</v>
      </c>
      <c r="S124" s="101">
        <f t="shared" si="9"/>
        <v>6920671.4456734126</v>
      </c>
      <c r="T124" s="101">
        <f t="shared" si="6"/>
        <v>2183671.4456734126</v>
      </c>
      <c r="U124" s="101">
        <f t="shared" si="7"/>
        <v>2183671.4456734126</v>
      </c>
      <c r="V124" s="101">
        <v>50251</v>
      </c>
      <c r="W124" s="149">
        <f t="shared" si="8"/>
        <v>4.3455283390846207E-2</v>
      </c>
    </row>
    <row r="125" spans="1:23" x14ac:dyDescent="0.25">
      <c r="A125" t="s">
        <v>514</v>
      </c>
      <c r="B125" t="s">
        <v>255</v>
      </c>
      <c r="C125" s="101">
        <f t="shared" si="10"/>
        <v>5698</v>
      </c>
      <c r="D125" s="101">
        <v>4393</v>
      </c>
      <c r="E125" s="101">
        <v>1305</v>
      </c>
      <c r="F125" s="101">
        <v>0</v>
      </c>
      <c r="G125" s="101">
        <v>0</v>
      </c>
      <c r="H125" s="101">
        <v>55</v>
      </c>
      <c r="I125" s="101">
        <v>19</v>
      </c>
      <c r="J125" s="101">
        <v>2552</v>
      </c>
      <c r="K125" s="101">
        <v>3313</v>
      </c>
      <c r="L125" s="101">
        <v>434</v>
      </c>
      <c r="M125" s="101">
        <v>151</v>
      </c>
      <c r="N125" s="101">
        <v>678</v>
      </c>
      <c r="O125" s="101">
        <v>68</v>
      </c>
      <c r="P125" s="101">
        <v>6107072520.8165798</v>
      </c>
      <c r="Q125" s="101">
        <v>424471611.19764185</v>
      </c>
      <c r="R125" s="101">
        <v>389184212.19446439</v>
      </c>
      <c r="S125" s="101">
        <f t="shared" si="9"/>
        <v>10982278.307602787</v>
      </c>
      <c r="T125" s="101">
        <f t="shared" ref="T125:T186" si="11">SUM(S125,-C125*1000)</f>
        <v>5284278.3076027874</v>
      </c>
      <c r="U125" s="101">
        <f t="shared" ref="U125:U186" si="12">IF(T125&lt;0,0,T125)</f>
        <v>5284278.3076027874</v>
      </c>
      <c r="V125" s="101">
        <v>66614</v>
      </c>
      <c r="W125" s="149">
        <f t="shared" si="8"/>
        <v>7.9326842819869514E-2</v>
      </c>
    </row>
    <row r="126" spans="1:23" x14ac:dyDescent="0.25">
      <c r="A126" t="s">
        <v>518</v>
      </c>
      <c r="B126" t="s">
        <v>147</v>
      </c>
      <c r="C126" s="101">
        <f t="shared" si="10"/>
        <v>10019</v>
      </c>
      <c r="D126" s="101">
        <v>6352</v>
      </c>
      <c r="E126" s="101">
        <v>3667</v>
      </c>
      <c r="F126" s="101">
        <v>94</v>
      </c>
      <c r="G126" s="101">
        <v>0</v>
      </c>
      <c r="H126" s="101">
        <v>625</v>
      </c>
      <c r="I126" s="101">
        <v>82</v>
      </c>
      <c r="J126" s="101">
        <v>4852</v>
      </c>
      <c r="K126" s="101">
        <v>4423</v>
      </c>
      <c r="L126" s="101">
        <v>749</v>
      </c>
      <c r="M126" s="101">
        <v>496</v>
      </c>
      <c r="N126" s="101">
        <v>876</v>
      </c>
      <c r="O126" s="101">
        <v>166</v>
      </c>
      <c r="P126" s="101">
        <v>6308864165.4866018</v>
      </c>
      <c r="Q126" s="101">
        <v>767117369.6342926</v>
      </c>
      <c r="R126" s="101">
        <v>698030748.61986327</v>
      </c>
      <c r="S126" s="101">
        <f t="shared" si="9"/>
        <v>12289356.432048496</v>
      </c>
      <c r="T126" s="101">
        <f t="shared" si="11"/>
        <v>2270356.4320484959</v>
      </c>
      <c r="U126" s="101">
        <f t="shared" si="12"/>
        <v>2270356.4320484959</v>
      </c>
      <c r="V126" s="101">
        <v>126831</v>
      </c>
      <c r="W126" s="149">
        <f t="shared" ref="W126:W187" si="13">T126/(V126*1000)</f>
        <v>1.790064284006667E-2</v>
      </c>
    </row>
    <row r="127" spans="1:23" x14ac:dyDescent="0.25">
      <c r="A127" t="s">
        <v>513</v>
      </c>
      <c r="B127" t="s">
        <v>370</v>
      </c>
      <c r="C127" s="101">
        <f t="shared" si="10"/>
        <v>30594</v>
      </c>
      <c r="D127" s="101">
        <v>19274</v>
      </c>
      <c r="E127" s="101">
        <v>11320</v>
      </c>
      <c r="F127" s="101">
        <v>4243</v>
      </c>
      <c r="G127" s="101">
        <v>331</v>
      </c>
      <c r="H127" s="101">
        <v>202</v>
      </c>
      <c r="I127" s="101">
        <v>880</v>
      </c>
      <c r="J127" s="101">
        <v>8295</v>
      </c>
      <c r="K127" s="101">
        <v>12230</v>
      </c>
      <c r="L127" s="101">
        <v>2233</v>
      </c>
      <c r="M127" s="101">
        <v>0</v>
      </c>
      <c r="N127" s="101">
        <v>3406</v>
      </c>
      <c r="O127" s="101">
        <v>273</v>
      </c>
      <c r="P127" s="101">
        <v>14521679548.300201</v>
      </c>
      <c r="Q127" s="101">
        <v>2297260816.2648282</v>
      </c>
      <c r="R127" s="101">
        <v>2279361410.9733615</v>
      </c>
      <c r="S127" s="101">
        <f t="shared" si="9"/>
        <v>30433241.780543849</v>
      </c>
      <c r="T127" s="101">
        <f t="shared" si="11"/>
        <v>-160758.21945615113</v>
      </c>
      <c r="U127" s="101">
        <f t="shared" si="12"/>
        <v>0</v>
      </c>
      <c r="V127" s="101">
        <v>434463</v>
      </c>
      <c r="W127" s="149">
        <f t="shared" si="13"/>
        <v>-3.7001590343976615E-4</v>
      </c>
    </row>
    <row r="128" spans="1:23" x14ac:dyDescent="0.25">
      <c r="A128" t="s">
        <v>517</v>
      </c>
      <c r="B128" t="s">
        <v>295</v>
      </c>
      <c r="C128" s="101">
        <f t="shared" si="10"/>
        <v>7522</v>
      </c>
      <c r="D128" s="101">
        <v>5068</v>
      </c>
      <c r="E128" s="101">
        <v>2454</v>
      </c>
      <c r="F128" s="101">
        <v>16</v>
      </c>
      <c r="G128" s="101">
        <v>0</v>
      </c>
      <c r="H128" s="101">
        <v>0</v>
      </c>
      <c r="I128" s="101">
        <v>209</v>
      </c>
      <c r="J128" s="101">
        <v>2927</v>
      </c>
      <c r="K128" s="101">
        <v>5297</v>
      </c>
      <c r="L128" s="101">
        <v>643</v>
      </c>
      <c r="M128" s="101">
        <v>367</v>
      </c>
      <c r="N128" s="101">
        <v>1096</v>
      </c>
      <c r="O128" s="101">
        <v>168</v>
      </c>
      <c r="P128" s="101">
        <v>5595797317.4816532</v>
      </c>
      <c r="Q128" s="101">
        <v>493000762.88497198</v>
      </c>
      <c r="R128" s="101">
        <v>485321623.27617174</v>
      </c>
      <c r="S128" s="101">
        <f t="shared" si="9"/>
        <v>10473472.699634224</v>
      </c>
      <c r="T128" s="101">
        <f t="shared" si="11"/>
        <v>2951472.6996342242</v>
      </c>
      <c r="U128" s="101">
        <f t="shared" si="12"/>
        <v>2951472.6996342242</v>
      </c>
      <c r="V128" s="101">
        <v>108799</v>
      </c>
      <c r="W128" s="149">
        <f t="shared" si="13"/>
        <v>2.712775576645212E-2</v>
      </c>
    </row>
    <row r="129" spans="1:23" x14ac:dyDescent="0.25">
      <c r="A129" t="s">
        <v>518</v>
      </c>
      <c r="B129" t="s">
        <v>722</v>
      </c>
      <c r="C129" s="101">
        <f t="shared" si="10"/>
        <v>30891</v>
      </c>
      <c r="D129" s="101">
        <v>14483</v>
      </c>
      <c r="E129" s="101">
        <v>16408</v>
      </c>
      <c r="F129" s="101">
        <v>2182</v>
      </c>
      <c r="G129" s="101">
        <v>375</v>
      </c>
      <c r="H129" s="101">
        <v>172</v>
      </c>
      <c r="I129" s="101">
        <v>700</v>
      </c>
      <c r="J129" s="101">
        <v>11806</v>
      </c>
      <c r="K129" s="101">
        <v>9278</v>
      </c>
      <c r="L129" s="101">
        <v>2441</v>
      </c>
      <c r="M129" s="101">
        <v>631</v>
      </c>
      <c r="N129" s="101">
        <v>2425</v>
      </c>
      <c r="O129" s="101">
        <v>1492</v>
      </c>
      <c r="P129" s="101">
        <v>12710782509.085287</v>
      </c>
      <c r="Q129" s="101">
        <v>2119289586.5096719</v>
      </c>
      <c r="R129" s="101">
        <v>2053813103.9913912</v>
      </c>
      <c r="S129" s="101">
        <f t="shared" si="9"/>
        <v>26825361.903723571</v>
      </c>
      <c r="T129" s="101">
        <f t="shared" si="11"/>
        <v>-4065638.0962764286</v>
      </c>
      <c r="U129" s="101">
        <f t="shared" si="12"/>
        <v>0</v>
      </c>
      <c r="V129" s="101">
        <v>422644</v>
      </c>
      <c r="W129" s="149">
        <f t="shared" si="13"/>
        <v>-9.6195334519747783E-3</v>
      </c>
    </row>
    <row r="130" spans="1:23" x14ac:dyDescent="0.25">
      <c r="A130" t="s">
        <v>521</v>
      </c>
      <c r="B130" t="s">
        <v>593</v>
      </c>
      <c r="C130" s="101">
        <f t="shared" si="10"/>
        <v>30382</v>
      </c>
      <c r="D130" s="101">
        <v>8616</v>
      </c>
      <c r="E130" s="101">
        <v>21766</v>
      </c>
      <c r="F130" s="101">
        <v>4</v>
      </c>
      <c r="G130" s="101">
        <v>0</v>
      </c>
      <c r="H130" s="101">
        <v>381</v>
      </c>
      <c r="I130" s="101">
        <v>291</v>
      </c>
      <c r="J130" s="101">
        <v>5157</v>
      </c>
      <c r="K130" s="101">
        <v>6772</v>
      </c>
      <c r="L130" s="101">
        <v>930</v>
      </c>
      <c r="M130" s="101">
        <v>736</v>
      </c>
      <c r="N130" s="101">
        <v>1843</v>
      </c>
      <c r="O130" s="101">
        <v>33</v>
      </c>
      <c r="P130" s="101">
        <v>6019246105.519783</v>
      </c>
      <c r="Q130" s="101">
        <v>2633769635.7444043</v>
      </c>
      <c r="R130" s="101">
        <v>2633769635.7444043</v>
      </c>
      <c r="S130" s="101">
        <f t="shared" si="9"/>
        <v>18002422.676328704</v>
      </c>
      <c r="T130" s="101">
        <f t="shared" si="11"/>
        <v>-12379577.323671296</v>
      </c>
      <c r="U130" s="101">
        <f t="shared" si="12"/>
        <v>0</v>
      </c>
      <c r="V130" s="101">
        <v>208419</v>
      </c>
      <c r="W130" s="149">
        <f t="shared" si="13"/>
        <v>-5.93975468823442E-2</v>
      </c>
    </row>
    <row r="131" spans="1:23" x14ac:dyDescent="0.25">
      <c r="A131" t="s">
        <v>515</v>
      </c>
      <c r="B131" t="s">
        <v>184</v>
      </c>
      <c r="C131" s="101">
        <f t="shared" si="10"/>
        <v>5249</v>
      </c>
      <c r="D131" s="101">
        <v>3735</v>
      </c>
      <c r="E131" s="101">
        <v>1514</v>
      </c>
      <c r="F131" s="101">
        <v>1</v>
      </c>
      <c r="G131" s="101">
        <v>0</v>
      </c>
      <c r="H131" s="101">
        <v>0</v>
      </c>
      <c r="I131" s="101">
        <v>218</v>
      </c>
      <c r="J131" s="101">
        <v>1345</v>
      </c>
      <c r="K131" s="101">
        <v>1680</v>
      </c>
      <c r="L131" s="101">
        <v>391</v>
      </c>
      <c r="M131" s="101">
        <v>84</v>
      </c>
      <c r="N131" s="101">
        <v>412</v>
      </c>
      <c r="O131" s="101">
        <v>62</v>
      </c>
      <c r="P131" s="101">
        <v>3147113214.8019013</v>
      </c>
      <c r="Q131" s="101">
        <v>250591674.08053556</v>
      </c>
      <c r="R131" s="101">
        <v>236783561.42711827</v>
      </c>
      <c r="S131" s="101">
        <f t="shared" ref="S131:S194" si="14">SUM(P131,R131,R131)*0.1595%</f>
        <v>5774985.1385615403</v>
      </c>
      <c r="T131" s="101">
        <f t="shared" si="11"/>
        <v>525985.13856154028</v>
      </c>
      <c r="U131" s="101">
        <f t="shared" si="12"/>
        <v>525985.13856154028</v>
      </c>
      <c r="V131" s="101">
        <v>55428</v>
      </c>
      <c r="W131" s="149">
        <f t="shared" si="13"/>
        <v>9.4895204330219442E-3</v>
      </c>
    </row>
    <row r="132" spans="1:23" x14ac:dyDescent="0.25">
      <c r="A132" t="s">
        <v>513</v>
      </c>
      <c r="B132" t="s">
        <v>371</v>
      </c>
      <c r="C132" s="101">
        <f t="shared" si="10"/>
        <v>10557</v>
      </c>
      <c r="D132" s="101">
        <v>7550</v>
      </c>
      <c r="E132" s="101">
        <v>3007</v>
      </c>
      <c r="F132" s="101">
        <v>79</v>
      </c>
      <c r="G132" s="101">
        <v>0</v>
      </c>
      <c r="H132" s="101">
        <v>150</v>
      </c>
      <c r="I132" s="101">
        <v>360</v>
      </c>
      <c r="J132" s="101">
        <v>5550</v>
      </c>
      <c r="K132" s="101">
        <v>4315</v>
      </c>
      <c r="L132" s="101">
        <v>742</v>
      </c>
      <c r="M132" s="101">
        <v>170</v>
      </c>
      <c r="N132" s="101">
        <v>1113</v>
      </c>
      <c r="O132" s="101">
        <v>204</v>
      </c>
      <c r="P132" s="101">
        <v>8494069022.2759619</v>
      </c>
      <c r="Q132" s="101">
        <v>890878971.93529177</v>
      </c>
      <c r="R132" s="101">
        <v>853012777.8380996</v>
      </c>
      <c r="S132" s="101">
        <f t="shared" si="14"/>
        <v>16269150.851833699</v>
      </c>
      <c r="T132" s="101">
        <f t="shared" si="11"/>
        <v>5712150.8518336993</v>
      </c>
      <c r="U132" s="101">
        <f t="shared" si="12"/>
        <v>5712150.8518336993</v>
      </c>
      <c r="V132" s="101">
        <v>143956</v>
      </c>
      <c r="W132" s="149">
        <f t="shared" si="13"/>
        <v>3.9679838643986352E-2</v>
      </c>
    </row>
    <row r="133" spans="1:23" x14ac:dyDescent="0.25">
      <c r="A133" t="s">
        <v>517</v>
      </c>
      <c r="B133" t="s">
        <v>296</v>
      </c>
      <c r="C133" s="101">
        <f t="shared" si="10"/>
        <v>5630</v>
      </c>
      <c r="D133" s="101">
        <v>4180</v>
      </c>
      <c r="E133" s="101">
        <v>1450</v>
      </c>
      <c r="F133" s="101">
        <v>3</v>
      </c>
      <c r="G133" s="101">
        <v>11</v>
      </c>
      <c r="H133" s="101">
        <v>0</v>
      </c>
      <c r="I133" s="101">
        <v>0</v>
      </c>
      <c r="J133" s="101">
        <v>2663</v>
      </c>
      <c r="K133" s="101">
        <v>5166</v>
      </c>
      <c r="L133" s="101">
        <v>406</v>
      </c>
      <c r="M133" s="101">
        <v>81</v>
      </c>
      <c r="N133" s="101">
        <v>476</v>
      </c>
      <c r="O133" s="101">
        <v>66</v>
      </c>
      <c r="P133" s="101">
        <v>4551290306.9876003</v>
      </c>
      <c r="Q133" s="101">
        <v>470498653.37569946</v>
      </c>
      <c r="R133" s="101">
        <v>462316068.09960026</v>
      </c>
      <c r="S133" s="101">
        <f t="shared" si="14"/>
        <v>8734096.296882946</v>
      </c>
      <c r="T133" s="101">
        <f t="shared" si="11"/>
        <v>3104096.296882946</v>
      </c>
      <c r="U133" s="101">
        <f t="shared" si="12"/>
        <v>3104096.296882946</v>
      </c>
      <c r="V133" s="101">
        <v>68242</v>
      </c>
      <c r="W133" s="149">
        <f t="shared" si="13"/>
        <v>4.5486596185383574E-2</v>
      </c>
    </row>
    <row r="134" spans="1:23" x14ac:dyDescent="0.25">
      <c r="A134" t="s">
        <v>513</v>
      </c>
      <c r="B134" t="s">
        <v>372</v>
      </c>
      <c r="C134" s="101">
        <f t="shared" si="10"/>
        <v>5014</v>
      </c>
      <c r="D134" s="101">
        <v>2960</v>
      </c>
      <c r="E134" s="101">
        <v>2054</v>
      </c>
      <c r="F134" s="101">
        <v>8</v>
      </c>
      <c r="G134" s="101">
        <v>10</v>
      </c>
      <c r="H134" s="101">
        <v>1419</v>
      </c>
      <c r="I134" s="101">
        <v>225</v>
      </c>
      <c r="J134" s="101">
        <v>1699</v>
      </c>
      <c r="K134" s="101">
        <v>1600</v>
      </c>
      <c r="L134" s="101">
        <v>297</v>
      </c>
      <c r="M134" s="101">
        <v>0</v>
      </c>
      <c r="N134" s="101">
        <v>769</v>
      </c>
      <c r="O134" s="101">
        <v>449</v>
      </c>
      <c r="P134" s="101">
        <v>3309173862.0757532</v>
      </c>
      <c r="Q134" s="101">
        <v>478681238.65179849</v>
      </c>
      <c r="R134" s="101">
        <v>423901674.44244832</v>
      </c>
      <c r="S134" s="101">
        <f t="shared" si="14"/>
        <v>6630378.6514822366</v>
      </c>
      <c r="T134" s="101">
        <f t="shared" si="11"/>
        <v>1616378.6514822366</v>
      </c>
      <c r="U134" s="101">
        <f t="shared" si="12"/>
        <v>1616378.6514822366</v>
      </c>
      <c r="V134" s="101">
        <v>52602</v>
      </c>
      <c r="W134" s="149">
        <f t="shared" si="13"/>
        <v>3.0728463774803934E-2</v>
      </c>
    </row>
    <row r="135" spans="1:23" x14ac:dyDescent="0.25">
      <c r="A135" t="s">
        <v>514</v>
      </c>
      <c r="B135" t="s">
        <v>256</v>
      </c>
      <c r="C135" s="101">
        <f t="shared" si="10"/>
        <v>26183</v>
      </c>
      <c r="D135" s="101">
        <v>13403</v>
      </c>
      <c r="E135" s="101">
        <v>12780</v>
      </c>
      <c r="F135" s="101">
        <v>8670</v>
      </c>
      <c r="G135" s="101">
        <v>168</v>
      </c>
      <c r="H135" s="101">
        <v>0</v>
      </c>
      <c r="I135" s="101">
        <v>0</v>
      </c>
      <c r="J135" s="101">
        <v>10493</v>
      </c>
      <c r="K135" s="101">
        <v>14645</v>
      </c>
      <c r="L135" s="101">
        <v>2354</v>
      </c>
      <c r="M135" s="101">
        <v>0</v>
      </c>
      <c r="N135" s="101">
        <v>3135</v>
      </c>
      <c r="O135" s="101">
        <v>581</v>
      </c>
      <c r="P135" s="101">
        <v>21439055305.486042</v>
      </c>
      <c r="Q135" s="101">
        <v>2767759469.6405272</v>
      </c>
      <c r="R135" s="101">
        <v>2716097354.2397342</v>
      </c>
      <c r="S135" s="101">
        <f t="shared" si="14"/>
        <v>42859643.772274993</v>
      </c>
      <c r="T135" s="101">
        <f t="shared" si="11"/>
        <v>16676643.772274993</v>
      </c>
      <c r="U135" s="101">
        <f t="shared" si="12"/>
        <v>16676643.772274993</v>
      </c>
      <c r="V135" s="101">
        <v>381595</v>
      </c>
      <c r="W135" s="149">
        <f t="shared" si="13"/>
        <v>4.3702469299322561E-2</v>
      </c>
    </row>
    <row r="136" spans="1:23" x14ac:dyDescent="0.25">
      <c r="A136" t="s">
        <v>517</v>
      </c>
      <c r="B136" t="s">
        <v>594</v>
      </c>
      <c r="C136" s="101">
        <f t="shared" si="10"/>
        <v>23313</v>
      </c>
      <c r="D136" s="101">
        <v>12753</v>
      </c>
      <c r="E136" s="101">
        <v>10560</v>
      </c>
      <c r="F136" s="101">
        <v>27</v>
      </c>
      <c r="G136" s="101">
        <v>0</v>
      </c>
      <c r="H136" s="101">
        <v>192</v>
      </c>
      <c r="I136" s="101">
        <v>908</v>
      </c>
      <c r="J136" s="101">
        <v>11002</v>
      </c>
      <c r="K136" s="101">
        <v>11741</v>
      </c>
      <c r="L136" s="101">
        <v>1467</v>
      </c>
      <c r="M136" s="101">
        <v>1548</v>
      </c>
      <c r="N136" s="101">
        <v>4659</v>
      </c>
      <c r="O136" s="101">
        <v>541</v>
      </c>
      <c r="P136" s="101">
        <v>15797253675.229876</v>
      </c>
      <c r="Q136" s="101">
        <v>2135654757.0618701</v>
      </c>
      <c r="R136" s="101">
        <v>2060459248.2503502</v>
      </c>
      <c r="S136" s="101">
        <f t="shared" si="14"/>
        <v>31769484.613910269</v>
      </c>
      <c r="T136" s="101">
        <f t="shared" si="11"/>
        <v>8456484.613910269</v>
      </c>
      <c r="U136" s="101">
        <f t="shared" si="12"/>
        <v>8456484.613910269</v>
      </c>
      <c r="V136" s="101">
        <v>253259</v>
      </c>
      <c r="W136" s="149">
        <f t="shared" si="13"/>
        <v>3.3390657840038335E-2</v>
      </c>
    </row>
    <row r="137" spans="1:23" x14ac:dyDescent="0.25">
      <c r="A137" t="s">
        <v>518</v>
      </c>
      <c r="B137" t="s">
        <v>148</v>
      </c>
      <c r="C137" s="101">
        <f t="shared" si="10"/>
        <v>10299</v>
      </c>
      <c r="D137" s="101">
        <v>6212</v>
      </c>
      <c r="E137" s="101">
        <v>4087</v>
      </c>
      <c r="F137" s="101">
        <v>18</v>
      </c>
      <c r="G137" s="101">
        <v>0</v>
      </c>
      <c r="H137" s="101">
        <v>437</v>
      </c>
      <c r="I137" s="101">
        <v>142</v>
      </c>
      <c r="J137" s="101">
        <v>5855</v>
      </c>
      <c r="K137" s="101">
        <v>4077</v>
      </c>
      <c r="L137" s="101">
        <v>706</v>
      </c>
      <c r="M137" s="101">
        <v>271</v>
      </c>
      <c r="N137" s="101">
        <v>1155</v>
      </c>
      <c r="O137" s="101">
        <v>318</v>
      </c>
      <c r="P137" s="101">
        <v>5505879797.0587416</v>
      </c>
      <c r="Q137" s="101">
        <v>1002366696.3221422</v>
      </c>
      <c r="R137" s="101">
        <v>836669344.48113513</v>
      </c>
      <c r="S137" s="101">
        <f t="shared" si="14"/>
        <v>11450853.485203516</v>
      </c>
      <c r="T137" s="101">
        <f t="shared" si="11"/>
        <v>1151853.4852035157</v>
      </c>
      <c r="U137" s="101">
        <f t="shared" si="12"/>
        <v>1151853.4852035157</v>
      </c>
      <c r="V137" s="101">
        <v>115338</v>
      </c>
      <c r="W137" s="149">
        <f t="shared" si="13"/>
        <v>9.9867648580998086E-3</v>
      </c>
    </row>
    <row r="138" spans="1:23" x14ac:dyDescent="0.25">
      <c r="A138" t="s">
        <v>514</v>
      </c>
      <c r="B138" t="s">
        <v>257</v>
      </c>
      <c r="C138" s="101">
        <f t="shared" si="10"/>
        <v>12624</v>
      </c>
      <c r="D138" s="101">
        <v>6604</v>
      </c>
      <c r="E138" s="101">
        <v>6020</v>
      </c>
      <c r="F138" s="101">
        <v>0</v>
      </c>
      <c r="G138" s="101">
        <v>0</v>
      </c>
      <c r="H138" s="101">
        <v>134</v>
      </c>
      <c r="I138" s="101">
        <v>204</v>
      </c>
      <c r="J138" s="101">
        <v>3950</v>
      </c>
      <c r="K138" s="101">
        <v>6261</v>
      </c>
      <c r="L138" s="101">
        <v>695</v>
      </c>
      <c r="M138" s="101">
        <v>471</v>
      </c>
      <c r="N138" s="101">
        <v>1153</v>
      </c>
      <c r="O138" s="101">
        <v>343</v>
      </c>
      <c r="P138" s="101">
        <v>7594893818.0468473</v>
      </c>
      <c r="Q138" s="101">
        <v>2306466224.7004395</v>
      </c>
      <c r="R138" s="101">
        <v>2306466224.7004395</v>
      </c>
      <c r="S138" s="101">
        <f t="shared" si="14"/>
        <v>19471482.896579124</v>
      </c>
      <c r="T138" s="101">
        <f t="shared" si="11"/>
        <v>6847482.896579124</v>
      </c>
      <c r="U138" s="101">
        <f t="shared" si="12"/>
        <v>6847482.896579124</v>
      </c>
      <c r="V138" s="101">
        <v>157206</v>
      </c>
      <c r="W138" s="149">
        <f t="shared" si="13"/>
        <v>4.3557389009192551E-2</v>
      </c>
    </row>
    <row r="139" spans="1:23" x14ac:dyDescent="0.25">
      <c r="A139" t="s">
        <v>512</v>
      </c>
      <c r="B139" t="s">
        <v>109</v>
      </c>
      <c r="C139" s="101">
        <f t="shared" si="10"/>
        <v>15366</v>
      </c>
      <c r="D139" s="101">
        <v>9009</v>
      </c>
      <c r="E139" s="101">
        <v>6357</v>
      </c>
      <c r="F139" s="101">
        <v>2857</v>
      </c>
      <c r="G139" s="101">
        <v>92</v>
      </c>
      <c r="H139" s="101">
        <v>150</v>
      </c>
      <c r="I139" s="101">
        <v>348</v>
      </c>
      <c r="J139" s="101">
        <v>5269</v>
      </c>
      <c r="K139" s="101">
        <v>5497</v>
      </c>
      <c r="L139" s="101">
        <v>829</v>
      </c>
      <c r="M139" s="101">
        <v>1092</v>
      </c>
      <c r="N139" s="101">
        <v>961</v>
      </c>
      <c r="O139" s="101">
        <v>174</v>
      </c>
      <c r="P139" s="101">
        <v>7182946108.2023458</v>
      </c>
      <c r="Q139" s="101">
        <v>1346035277.9183052</v>
      </c>
      <c r="R139" s="101">
        <v>1240644450.3808022</v>
      </c>
      <c r="S139" s="101">
        <f t="shared" si="14"/>
        <v>15414454.839297503</v>
      </c>
      <c r="T139" s="101">
        <f t="shared" si="11"/>
        <v>48454.839297503233</v>
      </c>
      <c r="U139" s="101">
        <f t="shared" si="12"/>
        <v>48454.839297503233</v>
      </c>
      <c r="V139" s="101">
        <v>236028</v>
      </c>
      <c r="W139" s="149">
        <f t="shared" si="13"/>
        <v>2.0529275889938158E-4</v>
      </c>
    </row>
    <row r="140" spans="1:23" x14ac:dyDescent="0.25">
      <c r="A140" t="s">
        <v>514</v>
      </c>
      <c r="B140" t="s">
        <v>258</v>
      </c>
      <c r="C140" s="101">
        <f t="shared" si="10"/>
        <v>16749</v>
      </c>
      <c r="D140" s="101">
        <v>11263</v>
      </c>
      <c r="E140" s="101">
        <v>5486</v>
      </c>
      <c r="F140" s="101">
        <v>6737</v>
      </c>
      <c r="G140" s="101">
        <v>320</v>
      </c>
      <c r="H140" s="101">
        <v>477</v>
      </c>
      <c r="I140" s="101">
        <v>967</v>
      </c>
      <c r="J140" s="101">
        <v>6711</v>
      </c>
      <c r="K140" s="101">
        <v>11690</v>
      </c>
      <c r="L140" s="101">
        <v>1460</v>
      </c>
      <c r="M140" s="101">
        <v>275</v>
      </c>
      <c r="N140" s="101">
        <v>1522</v>
      </c>
      <c r="O140" s="101">
        <v>311</v>
      </c>
      <c r="P140" s="101">
        <v>12642821592.486576</v>
      </c>
      <c r="Q140" s="101">
        <v>1609923653.0725017</v>
      </c>
      <c r="R140" s="101">
        <v>1591506985.9258194</v>
      </c>
      <c r="S140" s="101">
        <f t="shared" si="14"/>
        <v>25242207.725119453</v>
      </c>
      <c r="T140" s="101">
        <f t="shared" si="11"/>
        <v>8493207.7251194529</v>
      </c>
      <c r="U140" s="101">
        <f t="shared" si="12"/>
        <v>8493207.7251194529</v>
      </c>
      <c r="V140" s="101">
        <v>312430</v>
      </c>
      <c r="W140" s="149">
        <f t="shared" si="13"/>
        <v>2.7184354015681762E-2</v>
      </c>
    </row>
    <row r="141" spans="1:23" x14ac:dyDescent="0.25">
      <c r="A141" t="s">
        <v>522</v>
      </c>
      <c r="B141" t="s">
        <v>406</v>
      </c>
      <c r="C141" s="101">
        <f t="shared" si="10"/>
        <v>16817</v>
      </c>
      <c r="D141" s="101">
        <v>8535</v>
      </c>
      <c r="E141" s="101">
        <v>8282</v>
      </c>
      <c r="F141" s="101">
        <v>1</v>
      </c>
      <c r="G141" s="101">
        <v>25</v>
      </c>
      <c r="H141" s="101">
        <v>4046</v>
      </c>
      <c r="I141" s="101">
        <v>87</v>
      </c>
      <c r="J141" s="101">
        <v>6333</v>
      </c>
      <c r="K141" s="101">
        <v>4400</v>
      </c>
      <c r="L141" s="101">
        <v>758</v>
      </c>
      <c r="M141" s="101">
        <v>15</v>
      </c>
      <c r="N141" s="101">
        <v>1544</v>
      </c>
      <c r="O141" s="101">
        <v>226</v>
      </c>
      <c r="P141" s="101">
        <v>6684217535.6241045</v>
      </c>
      <c r="Q141" s="101">
        <v>1565942257.2134693</v>
      </c>
      <c r="R141" s="101">
        <v>1485139227.6119905</v>
      </c>
      <c r="S141" s="101">
        <f t="shared" si="14"/>
        <v>15398921.105402697</v>
      </c>
      <c r="T141" s="101">
        <f t="shared" si="11"/>
        <v>-1418078.8945973031</v>
      </c>
      <c r="U141" s="101">
        <f t="shared" si="12"/>
        <v>0</v>
      </c>
      <c r="V141" s="101">
        <v>162443</v>
      </c>
      <c r="W141" s="149">
        <f t="shared" si="13"/>
        <v>-8.7297014620347016E-3</v>
      </c>
    </row>
    <row r="142" spans="1:23" x14ac:dyDescent="0.25">
      <c r="A142" t="s">
        <v>520</v>
      </c>
      <c r="B142" t="s">
        <v>219</v>
      </c>
      <c r="C142" s="101">
        <f t="shared" si="10"/>
        <v>15636</v>
      </c>
      <c r="D142" s="101">
        <v>9322</v>
      </c>
      <c r="E142" s="101">
        <v>6314</v>
      </c>
      <c r="F142" s="101">
        <v>19</v>
      </c>
      <c r="G142" s="101">
        <v>0</v>
      </c>
      <c r="H142" s="101">
        <v>253</v>
      </c>
      <c r="I142" s="101">
        <v>0</v>
      </c>
      <c r="J142" s="101">
        <v>4009</v>
      </c>
      <c r="K142" s="101">
        <v>6670</v>
      </c>
      <c r="L142" s="101">
        <v>1039</v>
      </c>
      <c r="M142" s="101">
        <v>188</v>
      </c>
      <c r="N142" s="101">
        <v>680</v>
      </c>
      <c r="O142" s="101">
        <v>423</v>
      </c>
      <c r="P142" s="101">
        <v>11079720510.716196</v>
      </c>
      <c r="Q142" s="101">
        <v>1201817212.4270582</v>
      </c>
      <c r="R142" s="101">
        <v>1170109694.4821739</v>
      </c>
      <c r="S142" s="101">
        <f t="shared" si="14"/>
        <v>21404804.139990468</v>
      </c>
      <c r="T142" s="101">
        <f t="shared" si="11"/>
        <v>5768804.1399904676</v>
      </c>
      <c r="U142" s="101">
        <f t="shared" si="12"/>
        <v>5768804.1399904676</v>
      </c>
      <c r="V142" s="101">
        <v>160286</v>
      </c>
      <c r="W142" s="149">
        <f t="shared" si="13"/>
        <v>3.5990692512075088E-2</v>
      </c>
    </row>
    <row r="143" spans="1:23" x14ac:dyDescent="0.25">
      <c r="A143" t="s">
        <v>514</v>
      </c>
      <c r="B143" t="s">
        <v>259</v>
      </c>
      <c r="C143" s="101">
        <f t="shared" si="10"/>
        <v>6128</v>
      </c>
      <c r="D143" s="101">
        <v>4281</v>
      </c>
      <c r="E143" s="101">
        <v>1847</v>
      </c>
      <c r="F143" s="101">
        <v>7</v>
      </c>
      <c r="G143" s="101">
        <v>173</v>
      </c>
      <c r="H143" s="101">
        <v>64</v>
      </c>
      <c r="I143" s="101">
        <v>124</v>
      </c>
      <c r="J143" s="101">
        <v>5446</v>
      </c>
      <c r="K143" s="101">
        <v>7098</v>
      </c>
      <c r="L143" s="101">
        <v>530</v>
      </c>
      <c r="M143" s="101">
        <v>341</v>
      </c>
      <c r="N143" s="101">
        <v>456</v>
      </c>
      <c r="O143" s="101">
        <v>186</v>
      </c>
      <c r="P143" s="101">
        <v>9298098943.26688</v>
      </c>
      <c r="Q143" s="101">
        <v>588123316.71962428</v>
      </c>
      <c r="R143" s="101">
        <v>563554196.43890882</v>
      </c>
      <c r="S143" s="101">
        <f t="shared" si="14"/>
        <v>16628205.701150795</v>
      </c>
      <c r="T143" s="101">
        <f t="shared" si="11"/>
        <v>10500205.701150795</v>
      </c>
      <c r="U143" s="101">
        <f t="shared" si="12"/>
        <v>10500205.701150795</v>
      </c>
      <c r="V143" s="101">
        <v>130202</v>
      </c>
      <c r="W143" s="149">
        <f t="shared" si="13"/>
        <v>8.0645502382073977E-2</v>
      </c>
    </row>
    <row r="144" spans="1:23" x14ac:dyDescent="0.25">
      <c r="A144" t="s">
        <v>524</v>
      </c>
      <c r="B144" t="s">
        <v>330</v>
      </c>
      <c r="C144" s="101">
        <f t="shared" si="10"/>
        <v>6045</v>
      </c>
      <c r="D144" s="101">
        <v>3954</v>
      </c>
      <c r="E144" s="101">
        <v>2091</v>
      </c>
      <c r="F144" s="101">
        <v>797</v>
      </c>
      <c r="G144" s="101">
        <v>20</v>
      </c>
      <c r="H144" s="101">
        <v>185</v>
      </c>
      <c r="I144" s="101">
        <v>685</v>
      </c>
      <c r="J144" s="101">
        <v>3852</v>
      </c>
      <c r="K144" s="101">
        <v>3845</v>
      </c>
      <c r="L144" s="101">
        <v>584</v>
      </c>
      <c r="M144" s="101">
        <v>135</v>
      </c>
      <c r="N144" s="101">
        <v>787</v>
      </c>
      <c r="O144" s="101">
        <v>96</v>
      </c>
      <c r="P144" s="101">
        <v>4078700548.4857864</v>
      </c>
      <c r="Q144" s="101">
        <v>495046409.20399678</v>
      </c>
      <c r="R144" s="101">
        <v>432589675.05416471</v>
      </c>
      <c r="S144" s="101">
        <f t="shared" si="14"/>
        <v>7885488.438257616</v>
      </c>
      <c r="T144" s="101">
        <f t="shared" si="11"/>
        <v>1840488.438257616</v>
      </c>
      <c r="U144" s="101">
        <f t="shared" si="12"/>
        <v>1840488.438257616</v>
      </c>
      <c r="V144" s="101">
        <v>107249</v>
      </c>
      <c r="W144" s="149">
        <f t="shared" si="13"/>
        <v>1.716089136735649E-2</v>
      </c>
    </row>
    <row r="145" spans="1:23" x14ac:dyDescent="0.25">
      <c r="A145" t="s">
        <v>520</v>
      </c>
      <c r="B145" t="s">
        <v>220</v>
      </c>
      <c r="C145" s="101">
        <f t="shared" si="10"/>
        <v>5658</v>
      </c>
      <c r="D145" s="101">
        <v>4237</v>
      </c>
      <c r="E145" s="101">
        <v>1421</v>
      </c>
      <c r="F145" s="101">
        <v>1167</v>
      </c>
      <c r="G145" s="101">
        <v>0</v>
      </c>
      <c r="H145" s="101">
        <v>0</v>
      </c>
      <c r="I145" s="101">
        <v>115</v>
      </c>
      <c r="J145" s="101">
        <v>4165</v>
      </c>
      <c r="K145" s="101">
        <v>6498</v>
      </c>
      <c r="L145" s="101">
        <v>412</v>
      </c>
      <c r="M145" s="101">
        <v>256</v>
      </c>
      <c r="N145" s="101">
        <v>989</v>
      </c>
      <c r="O145" s="101">
        <v>154</v>
      </c>
      <c r="P145" s="101">
        <v>6410282764.1031418</v>
      </c>
      <c r="Q145" s="101">
        <v>491977939.72545964</v>
      </c>
      <c r="R145" s="101">
        <v>474059908.62203491</v>
      </c>
      <c r="S145" s="101">
        <f t="shared" si="14"/>
        <v>11736652.117248803</v>
      </c>
      <c r="T145" s="101">
        <f t="shared" si="11"/>
        <v>6078652.1172488034</v>
      </c>
      <c r="U145" s="101">
        <f t="shared" si="12"/>
        <v>6078652.1172488034</v>
      </c>
      <c r="V145" s="101">
        <v>98137</v>
      </c>
      <c r="W145" s="149">
        <f t="shared" si="13"/>
        <v>6.1940472168996438E-2</v>
      </c>
    </row>
    <row r="146" spans="1:23" x14ac:dyDescent="0.25">
      <c r="A146" t="s">
        <v>517</v>
      </c>
      <c r="B146" t="s">
        <v>297</v>
      </c>
      <c r="C146" s="101">
        <f t="shared" si="10"/>
        <v>7154</v>
      </c>
      <c r="D146" s="101">
        <v>5552</v>
      </c>
      <c r="E146" s="101">
        <v>1602</v>
      </c>
      <c r="F146" s="101">
        <v>0</v>
      </c>
      <c r="G146" s="101">
        <v>3</v>
      </c>
      <c r="H146" s="101">
        <v>38</v>
      </c>
      <c r="I146" s="101">
        <v>392</v>
      </c>
      <c r="J146" s="101">
        <v>4713</v>
      </c>
      <c r="K146" s="101">
        <v>4947</v>
      </c>
      <c r="L146" s="101">
        <v>327</v>
      </c>
      <c r="M146" s="101">
        <v>63</v>
      </c>
      <c r="N146" s="101">
        <v>1152</v>
      </c>
      <c r="O146" s="101">
        <v>226</v>
      </c>
      <c r="P146" s="101">
        <v>6313046375.7388306</v>
      </c>
      <c r="Q146" s="101">
        <v>569712499.84840119</v>
      </c>
      <c r="R146" s="101">
        <v>519594165.03229415</v>
      </c>
      <c r="S146" s="101">
        <f t="shared" si="14"/>
        <v>11726814.355756454</v>
      </c>
      <c r="T146" s="101">
        <f t="shared" si="11"/>
        <v>4572814.3557564542</v>
      </c>
      <c r="U146" s="101">
        <f t="shared" si="12"/>
        <v>4572814.3557564542</v>
      </c>
      <c r="V146" s="101">
        <v>82714</v>
      </c>
      <c r="W146" s="149">
        <f t="shared" si="13"/>
        <v>5.5284647771313852E-2</v>
      </c>
    </row>
    <row r="147" spans="1:23" x14ac:dyDescent="0.25">
      <c r="A147" t="s">
        <v>518</v>
      </c>
      <c r="B147" t="s">
        <v>149</v>
      </c>
      <c r="C147" s="101">
        <f t="shared" si="10"/>
        <v>14669</v>
      </c>
      <c r="D147" s="101">
        <v>8700</v>
      </c>
      <c r="E147" s="101">
        <v>5969</v>
      </c>
      <c r="F147" s="101">
        <v>1998</v>
      </c>
      <c r="G147" s="101">
        <v>173</v>
      </c>
      <c r="H147" s="101">
        <v>259</v>
      </c>
      <c r="I147" s="101">
        <v>354</v>
      </c>
      <c r="J147" s="101">
        <v>4432</v>
      </c>
      <c r="K147" s="101">
        <v>5666</v>
      </c>
      <c r="L147" s="101">
        <v>1189</v>
      </c>
      <c r="M147" s="101">
        <v>807</v>
      </c>
      <c r="N147" s="101">
        <v>1325</v>
      </c>
      <c r="O147" s="101">
        <v>655</v>
      </c>
      <c r="P147" s="101">
        <v>8199223199.4938574</v>
      </c>
      <c r="Q147" s="101">
        <v>1392062320.0963626</v>
      </c>
      <c r="R147" s="101">
        <v>1277464025.4614544</v>
      </c>
      <c r="S147" s="101">
        <f t="shared" si="14"/>
        <v>17152871.244414743</v>
      </c>
      <c r="T147" s="101">
        <f t="shared" si="11"/>
        <v>2483871.244414743</v>
      </c>
      <c r="U147" s="101">
        <f t="shared" si="12"/>
        <v>2483871.244414743</v>
      </c>
      <c r="V147" s="101">
        <v>213733</v>
      </c>
      <c r="W147" s="149">
        <f t="shared" si="13"/>
        <v>1.162137453933058E-2</v>
      </c>
    </row>
    <row r="148" spans="1:23" x14ac:dyDescent="0.25">
      <c r="A148" t="s">
        <v>524</v>
      </c>
      <c r="B148" t="s">
        <v>331</v>
      </c>
      <c r="C148" s="101">
        <f t="shared" si="10"/>
        <v>3287</v>
      </c>
      <c r="D148" s="101">
        <v>1749</v>
      </c>
      <c r="E148" s="101">
        <v>1538</v>
      </c>
      <c r="F148" s="101">
        <v>0</v>
      </c>
      <c r="G148" s="101">
        <v>0</v>
      </c>
      <c r="H148" s="101">
        <v>319</v>
      </c>
      <c r="I148" s="101">
        <v>139</v>
      </c>
      <c r="J148" s="101">
        <v>1879</v>
      </c>
      <c r="K148" s="101">
        <v>1558</v>
      </c>
      <c r="L148" s="101">
        <v>148</v>
      </c>
      <c r="M148" s="101">
        <v>314</v>
      </c>
      <c r="N148" s="101">
        <v>688</v>
      </c>
      <c r="O148" s="101">
        <v>31</v>
      </c>
      <c r="P148" s="101">
        <v>2090059573.551163</v>
      </c>
      <c r="Q148" s="101">
        <v>294573069.93956834</v>
      </c>
      <c r="R148" s="101">
        <v>282810603.60517579</v>
      </c>
      <c r="S148" s="101">
        <f t="shared" si="14"/>
        <v>4235810.8453146163</v>
      </c>
      <c r="T148" s="101">
        <f t="shared" si="11"/>
        <v>948810.84531461634</v>
      </c>
      <c r="U148" s="101">
        <f t="shared" si="12"/>
        <v>948810.84531461634</v>
      </c>
      <c r="V148" s="101">
        <v>44823</v>
      </c>
      <c r="W148" s="149">
        <f t="shared" si="13"/>
        <v>2.1167946039190068E-2</v>
      </c>
    </row>
    <row r="149" spans="1:23" x14ac:dyDescent="0.25">
      <c r="A149" t="s">
        <v>517</v>
      </c>
      <c r="B149" t="s">
        <v>298</v>
      </c>
      <c r="C149" s="101">
        <f t="shared" si="10"/>
        <v>24203</v>
      </c>
      <c r="D149" s="101">
        <v>15349</v>
      </c>
      <c r="E149" s="101">
        <v>8854</v>
      </c>
      <c r="F149" s="101">
        <v>4799</v>
      </c>
      <c r="G149" s="101">
        <v>106</v>
      </c>
      <c r="H149" s="101">
        <v>991</v>
      </c>
      <c r="I149" s="101">
        <v>637</v>
      </c>
      <c r="J149" s="101">
        <v>5777</v>
      </c>
      <c r="K149" s="101">
        <v>8597</v>
      </c>
      <c r="L149" s="101">
        <v>1756</v>
      </c>
      <c r="M149" s="101">
        <v>419</v>
      </c>
      <c r="N149" s="101">
        <v>1582</v>
      </c>
      <c r="O149" s="101">
        <v>293</v>
      </c>
      <c r="P149" s="101">
        <v>12699281430.891659</v>
      </c>
      <c r="Q149" s="101">
        <v>1220228029.2982814</v>
      </c>
      <c r="R149" s="101">
        <v>1186986276.6141286</v>
      </c>
      <c r="S149" s="101">
        <f t="shared" si="14"/>
        <v>24041840.104671266</v>
      </c>
      <c r="T149" s="101">
        <f t="shared" si="11"/>
        <v>-161159.89532873407</v>
      </c>
      <c r="U149" s="101">
        <f t="shared" si="12"/>
        <v>0</v>
      </c>
      <c r="V149" s="101">
        <v>240880</v>
      </c>
      <c r="W149" s="149">
        <f t="shared" si="13"/>
        <v>-6.6904639375927461E-4</v>
      </c>
    </row>
    <row r="150" spans="1:23" x14ac:dyDescent="0.25">
      <c r="A150" t="s">
        <v>522</v>
      </c>
      <c r="B150" t="s">
        <v>407</v>
      </c>
      <c r="C150" s="101">
        <f t="shared" si="10"/>
        <v>15363</v>
      </c>
      <c r="D150" s="101">
        <v>8697</v>
      </c>
      <c r="E150" s="101">
        <v>6666</v>
      </c>
      <c r="F150" s="101">
        <v>627</v>
      </c>
      <c r="G150" s="101">
        <v>83</v>
      </c>
      <c r="H150" s="101">
        <v>225</v>
      </c>
      <c r="I150" s="101">
        <v>143</v>
      </c>
      <c r="J150" s="101">
        <v>5657</v>
      </c>
      <c r="K150" s="101">
        <v>6821</v>
      </c>
      <c r="L150" s="101">
        <v>957</v>
      </c>
      <c r="M150" s="101">
        <v>54</v>
      </c>
      <c r="N150" s="101">
        <v>792</v>
      </c>
      <c r="O150" s="101">
        <v>195</v>
      </c>
      <c r="P150" s="101">
        <v>4989376830.9085293</v>
      </c>
      <c r="Q150" s="101">
        <v>802916180.21722627</v>
      </c>
      <c r="R150" s="101">
        <v>790130890.72332132</v>
      </c>
      <c r="S150" s="101">
        <f t="shared" si="14"/>
        <v>10478573.586706499</v>
      </c>
      <c r="T150" s="101">
        <f t="shared" si="11"/>
        <v>-4884426.4132935014</v>
      </c>
      <c r="U150" s="101">
        <f t="shared" si="12"/>
        <v>0</v>
      </c>
      <c r="V150" s="101">
        <v>213923</v>
      </c>
      <c r="W150" s="149">
        <f t="shared" si="13"/>
        <v>-2.2832637973913519E-2</v>
      </c>
    </row>
    <row r="151" spans="1:23" x14ac:dyDescent="0.25">
      <c r="A151" t="s">
        <v>514</v>
      </c>
      <c r="B151" t="s">
        <v>260</v>
      </c>
      <c r="C151" s="101">
        <f t="shared" si="10"/>
        <v>5325</v>
      </c>
      <c r="D151" s="101">
        <v>3930</v>
      </c>
      <c r="E151" s="101">
        <v>1395</v>
      </c>
      <c r="F151" s="101">
        <v>0</v>
      </c>
      <c r="G151" s="101">
        <v>0</v>
      </c>
      <c r="H151" s="101">
        <v>140</v>
      </c>
      <c r="I151" s="101">
        <v>137</v>
      </c>
      <c r="J151" s="101">
        <v>1208</v>
      </c>
      <c r="K151" s="101">
        <v>3866</v>
      </c>
      <c r="L151" s="101">
        <v>317</v>
      </c>
      <c r="M151" s="101">
        <v>35</v>
      </c>
      <c r="N151" s="101">
        <v>810</v>
      </c>
      <c r="O151" s="101">
        <v>32</v>
      </c>
      <c r="P151" s="101">
        <v>4065108365.1660442</v>
      </c>
      <c r="Q151" s="101">
        <v>511411579.75619501</v>
      </c>
      <c r="R151" s="101">
        <v>455611917.90091443</v>
      </c>
      <c r="S151" s="101">
        <f t="shared" si="14"/>
        <v>7937249.8605437567</v>
      </c>
      <c r="T151" s="101">
        <f t="shared" si="11"/>
        <v>2612249.8605437567</v>
      </c>
      <c r="U151" s="101">
        <f t="shared" si="12"/>
        <v>2612249.8605437567</v>
      </c>
      <c r="V151" s="101">
        <v>80540</v>
      </c>
      <c r="W151" s="149">
        <f t="shared" si="13"/>
        <v>3.2434192457707435E-2</v>
      </c>
    </row>
    <row r="152" spans="1:23" x14ac:dyDescent="0.25">
      <c r="A152" t="s">
        <v>517</v>
      </c>
      <c r="B152" t="s">
        <v>299</v>
      </c>
      <c r="C152" s="101">
        <f t="shared" si="10"/>
        <v>6608</v>
      </c>
      <c r="D152" s="101">
        <v>4210</v>
      </c>
      <c r="E152" s="101">
        <v>2398</v>
      </c>
      <c r="F152" s="101">
        <v>15</v>
      </c>
      <c r="G152" s="101">
        <v>0</v>
      </c>
      <c r="H152" s="101">
        <v>0</v>
      </c>
      <c r="I152" s="101">
        <v>0</v>
      </c>
      <c r="J152" s="101">
        <v>4124</v>
      </c>
      <c r="K152" s="101">
        <v>5753</v>
      </c>
      <c r="L152" s="101">
        <v>664</v>
      </c>
      <c r="M152" s="101">
        <v>741</v>
      </c>
      <c r="N152" s="101">
        <v>1335</v>
      </c>
      <c r="O152" s="101">
        <v>210</v>
      </c>
      <c r="P152" s="101">
        <v>4974739095.0257301</v>
      </c>
      <c r="Q152" s="101">
        <v>489932293.40643483</v>
      </c>
      <c r="R152" s="101">
        <v>485329589.18862909</v>
      </c>
      <c r="S152" s="101">
        <f t="shared" si="14"/>
        <v>9482910.2460777666</v>
      </c>
      <c r="T152" s="101">
        <f t="shared" si="11"/>
        <v>2874910.2460777666</v>
      </c>
      <c r="U152" s="101">
        <f t="shared" si="12"/>
        <v>2874910.2460777666</v>
      </c>
      <c r="V152" s="101">
        <v>105893</v>
      </c>
      <c r="W152" s="149">
        <f t="shared" si="13"/>
        <v>2.7149200098946735E-2</v>
      </c>
    </row>
    <row r="153" spans="1:23" x14ac:dyDescent="0.25">
      <c r="A153" t="s">
        <v>517</v>
      </c>
      <c r="B153" t="s">
        <v>474</v>
      </c>
      <c r="C153" s="101">
        <f t="shared" si="10"/>
        <v>14774</v>
      </c>
      <c r="D153" s="101">
        <v>9333</v>
      </c>
      <c r="E153" s="101">
        <v>5441</v>
      </c>
      <c r="F153" s="101">
        <v>0</v>
      </c>
      <c r="G153" s="101">
        <v>0</v>
      </c>
      <c r="H153" s="101">
        <v>278</v>
      </c>
      <c r="I153" s="101">
        <v>44</v>
      </c>
      <c r="J153" s="101">
        <v>6684</v>
      </c>
      <c r="K153" s="101">
        <v>7660</v>
      </c>
      <c r="L153" s="101">
        <v>1276</v>
      </c>
      <c r="M153" s="101">
        <v>1100</v>
      </c>
      <c r="N153" s="101">
        <v>2607</v>
      </c>
      <c r="O153" s="101">
        <v>358</v>
      </c>
      <c r="P153" s="101">
        <v>10244324012.833565</v>
      </c>
      <c r="Q153" s="101">
        <v>1148630408.1324141</v>
      </c>
      <c r="R153" s="101">
        <v>1070895848.0094726</v>
      </c>
      <c r="S153" s="101">
        <f t="shared" si="14"/>
        <v>19755854.55561975</v>
      </c>
      <c r="T153" s="101">
        <f t="shared" si="11"/>
        <v>4981854.5556197502</v>
      </c>
      <c r="U153" s="101">
        <f t="shared" si="12"/>
        <v>4981854.5556197502</v>
      </c>
      <c r="V153" s="101">
        <v>181290</v>
      </c>
      <c r="W153" s="149">
        <f t="shared" si="13"/>
        <v>2.7480029541727343E-2</v>
      </c>
    </row>
    <row r="154" spans="1:23" x14ac:dyDescent="0.25">
      <c r="A154" t="s">
        <v>513</v>
      </c>
      <c r="B154" t="s">
        <v>373</v>
      </c>
      <c r="C154" s="101">
        <f t="shared" si="10"/>
        <v>6623</v>
      </c>
      <c r="D154" s="101">
        <v>4223</v>
      </c>
      <c r="E154" s="101">
        <v>2400</v>
      </c>
      <c r="F154" s="101">
        <v>0</v>
      </c>
      <c r="G154" s="101">
        <v>0</v>
      </c>
      <c r="H154" s="101">
        <v>155</v>
      </c>
      <c r="I154" s="101">
        <v>27</v>
      </c>
      <c r="J154" s="101">
        <v>2785</v>
      </c>
      <c r="K154" s="101">
        <v>2077</v>
      </c>
      <c r="L154" s="101">
        <v>486</v>
      </c>
      <c r="M154" s="101">
        <v>0</v>
      </c>
      <c r="N154" s="101">
        <v>548</v>
      </c>
      <c r="O154" s="101">
        <v>107</v>
      </c>
      <c r="P154" s="101">
        <v>4221941249.6246104</v>
      </c>
      <c r="Q154" s="101">
        <v>550278859.81766582</v>
      </c>
      <c r="R154" s="101">
        <v>508304100.27808577</v>
      </c>
      <c r="S154" s="101">
        <f t="shared" si="14"/>
        <v>8355486.3730383478</v>
      </c>
      <c r="T154" s="101">
        <f t="shared" si="11"/>
        <v>1732486.3730383478</v>
      </c>
      <c r="U154" s="101">
        <f t="shared" si="12"/>
        <v>1732486.3730383478</v>
      </c>
      <c r="V154" s="101">
        <v>67745</v>
      </c>
      <c r="W154" s="149">
        <f t="shared" si="13"/>
        <v>2.5573641937240356E-2</v>
      </c>
    </row>
    <row r="155" spans="1:23" x14ac:dyDescent="0.25">
      <c r="A155" t="s">
        <v>513</v>
      </c>
      <c r="B155" t="s">
        <v>975</v>
      </c>
      <c r="C155" s="101">
        <v>23045</v>
      </c>
      <c r="D155" s="101">
        <v>16504</v>
      </c>
      <c r="E155" s="101">
        <v>11693</v>
      </c>
      <c r="F155" s="101">
        <v>62</v>
      </c>
      <c r="G155" s="101">
        <v>0</v>
      </c>
      <c r="H155" s="101">
        <v>734</v>
      </c>
      <c r="I155" s="101">
        <v>293</v>
      </c>
      <c r="J155" s="101">
        <v>10820</v>
      </c>
      <c r="K155" s="101">
        <v>10909</v>
      </c>
      <c r="L155" s="101">
        <v>1207</v>
      </c>
      <c r="M155" s="101">
        <v>315</v>
      </c>
      <c r="N155" s="101">
        <v>2502</v>
      </c>
      <c r="O155" s="101">
        <v>823</v>
      </c>
      <c r="P155" s="101">
        <v>15531683324.213369</v>
      </c>
      <c r="Q155" s="101">
        <v>2388292077.4614305</v>
      </c>
      <c r="R155" s="101">
        <v>2191910030.835052</v>
      </c>
      <c r="S155" s="101">
        <f t="shared" si="14"/>
        <v>31765227.900484141</v>
      </c>
      <c r="T155" s="101">
        <v>3643417.5969999991</v>
      </c>
      <c r="U155" s="101">
        <v>3643417.5969999991</v>
      </c>
      <c r="V155" s="101">
        <v>317920</v>
      </c>
      <c r="W155" s="149">
        <v>1.5021429148044919E-2</v>
      </c>
    </row>
    <row r="156" spans="1:23" x14ac:dyDescent="0.25">
      <c r="A156" t="s">
        <v>522</v>
      </c>
      <c r="B156" t="s">
        <v>408</v>
      </c>
      <c r="C156" s="101">
        <f t="shared" si="10"/>
        <v>8787</v>
      </c>
      <c r="D156" s="101">
        <v>6475</v>
      </c>
      <c r="E156" s="101">
        <v>2312</v>
      </c>
      <c r="F156" s="101">
        <v>17</v>
      </c>
      <c r="G156" s="101">
        <v>19</v>
      </c>
      <c r="H156" s="101">
        <v>158</v>
      </c>
      <c r="I156" s="101">
        <v>411</v>
      </c>
      <c r="J156" s="101">
        <v>5055</v>
      </c>
      <c r="K156" s="101">
        <v>5703</v>
      </c>
      <c r="L156" s="101">
        <v>358</v>
      </c>
      <c r="M156" s="101">
        <v>20</v>
      </c>
      <c r="N156" s="101">
        <v>298</v>
      </c>
      <c r="O156" s="101">
        <v>185</v>
      </c>
      <c r="P156" s="101">
        <v>4709168744.0092239</v>
      </c>
      <c r="Q156" s="101">
        <v>395832562.73129499</v>
      </c>
      <c r="R156" s="101">
        <v>375887511.12080336</v>
      </c>
      <c r="S156" s="101">
        <f t="shared" si="14"/>
        <v>8710205.3071700763</v>
      </c>
      <c r="T156" s="101">
        <f t="shared" si="11"/>
        <v>-76794.692829923704</v>
      </c>
      <c r="U156" s="101">
        <f t="shared" si="12"/>
        <v>0</v>
      </c>
      <c r="V156" s="101">
        <v>144318</v>
      </c>
      <c r="W156" s="149">
        <f t="shared" si="13"/>
        <v>-5.3212137661222923E-4</v>
      </c>
    </row>
    <row r="157" spans="1:23" x14ac:dyDescent="0.25">
      <c r="A157" t="s">
        <v>514</v>
      </c>
      <c r="B157" s="164" t="s">
        <v>261</v>
      </c>
      <c r="C157" s="101">
        <v>3538</v>
      </c>
      <c r="D157" s="101">
        <v>3242</v>
      </c>
      <c r="E157" s="101">
        <v>295</v>
      </c>
      <c r="F157" s="101">
        <v>0</v>
      </c>
      <c r="G157" s="101">
        <v>32</v>
      </c>
      <c r="H157" s="101">
        <v>72</v>
      </c>
      <c r="I157" s="101">
        <v>3</v>
      </c>
      <c r="J157" s="101">
        <v>1366</v>
      </c>
      <c r="K157" s="101">
        <v>2147</v>
      </c>
      <c r="L157" s="101">
        <v>152</v>
      </c>
      <c r="M157" s="101">
        <v>153</v>
      </c>
      <c r="N157" s="101">
        <v>379</v>
      </c>
      <c r="O157" s="101">
        <v>139</v>
      </c>
      <c r="P157" s="101">
        <v>2991325882.9063921</v>
      </c>
      <c r="Q157" s="101">
        <v>153423473.92685851</v>
      </c>
      <c r="R157" s="101">
        <v>144218065.491247</v>
      </c>
      <c r="S157" s="101">
        <f t="shared" si="14"/>
        <v>5231220.4121527737</v>
      </c>
      <c r="T157" s="101">
        <f t="shared" si="11"/>
        <v>1693220.4121527737</v>
      </c>
      <c r="U157" s="101">
        <f t="shared" si="12"/>
        <v>1693220.4121527737</v>
      </c>
      <c r="V157" s="187">
        <f>31559*(78/73)</f>
        <v>33720.575342465752</v>
      </c>
      <c r="W157" s="149">
        <f t="shared" si="13"/>
        <v>5.021327171782948E-2</v>
      </c>
    </row>
    <row r="158" spans="1:23" x14ac:dyDescent="0.25">
      <c r="A158" t="s">
        <v>517</v>
      </c>
      <c r="B158" t="s">
        <v>300</v>
      </c>
      <c r="C158" s="101">
        <f t="shared" si="10"/>
        <v>24466</v>
      </c>
      <c r="D158" s="101">
        <v>10922</v>
      </c>
      <c r="E158" s="101">
        <v>13544</v>
      </c>
      <c r="F158" s="101">
        <v>0</v>
      </c>
      <c r="G158" s="101">
        <v>45</v>
      </c>
      <c r="H158" s="101">
        <v>150</v>
      </c>
      <c r="I158" s="101">
        <v>489</v>
      </c>
      <c r="J158" s="101">
        <v>7757</v>
      </c>
      <c r="K158" s="101">
        <v>7515</v>
      </c>
      <c r="L158" s="101">
        <v>1335</v>
      </c>
      <c r="M158" s="101">
        <v>240</v>
      </c>
      <c r="N158" s="101">
        <v>3472</v>
      </c>
      <c r="O158" s="101">
        <v>874</v>
      </c>
      <c r="P158" s="101">
        <v>13277471998.262241</v>
      </c>
      <c r="Q158" s="101">
        <v>2270667414.117506</v>
      </c>
      <c r="R158" s="101">
        <v>2252768008.8260388</v>
      </c>
      <c r="S158" s="101">
        <f t="shared" si="14"/>
        <v>28363897.78538334</v>
      </c>
      <c r="T158" s="101">
        <f t="shared" si="11"/>
        <v>3897897.78538334</v>
      </c>
      <c r="U158" s="101">
        <f t="shared" si="12"/>
        <v>3897897.78538334</v>
      </c>
      <c r="V158" s="101">
        <v>214966</v>
      </c>
      <c r="W158" s="149">
        <f t="shared" si="13"/>
        <v>1.8132624626142461E-2</v>
      </c>
    </row>
    <row r="159" spans="1:23" x14ac:dyDescent="0.25">
      <c r="A159" t="s">
        <v>514</v>
      </c>
      <c r="B159" t="s">
        <v>724</v>
      </c>
      <c r="C159" s="101">
        <f t="shared" si="10"/>
        <v>5924</v>
      </c>
      <c r="D159" s="101">
        <v>4838</v>
      </c>
      <c r="E159" s="101">
        <v>1086</v>
      </c>
      <c r="F159" s="101">
        <v>8</v>
      </c>
      <c r="G159" s="101">
        <v>21</v>
      </c>
      <c r="H159" s="101">
        <v>0</v>
      </c>
      <c r="I159" s="101">
        <v>76</v>
      </c>
      <c r="J159" s="101">
        <v>1491</v>
      </c>
      <c r="K159" s="101">
        <v>1889</v>
      </c>
      <c r="L159" s="101">
        <v>278</v>
      </c>
      <c r="M159" s="101">
        <v>73</v>
      </c>
      <c r="N159" s="101">
        <v>1060</v>
      </c>
      <c r="O159" s="101">
        <v>117</v>
      </c>
      <c r="P159" s="101">
        <v>5209988421.7135792</v>
      </c>
      <c r="Q159" s="101">
        <v>282299192.02541965</v>
      </c>
      <c r="R159" s="101">
        <v>271540057.66510421</v>
      </c>
      <c r="S159" s="101">
        <f t="shared" si="14"/>
        <v>9176144.3165848404</v>
      </c>
      <c r="T159" s="101">
        <f t="shared" si="11"/>
        <v>3252144.3165848404</v>
      </c>
      <c r="U159" s="101">
        <f t="shared" si="12"/>
        <v>3252144.3165848404</v>
      </c>
      <c r="V159" s="101">
        <v>37094</v>
      </c>
      <c r="W159" s="149">
        <f t="shared" si="13"/>
        <v>8.7673055388603024E-2</v>
      </c>
    </row>
    <row r="160" spans="1:23" x14ac:dyDescent="0.25">
      <c r="A160" t="s">
        <v>516</v>
      </c>
      <c r="B160" t="s">
        <v>130</v>
      </c>
      <c r="C160" s="101">
        <f t="shared" si="10"/>
        <v>41954</v>
      </c>
      <c r="D160" s="101">
        <v>18721</v>
      </c>
      <c r="E160" s="101">
        <v>23233</v>
      </c>
      <c r="F160" s="101">
        <v>3789</v>
      </c>
      <c r="G160" s="101">
        <v>332</v>
      </c>
      <c r="H160" s="101">
        <v>756</v>
      </c>
      <c r="I160" s="101">
        <v>655</v>
      </c>
      <c r="J160" s="101">
        <v>12406</v>
      </c>
      <c r="K160" s="101">
        <v>19440</v>
      </c>
      <c r="L160" s="101">
        <v>2086</v>
      </c>
      <c r="M160" s="101">
        <v>338</v>
      </c>
      <c r="N160" s="101">
        <v>4137</v>
      </c>
      <c r="O160" s="101">
        <v>909</v>
      </c>
      <c r="P160" s="101">
        <v>17086419985.479294</v>
      </c>
      <c r="Q160" s="101">
        <v>3144158392.3410869</v>
      </c>
      <c r="R160" s="101">
        <v>3034698510.1284642</v>
      </c>
      <c r="S160" s="101">
        <f t="shared" si="14"/>
        <v>36933528.124149278</v>
      </c>
      <c r="T160" s="101">
        <f t="shared" si="11"/>
        <v>-5020471.8758507222</v>
      </c>
      <c r="U160" s="101">
        <f t="shared" si="12"/>
        <v>0</v>
      </c>
      <c r="V160" s="101">
        <v>724234</v>
      </c>
      <c r="W160" s="149">
        <f t="shared" si="13"/>
        <v>-6.9321129301451222E-3</v>
      </c>
    </row>
    <row r="161" spans="1:23" x14ac:dyDescent="0.25">
      <c r="A161" t="s">
        <v>517</v>
      </c>
      <c r="B161" t="s">
        <v>301</v>
      </c>
      <c r="C161" s="101">
        <f t="shared" si="10"/>
        <v>73561</v>
      </c>
      <c r="D161" s="101">
        <v>30673</v>
      </c>
      <c r="E161" s="101">
        <v>42888</v>
      </c>
      <c r="F161" s="101">
        <v>20489</v>
      </c>
      <c r="G161" s="101">
        <v>465</v>
      </c>
      <c r="H161" s="101">
        <v>1680</v>
      </c>
      <c r="I161" s="101">
        <v>0</v>
      </c>
      <c r="J161" s="101">
        <v>14480</v>
      </c>
      <c r="K161" s="101">
        <v>22763</v>
      </c>
      <c r="L161" s="101">
        <v>2437</v>
      </c>
      <c r="M161" s="101">
        <v>0</v>
      </c>
      <c r="N161" s="101">
        <v>4634</v>
      </c>
      <c r="O161" s="101">
        <v>1796</v>
      </c>
      <c r="P161" s="101">
        <v>26632314886.190708</v>
      </c>
      <c r="Q161" s="101">
        <v>3675003612.1280174</v>
      </c>
      <c r="R161" s="101">
        <v>3618748338.3548355</v>
      </c>
      <c r="S161" s="101">
        <f t="shared" si="14"/>
        <v>54022349.442826107</v>
      </c>
      <c r="T161" s="101">
        <f t="shared" si="11"/>
        <v>-19538650.557173893</v>
      </c>
      <c r="U161" s="101">
        <f t="shared" si="12"/>
        <v>0</v>
      </c>
      <c r="V161" s="101">
        <v>694298</v>
      </c>
      <c r="W161" s="149">
        <f t="shared" si="13"/>
        <v>-2.8141591301103983E-2</v>
      </c>
    </row>
    <row r="162" spans="1:23" x14ac:dyDescent="0.25">
      <c r="A162" t="s">
        <v>517</v>
      </c>
      <c r="B162" t="s">
        <v>302</v>
      </c>
      <c r="C162" s="101">
        <f t="shared" si="10"/>
        <v>9595</v>
      </c>
      <c r="D162" s="101">
        <v>6688</v>
      </c>
      <c r="E162" s="101">
        <v>2907</v>
      </c>
      <c r="F162" s="101">
        <v>25</v>
      </c>
      <c r="G162" s="101">
        <v>26</v>
      </c>
      <c r="H162" s="101">
        <v>78</v>
      </c>
      <c r="I162" s="101">
        <v>0</v>
      </c>
      <c r="J162" s="101">
        <v>2266</v>
      </c>
      <c r="K162" s="101">
        <v>5673</v>
      </c>
      <c r="L162" s="101">
        <v>318</v>
      </c>
      <c r="M162" s="101">
        <v>299</v>
      </c>
      <c r="N162" s="101">
        <v>255</v>
      </c>
      <c r="O162" s="101">
        <v>29</v>
      </c>
      <c r="P162" s="101">
        <v>5653302708.4497938</v>
      </c>
      <c r="Q162" s="101">
        <v>479704061.81131089</v>
      </c>
      <c r="R162" s="101">
        <v>468964418.6364308</v>
      </c>
      <c r="S162" s="101">
        <f t="shared" si="14"/>
        <v>10513014.315427635</v>
      </c>
      <c r="T162" s="101">
        <f t="shared" si="11"/>
        <v>918014.31542763487</v>
      </c>
      <c r="U162" s="101">
        <f t="shared" si="12"/>
        <v>918014.31542763487</v>
      </c>
      <c r="V162" s="101">
        <v>83817</v>
      </c>
      <c r="W162" s="149">
        <f t="shared" si="13"/>
        <v>1.0952602878027547E-2</v>
      </c>
    </row>
    <row r="163" spans="1:23" x14ac:dyDescent="0.25">
      <c r="A163" t="s">
        <v>517</v>
      </c>
      <c r="B163" t="s">
        <v>303</v>
      </c>
      <c r="C163" s="101">
        <f t="shared" si="10"/>
        <v>18082</v>
      </c>
      <c r="D163" s="101">
        <v>12086</v>
      </c>
      <c r="E163" s="101">
        <v>5996</v>
      </c>
      <c r="F163" s="101">
        <v>456</v>
      </c>
      <c r="G163" s="101">
        <v>0</v>
      </c>
      <c r="H163" s="101">
        <v>589</v>
      </c>
      <c r="I163" s="101">
        <v>179</v>
      </c>
      <c r="J163" s="101">
        <v>9451</v>
      </c>
      <c r="K163" s="101">
        <v>15398</v>
      </c>
      <c r="L163" s="101">
        <v>2122</v>
      </c>
      <c r="M163" s="101">
        <v>952</v>
      </c>
      <c r="N163" s="101">
        <v>3651</v>
      </c>
      <c r="O163" s="101">
        <v>229</v>
      </c>
      <c r="P163" s="101">
        <v>15415626989.714031</v>
      </c>
      <c r="Q163" s="101">
        <v>1274437656.7524378</v>
      </c>
      <c r="R163" s="101">
        <v>1256538251.4609711</v>
      </c>
      <c r="S163" s="101">
        <f t="shared" si="14"/>
        <v>28596282.070754383</v>
      </c>
      <c r="T163" s="101">
        <f t="shared" si="11"/>
        <v>10514282.070754383</v>
      </c>
      <c r="U163" s="101">
        <f t="shared" si="12"/>
        <v>10514282.070754383</v>
      </c>
      <c r="V163" s="101">
        <v>310398</v>
      </c>
      <c r="W163" s="149">
        <f t="shared" si="13"/>
        <v>3.3873549670920503E-2</v>
      </c>
    </row>
    <row r="164" spans="1:23" x14ac:dyDescent="0.25">
      <c r="A164" t="s">
        <v>519</v>
      </c>
      <c r="B164" t="s">
        <v>429</v>
      </c>
      <c r="C164" s="101">
        <f t="shared" si="10"/>
        <v>32511</v>
      </c>
      <c r="D164" s="101">
        <v>14823</v>
      </c>
      <c r="E164" s="101">
        <v>17688</v>
      </c>
      <c r="F164" s="101">
        <v>2550</v>
      </c>
      <c r="G164" s="101">
        <v>0</v>
      </c>
      <c r="H164" s="101">
        <v>400</v>
      </c>
      <c r="I164" s="101">
        <v>586</v>
      </c>
      <c r="J164" s="101">
        <v>8869</v>
      </c>
      <c r="K164" s="101">
        <v>15903</v>
      </c>
      <c r="L164" s="101">
        <v>1298</v>
      </c>
      <c r="M164" s="101">
        <v>401</v>
      </c>
      <c r="N164" s="101">
        <v>2690</v>
      </c>
      <c r="O164" s="101">
        <v>536</v>
      </c>
      <c r="P164" s="101">
        <v>12643867145.049633</v>
      </c>
      <c r="Q164" s="101">
        <v>2391360546.9399676</v>
      </c>
      <c r="R164" s="101">
        <v>2308511871.019464</v>
      </c>
      <c r="S164" s="101">
        <f t="shared" si="14"/>
        <v>27531120.964906257</v>
      </c>
      <c r="T164" s="101">
        <f t="shared" si="11"/>
        <v>-4979879.0350937434</v>
      </c>
      <c r="U164" s="101">
        <f t="shared" si="12"/>
        <v>0</v>
      </c>
      <c r="V164" s="101">
        <v>426946</v>
      </c>
      <c r="W164" s="149">
        <f t="shared" si="13"/>
        <v>-1.1663955242802938E-2</v>
      </c>
    </row>
    <row r="165" spans="1:23" x14ac:dyDescent="0.25">
      <c r="A165" t="s">
        <v>522</v>
      </c>
      <c r="B165" t="s">
        <v>409</v>
      </c>
      <c r="C165" s="101">
        <f t="shared" si="10"/>
        <v>7796</v>
      </c>
      <c r="D165" s="101">
        <v>5307</v>
      </c>
      <c r="E165" s="101">
        <v>2489</v>
      </c>
      <c r="F165" s="101">
        <v>0</v>
      </c>
      <c r="G165" s="101">
        <v>0</v>
      </c>
      <c r="H165" s="101">
        <v>1291</v>
      </c>
      <c r="I165" s="101">
        <v>50</v>
      </c>
      <c r="J165" s="101">
        <v>4882</v>
      </c>
      <c r="K165" s="101">
        <v>3693</v>
      </c>
      <c r="L165" s="101">
        <v>749</v>
      </c>
      <c r="M165" s="101">
        <v>7</v>
      </c>
      <c r="N165" s="101">
        <v>901</v>
      </c>
      <c r="O165" s="101">
        <v>157</v>
      </c>
      <c r="P165" s="101">
        <v>5696170363.5351353</v>
      </c>
      <c r="Q165" s="101">
        <v>814167234.97186255</v>
      </c>
      <c r="R165" s="101">
        <v>735921263.26916468</v>
      </c>
      <c r="S165" s="101">
        <f t="shared" si="14"/>
        <v>11432980.559667177</v>
      </c>
      <c r="T165" s="101">
        <f t="shared" si="11"/>
        <v>3636980.5596671775</v>
      </c>
      <c r="U165" s="101">
        <f t="shared" si="12"/>
        <v>3636980.5596671775</v>
      </c>
      <c r="V165" s="101">
        <v>111978</v>
      </c>
      <c r="W165" s="149">
        <f t="shared" si="13"/>
        <v>3.2479420597502882E-2</v>
      </c>
    </row>
    <row r="166" spans="1:23" x14ac:dyDescent="0.25">
      <c r="A166" t="s">
        <v>520</v>
      </c>
      <c r="B166" t="s">
        <v>221</v>
      </c>
      <c r="C166" s="101">
        <f t="shared" si="10"/>
        <v>10476</v>
      </c>
      <c r="D166" s="101">
        <v>6450</v>
      </c>
      <c r="E166" s="101">
        <v>4026</v>
      </c>
      <c r="F166" s="101">
        <v>1</v>
      </c>
      <c r="G166" s="101">
        <v>32</v>
      </c>
      <c r="H166" s="101">
        <v>180</v>
      </c>
      <c r="I166" s="101">
        <v>0</v>
      </c>
      <c r="J166" s="101">
        <v>2367</v>
      </c>
      <c r="K166" s="101">
        <v>3838</v>
      </c>
      <c r="L166" s="101">
        <v>596</v>
      </c>
      <c r="M166" s="101">
        <v>41</v>
      </c>
      <c r="N166" s="101">
        <v>947</v>
      </c>
      <c r="O166" s="101">
        <v>164</v>
      </c>
      <c r="P166" s="101">
        <v>6596391120.3273077</v>
      </c>
      <c r="Q166" s="101">
        <v>659720937.88549161</v>
      </c>
      <c r="R166" s="101">
        <v>631059671.38309622</v>
      </c>
      <c r="S166" s="101">
        <f t="shared" si="14"/>
        <v>12534324.188634133</v>
      </c>
      <c r="T166" s="101">
        <f t="shared" si="11"/>
        <v>2058324.188634133</v>
      </c>
      <c r="U166" s="101">
        <f t="shared" si="12"/>
        <v>2058324.188634133</v>
      </c>
      <c r="V166" s="101">
        <v>91465</v>
      </c>
      <c r="W166" s="149">
        <f t="shared" si="13"/>
        <v>2.2503954393857026E-2</v>
      </c>
    </row>
    <row r="167" spans="1:23" x14ac:dyDescent="0.25">
      <c r="A167" t="s">
        <v>515</v>
      </c>
      <c r="B167" t="s">
        <v>185</v>
      </c>
      <c r="C167" s="101">
        <f t="shared" si="10"/>
        <v>15148</v>
      </c>
      <c r="D167" s="101">
        <v>11095</v>
      </c>
      <c r="E167" s="101">
        <v>4053</v>
      </c>
      <c r="F167" s="101">
        <v>0</v>
      </c>
      <c r="G167" s="101">
        <v>0</v>
      </c>
      <c r="H167" s="101">
        <v>138</v>
      </c>
      <c r="I167" s="101">
        <v>554</v>
      </c>
      <c r="J167" s="101">
        <v>4913</v>
      </c>
      <c r="K167" s="101">
        <v>5358</v>
      </c>
      <c r="L167" s="101">
        <v>911</v>
      </c>
      <c r="M167" s="101">
        <v>65</v>
      </c>
      <c r="N167" s="101">
        <v>1415</v>
      </c>
      <c r="O167" s="101">
        <v>354</v>
      </c>
      <c r="P167" s="101">
        <v>8401014844.1638794</v>
      </c>
      <c r="Q167" s="101">
        <v>776322778.06990409</v>
      </c>
      <c r="R167" s="101">
        <v>748706552.76306951</v>
      </c>
      <c r="S167" s="101">
        <f t="shared" si="14"/>
        <v>15787992.579755578</v>
      </c>
      <c r="T167" s="101">
        <f t="shared" si="11"/>
        <v>639992.57975557819</v>
      </c>
      <c r="U167" s="101">
        <f t="shared" si="12"/>
        <v>639992.57975557819</v>
      </c>
      <c r="V167" s="101">
        <v>146576</v>
      </c>
      <c r="W167" s="149">
        <f t="shared" si="13"/>
        <v>4.3662849290168797E-3</v>
      </c>
    </row>
    <row r="168" spans="1:23" x14ac:dyDescent="0.25">
      <c r="A168" t="s">
        <v>514</v>
      </c>
      <c r="B168" t="s">
        <v>304</v>
      </c>
      <c r="C168" s="101">
        <f t="shared" si="10"/>
        <v>8216</v>
      </c>
      <c r="D168" s="101">
        <v>5047</v>
      </c>
      <c r="E168" s="101">
        <v>3169</v>
      </c>
      <c r="F168" s="101">
        <v>7</v>
      </c>
      <c r="G168" s="101">
        <v>27</v>
      </c>
      <c r="H168" s="101">
        <v>133</v>
      </c>
      <c r="I168" s="101">
        <v>118</v>
      </c>
      <c r="J168" s="101">
        <v>2134</v>
      </c>
      <c r="K168" s="101">
        <v>5441</v>
      </c>
      <c r="L168" s="101">
        <v>449</v>
      </c>
      <c r="M168" s="101">
        <v>0</v>
      </c>
      <c r="N168" s="101">
        <v>793</v>
      </c>
      <c r="O168" s="101">
        <v>40</v>
      </c>
      <c r="P168" s="101">
        <v>4559654727.4920568</v>
      </c>
      <c r="Q168" s="101">
        <v>671994815.7996403</v>
      </c>
      <c r="R168" s="101">
        <v>660232349.46524775</v>
      </c>
      <c r="S168" s="101">
        <f t="shared" si="14"/>
        <v>9378790.4851439726</v>
      </c>
      <c r="T168" s="101">
        <f t="shared" si="11"/>
        <v>1162790.4851439726</v>
      </c>
      <c r="U168" s="101">
        <f t="shared" si="12"/>
        <v>1162790.4851439726</v>
      </c>
      <c r="V168" s="101">
        <v>73818</v>
      </c>
      <c r="W168" s="149">
        <f t="shared" si="13"/>
        <v>1.5752126651277093E-2</v>
      </c>
    </row>
    <row r="169" spans="1:23" x14ac:dyDescent="0.25">
      <c r="A169" t="s">
        <v>515</v>
      </c>
      <c r="B169" t="s">
        <v>186</v>
      </c>
      <c r="C169" s="101">
        <f t="shared" si="10"/>
        <v>6028</v>
      </c>
      <c r="D169" s="101">
        <v>4367</v>
      </c>
      <c r="E169" s="101">
        <v>1661</v>
      </c>
      <c r="F169" s="101">
        <v>25</v>
      </c>
      <c r="G169" s="101">
        <v>0</v>
      </c>
      <c r="H169" s="101">
        <v>894</v>
      </c>
      <c r="I169" s="101">
        <v>299</v>
      </c>
      <c r="J169" s="101">
        <v>6018</v>
      </c>
      <c r="K169" s="101">
        <v>3814</v>
      </c>
      <c r="L169" s="101">
        <v>394</v>
      </c>
      <c r="M169" s="101">
        <v>367</v>
      </c>
      <c r="N169" s="101">
        <v>818</v>
      </c>
      <c r="O169" s="101">
        <v>302</v>
      </c>
      <c r="P169" s="101">
        <v>7606394896.2404757</v>
      </c>
      <c r="Q169" s="101">
        <v>766094546.47478008</v>
      </c>
      <c r="R169" s="101">
        <v>646344296.72521532</v>
      </c>
      <c r="S169" s="101">
        <f t="shared" si="14"/>
        <v>14194038.166056996</v>
      </c>
      <c r="T169" s="101">
        <f t="shared" si="11"/>
        <v>8166038.1660569962</v>
      </c>
      <c r="U169" s="101">
        <f t="shared" si="12"/>
        <v>8166038.1660569962</v>
      </c>
      <c r="V169" s="101">
        <v>108628</v>
      </c>
      <c r="W169" s="149">
        <f t="shared" si="13"/>
        <v>7.5174339636714257E-2</v>
      </c>
    </row>
    <row r="170" spans="1:23" x14ac:dyDescent="0.25">
      <c r="A170" t="s">
        <v>513</v>
      </c>
      <c r="B170" t="s">
        <v>375</v>
      </c>
      <c r="C170" s="101">
        <f t="shared" si="10"/>
        <v>8355</v>
      </c>
      <c r="D170" s="101">
        <v>6266</v>
      </c>
      <c r="E170" s="101">
        <v>2089</v>
      </c>
      <c r="F170" s="101">
        <v>68</v>
      </c>
      <c r="G170" s="101">
        <v>0</v>
      </c>
      <c r="H170" s="101">
        <v>3795</v>
      </c>
      <c r="I170" s="101">
        <v>270</v>
      </c>
      <c r="J170" s="101">
        <v>2489</v>
      </c>
      <c r="K170" s="101">
        <v>3406</v>
      </c>
      <c r="L170" s="101">
        <v>432</v>
      </c>
      <c r="M170" s="101">
        <v>0</v>
      </c>
      <c r="N170" s="101">
        <v>550</v>
      </c>
      <c r="O170" s="101">
        <v>77</v>
      </c>
      <c r="P170" s="101">
        <v>4334860926.4347782</v>
      </c>
      <c r="Q170" s="101">
        <v>678131754.75671458</v>
      </c>
      <c r="R170" s="101">
        <v>651538352.6093924</v>
      </c>
      <c r="S170" s="101">
        <f t="shared" si="14"/>
        <v>8992510.5224874318</v>
      </c>
      <c r="T170" s="101">
        <f t="shared" si="11"/>
        <v>637510.52248743176</v>
      </c>
      <c r="U170" s="101">
        <f t="shared" si="12"/>
        <v>637510.52248743176</v>
      </c>
      <c r="V170" s="101">
        <v>76293</v>
      </c>
      <c r="W170" s="149">
        <f t="shared" si="13"/>
        <v>8.3560814555389325E-3</v>
      </c>
    </row>
    <row r="171" spans="1:23" x14ac:dyDescent="0.25">
      <c r="A171" t="s">
        <v>515</v>
      </c>
      <c r="B171" t="s">
        <v>222</v>
      </c>
      <c r="C171" s="101">
        <f t="shared" si="10"/>
        <v>4565</v>
      </c>
      <c r="D171" s="101">
        <v>3376</v>
      </c>
      <c r="E171" s="101">
        <v>1189</v>
      </c>
      <c r="F171" s="101">
        <v>0</v>
      </c>
      <c r="G171" s="101">
        <v>16</v>
      </c>
      <c r="H171" s="101">
        <v>55</v>
      </c>
      <c r="I171" s="101">
        <v>84</v>
      </c>
      <c r="J171" s="101">
        <v>2037</v>
      </c>
      <c r="K171" s="101">
        <v>1714</v>
      </c>
      <c r="L171" s="101">
        <v>232</v>
      </c>
      <c r="M171" s="101">
        <v>96</v>
      </c>
      <c r="N171" s="101">
        <v>521</v>
      </c>
      <c r="O171" s="101">
        <v>9</v>
      </c>
      <c r="P171" s="101">
        <v>2693343402.4351158</v>
      </c>
      <c r="Q171" s="101">
        <v>346737051.07470024</v>
      </c>
      <c r="R171" s="101">
        <v>304289889.95493603</v>
      </c>
      <c r="S171" s="101">
        <f t="shared" si="14"/>
        <v>5266567.4758402556</v>
      </c>
      <c r="T171" s="101">
        <f t="shared" si="11"/>
        <v>701567.47584025562</v>
      </c>
      <c r="U171" s="101">
        <f t="shared" si="12"/>
        <v>701567.47584025562</v>
      </c>
      <c r="V171" s="101">
        <v>42727</v>
      </c>
      <c r="W171" s="149">
        <f t="shared" si="13"/>
        <v>1.641976913521323E-2</v>
      </c>
    </row>
    <row r="172" spans="1:23" x14ac:dyDescent="0.25">
      <c r="A172" t="s">
        <v>518</v>
      </c>
      <c r="B172" t="s">
        <v>150</v>
      </c>
      <c r="C172" s="101">
        <f t="shared" si="10"/>
        <v>6220</v>
      </c>
      <c r="D172" s="101">
        <v>4390</v>
      </c>
      <c r="E172" s="101">
        <v>1830</v>
      </c>
      <c r="F172" s="101">
        <v>0</v>
      </c>
      <c r="G172" s="101">
        <v>0</v>
      </c>
      <c r="H172" s="101">
        <v>319</v>
      </c>
      <c r="I172" s="101">
        <v>150</v>
      </c>
      <c r="J172" s="101">
        <v>3991</v>
      </c>
      <c r="K172" s="101">
        <v>2336</v>
      </c>
      <c r="L172" s="101">
        <v>336</v>
      </c>
      <c r="M172" s="101">
        <v>1</v>
      </c>
      <c r="N172" s="101">
        <v>491</v>
      </c>
      <c r="O172" s="101">
        <v>45</v>
      </c>
      <c r="P172" s="101">
        <v>3809993539.7801089</v>
      </c>
      <c r="Q172" s="101">
        <v>420380318.55959231</v>
      </c>
      <c r="R172" s="101">
        <v>351339755.29250598</v>
      </c>
      <c r="S172" s="101">
        <f t="shared" si="14"/>
        <v>7197713.5153323682</v>
      </c>
      <c r="T172" s="101">
        <f t="shared" si="11"/>
        <v>977713.5153323682</v>
      </c>
      <c r="U172" s="101">
        <f t="shared" si="12"/>
        <v>977713.5153323682</v>
      </c>
      <c r="V172" s="101">
        <v>77010</v>
      </c>
      <c r="W172" s="149">
        <f t="shared" si="13"/>
        <v>1.2695929299212677E-2</v>
      </c>
    </row>
    <row r="173" spans="1:23" x14ac:dyDescent="0.25">
      <c r="A173" t="s">
        <v>515</v>
      </c>
      <c r="B173" t="s">
        <v>187</v>
      </c>
      <c r="C173" s="101">
        <f t="shared" si="10"/>
        <v>6530</v>
      </c>
      <c r="D173" s="101">
        <v>3969</v>
      </c>
      <c r="E173" s="101">
        <v>2561</v>
      </c>
      <c r="F173" s="101">
        <v>0</v>
      </c>
      <c r="G173" s="101">
        <v>0</v>
      </c>
      <c r="H173" s="101">
        <v>541</v>
      </c>
      <c r="I173" s="101">
        <v>111</v>
      </c>
      <c r="J173" s="101">
        <v>3564</v>
      </c>
      <c r="K173" s="101">
        <v>374</v>
      </c>
      <c r="L173" s="101">
        <v>389</v>
      </c>
      <c r="M173" s="101">
        <v>65</v>
      </c>
      <c r="N173" s="101">
        <v>1252</v>
      </c>
      <c r="O173" s="101">
        <v>167</v>
      </c>
      <c r="P173" s="101">
        <v>4392366317.4029198</v>
      </c>
      <c r="Q173" s="101">
        <v>618808011.50499606</v>
      </c>
      <c r="R173" s="101">
        <v>492489351.30521584</v>
      </c>
      <c r="S173" s="101">
        <f t="shared" si="14"/>
        <v>8576865.3069212958</v>
      </c>
      <c r="T173" s="101">
        <f t="shared" si="11"/>
        <v>2046865.3069212958</v>
      </c>
      <c r="U173" s="101">
        <f t="shared" si="12"/>
        <v>2046865.3069212958</v>
      </c>
      <c r="V173" s="101">
        <v>79693</v>
      </c>
      <c r="W173" s="149">
        <f t="shared" si="13"/>
        <v>2.5684380145323878E-2</v>
      </c>
    </row>
    <row r="174" spans="1:23" x14ac:dyDescent="0.25">
      <c r="A174" t="s">
        <v>522</v>
      </c>
      <c r="B174" t="s">
        <v>410</v>
      </c>
      <c r="C174" s="101">
        <f t="shared" si="10"/>
        <v>5506</v>
      </c>
      <c r="D174" s="101">
        <v>3370</v>
      </c>
      <c r="E174" s="101">
        <v>2136</v>
      </c>
      <c r="F174" s="101">
        <v>90</v>
      </c>
      <c r="G174" s="101">
        <v>0</v>
      </c>
      <c r="H174" s="101">
        <v>1257</v>
      </c>
      <c r="I174" s="101">
        <v>295</v>
      </c>
      <c r="J174" s="101">
        <v>3616</v>
      </c>
      <c r="K174" s="101">
        <v>3312</v>
      </c>
      <c r="L174" s="101">
        <v>363</v>
      </c>
      <c r="M174" s="101">
        <v>86</v>
      </c>
      <c r="N174" s="101">
        <v>414</v>
      </c>
      <c r="O174" s="101">
        <v>71</v>
      </c>
      <c r="P174" s="101">
        <v>3860180062.8068504</v>
      </c>
      <c r="Q174" s="101">
        <v>676086108.43768978</v>
      </c>
      <c r="R174" s="101">
        <v>650004117.87012386</v>
      </c>
      <c r="S174" s="101">
        <f t="shared" si="14"/>
        <v>8230500.3361826222</v>
      </c>
      <c r="T174" s="101">
        <f t="shared" si="11"/>
        <v>2724500.3361826222</v>
      </c>
      <c r="U174" s="101">
        <f t="shared" si="12"/>
        <v>2724500.3361826222</v>
      </c>
      <c r="V174" s="101">
        <v>75630</v>
      </c>
      <c r="W174" s="149">
        <f t="shared" si="13"/>
        <v>3.6024068969755685E-2</v>
      </c>
    </row>
    <row r="175" spans="1:23" x14ac:dyDescent="0.25">
      <c r="A175" t="s">
        <v>513</v>
      </c>
      <c r="B175" t="s">
        <v>774</v>
      </c>
      <c r="C175" s="101">
        <v>13569</v>
      </c>
      <c r="D175" s="101">
        <v>8692</v>
      </c>
      <c r="E175" s="101">
        <v>8291</v>
      </c>
      <c r="F175" s="101">
        <v>2423</v>
      </c>
      <c r="G175" s="101">
        <v>0</v>
      </c>
      <c r="H175" s="101">
        <v>499</v>
      </c>
      <c r="I175" s="101">
        <v>254</v>
      </c>
      <c r="J175" s="101">
        <v>6552</v>
      </c>
      <c r="K175" s="101">
        <v>6710</v>
      </c>
      <c r="L175" s="101">
        <v>1021</v>
      </c>
      <c r="M175" s="101">
        <v>175</v>
      </c>
      <c r="N175" s="101">
        <v>2125</v>
      </c>
      <c r="O175" s="101">
        <v>543</v>
      </c>
      <c r="P175" s="101">
        <v>11018032909.495827</v>
      </c>
      <c r="Q175" s="101">
        <v>1818579577.6130292</v>
      </c>
      <c r="R175" s="101">
        <v>1713710713.0811949</v>
      </c>
      <c r="S175" s="101">
        <f t="shared" si="14"/>
        <v>23040499.66537486</v>
      </c>
      <c r="T175" s="101">
        <v>6201778.0799999982</v>
      </c>
      <c r="U175" s="101">
        <v>6201778.0799999982</v>
      </c>
      <c r="V175" s="101">
        <v>200971</v>
      </c>
      <c r="W175" s="149">
        <v>4.1438008338678625E-2</v>
      </c>
    </row>
    <row r="176" spans="1:23" x14ac:dyDescent="0.25">
      <c r="A176" t="s">
        <v>517</v>
      </c>
      <c r="B176" t="s">
        <v>305</v>
      </c>
      <c r="C176" s="101">
        <f t="shared" si="10"/>
        <v>8666</v>
      </c>
      <c r="D176" s="101">
        <v>6107</v>
      </c>
      <c r="E176" s="101">
        <v>2559</v>
      </c>
      <c r="F176" s="101">
        <v>25</v>
      </c>
      <c r="G176" s="101">
        <v>51</v>
      </c>
      <c r="H176" s="101">
        <v>58</v>
      </c>
      <c r="I176" s="101">
        <v>40</v>
      </c>
      <c r="J176" s="101">
        <v>3319</v>
      </c>
      <c r="K176" s="101">
        <v>7342</v>
      </c>
      <c r="L176" s="101">
        <v>663</v>
      </c>
      <c r="M176" s="101">
        <v>1363</v>
      </c>
      <c r="N176" s="101">
        <v>706</v>
      </c>
      <c r="O176" s="101">
        <v>307</v>
      </c>
      <c r="P176" s="101">
        <v>5638664972.5669947</v>
      </c>
      <c r="Q176" s="101">
        <v>602442840.95279777</v>
      </c>
      <c r="R176" s="101">
        <v>582480843.6739881</v>
      </c>
      <c r="S176" s="101">
        <f t="shared" si="14"/>
        <v>10851784.522564379</v>
      </c>
      <c r="T176" s="101">
        <f t="shared" si="11"/>
        <v>2185784.5225643795</v>
      </c>
      <c r="U176" s="101">
        <f t="shared" si="12"/>
        <v>2185784.5225643795</v>
      </c>
      <c r="V176" s="101">
        <v>124775</v>
      </c>
      <c r="W176" s="149">
        <f t="shared" si="13"/>
        <v>1.7517808235338647E-2</v>
      </c>
    </row>
    <row r="177" spans="1:23" x14ac:dyDescent="0.25">
      <c r="A177" t="s">
        <v>522</v>
      </c>
      <c r="B177" t="s">
        <v>411</v>
      </c>
      <c r="C177" s="101">
        <f t="shared" si="10"/>
        <v>43343</v>
      </c>
      <c r="D177" s="101">
        <v>20819</v>
      </c>
      <c r="E177" s="101">
        <v>22524</v>
      </c>
      <c r="F177" s="101">
        <v>11429</v>
      </c>
      <c r="G177" s="101">
        <v>1657</v>
      </c>
      <c r="H177" s="101">
        <v>8574</v>
      </c>
      <c r="I177" s="101">
        <v>1906</v>
      </c>
      <c r="J177" s="101">
        <v>16377</v>
      </c>
      <c r="K177" s="101">
        <v>20999</v>
      </c>
      <c r="L177" s="101">
        <v>3654</v>
      </c>
      <c r="M177" s="101">
        <v>551</v>
      </c>
      <c r="N177" s="101">
        <v>5834</v>
      </c>
      <c r="O177" s="101">
        <v>868</v>
      </c>
      <c r="P177" s="101">
        <v>20433233739.825104</v>
      </c>
      <c r="Q177" s="101">
        <v>3539990955.072382</v>
      </c>
      <c r="R177" s="101">
        <v>3487307951.4063721</v>
      </c>
      <c r="S177" s="101">
        <f t="shared" si="14"/>
        <v>43715520.180007368</v>
      </c>
      <c r="T177" s="101">
        <f t="shared" si="11"/>
        <v>372520.18000736833</v>
      </c>
      <c r="U177" s="101">
        <f t="shared" si="12"/>
        <v>372520.18000736833</v>
      </c>
      <c r="V177" s="101">
        <v>626697</v>
      </c>
      <c r="W177" s="149">
        <f t="shared" si="13"/>
        <v>5.9441832338014752E-4</v>
      </c>
    </row>
    <row r="178" spans="1:23" x14ac:dyDescent="0.25">
      <c r="A178" t="s">
        <v>514</v>
      </c>
      <c r="B178" t="s">
        <v>264</v>
      </c>
      <c r="C178" s="101">
        <f t="shared" si="10"/>
        <v>15163</v>
      </c>
      <c r="D178" s="101">
        <v>9402</v>
      </c>
      <c r="E178" s="101">
        <v>5761</v>
      </c>
      <c r="F178" s="101">
        <v>0</v>
      </c>
      <c r="G178" s="101">
        <v>0</v>
      </c>
      <c r="H178" s="101">
        <v>1450</v>
      </c>
      <c r="I178" s="101">
        <v>260</v>
      </c>
      <c r="J178" s="101">
        <v>4731</v>
      </c>
      <c r="K178" s="101">
        <v>6725</v>
      </c>
      <c r="L178" s="101">
        <v>798</v>
      </c>
      <c r="M178" s="101">
        <v>242</v>
      </c>
      <c r="N178" s="101">
        <v>1716</v>
      </c>
      <c r="O178" s="101">
        <v>450</v>
      </c>
      <c r="P178" s="101">
        <v>7843735328.0544395</v>
      </c>
      <c r="Q178" s="101">
        <v>1199771566.1080334</v>
      </c>
      <c r="R178" s="101">
        <v>1135333707.058753</v>
      </c>
      <c r="S178" s="101">
        <f t="shared" si="14"/>
        <v>16132472.373764256</v>
      </c>
      <c r="T178" s="101">
        <f t="shared" si="11"/>
        <v>969472.37376425602</v>
      </c>
      <c r="U178" s="101">
        <f t="shared" si="12"/>
        <v>969472.37376425602</v>
      </c>
      <c r="V178" s="101">
        <v>157822</v>
      </c>
      <c r="W178" s="149">
        <f t="shared" si="13"/>
        <v>6.142821493608344E-3</v>
      </c>
    </row>
    <row r="179" spans="1:23" x14ac:dyDescent="0.25">
      <c r="A179" t="s">
        <v>522</v>
      </c>
      <c r="B179" t="s">
        <v>412</v>
      </c>
      <c r="C179" s="101">
        <f t="shared" si="10"/>
        <v>5872</v>
      </c>
      <c r="D179" s="101">
        <v>4767</v>
      </c>
      <c r="E179" s="101">
        <v>1105</v>
      </c>
      <c r="F179" s="101">
        <v>71</v>
      </c>
      <c r="G179" s="101">
        <v>0</v>
      </c>
      <c r="H179" s="101">
        <v>162</v>
      </c>
      <c r="I179" s="101">
        <v>141</v>
      </c>
      <c r="J179" s="101">
        <v>3429</v>
      </c>
      <c r="K179" s="101">
        <v>3065</v>
      </c>
      <c r="L179" s="101">
        <v>314</v>
      </c>
      <c r="M179" s="101">
        <v>148</v>
      </c>
      <c r="N179" s="101">
        <v>589</v>
      </c>
      <c r="O179" s="101">
        <v>10</v>
      </c>
      <c r="P179" s="101">
        <v>3113655532.7840738</v>
      </c>
      <c r="Q179" s="101">
        <v>188199461.35027978</v>
      </c>
      <c r="R179" s="101">
        <v>180016876.07418066</v>
      </c>
      <c r="S179" s="101">
        <f t="shared" si="14"/>
        <v>5540534.4094672343</v>
      </c>
      <c r="T179" s="101">
        <f t="shared" si="11"/>
        <v>-331465.59053276572</v>
      </c>
      <c r="U179" s="101">
        <f t="shared" si="12"/>
        <v>0</v>
      </c>
      <c r="V179" s="101">
        <v>60754</v>
      </c>
      <c r="W179" s="149">
        <f t="shared" si="13"/>
        <v>-5.4558644785983757E-3</v>
      </c>
    </row>
    <row r="180" spans="1:23" x14ac:dyDescent="0.25">
      <c r="A180" t="s">
        <v>513</v>
      </c>
      <c r="B180" t="s">
        <v>581</v>
      </c>
      <c r="C180" s="101">
        <f t="shared" si="10"/>
        <v>23203</v>
      </c>
      <c r="D180" s="101">
        <v>13151</v>
      </c>
      <c r="E180" s="101">
        <v>10052</v>
      </c>
      <c r="F180" s="101">
        <v>47</v>
      </c>
      <c r="G180" s="101">
        <v>0</v>
      </c>
      <c r="H180" s="101">
        <v>387</v>
      </c>
      <c r="I180" s="101">
        <v>397</v>
      </c>
      <c r="J180" s="101">
        <v>8896</v>
      </c>
      <c r="K180" s="101">
        <v>9658</v>
      </c>
      <c r="L180" s="101">
        <v>1709</v>
      </c>
      <c r="M180" s="101">
        <v>125</v>
      </c>
      <c r="N180" s="101">
        <v>2871</v>
      </c>
      <c r="O180" s="101">
        <v>595</v>
      </c>
      <c r="P180" s="101">
        <v>15696880629.176394</v>
      </c>
      <c r="Q180" s="101">
        <v>2944707876.2361708</v>
      </c>
      <c r="R180" s="101">
        <v>2714572665.3458829</v>
      </c>
      <c r="S180" s="101">
        <f t="shared" si="14"/>
        <v>33696011.405989714</v>
      </c>
      <c r="T180" s="101">
        <f t="shared" si="11"/>
        <v>10493011.405989714</v>
      </c>
      <c r="U180" s="101">
        <f t="shared" si="12"/>
        <v>10493011.405989714</v>
      </c>
      <c r="V180" s="101">
        <v>286010</v>
      </c>
      <c r="W180" s="149">
        <f t="shared" si="13"/>
        <v>3.6687568287786139E-2</v>
      </c>
    </row>
    <row r="181" spans="1:23" x14ac:dyDescent="0.25">
      <c r="A181" t="s">
        <v>512</v>
      </c>
      <c r="B181" t="s">
        <v>110</v>
      </c>
      <c r="C181" s="101">
        <f t="shared" si="10"/>
        <v>11852</v>
      </c>
      <c r="D181" s="101">
        <v>5888</v>
      </c>
      <c r="E181" s="101">
        <v>5964</v>
      </c>
      <c r="F181" s="101">
        <v>1579</v>
      </c>
      <c r="G181" s="101">
        <v>67</v>
      </c>
      <c r="H181" s="101">
        <v>0</v>
      </c>
      <c r="I181" s="101">
        <v>178</v>
      </c>
      <c r="J181" s="101">
        <v>3246</v>
      </c>
      <c r="K181" s="101">
        <v>3766</v>
      </c>
      <c r="L181" s="101">
        <v>741</v>
      </c>
      <c r="M181" s="101">
        <v>223</v>
      </c>
      <c r="N181" s="101">
        <v>915</v>
      </c>
      <c r="O181" s="101">
        <v>509</v>
      </c>
      <c r="P181" s="101">
        <v>5195350685.83078</v>
      </c>
      <c r="Q181" s="101">
        <v>836669344.48113501</v>
      </c>
      <c r="R181" s="101">
        <v>812618299.10461295</v>
      </c>
      <c r="S181" s="101">
        <f t="shared" si="14"/>
        <v>10878836.718043812</v>
      </c>
      <c r="T181" s="101">
        <f t="shared" si="11"/>
        <v>-973163.28195618838</v>
      </c>
      <c r="U181" s="101">
        <f t="shared" si="12"/>
        <v>0</v>
      </c>
      <c r="V181" s="101">
        <v>161396</v>
      </c>
      <c r="W181" s="149">
        <f t="shared" si="13"/>
        <v>-6.0296617137735034E-3</v>
      </c>
    </row>
    <row r="182" spans="1:23" x14ac:dyDescent="0.25">
      <c r="A182" t="s">
        <v>524</v>
      </c>
      <c r="B182" t="s">
        <v>725</v>
      </c>
      <c r="C182" s="101">
        <f t="shared" si="10"/>
        <v>15403</v>
      </c>
      <c r="D182" s="101">
        <v>8175</v>
      </c>
      <c r="E182" s="101">
        <v>7228</v>
      </c>
      <c r="F182" s="101">
        <v>7586</v>
      </c>
      <c r="G182" s="101">
        <v>300</v>
      </c>
      <c r="H182" s="101">
        <v>1209</v>
      </c>
      <c r="I182" s="101">
        <v>628</v>
      </c>
      <c r="J182" s="101">
        <v>6536</v>
      </c>
      <c r="K182" s="101">
        <v>7798</v>
      </c>
      <c r="L182" s="101">
        <v>882</v>
      </c>
      <c r="M182" s="101">
        <v>2335</v>
      </c>
      <c r="N182" s="101">
        <v>1516</v>
      </c>
      <c r="O182" s="101">
        <v>277</v>
      </c>
      <c r="P182" s="101">
        <v>7678538023.0914164</v>
      </c>
      <c r="Q182" s="101">
        <v>1186474865.0343726</v>
      </c>
      <c r="R182" s="101">
        <v>1116381265.8495045</v>
      </c>
      <c r="S182" s="101">
        <f t="shared" si="14"/>
        <v>15808524.384890731</v>
      </c>
      <c r="T182" s="101">
        <f t="shared" si="11"/>
        <v>405524.38489073142</v>
      </c>
      <c r="U182" s="101">
        <f t="shared" si="12"/>
        <v>405524.38489073142</v>
      </c>
      <c r="V182" s="101">
        <v>220981</v>
      </c>
      <c r="W182" s="149">
        <f t="shared" si="13"/>
        <v>1.8351097374468006E-3</v>
      </c>
    </row>
    <row r="183" spans="1:23" x14ac:dyDescent="0.25">
      <c r="A183" t="s">
        <v>512</v>
      </c>
      <c r="B183" t="s">
        <v>306</v>
      </c>
      <c r="C183" s="101">
        <f t="shared" si="10"/>
        <v>6763</v>
      </c>
      <c r="D183" s="101">
        <v>4391</v>
      </c>
      <c r="E183" s="101">
        <v>2372</v>
      </c>
      <c r="F183" s="101">
        <v>6</v>
      </c>
      <c r="G183" s="101">
        <v>0</v>
      </c>
      <c r="H183" s="101">
        <v>0</v>
      </c>
      <c r="I183" s="101">
        <v>0</v>
      </c>
      <c r="J183" s="101">
        <v>1886</v>
      </c>
      <c r="K183" s="101">
        <v>2950</v>
      </c>
      <c r="L183" s="101">
        <v>393</v>
      </c>
      <c r="M183" s="101">
        <v>67</v>
      </c>
      <c r="N183" s="101">
        <v>1191</v>
      </c>
      <c r="O183" s="101">
        <v>27</v>
      </c>
      <c r="P183" s="101">
        <v>4047333971.5940733</v>
      </c>
      <c r="Q183" s="101">
        <v>663812230.52354121</v>
      </c>
      <c r="R183" s="101">
        <v>650004117.87012386</v>
      </c>
      <c r="S183" s="101">
        <f t="shared" si="14"/>
        <v>8529010.8206982426</v>
      </c>
      <c r="T183" s="101">
        <f t="shared" si="11"/>
        <v>1766010.8206982426</v>
      </c>
      <c r="U183" s="101">
        <f t="shared" si="12"/>
        <v>1766010.8206982426</v>
      </c>
      <c r="V183" s="101">
        <v>57758</v>
      </c>
      <c r="W183" s="149">
        <f t="shared" si="13"/>
        <v>3.0576038309814098E-2</v>
      </c>
    </row>
    <row r="184" spans="1:23" x14ac:dyDescent="0.25">
      <c r="A184" t="s">
        <v>517</v>
      </c>
      <c r="B184" s="164" t="s">
        <v>111</v>
      </c>
      <c r="C184" s="101">
        <v>8120</v>
      </c>
      <c r="D184" s="101">
        <v>4758</v>
      </c>
      <c r="E184" s="101">
        <v>3362</v>
      </c>
      <c r="F184" s="101">
        <v>0</v>
      </c>
      <c r="G184" s="101">
        <v>0</v>
      </c>
      <c r="H184" s="101">
        <v>1253</v>
      </c>
      <c r="I184" s="101">
        <v>332</v>
      </c>
      <c r="J184" s="101">
        <v>4232</v>
      </c>
      <c r="K184" s="101">
        <v>3576</v>
      </c>
      <c r="L184" s="101">
        <v>262</v>
      </c>
      <c r="M184" s="101">
        <v>400</v>
      </c>
      <c r="N184" s="101">
        <v>991</v>
      </c>
      <c r="O184" s="101">
        <v>135</v>
      </c>
      <c r="P184" s="101">
        <v>5212079526.839694</v>
      </c>
      <c r="Q184" s="101">
        <v>875536624.54260588</v>
      </c>
      <c r="R184" s="101">
        <v>733875616.95013988</v>
      </c>
      <c r="S184" s="101">
        <f t="shared" si="14"/>
        <v>10654330.063380258</v>
      </c>
      <c r="T184" s="101">
        <f t="shared" si="11"/>
        <v>2534330.0633802582</v>
      </c>
      <c r="U184" s="101">
        <f t="shared" si="12"/>
        <v>2534330.0633802582</v>
      </c>
      <c r="V184" s="187">
        <f>99712*(78/73)</f>
        <v>106541.5890410959</v>
      </c>
      <c r="W184" s="149">
        <f t="shared" si="13"/>
        <v>2.3787237323846373E-2</v>
      </c>
    </row>
    <row r="185" spans="1:23" x14ac:dyDescent="0.25">
      <c r="A185" t="s">
        <v>521</v>
      </c>
      <c r="B185" t="s">
        <v>595</v>
      </c>
      <c r="C185" s="101">
        <f t="shared" ref="C185:C247" si="15">SUM(D185:E185)</f>
        <v>24747</v>
      </c>
      <c r="D185" s="101">
        <v>14269</v>
      </c>
      <c r="E185" s="101">
        <v>10478</v>
      </c>
      <c r="F185" s="101">
        <v>27</v>
      </c>
      <c r="G185" s="101">
        <v>0</v>
      </c>
      <c r="H185" s="101">
        <v>375</v>
      </c>
      <c r="I185" s="101">
        <v>0</v>
      </c>
      <c r="J185" s="101">
        <v>6259</v>
      </c>
      <c r="K185" s="101">
        <v>7670</v>
      </c>
      <c r="L185" s="101">
        <v>1277</v>
      </c>
      <c r="M185" s="101">
        <v>309</v>
      </c>
      <c r="N185" s="101">
        <v>2369</v>
      </c>
      <c r="O185" s="101">
        <v>376</v>
      </c>
      <c r="P185" s="101">
        <v>8088394627.809804</v>
      </c>
      <c r="Q185" s="101">
        <v>1329670107.366107</v>
      </c>
      <c r="R185" s="101">
        <v>1238092212.3224237</v>
      </c>
      <c r="S185" s="101">
        <f t="shared" si="14"/>
        <v>16850503.588665169</v>
      </c>
      <c r="T185" s="101">
        <f t="shared" si="11"/>
        <v>-7896496.4113348313</v>
      </c>
      <c r="U185" s="101">
        <f t="shared" si="12"/>
        <v>0</v>
      </c>
      <c r="V185" s="101">
        <v>319132</v>
      </c>
      <c r="W185" s="149">
        <f t="shared" si="13"/>
        <v>-2.474366848619014E-2</v>
      </c>
    </row>
    <row r="186" spans="1:23" x14ac:dyDescent="0.25">
      <c r="A186" t="s">
        <v>513</v>
      </c>
      <c r="B186" t="s">
        <v>377</v>
      </c>
      <c r="C186" s="101">
        <f t="shared" si="15"/>
        <v>24535</v>
      </c>
      <c r="D186" s="101">
        <v>4650</v>
      </c>
      <c r="E186" s="101">
        <v>19885</v>
      </c>
      <c r="F186" s="101">
        <v>7</v>
      </c>
      <c r="G186" s="101">
        <v>0</v>
      </c>
      <c r="H186" s="101">
        <v>220</v>
      </c>
      <c r="I186" s="101">
        <v>33</v>
      </c>
      <c r="J186" s="101">
        <v>7210</v>
      </c>
      <c r="K186" s="101">
        <v>5848</v>
      </c>
      <c r="L186" s="101">
        <v>869</v>
      </c>
      <c r="M186" s="101">
        <v>139</v>
      </c>
      <c r="N186" s="101">
        <v>1908</v>
      </c>
      <c r="O186" s="101">
        <v>278</v>
      </c>
      <c r="P186" s="101">
        <v>6173987884.8522348</v>
      </c>
      <c r="Q186" s="101">
        <v>3281216695.7157469</v>
      </c>
      <c r="R186" s="101">
        <v>3281216695.7157469</v>
      </c>
      <c r="S186" s="101">
        <f t="shared" si="14"/>
        <v>20314591.935672548</v>
      </c>
      <c r="T186" s="101">
        <f t="shared" si="11"/>
        <v>-4220408.0643274523</v>
      </c>
      <c r="U186" s="101">
        <f t="shared" si="12"/>
        <v>0</v>
      </c>
      <c r="V186" s="101">
        <v>155562</v>
      </c>
      <c r="W186" s="149">
        <f t="shared" si="13"/>
        <v>-2.7130070739174429E-2</v>
      </c>
    </row>
    <row r="187" spans="1:23" x14ac:dyDescent="0.25">
      <c r="A187" t="s">
        <v>517</v>
      </c>
      <c r="B187" t="s">
        <v>596</v>
      </c>
      <c r="C187" s="101">
        <f t="shared" si="15"/>
        <v>9383</v>
      </c>
      <c r="D187" s="101">
        <v>6035</v>
      </c>
      <c r="E187" s="101">
        <v>3348</v>
      </c>
      <c r="F187" s="101">
        <v>0</v>
      </c>
      <c r="G187" s="101">
        <v>0</v>
      </c>
      <c r="H187" s="101">
        <v>250</v>
      </c>
      <c r="I187" s="101">
        <v>14</v>
      </c>
      <c r="J187" s="101">
        <v>4842</v>
      </c>
      <c r="K187" s="101">
        <v>7680</v>
      </c>
      <c r="L187" s="101">
        <v>1019</v>
      </c>
      <c r="M187" s="101">
        <v>409</v>
      </c>
      <c r="N187" s="101">
        <v>3280</v>
      </c>
      <c r="O187" s="101">
        <v>351</v>
      </c>
      <c r="P187" s="101">
        <v>7690039101.2850447</v>
      </c>
      <c r="Q187" s="101">
        <v>1076009963.8070345</v>
      </c>
      <c r="R187" s="101">
        <v>990051963.84527421</v>
      </c>
      <c r="S187" s="101">
        <f t="shared" si="14"/>
        <v>15423878.131216072</v>
      </c>
      <c r="T187" s="101">
        <f t="shared" ref="T187:T250" si="16">SUM(S187,-C187*1000)</f>
        <v>6040878.1312160715</v>
      </c>
      <c r="U187" s="101">
        <f t="shared" ref="U187:U250" si="17">IF(T187&lt;0,0,T187)</f>
        <v>6040878.1312160715</v>
      </c>
      <c r="V187" s="101">
        <v>129927</v>
      </c>
      <c r="W187" s="149">
        <f t="shared" si="13"/>
        <v>4.6494401711854129E-2</v>
      </c>
    </row>
    <row r="188" spans="1:23" x14ac:dyDescent="0.25">
      <c r="A188" t="s">
        <v>515</v>
      </c>
      <c r="B188" t="s">
        <v>188</v>
      </c>
      <c r="C188" s="101">
        <f t="shared" si="15"/>
        <v>9058</v>
      </c>
      <c r="D188" s="101">
        <v>6024</v>
      </c>
      <c r="E188" s="101">
        <v>3034</v>
      </c>
      <c r="F188" s="101">
        <v>0</v>
      </c>
      <c r="G188" s="101">
        <v>0</v>
      </c>
      <c r="H188" s="101">
        <v>455</v>
      </c>
      <c r="I188" s="101">
        <v>132</v>
      </c>
      <c r="J188" s="101">
        <v>5039</v>
      </c>
      <c r="K188" s="101">
        <v>4686</v>
      </c>
      <c r="L188" s="101">
        <v>869</v>
      </c>
      <c r="M188" s="101">
        <v>127</v>
      </c>
      <c r="N188" s="101">
        <v>851</v>
      </c>
      <c r="O188" s="101">
        <v>73</v>
      </c>
      <c r="P188" s="101">
        <v>5015515644.9849567</v>
      </c>
      <c r="Q188" s="101">
        <v>663812230.52354121</v>
      </c>
      <c r="R188" s="101">
        <v>622899304.14304554</v>
      </c>
      <c r="S188" s="101">
        <f t="shared" si="14"/>
        <v>9986796.233967321</v>
      </c>
      <c r="T188" s="101">
        <f t="shared" si="16"/>
        <v>928796.23396732099</v>
      </c>
      <c r="U188" s="101">
        <f t="shared" si="17"/>
        <v>928796.23396732099</v>
      </c>
      <c r="V188" s="101">
        <v>120122</v>
      </c>
      <c r="W188" s="149">
        <f t="shared" ref="W188:W251" si="18">T188/(V188*1000)</f>
        <v>7.7321076402933767E-3</v>
      </c>
    </row>
    <row r="189" spans="1:23" x14ac:dyDescent="0.25">
      <c r="A189" t="s">
        <v>520</v>
      </c>
      <c r="B189" t="s">
        <v>436</v>
      </c>
      <c r="C189" s="101">
        <f t="shared" si="15"/>
        <v>4763</v>
      </c>
      <c r="D189" s="101">
        <v>2995</v>
      </c>
      <c r="E189" s="101">
        <v>1768</v>
      </c>
      <c r="F189" s="101">
        <v>0</v>
      </c>
      <c r="G189" s="101">
        <v>0</v>
      </c>
      <c r="H189" s="101">
        <v>0</v>
      </c>
      <c r="I189" s="101">
        <v>0</v>
      </c>
      <c r="J189" s="101">
        <v>1882</v>
      </c>
      <c r="K189" s="101">
        <v>2088</v>
      </c>
      <c r="L189" s="101">
        <v>294</v>
      </c>
      <c r="M189" s="101">
        <v>80</v>
      </c>
      <c r="N189" s="101">
        <v>369</v>
      </c>
      <c r="O189" s="101">
        <v>71</v>
      </c>
      <c r="P189" s="101">
        <v>2678705666.5523162</v>
      </c>
      <c r="Q189" s="101">
        <v>300710008.89664268</v>
      </c>
      <c r="R189" s="101">
        <v>271509888.78231788</v>
      </c>
      <c r="S189" s="101">
        <f t="shared" si="14"/>
        <v>5138652.0833665384</v>
      </c>
      <c r="T189" s="101">
        <f t="shared" si="16"/>
        <v>375652.0833665384</v>
      </c>
      <c r="U189" s="101">
        <f t="shared" si="17"/>
        <v>375652.0833665384</v>
      </c>
      <c r="V189" s="101">
        <v>37030</v>
      </c>
      <c r="W189" s="149">
        <f t="shared" si="18"/>
        <v>1.0144533712301874E-2</v>
      </c>
    </row>
    <row r="190" spans="1:23" x14ac:dyDescent="0.25">
      <c r="A190" t="s">
        <v>522</v>
      </c>
      <c r="B190" t="s">
        <v>413</v>
      </c>
      <c r="C190" s="101">
        <f t="shared" si="15"/>
        <v>2344</v>
      </c>
      <c r="D190" s="101">
        <v>1956</v>
      </c>
      <c r="E190" s="101">
        <v>388</v>
      </c>
      <c r="F190" s="101">
        <v>0</v>
      </c>
      <c r="G190" s="101">
        <v>0</v>
      </c>
      <c r="H190" s="101">
        <v>182</v>
      </c>
      <c r="I190" s="101">
        <v>69</v>
      </c>
      <c r="J190" s="101">
        <v>561</v>
      </c>
      <c r="K190" s="101">
        <v>1069</v>
      </c>
      <c r="L190" s="101">
        <v>154</v>
      </c>
      <c r="M190" s="101">
        <v>0</v>
      </c>
      <c r="N190" s="101">
        <v>141</v>
      </c>
      <c r="O190" s="101">
        <v>35</v>
      </c>
      <c r="P190" s="101">
        <v>1660337470.1346908</v>
      </c>
      <c r="Q190" s="101">
        <v>93076907.515627488</v>
      </c>
      <c r="R190" s="101">
        <v>85363351.644166663</v>
      </c>
      <c r="S190" s="101">
        <f t="shared" si="14"/>
        <v>2920547.3566097235</v>
      </c>
      <c r="T190" s="101">
        <f t="shared" si="16"/>
        <v>576547.35660972353</v>
      </c>
      <c r="U190" s="101">
        <f t="shared" si="17"/>
        <v>576547.35660972353</v>
      </c>
      <c r="V190" s="101">
        <v>25232</v>
      </c>
      <c r="W190" s="149">
        <f t="shared" si="18"/>
        <v>2.2849847677937681E-2</v>
      </c>
    </row>
    <row r="191" spans="1:23" x14ac:dyDescent="0.25">
      <c r="A191" t="s">
        <v>515</v>
      </c>
      <c r="B191" t="s">
        <v>189</v>
      </c>
      <c r="C191" s="101">
        <f t="shared" si="15"/>
        <v>6174</v>
      </c>
      <c r="D191" s="101">
        <v>4142</v>
      </c>
      <c r="E191" s="101">
        <v>2032</v>
      </c>
      <c r="F191" s="101">
        <v>0</v>
      </c>
      <c r="G191" s="101">
        <v>0</v>
      </c>
      <c r="H191" s="101">
        <v>63</v>
      </c>
      <c r="I191" s="101">
        <v>201</v>
      </c>
      <c r="J191" s="101">
        <v>2436</v>
      </c>
      <c r="K191" s="101">
        <v>0</v>
      </c>
      <c r="L191" s="101">
        <v>690</v>
      </c>
      <c r="M191" s="101">
        <v>348</v>
      </c>
      <c r="N191" s="101">
        <v>1809</v>
      </c>
      <c r="O191" s="101">
        <v>640</v>
      </c>
      <c r="P191" s="101">
        <v>3560106477.2094598</v>
      </c>
      <c r="Q191" s="101">
        <v>511411579.75619501</v>
      </c>
      <c r="R191" s="101">
        <v>484791557.58670342</v>
      </c>
      <c r="S191" s="101">
        <f t="shared" si="14"/>
        <v>7224854.899850673</v>
      </c>
      <c r="T191" s="101">
        <f t="shared" si="16"/>
        <v>1050854.899850673</v>
      </c>
      <c r="U191" s="101">
        <f t="shared" si="17"/>
        <v>1050854.899850673</v>
      </c>
      <c r="V191" s="101">
        <v>76169</v>
      </c>
      <c r="W191" s="149">
        <f t="shared" si="18"/>
        <v>1.3796359409348594E-2</v>
      </c>
    </row>
    <row r="192" spans="1:23" x14ac:dyDescent="0.25">
      <c r="A192" t="s">
        <v>522</v>
      </c>
      <c r="B192" t="s">
        <v>414</v>
      </c>
      <c r="C192" s="101">
        <f t="shared" si="15"/>
        <v>5506</v>
      </c>
      <c r="D192" s="101">
        <v>3256</v>
      </c>
      <c r="E192" s="101">
        <v>2250</v>
      </c>
      <c r="F192" s="101">
        <v>0</v>
      </c>
      <c r="G192" s="101">
        <v>0</v>
      </c>
      <c r="H192" s="101">
        <v>75</v>
      </c>
      <c r="I192" s="101">
        <v>0</v>
      </c>
      <c r="J192" s="101">
        <v>2614</v>
      </c>
      <c r="K192" s="101">
        <v>1875</v>
      </c>
      <c r="L192" s="101">
        <v>182</v>
      </c>
      <c r="M192" s="101">
        <v>20</v>
      </c>
      <c r="N192" s="101">
        <v>519</v>
      </c>
      <c r="O192" s="101">
        <v>22</v>
      </c>
      <c r="P192" s="101">
        <v>2868996233.0287099</v>
      </c>
      <c r="Q192" s="101">
        <v>460270421.78057551</v>
      </c>
      <c r="R192" s="101">
        <v>426517257.51666665</v>
      </c>
      <c r="S192" s="101">
        <f t="shared" si="14"/>
        <v>5936639.0431589587</v>
      </c>
      <c r="T192" s="101">
        <f t="shared" si="16"/>
        <v>430639.04315895867</v>
      </c>
      <c r="U192" s="101">
        <f t="shared" si="17"/>
        <v>430639.04315895867</v>
      </c>
      <c r="V192" s="101">
        <v>58445</v>
      </c>
      <c r="W192" s="149">
        <f t="shared" si="18"/>
        <v>7.3682786065353521E-3</v>
      </c>
    </row>
    <row r="193" spans="1:23" x14ac:dyDescent="0.25">
      <c r="A193" t="s">
        <v>520</v>
      </c>
      <c r="B193" t="s">
        <v>223</v>
      </c>
      <c r="C193" s="101">
        <f t="shared" si="15"/>
        <v>23837</v>
      </c>
      <c r="D193" s="101">
        <v>9307</v>
      </c>
      <c r="E193" s="101">
        <v>14530</v>
      </c>
      <c r="F193" s="101">
        <v>5976</v>
      </c>
      <c r="G193" s="101">
        <v>156</v>
      </c>
      <c r="H193" s="101">
        <v>64</v>
      </c>
      <c r="I193" s="101">
        <v>10</v>
      </c>
      <c r="J193" s="101">
        <v>6090</v>
      </c>
      <c r="K193" s="101">
        <v>10444</v>
      </c>
      <c r="L193" s="101">
        <v>1489</v>
      </c>
      <c r="M193" s="101">
        <v>489</v>
      </c>
      <c r="N193" s="101">
        <v>2215</v>
      </c>
      <c r="O193" s="101">
        <v>335</v>
      </c>
      <c r="P193" s="101">
        <v>11218779001.602791</v>
      </c>
      <c r="Q193" s="101">
        <v>2190887207.6755395</v>
      </c>
      <c r="R193" s="101">
        <v>2182193210.819684</v>
      </c>
      <c r="S193" s="101">
        <f t="shared" si="14"/>
        <v>24855148.85007124</v>
      </c>
      <c r="T193" s="101">
        <f t="shared" si="16"/>
        <v>1018148.8500712402</v>
      </c>
      <c r="U193" s="101">
        <f t="shared" si="17"/>
        <v>1018148.8500712402</v>
      </c>
      <c r="V193" s="101">
        <v>271884</v>
      </c>
      <c r="W193" s="149">
        <f t="shared" si="18"/>
        <v>3.7447913451002643E-3</v>
      </c>
    </row>
    <row r="194" spans="1:23" x14ac:dyDescent="0.25">
      <c r="A194" t="s">
        <v>520</v>
      </c>
      <c r="B194" t="s">
        <v>307</v>
      </c>
      <c r="C194" s="101">
        <f t="shared" si="15"/>
        <v>10906</v>
      </c>
      <c r="D194" s="101">
        <v>6471</v>
      </c>
      <c r="E194" s="101">
        <v>4435</v>
      </c>
      <c r="F194" s="101">
        <v>0</v>
      </c>
      <c r="G194" s="101">
        <v>0</v>
      </c>
      <c r="H194" s="101">
        <v>0</v>
      </c>
      <c r="I194" s="101">
        <v>32</v>
      </c>
      <c r="J194" s="101">
        <v>3064</v>
      </c>
      <c r="K194" s="101">
        <v>4138</v>
      </c>
      <c r="L194" s="101">
        <v>378</v>
      </c>
      <c r="M194" s="101">
        <v>260</v>
      </c>
      <c r="N194" s="101">
        <v>1077</v>
      </c>
      <c r="O194" s="101">
        <v>673</v>
      </c>
      <c r="P194" s="101">
        <v>5987879528.6280699</v>
      </c>
      <c r="Q194" s="101">
        <v>690405632.67086327</v>
      </c>
      <c r="R194" s="101">
        <v>650515529.44988</v>
      </c>
      <c r="S194" s="101">
        <f t="shared" si="14"/>
        <v>11625812.387106888</v>
      </c>
      <c r="T194" s="101">
        <f t="shared" si="16"/>
        <v>719812.387106888</v>
      </c>
      <c r="U194" s="101">
        <f t="shared" si="17"/>
        <v>719812.387106888</v>
      </c>
      <c r="V194" s="101">
        <v>115163</v>
      </c>
      <c r="W194" s="149">
        <f t="shared" si="18"/>
        <v>6.2503789160310861E-3</v>
      </c>
    </row>
    <row r="195" spans="1:23" x14ac:dyDescent="0.25">
      <c r="A195" t="s">
        <v>515</v>
      </c>
      <c r="B195" t="s">
        <v>190</v>
      </c>
      <c r="C195" s="101">
        <f t="shared" si="15"/>
        <v>11907</v>
      </c>
      <c r="D195" s="101">
        <v>6962</v>
      </c>
      <c r="E195" s="101">
        <v>4945</v>
      </c>
      <c r="F195" s="101">
        <v>292</v>
      </c>
      <c r="G195" s="101">
        <v>0</v>
      </c>
      <c r="H195" s="101">
        <v>331</v>
      </c>
      <c r="I195" s="101">
        <v>244</v>
      </c>
      <c r="J195" s="101">
        <v>3067</v>
      </c>
      <c r="K195" s="101">
        <v>4580</v>
      </c>
      <c r="L195" s="101">
        <v>1119</v>
      </c>
      <c r="M195" s="101">
        <v>684</v>
      </c>
      <c r="N195" s="101">
        <v>1477</v>
      </c>
      <c r="O195" s="101">
        <v>359</v>
      </c>
      <c r="P195" s="101">
        <v>8998025357.6694889</v>
      </c>
      <c r="Q195" s="101">
        <v>1306145174.6973219</v>
      </c>
      <c r="R195" s="101">
        <v>1267774282.3736639</v>
      </c>
      <c r="S195" s="101">
        <f t="shared" ref="S195:S258" si="19">SUM(P195,R195,R195)*0.1595%</f>
        <v>18396050.406254824</v>
      </c>
      <c r="T195" s="101">
        <f t="shared" si="16"/>
        <v>6489050.4062548243</v>
      </c>
      <c r="U195" s="101">
        <f t="shared" si="17"/>
        <v>6489050.4062548243</v>
      </c>
      <c r="V195" s="101">
        <v>174138</v>
      </c>
      <c r="W195" s="149">
        <f t="shared" si="18"/>
        <v>3.7263839060140948E-2</v>
      </c>
    </row>
    <row r="196" spans="1:23" x14ac:dyDescent="0.25">
      <c r="A196" t="s">
        <v>515</v>
      </c>
      <c r="B196" t="s">
        <v>191</v>
      </c>
      <c r="C196" s="101">
        <f t="shared" si="15"/>
        <v>113544</v>
      </c>
      <c r="D196" s="101">
        <v>61179</v>
      </c>
      <c r="E196" s="101">
        <v>52365</v>
      </c>
      <c r="F196" s="101">
        <v>23765</v>
      </c>
      <c r="G196" s="101">
        <v>640</v>
      </c>
      <c r="H196" s="101">
        <v>868</v>
      </c>
      <c r="I196" s="101">
        <v>215</v>
      </c>
      <c r="J196" s="101">
        <v>16624</v>
      </c>
      <c r="K196" s="101">
        <v>4412</v>
      </c>
      <c r="L196" s="101">
        <v>2534</v>
      </c>
      <c r="M196" s="101">
        <v>0</v>
      </c>
      <c r="N196" s="101">
        <v>7447</v>
      </c>
      <c r="O196" s="101">
        <v>2315</v>
      </c>
      <c r="P196" s="101">
        <v>33747300077.794342</v>
      </c>
      <c r="Q196" s="101">
        <v>5147868961.8258591</v>
      </c>
      <c r="R196" s="101">
        <v>5018481832.147542</v>
      </c>
      <c r="S196" s="101">
        <f t="shared" si="19"/>
        <v>69835900.668632641</v>
      </c>
      <c r="T196" s="101">
        <f t="shared" si="16"/>
        <v>-43708099.331367359</v>
      </c>
      <c r="U196" s="101">
        <f t="shared" si="17"/>
        <v>0</v>
      </c>
      <c r="V196" s="101">
        <v>1038091</v>
      </c>
      <c r="W196" s="149">
        <f t="shared" si="18"/>
        <v>-4.2104304277146572E-2</v>
      </c>
    </row>
    <row r="197" spans="1:23" x14ac:dyDescent="0.25">
      <c r="A197" t="s">
        <v>517</v>
      </c>
      <c r="B197" t="s">
        <v>475</v>
      </c>
      <c r="C197" s="101">
        <f t="shared" si="15"/>
        <v>21173</v>
      </c>
      <c r="D197" s="101">
        <v>13300</v>
      </c>
      <c r="E197" s="101">
        <v>7873</v>
      </c>
      <c r="F197" s="101">
        <v>3718</v>
      </c>
      <c r="G197" s="101">
        <v>46</v>
      </c>
      <c r="H197" s="101">
        <v>365</v>
      </c>
      <c r="I197" s="101">
        <v>1285</v>
      </c>
      <c r="J197" s="101">
        <v>8459</v>
      </c>
      <c r="K197" s="101">
        <v>14509</v>
      </c>
      <c r="L197" s="101">
        <v>1814</v>
      </c>
      <c r="M197" s="101">
        <v>541</v>
      </c>
      <c r="N197" s="101">
        <v>816</v>
      </c>
      <c r="O197" s="101">
        <v>107</v>
      </c>
      <c r="P197" s="101">
        <v>12057312157.174593</v>
      </c>
      <c r="Q197" s="101">
        <v>1355240686.3539169</v>
      </c>
      <c r="R197" s="101">
        <v>1327614035.8959663</v>
      </c>
      <c r="S197" s="101">
        <f t="shared" si="19"/>
        <v>23466501.665201608</v>
      </c>
      <c r="T197" s="101">
        <f t="shared" si="16"/>
        <v>2293501.6652016081</v>
      </c>
      <c r="U197" s="101">
        <f t="shared" si="17"/>
        <v>2293501.6652016081</v>
      </c>
      <c r="V197" s="101">
        <v>369370</v>
      </c>
      <c r="W197" s="149">
        <f t="shared" si="18"/>
        <v>6.2092256144289145E-3</v>
      </c>
    </row>
    <row r="198" spans="1:23" x14ac:dyDescent="0.25">
      <c r="A198" t="s">
        <v>516</v>
      </c>
      <c r="B198" t="s">
        <v>597</v>
      </c>
      <c r="C198" s="101">
        <f t="shared" si="15"/>
        <v>12156</v>
      </c>
      <c r="D198" s="101">
        <v>7547</v>
      </c>
      <c r="E198" s="101">
        <v>4609</v>
      </c>
      <c r="F198" s="101">
        <v>348</v>
      </c>
      <c r="G198" s="101">
        <v>0</v>
      </c>
      <c r="H198" s="101">
        <v>588</v>
      </c>
      <c r="I198" s="101">
        <v>329</v>
      </c>
      <c r="J198" s="101">
        <v>4971</v>
      </c>
      <c r="K198" s="101">
        <v>4594</v>
      </c>
      <c r="L198" s="101">
        <v>882</v>
      </c>
      <c r="M198" s="101">
        <v>518</v>
      </c>
      <c r="N198" s="101">
        <v>949</v>
      </c>
      <c r="O198" s="101">
        <v>306</v>
      </c>
      <c r="P198" s="101">
        <v>6067341523.4204102</v>
      </c>
      <c r="Q198" s="101">
        <v>1032028567.9480016</v>
      </c>
      <c r="R198" s="101">
        <v>896437308.40104055</v>
      </c>
      <c r="S198" s="101">
        <f t="shared" si="19"/>
        <v>12537044.743654875</v>
      </c>
      <c r="T198" s="101">
        <f t="shared" si="16"/>
        <v>381044.74365487508</v>
      </c>
      <c r="U198" s="101">
        <f t="shared" si="17"/>
        <v>381044.74365487508</v>
      </c>
      <c r="V198" s="101">
        <v>179375</v>
      </c>
      <c r="W198" s="149">
        <f t="shared" si="18"/>
        <v>2.1242912538250876E-3</v>
      </c>
    </row>
    <row r="199" spans="1:23" x14ac:dyDescent="0.25">
      <c r="A199" t="s">
        <v>524</v>
      </c>
      <c r="B199" t="s">
        <v>333</v>
      </c>
      <c r="C199" s="101">
        <f t="shared" si="15"/>
        <v>2578</v>
      </c>
      <c r="D199" s="101">
        <v>1901</v>
      </c>
      <c r="E199" s="101">
        <v>677</v>
      </c>
      <c r="F199" s="101">
        <v>500</v>
      </c>
      <c r="G199" s="101">
        <v>5</v>
      </c>
      <c r="H199" s="101">
        <v>3365</v>
      </c>
      <c r="I199" s="101">
        <v>1047</v>
      </c>
      <c r="J199" s="101">
        <v>1191</v>
      </c>
      <c r="K199" s="101">
        <v>1347</v>
      </c>
      <c r="L199" s="101">
        <v>120</v>
      </c>
      <c r="M199" s="101">
        <v>68</v>
      </c>
      <c r="N199" s="101">
        <v>200</v>
      </c>
      <c r="O199" s="101">
        <v>253</v>
      </c>
      <c r="P199" s="101">
        <v>2096332888.9295058</v>
      </c>
      <c r="Q199" s="101">
        <v>278207899.38737005</v>
      </c>
      <c r="R199" s="101">
        <v>237219626.91777596</v>
      </c>
      <c r="S199" s="101">
        <f t="shared" si="19"/>
        <v>4100381.5677102678</v>
      </c>
      <c r="T199" s="101">
        <f t="shared" si="16"/>
        <v>1522381.5677102678</v>
      </c>
      <c r="U199" s="101">
        <f t="shared" si="17"/>
        <v>1522381.5677102678</v>
      </c>
      <c r="V199" s="101">
        <v>40834</v>
      </c>
      <c r="W199" s="149">
        <f t="shared" si="18"/>
        <v>3.7282205214043879E-2</v>
      </c>
    </row>
    <row r="200" spans="1:23" x14ac:dyDescent="0.25">
      <c r="A200" t="s">
        <v>512</v>
      </c>
      <c r="B200" t="s">
        <v>112</v>
      </c>
      <c r="C200" s="101">
        <f t="shared" si="15"/>
        <v>7410</v>
      </c>
      <c r="D200" s="101">
        <v>5224</v>
      </c>
      <c r="E200" s="101">
        <v>2186</v>
      </c>
      <c r="F200" s="101">
        <v>0</v>
      </c>
      <c r="G200" s="101">
        <v>0</v>
      </c>
      <c r="H200" s="101">
        <v>289</v>
      </c>
      <c r="I200" s="101">
        <v>440</v>
      </c>
      <c r="J200" s="101">
        <v>5093</v>
      </c>
      <c r="K200" s="101">
        <v>4189</v>
      </c>
      <c r="L200" s="101">
        <v>661</v>
      </c>
      <c r="M200" s="101">
        <v>236</v>
      </c>
      <c r="N200" s="101">
        <v>581</v>
      </c>
      <c r="O200" s="101">
        <v>53</v>
      </c>
      <c r="P200" s="101">
        <v>5705580336.6026497</v>
      </c>
      <c r="Q200" s="101">
        <v>900084380.37090325</v>
      </c>
      <c r="R200" s="101">
        <v>842262018.24360824</v>
      </c>
      <c r="S200" s="101">
        <f t="shared" si="19"/>
        <v>11787216.475078337</v>
      </c>
      <c r="T200" s="101">
        <f t="shared" si="16"/>
        <v>4377216.4750783369</v>
      </c>
      <c r="U200" s="101">
        <f t="shared" si="17"/>
        <v>4377216.4750783369</v>
      </c>
      <c r="V200" s="101">
        <v>107339</v>
      </c>
      <c r="W200" s="149">
        <f t="shared" si="18"/>
        <v>4.0779367006198462E-2</v>
      </c>
    </row>
    <row r="201" spans="1:23" x14ac:dyDescent="0.25">
      <c r="A201" t="s">
        <v>519</v>
      </c>
      <c r="B201" t="s">
        <v>430</v>
      </c>
      <c r="C201" s="101">
        <f t="shared" si="15"/>
        <v>15065</v>
      </c>
      <c r="D201" s="101">
        <v>7254</v>
      </c>
      <c r="E201" s="101">
        <v>7811</v>
      </c>
      <c r="F201" s="101">
        <v>0</v>
      </c>
      <c r="G201" s="101">
        <v>0</v>
      </c>
      <c r="H201" s="101">
        <v>575</v>
      </c>
      <c r="I201" s="101">
        <v>99</v>
      </c>
      <c r="J201" s="101">
        <v>3785</v>
      </c>
      <c r="K201" s="101">
        <v>7987</v>
      </c>
      <c r="L201" s="101">
        <v>689</v>
      </c>
      <c r="M201" s="101">
        <v>552</v>
      </c>
      <c r="N201" s="101">
        <v>1762</v>
      </c>
      <c r="O201" s="101">
        <v>361</v>
      </c>
      <c r="P201" s="101">
        <v>6672716457.4304762</v>
      </c>
      <c r="Q201" s="101">
        <v>2004733392.6442845</v>
      </c>
      <c r="R201" s="101">
        <v>1996719038.70453</v>
      </c>
      <c r="S201" s="101">
        <f t="shared" si="19"/>
        <v>17012516.483069062</v>
      </c>
      <c r="T201" s="101">
        <f t="shared" si="16"/>
        <v>1947516.4830690622</v>
      </c>
      <c r="U201" s="101">
        <f t="shared" si="17"/>
        <v>1947516.4830690622</v>
      </c>
      <c r="V201" s="101">
        <v>187655</v>
      </c>
      <c r="W201" s="149">
        <f t="shared" si="18"/>
        <v>1.0378175284799564E-2</v>
      </c>
    </row>
    <row r="202" spans="1:23" x14ac:dyDescent="0.25">
      <c r="A202" t="s">
        <v>517</v>
      </c>
      <c r="B202" t="s">
        <v>308</v>
      </c>
      <c r="C202" s="101">
        <f t="shared" si="15"/>
        <v>15971</v>
      </c>
      <c r="D202" s="101">
        <v>10971</v>
      </c>
      <c r="E202" s="101">
        <v>5000</v>
      </c>
      <c r="F202" s="101">
        <v>6170</v>
      </c>
      <c r="G202" s="101">
        <v>266</v>
      </c>
      <c r="H202" s="101">
        <v>3763</v>
      </c>
      <c r="I202" s="101">
        <v>1511</v>
      </c>
      <c r="J202" s="101">
        <v>5405</v>
      </c>
      <c r="K202" s="101">
        <v>8842</v>
      </c>
      <c r="L202" s="101">
        <v>660</v>
      </c>
      <c r="M202" s="101">
        <v>190</v>
      </c>
      <c r="N202" s="101">
        <v>2624</v>
      </c>
      <c r="O202" s="101">
        <v>600</v>
      </c>
      <c r="P202" s="101">
        <v>11542900296.150496</v>
      </c>
      <c r="Q202" s="101">
        <v>1354217863.1944044</v>
      </c>
      <c r="R202" s="101">
        <v>1259095309.3597522</v>
      </c>
      <c r="S202" s="101">
        <f t="shared" si="19"/>
        <v>22427440.009217653</v>
      </c>
      <c r="T202" s="101">
        <f t="shared" si="16"/>
        <v>6456440.0092176534</v>
      </c>
      <c r="U202" s="101">
        <f t="shared" si="17"/>
        <v>6456440.0092176534</v>
      </c>
      <c r="V202" s="101">
        <v>160303</v>
      </c>
      <c r="W202" s="149">
        <f t="shared" si="18"/>
        <v>4.0276476480275811E-2</v>
      </c>
    </row>
    <row r="203" spans="1:23" x14ac:dyDescent="0.25">
      <c r="A203" t="s">
        <v>513</v>
      </c>
      <c r="B203" t="s">
        <v>433</v>
      </c>
      <c r="C203" s="101">
        <f t="shared" si="15"/>
        <v>7440</v>
      </c>
      <c r="D203" s="101">
        <v>5814</v>
      </c>
      <c r="E203" s="101">
        <v>1626</v>
      </c>
      <c r="F203" s="101">
        <v>0</v>
      </c>
      <c r="G203" s="101">
        <v>0</v>
      </c>
      <c r="H203" s="101">
        <v>24</v>
      </c>
      <c r="I203" s="101">
        <v>75</v>
      </c>
      <c r="J203" s="101">
        <v>2212</v>
      </c>
      <c r="K203" s="101">
        <v>3155</v>
      </c>
      <c r="L203" s="101">
        <v>428</v>
      </c>
      <c r="M203" s="101">
        <v>280</v>
      </c>
      <c r="N203" s="101">
        <v>680</v>
      </c>
      <c r="O203" s="101">
        <v>68</v>
      </c>
      <c r="P203" s="101">
        <v>5522608638.0676556</v>
      </c>
      <c r="Q203" s="101">
        <v>399923855.36934453</v>
      </c>
      <c r="R203" s="101">
        <v>373841864.80177855</v>
      </c>
      <c r="S203" s="101">
        <f t="shared" si="19"/>
        <v>10001116.326435585</v>
      </c>
      <c r="T203" s="101">
        <f t="shared" si="16"/>
        <v>2561116.3264355846</v>
      </c>
      <c r="U203" s="101">
        <f t="shared" si="17"/>
        <v>2561116.3264355846</v>
      </c>
      <c r="V203" s="101">
        <v>70599</v>
      </c>
      <c r="W203" s="149">
        <f t="shared" si="18"/>
        <v>3.6276949056439675E-2</v>
      </c>
    </row>
    <row r="204" spans="1:23" x14ac:dyDescent="0.25">
      <c r="A204" t="s">
        <v>515</v>
      </c>
      <c r="B204" t="s">
        <v>192</v>
      </c>
      <c r="C204" s="101">
        <f t="shared" si="15"/>
        <v>7280</v>
      </c>
      <c r="D204" s="101">
        <v>4986</v>
      </c>
      <c r="E204" s="101">
        <v>2294</v>
      </c>
      <c r="F204" s="101">
        <v>0</v>
      </c>
      <c r="G204" s="101">
        <v>0</v>
      </c>
      <c r="H204" s="101">
        <v>1036</v>
      </c>
      <c r="I204" s="101">
        <v>1096</v>
      </c>
      <c r="J204" s="101">
        <v>2178</v>
      </c>
      <c r="K204" s="101">
        <v>3142</v>
      </c>
      <c r="L204" s="101">
        <v>563</v>
      </c>
      <c r="M204" s="101">
        <v>347</v>
      </c>
      <c r="N204" s="101">
        <v>878</v>
      </c>
      <c r="O204" s="101">
        <v>82</v>
      </c>
      <c r="P204" s="101">
        <v>5523654190.6307125</v>
      </c>
      <c r="Q204" s="101">
        <v>649492706.2903676</v>
      </c>
      <c r="R204" s="101">
        <v>602917579.20413947</v>
      </c>
      <c r="S204" s="101">
        <f t="shared" si="19"/>
        <v>10733535.511717193</v>
      </c>
      <c r="T204" s="101">
        <f t="shared" si="16"/>
        <v>3453535.5117171928</v>
      </c>
      <c r="U204" s="101">
        <f t="shared" si="17"/>
        <v>3453535.5117171928</v>
      </c>
      <c r="V204" s="101">
        <v>87155</v>
      </c>
      <c r="W204" s="149">
        <f t="shared" si="18"/>
        <v>3.9625213834171225E-2</v>
      </c>
    </row>
    <row r="205" spans="1:23" x14ac:dyDescent="0.25">
      <c r="A205" t="s">
        <v>517</v>
      </c>
      <c r="B205" t="s">
        <v>309</v>
      </c>
      <c r="C205" s="101">
        <f t="shared" si="15"/>
        <v>12202</v>
      </c>
      <c r="D205" s="101">
        <v>8372</v>
      </c>
      <c r="E205" s="101">
        <v>3830</v>
      </c>
      <c r="F205" s="101">
        <v>0</v>
      </c>
      <c r="G205" s="101">
        <v>27</v>
      </c>
      <c r="H205" s="101">
        <v>473</v>
      </c>
      <c r="I205" s="101">
        <v>142</v>
      </c>
      <c r="J205" s="101">
        <v>3128</v>
      </c>
      <c r="K205" s="101">
        <v>4590</v>
      </c>
      <c r="L205" s="101">
        <v>506</v>
      </c>
      <c r="M205" s="101">
        <v>0</v>
      </c>
      <c r="N205" s="101">
        <v>1125</v>
      </c>
      <c r="O205" s="101">
        <v>28</v>
      </c>
      <c r="P205" s="101">
        <v>6701991929.1960754</v>
      </c>
      <c r="Q205" s="101">
        <v>548233213.49864101</v>
      </c>
      <c r="R205" s="101">
        <v>534412208.11632234</v>
      </c>
      <c r="S205" s="101">
        <f t="shared" si="19"/>
        <v>12394452.07095881</v>
      </c>
      <c r="T205" s="101">
        <f t="shared" si="16"/>
        <v>192452.07095880993</v>
      </c>
      <c r="U205" s="101">
        <f t="shared" si="17"/>
        <v>192452.07095880993</v>
      </c>
      <c r="V205" s="101">
        <v>83718</v>
      </c>
      <c r="W205" s="149">
        <f t="shared" si="18"/>
        <v>2.2988135282592742E-3</v>
      </c>
    </row>
    <row r="206" spans="1:23" x14ac:dyDescent="0.25">
      <c r="A206" t="s">
        <v>513</v>
      </c>
      <c r="B206" t="s">
        <v>378</v>
      </c>
      <c r="C206" s="101">
        <f t="shared" si="15"/>
        <v>8588</v>
      </c>
      <c r="D206" s="101">
        <v>4319</v>
      </c>
      <c r="E206" s="101">
        <v>4269</v>
      </c>
      <c r="F206" s="101">
        <v>4</v>
      </c>
      <c r="G206" s="101">
        <v>0</v>
      </c>
      <c r="H206" s="101">
        <v>489</v>
      </c>
      <c r="I206" s="101">
        <v>127</v>
      </c>
      <c r="J206" s="101">
        <v>2110</v>
      </c>
      <c r="K206" s="101">
        <v>1772</v>
      </c>
      <c r="L206" s="101">
        <v>370</v>
      </c>
      <c r="M206" s="101">
        <v>0</v>
      </c>
      <c r="N206" s="101">
        <v>794</v>
      </c>
      <c r="O206" s="101">
        <v>82</v>
      </c>
      <c r="P206" s="101">
        <v>4231351222.6921244</v>
      </c>
      <c r="Q206" s="101">
        <v>786551009.66502786</v>
      </c>
      <c r="R206" s="101">
        <v>786551009.66502786</v>
      </c>
      <c r="S206" s="101">
        <f t="shared" si="19"/>
        <v>9258102.9210253768</v>
      </c>
      <c r="T206" s="101">
        <f t="shared" si="16"/>
        <v>670102.92102537677</v>
      </c>
      <c r="U206" s="101">
        <f t="shared" si="17"/>
        <v>670102.92102537677</v>
      </c>
      <c r="V206" s="101">
        <v>63802</v>
      </c>
      <c r="W206" s="149">
        <f t="shared" si="18"/>
        <v>1.0502851337346427E-2</v>
      </c>
    </row>
    <row r="207" spans="1:23" x14ac:dyDescent="0.25">
      <c r="A207" t="s">
        <v>513</v>
      </c>
      <c r="B207" t="s">
        <v>379</v>
      </c>
      <c r="C207" s="102">
        <v>8328.4832656490689</v>
      </c>
      <c r="D207" s="102">
        <v>7092</v>
      </c>
      <c r="E207" s="102">
        <v>3710</v>
      </c>
      <c r="F207" s="102">
        <v>1123</v>
      </c>
      <c r="G207" s="102">
        <v>106</v>
      </c>
      <c r="H207" s="102">
        <v>717</v>
      </c>
      <c r="I207" s="102">
        <v>278</v>
      </c>
      <c r="J207" s="102">
        <v>3737</v>
      </c>
      <c r="K207" s="102">
        <v>3833</v>
      </c>
      <c r="L207" s="102">
        <v>592</v>
      </c>
      <c r="M207" s="102">
        <v>0</v>
      </c>
      <c r="N207" s="102">
        <v>1345</v>
      </c>
      <c r="O207" s="102">
        <v>466</v>
      </c>
      <c r="P207" s="102">
        <v>7407739909.2596245</v>
      </c>
      <c r="Q207" s="102">
        <v>733364205.37038362</v>
      </c>
      <c r="R207" s="102">
        <v>688840349.21740139</v>
      </c>
      <c r="S207" s="101">
        <f t="shared" si="19"/>
        <v>14012745.869272612</v>
      </c>
      <c r="T207" s="102">
        <v>3561572.6636436097</v>
      </c>
      <c r="U207" s="102">
        <v>3561572.6636436097</v>
      </c>
      <c r="V207" s="102">
        <v>102822</v>
      </c>
      <c r="W207" s="149">
        <v>4.222413178190678E-2</v>
      </c>
    </row>
    <row r="208" spans="1:23" x14ac:dyDescent="0.25">
      <c r="A208" t="s">
        <v>521</v>
      </c>
      <c r="B208" t="s">
        <v>121</v>
      </c>
      <c r="C208" s="101">
        <f t="shared" si="15"/>
        <v>15055</v>
      </c>
      <c r="D208" s="101">
        <v>8055</v>
      </c>
      <c r="E208" s="101">
        <v>7000</v>
      </c>
      <c r="F208" s="101">
        <v>3</v>
      </c>
      <c r="G208" s="101">
        <v>19</v>
      </c>
      <c r="H208" s="101">
        <v>170</v>
      </c>
      <c r="I208" s="101">
        <v>242</v>
      </c>
      <c r="J208" s="101">
        <v>4912</v>
      </c>
      <c r="K208" s="101">
        <v>4746</v>
      </c>
      <c r="L208" s="101">
        <v>960</v>
      </c>
      <c r="M208" s="101">
        <v>155</v>
      </c>
      <c r="N208" s="101">
        <v>601</v>
      </c>
      <c r="O208" s="101">
        <v>53</v>
      </c>
      <c r="P208" s="101">
        <v>5123207558.9798393</v>
      </c>
      <c r="Q208" s="101">
        <v>856102984.51187038</v>
      </c>
      <c r="R208" s="101">
        <v>805954692.53209555</v>
      </c>
      <c r="S208" s="101">
        <f t="shared" si="19"/>
        <v>10742511.525750231</v>
      </c>
      <c r="T208" s="101">
        <f t="shared" si="16"/>
        <v>-4312488.474249769</v>
      </c>
      <c r="U208" s="101">
        <f t="shared" si="17"/>
        <v>0</v>
      </c>
      <c r="V208" s="101">
        <v>183498</v>
      </c>
      <c r="W208" s="149">
        <f t="shared" si="18"/>
        <v>-2.3501555734938631E-2</v>
      </c>
    </row>
    <row r="209" spans="1:23" x14ac:dyDescent="0.25">
      <c r="A209" t="s">
        <v>515</v>
      </c>
      <c r="B209" t="s">
        <v>193</v>
      </c>
      <c r="C209" s="101">
        <f t="shared" si="15"/>
        <v>6453</v>
      </c>
      <c r="D209" s="101">
        <v>3979</v>
      </c>
      <c r="E209" s="101">
        <v>2474</v>
      </c>
      <c r="F209" s="101">
        <v>0</v>
      </c>
      <c r="G209" s="101">
        <v>16</v>
      </c>
      <c r="H209" s="101">
        <v>808</v>
      </c>
      <c r="I209" s="101">
        <v>66</v>
      </c>
      <c r="J209" s="101">
        <v>1882</v>
      </c>
      <c r="K209" s="101">
        <v>3329</v>
      </c>
      <c r="L209" s="101">
        <v>347</v>
      </c>
      <c r="M209" s="101">
        <v>612</v>
      </c>
      <c r="N209" s="101">
        <v>949</v>
      </c>
      <c r="O209" s="101">
        <v>142</v>
      </c>
      <c r="P209" s="101">
        <v>3736804860.3661113</v>
      </c>
      <c r="Q209" s="101">
        <v>497092055.52302158</v>
      </c>
      <c r="R209" s="101">
        <v>462827479.67935652</v>
      </c>
      <c r="S209" s="101">
        <f t="shared" si="19"/>
        <v>7436623.4124610946</v>
      </c>
      <c r="T209" s="101">
        <f t="shared" si="16"/>
        <v>983623.41246109456</v>
      </c>
      <c r="U209" s="101">
        <f t="shared" si="17"/>
        <v>983623.41246109456</v>
      </c>
      <c r="V209" s="101">
        <v>96310</v>
      </c>
      <c r="W209" s="149">
        <f t="shared" si="18"/>
        <v>1.0213097419386301E-2</v>
      </c>
    </row>
    <row r="210" spans="1:23" x14ac:dyDescent="0.25">
      <c r="A210" t="s">
        <v>518</v>
      </c>
      <c r="B210" t="s">
        <v>151</v>
      </c>
      <c r="C210" s="101">
        <f t="shared" si="15"/>
        <v>11447</v>
      </c>
      <c r="D210" s="101">
        <v>5968</v>
      </c>
      <c r="E210" s="101">
        <v>5479</v>
      </c>
      <c r="F210" s="101">
        <v>873</v>
      </c>
      <c r="G210" s="101">
        <v>0</v>
      </c>
      <c r="H210" s="101">
        <v>96</v>
      </c>
      <c r="I210" s="101">
        <v>120</v>
      </c>
      <c r="J210" s="101">
        <v>3712</v>
      </c>
      <c r="K210" s="101">
        <v>4320</v>
      </c>
      <c r="L210" s="101">
        <v>546</v>
      </c>
      <c r="M210" s="101">
        <v>290</v>
      </c>
      <c r="N210" s="101">
        <v>719</v>
      </c>
      <c r="O210" s="101">
        <v>108</v>
      </c>
      <c r="P210" s="101">
        <v>5474513220.1670294</v>
      </c>
      <c r="Q210" s="101">
        <v>823372643.40747392</v>
      </c>
      <c r="R210" s="101">
        <v>797274442.77740502</v>
      </c>
      <c r="S210" s="101">
        <f t="shared" si="19"/>
        <v>11275154.058626333</v>
      </c>
      <c r="T210" s="101">
        <f t="shared" si="16"/>
        <v>-171845.94137366675</v>
      </c>
      <c r="U210" s="101">
        <f t="shared" si="17"/>
        <v>0</v>
      </c>
      <c r="V210" s="101">
        <v>123299</v>
      </c>
      <c r="W210" s="149">
        <f t="shared" si="18"/>
        <v>-1.393733455856631E-3</v>
      </c>
    </row>
    <row r="211" spans="1:23" x14ac:dyDescent="0.25">
      <c r="A211" t="s">
        <v>518</v>
      </c>
      <c r="B211" t="s">
        <v>152</v>
      </c>
      <c r="C211" s="101">
        <f t="shared" si="15"/>
        <v>5481</v>
      </c>
      <c r="D211" s="101">
        <v>4031</v>
      </c>
      <c r="E211" s="101">
        <v>1450</v>
      </c>
      <c r="F211" s="101">
        <v>0</v>
      </c>
      <c r="G211" s="101">
        <v>0</v>
      </c>
      <c r="H211" s="101">
        <v>201</v>
      </c>
      <c r="I211" s="101">
        <v>53</v>
      </c>
      <c r="J211" s="101">
        <v>2011</v>
      </c>
      <c r="K211" s="101">
        <v>2041</v>
      </c>
      <c r="L211" s="101">
        <v>242</v>
      </c>
      <c r="M211" s="101">
        <v>61</v>
      </c>
      <c r="N211" s="101">
        <v>386</v>
      </c>
      <c r="O211" s="101">
        <v>67</v>
      </c>
      <c r="P211" s="101">
        <v>3255850681.3598409</v>
      </c>
      <c r="Q211" s="101">
        <v>321166472.08689046</v>
      </c>
      <c r="R211" s="101">
        <v>263888375.15419659</v>
      </c>
      <c r="S211" s="101">
        <f t="shared" si="19"/>
        <v>6034885.7535108337</v>
      </c>
      <c r="T211" s="101">
        <f t="shared" si="16"/>
        <v>553885.75351083372</v>
      </c>
      <c r="U211" s="101">
        <f t="shared" si="17"/>
        <v>553885.75351083372</v>
      </c>
      <c r="V211" s="101">
        <v>62279</v>
      </c>
      <c r="W211" s="149">
        <f t="shared" si="18"/>
        <v>8.8936198961260416E-3</v>
      </c>
    </row>
    <row r="212" spans="1:23" x14ac:dyDescent="0.25">
      <c r="A212" t="s">
        <v>518</v>
      </c>
      <c r="B212" t="s">
        <v>153</v>
      </c>
      <c r="C212" s="101">
        <f t="shared" si="15"/>
        <v>4504</v>
      </c>
      <c r="D212" s="101">
        <v>2597</v>
      </c>
      <c r="E212" s="101">
        <v>1907</v>
      </c>
      <c r="F212" s="101">
        <v>0</v>
      </c>
      <c r="G212" s="101">
        <v>38</v>
      </c>
      <c r="H212" s="101">
        <v>1300</v>
      </c>
      <c r="I212" s="101">
        <v>848</v>
      </c>
      <c r="J212" s="101">
        <v>2043</v>
      </c>
      <c r="K212" s="101">
        <v>1638</v>
      </c>
      <c r="L212" s="101">
        <v>424</v>
      </c>
      <c r="M212" s="101">
        <v>227</v>
      </c>
      <c r="N212" s="101">
        <v>603</v>
      </c>
      <c r="O212" s="101">
        <v>56</v>
      </c>
      <c r="P212" s="101">
        <v>3424184644.0120354</v>
      </c>
      <c r="Q212" s="101">
        <v>592214609.35767376</v>
      </c>
      <c r="R212" s="101">
        <v>530333808.20717418</v>
      </c>
      <c r="S212" s="101">
        <f t="shared" si="19"/>
        <v>7153339.3553800825</v>
      </c>
      <c r="T212" s="101">
        <f t="shared" si="16"/>
        <v>2649339.3553800825</v>
      </c>
      <c r="U212" s="101">
        <f t="shared" si="17"/>
        <v>2649339.3553800825</v>
      </c>
      <c r="V212" s="101">
        <v>66990</v>
      </c>
      <c r="W212" s="149">
        <f t="shared" si="18"/>
        <v>3.9548281167041087E-2</v>
      </c>
    </row>
    <row r="213" spans="1:23" x14ac:dyDescent="0.25">
      <c r="A213" t="s">
        <v>515</v>
      </c>
      <c r="B213" t="s">
        <v>194</v>
      </c>
      <c r="C213" s="101">
        <f t="shared" si="15"/>
        <v>7430</v>
      </c>
      <c r="D213" s="101">
        <v>4981</v>
      </c>
      <c r="E213" s="101">
        <v>2449</v>
      </c>
      <c r="F213" s="101">
        <v>0</v>
      </c>
      <c r="G213" s="101">
        <v>16</v>
      </c>
      <c r="H213" s="101">
        <v>1000</v>
      </c>
      <c r="I213" s="101">
        <v>174</v>
      </c>
      <c r="J213" s="101">
        <v>3707</v>
      </c>
      <c r="K213" s="101">
        <v>3124</v>
      </c>
      <c r="L213" s="101">
        <v>428</v>
      </c>
      <c r="M213" s="101">
        <v>0</v>
      </c>
      <c r="N213" s="101">
        <v>648</v>
      </c>
      <c r="O213" s="101">
        <v>130</v>
      </c>
      <c r="P213" s="101">
        <v>4070336127.9813294</v>
      </c>
      <c r="Q213" s="101">
        <v>961453769.94164658</v>
      </c>
      <c r="R213" s="101">
        <v>887299090.87699842</v>
      </c>
      <c r="S213" s="101">
        <f t="shared" si="19"/>
        <v>9322670.224027846</v>
      </c>
      <c r="T213" s="101">
        <f t="shared" si="16"/>
        <v>1892670.224027846</v>
      </c>
      <c r="U213" s="101">
        <f t="shared" si="17"/>
        <v>1892670.224027846</v>
      </c>
      <c r="V213" s="101">
        <v>98023</v>
      </c>
      <c r="W213" s="149">
        <f t="shared" si="18"/>
        <v>1.9308429899389388E-2</v>
      </c>
    </row>
    <row r="214" spans="1:23" x14ac:dyDescent="0.25">
      <c r="A214" t="s">
        <v>513</v>
      </c>
      <c r="B214" t="s">
        <v>380</v>
      </c>
      <c r="C214" s="101">
        <f t="shared" si="15"/>
        <v>16493</v>
      </c>
      <c r="D214" s="101">
        <v>8857</v>
      </c>
      <c r="E214" s="101">
        <v>7636</v>
      </c>
      <c r="F214" s="101">
        <v>2350</v>
      </c>
      <c r="G214" s="101">
        <v>101</v>
      </c>
      <c r="H214" s="101">
        <v>1141</v>
      </c>
      <c r="I214" s="101">
        <v>332</v>
      </c>
      <c r="J214" s="101">
        <v>8418</v>
      </c>
      <c r="K214" s="101">
        <v>7877</v>
      </c>
      <c r="L214" s="101">
        <v>896</v>
      </c>
      <c r="M214" s="101">
        <v>0</v>
      </c>
      <c r="N214" s="101">
        <v>1015</v>
      </c>
      <c r="O214" s="101">
        <v>259</v>
      </c>
      <c r="P214" s="101">
        <v>10072853392.492199</v>
      </c>
      <c r="Q214" s="101">
        <v>1842104510.2818146</v>
      </c>
      <c r="R214" s="101">
        <v>1784315001.7693644</v>
      </c>
      <c r="S214" s="101">
        <f t="shared" si="19"/>
        <v>21758166.016669329</v>
      </c>
      <c r="T214" s="101">
        <f t="shared" si="16"/>
        <v>5265166.0166693293</v>
      </c>
      <c r="U214" s="101">
        <f t="shared" si="17"/>
        <v>5265166.0166693293</v>
      </c>
      <c r="V214" s="101">
        <v>233549</v>
      </c>
      <c r="W214" s="149">
        <f t="shared" si="18"/>
        <v>2.2544159969296932E-2</v>
      </c>
    </row>
    <row r="215" spans="1:23" x14ac:dyDescent="0.25">
      <c r="A215" t="s">
        <v>516</v>
      </c>
      <c r="B215" t="s">
        <v>131</v>
      </c>
      <c r="C215" s="101">
        <f t="shared" si="15"/>
        <v>3374</v>
      </c>
      <c r="D215" s="101">
        <v>2656</v>
      </c>
      <c r="E215" s="101">
        <v>718</v>
      </c>
      <c r="F215" s="101">
        <v>0</v>
      </c>
      <c r="G215" s="101">
        <v>0</v>
      </c>
      <c r="H215" s="101">
        <v>309</v>
      </c>
      <c r="I215" s="101">
        <v>205</v>
      </c>
      <c r="J215" s="101">
        <v>3067</v>
      </c>
      <c r="K215" s="101">
        <v>3176</v>
      </c>
      <c r="L215" s="101">
        <v>496</v>
      </c>
      <c r="M215" s="101">
        <v>0</v>
      </c>
      <c r="N215" s="101">
        <v>580</v>
      </c>
      <c r="O215" s="101">
        <v>27</v>
      </c>
      <c r="P215" s="101">
        <v>3688709442.4654841</v>
      </c>
      <c r="Q215" s="101">
        <v>468453007.0566746</v>
      </c>
      <c r="R215" s="101">
        <v>396265166.6249904</v>
      </c>
      <c r="S215" s="101">
        <f t="shared" si="19"/>
        <v>7147577.4422661662</v>
      </c>
      <c r="T215" s="101">
        <f t="shared" si="16"/>
        <v>3773577.4422661662</v>
      </c>
      <c r="U215" s="101">
        <f t="shared" si="17"/>
        <v>3773577.4422661662</v>
      </c>
      <c r="V215" s="101">
        <v>91631</v>
      </c>
      <c r="W215" s="149">
        <f t="shared" si="18"/>
        <v>4.118232303768557E-2</v>
      </c>
    </row>
    <row r="216" spans="1:23" x14ac:dyDescent="0.25">
      <c r="A216" t="s">
        <v>514</v>
      </c>
      <c r="B216" t="s">
        <v>265</v>
      </c>
      <c r="C216" s="101">
        <f t="shared" si="15"/>
        <v>2748</v>
      </c>
      <c r="D216" s="101">
        <v>1984</v>
      </c>
      <c r="E216" s="101">
        <v>764</v>
      </c>
      <c r="F216" s="101">
        <v>3</v>
      </c>
      <c r="G216" s="101">
        <v>0</v>
      </c>
      <c r="H216" s="101">
        <v>315</v>
      </c>
      <c r="I216" s="101">
        <v>44</v>
      </c>
      <c r="J216" s="101">
        <v>1588</v>
      </c>
      <c r="K216" s="101">
        <v>1655</v>
      </c>
      <c r="L216" s="101">
        <v>203</v>
      </c>
      <c r="M216" s="101">
        <v>132</v>
      </c>
      <c r="N216" s="101">
        <v>220</v>
      </c>
      <c r="O216" s="101">
        <v>38</v>
      </c>
      <c r="P216" s="101">
        <v>2139200544.0148473</v>
      </c>
      <c r="Q216" s="101">
        <v>218884156.1356515</v>
      </c>
      <c r="R216" s="101">
        <v>213245454.22114992</v>
      </c>
      <c r="S216" s="101">
        <f t="shared" si="19"/>
        <v>4092277.8666691496</v>
      </c>
      <c r="T216" s="101">
        <f t="shared" si="16"/>
        <v>1344277.8666691496</v>
      </c>
      <c r="U216" s="101">
        <f t="shared" si="17"/>
        <v>1344277.8666691496</v>
      </c>
      <c r="V216" s="101">
        <v>28707</v>
      </c>
      <c r="W216" s="149">
        <f t="shared" si="18"/>
        <v>4.6827528709692742E-2</v>
      </c>
    </row>
    <row r="217" spans="1:23" x14ac:dyDescent="0.25">
      <c r="A217" t="s">
        <v>514</v>
      </c>
      <c r="B217" t="s">
        <v>266</v>
      </c>
      <c r="C217" s="101">
        <f t="shared" si="15"/>
        <v>3846</v>
      </c>
      <c r="D217" s="101">
        <v>2825</v>
      </c>
      <c r="E217" s="101">
        <v>1021</v>
      </c>
      <c r="F217" s="101">
        <v>0</v>
      </c>
      <c r="G217" s="101">
        <v>0</v>
      </c>
      <c r="H217" s="101">
        <v>33</v>
      </c>
      <c r="I217" s="101">
        <v>147</v>
      </c>
      <c r="J217" s="101">
        <v>1349</v>
      </c>
      <c r="K217" s="101">
        <v>2459</v>
      </c>
      <c r="L217" s="101">
        <v>248</v>
      </c>
      <c r="M217" s="101">
        <v>30</v>
      </c>
      <c r="N217" s="101">
        <v>271</v>
      </c>
      <c r="O217" s="101">
        <v>28</v>
      </c>
      <c r="P217" s="101">
        <v>2051374128.71805</v>
      </c>
      <c r="Q217" s="101">
        <v>276162253.06834531</v>
      </c>
      <c r="R217" s="101">
        <v>250591674.08053553</v>
      </c>
      <c r="S217" s="101">
        <f t="shared" si="19"/>
        <v>4071329.1756221978</v>
      </c>
      <c r="T217" s="101">
        <f t="shared" si="16"/>
        <v>225329.1756221978</v>
      </c>
      <c r="U217" s="101">
        <f t="shared" si="17"/>
        <v>225329.1756221978</v>
      </c>
      <c r="V217" s="101">
        <v>43609</v>
      </c>
      <c r="W217" s="149">
        <f t="shared" si="18"/>
        <v>5.1670337687678642E-3</v>
      </c>
    </row>
    <row r="218" spans="1:23" x14ac:dyDescent="0.25">
      <c r="A218" t="s">
        <v>516</v>
      </c>
      <c r="B218" t="s">
        <v>132</v>
      </c>
      <c r="C218" s="101">
        <f t="shared" si="15"/>
        <v>5101</v>
      </c>
      <c r="D218" s="101">
        <v>3462</v>
      </c>
      <c r="E218" s="101">
        <v>1639</v>
      </c>
      <c r="F218" s="101">
        <v>0</v>
      </c>
      <c r="G218" s="101">
        <v>0</v>
      </c>
      <c r="H218" s="101">
        <v>220</v>
      </c>
      <c r="I218" s="101">
        <v>36</v>
      </c>
      <c r="J218" s="101">
        <v>3141</v>
      </c>
      <c r="K218" s="101">
        <v>3184</v>
      </c>
      <c r="L218" s="101">
        <v>313</v>
      </c>
      <c r="M218" s="101">
        <v>168</v>
      </c>
      <c r="N218" s="101">
        <v>432</v>
      </c>
      <c r="O218" s="101">
        <v>21</v>
      </c>
      <c r="P218" s="101">
        <v>4437325077.6143751</v>
      </c>
      <c r="Q218" s="101">
        <v>554370152.45571542</v>
      </c>
      <c r="R218" s="101">
        <v>453529044.39128703</v>
      </c>
      <c r="S218" s="101">
        <f t="shared" si="19"/>
        <v>8524291.1504031345</v>
      </c>
      <c r="T218" s="101">
        <f t="shared" si="16"/>
        <v>3423291.1504031345</v>
      </c>
      <c r="U218" s="101">
        <f t="shared" si="17"/>
        <v>3423291.1504031345</v>
      </c>
      <c r="V218" s="101">
        <v>102876</v>
      </c>
      <c r="W218" s="149">
        <f t="shared" si="18"/>
        <v>3.3275896714521698E-2</v>
      </c>
    </row>
    <row r="219" spans="1:23" x14ac:dyDescent="0.25">
      <c r="A219" t="s">
        <v>513</v>
      </c>
      <c r="B219" t="s">
        <v>381</v>
      </c>
      <c r="C219" s="101">
        <f t="shared" si="15"/>
        <v>27722</v>
      </c>
      <c r="D219" s="101">
        <v>16296</v>
      </c>
      <c r="E219" s="101">
        <v>11426</v>
      </c>
      <c r="F219" s="101">
        <v>2634</v>
      </c>
      <c r="G219" s="101">
        <v>68</v>
      </c>
      <c r="H219" s="101">
        <v>320</v>
      </c>
      <c r="I219" s="101">
        <v>760</v>
      </c>
      <c r="J219" s="101">
        <v>9008</v>
      </c>
      <c r="K219" s="101">
        <v>13475</v>
      </c>
      <c r="L219" s="101">
        <v>1520</v>
      </c>
      <c r="M219" s="101">
        <v>179</v>
      </c>
      <c r="N219" s="101">
        <v>2870</v>
      </c>
      <c r="O219" s="101">
        <v>630</v>
      </c>
      <c r="P219" s="101">
        <v>16030411896.791613</v>
      </c>
      <c r="Q219" s="101">
        <v>2237937073.0131097</v>
      </c>
      <c r="R219" s="101">
        <v>2128494994.9452839</v>
      </c>
      <c r="S219" s="101">
        <f t="shared" si="19"/>
        <v>32358406.00925808</v>
      </c>
      <c r="T219" s="101">
        <f t="shared" si="16"/>
        <v>4636406.0092580803</v>
      </c>
      <c r="U219" s="101">
        <f t="shared" si="17"/>
        <v>4636406.0092580803</v>
      </c>
      <c r="V219" s="101">
        <v>419493</v>
      </c>
      <c r="W219" s="149">
        <f t="shared" si="18"/>
        <v>1.1052403757054541E-2</v>
      </c>
    </row>
    <row r="220" spans="1:23" x14ac:dyDescent="0.25">
      <c r="A220" t="s">
        <v>515</v>
      </c>
      <c r="B220" t="s">
        <v>195</v>
      </c>
      <c r="C220" s="101">
        <f t="shared" si="15"/>
        <v>9716</v>
      </c>
      <c r="D220" s="101">
        <v>6784</v>
      </c>
      <c r="E220" s="101">
        <v>2932</v>
      </c>
      <c r="F220" s="101">
        <v>0</v>
      </c>
      <c r="G220" s="101">
        <v>8</v>
      </c>
      <c r="H220" s="101">
        <v>210</v>
      </c>
      <c r="I220" s="101">
        <v>150</v>
      </c>
      <c r="J220" s="101">
        <v>5318</v>
      </c>
      <c r="K220" s="101">
        <v>4423</v>
      </c>
      <c r="L220" s="101">
        <v>860</v>
      </c>
      <c r="M220" s="101">
        <v>126</v>
      </c>
      <c r="N220" s="101">
        <v>434</v>
      </c>
      <c r="O220" s="101">
        <v>223</v>
      </c>
      <c r="P220" s="101">
        <v>5918873059.4663</v>
      </c>
      <c r="Q220" s="101">
        <v>981910233.13189435</v>
      </c>
      <c r="R220" s="101">
        <v>899572968.79114699</v>
      </c>
      <c r="S220" s="101">
        <f t="shared" si="19"/>
        <v>12310240.300292509</v>
      </c>
      <c r="T220" s="101">
        <f t="shared" si="16"/>
        <v>2594240.3002925087</v>
      </c>
      <c r="U220" s="101">
        <f t="shared" si="17"/>
        <v>2594240.3002925087</v>
      </c>
      <c r="V220" s="101">
        <v>139189</v>
      </c>
      <c r="W220" s="149">
        <f t="shared" si="18"/>
        <v>1.86382566172076E-2</v>
      </c>
    </row>
    <row r="221" spans="1:23" x14ac:dyDescent="0.25">
      <c r="A221" t="s">
        <v>514</v>
      </c>
      <c r="B221" t="s">
        <v>267</v>
      </c>
      <c r="C221" s="101">
        <f t="shared" si="15"/>
        <v>9058</v>
      </c>
      <c r="D221" s="101">
        <v>3095</v>
      </c>
      <c r="E221" s="101">
        <v>5963</v>
      </c>
      <c r="F221" s="101">
        <v>1971</v>
      </c>
      <c r="G221" s="101">
        <v>0</v>
      </c>
      <c r="H221" s="101">
        <v>479</v>
      </c>
      <c r="I221" s="101">
        <v>243</v>
      </c>
      <c r="J221" s="101">
        <v>1160</v>
      </c>
      <c r="K221" s="101">
        <v>2144</v>
      </c>
      <c r="L221" s="101">
        <v>336</v>
      </c>
      <c r="M221" s="101">
        <v>204</v>
      </c>
      <c r="N221" s="101">
        <v>1280</v>
      </c>
      <c r="O221" s="101">
        <v>21</v>
      </c>
      <c r="P221" s="101">
        <v>3723212677.0463691</v>
      </c>
      <c r="Q221" s="101">
        <v>1177269456.5987608</v>
      </c>
      <c r="R221" s="101">
        <v>1177269456.5987608</v>
      </c>
      <c r="S221" s="101">
        <f t="shared" si="19"/>
        <v>9694013.7864390053</v>
      </c>
      <c r="T221" s="101">
        <f t="shared" si="16"/>
        <v>636013.78643900529</v>
      </c>
      <c r="U221" s="101">
        <f t="shared" si="17"/>
        <v>636013.78643900529</v>
      </c>
      <c r="V221" s="101">
        <v>57534</v>
      </c>
      <c r="W221" s="149">
        <f t="shared" si="18"/>
        <v>1.1054572712465764E-2</v>
      </c>
    </row>
    <row r="222" spans="1:23" x14ac:dyDescent="0.25">
      <c r="A222" t="s">
        <v>520</v>
      </c>
      <c r="B222" t="s">
        <v>224</v>
      </c>
      <c r="C222" s="101">
        <f t="shared" si="15"/>
        <v>3278</v>
      </c>
      <c r="D222" s="101">
        <v>2228</v>
      </c>
      <c r="E222" s="101">
        <v>1050</v>
      </c>
      <c r="F222" s="101">
        <v>0</v>
      </c>
      <c r="G222" s="101">
        <v>33</v>
      </c>
      <c r="H222" s="101">
        <v>29</v>
      </c>
      <c r="I222" s="101">
        <v>35</v>
      </c>
      <c r="J222" s="101">
        <v>2133</v>
      </c>
      <c r="K222" s="101">
        <v>1423</v>
      </c>
      <c r="L222" s="101">
        <v>190</v>
      </c>
      <c r="M222" s="101">
        <v>4</v>
      </c>
      <c r="N222" s="101">
        <v>404</v>
      </c>
      <c r="O222" s="101">
        <v>85</v>
      </c>
      <c r="P222" s="101">
        <v>1923816716.0250826</v>
      </c>
      <c r="Q222" s="101">
        <v>197404869.78589129</v>
      </c>
      <c r="R222" s="101">
        <v>169204174.10219255</v>
      </c>
      <c r="S222" s="101">
        <f t="shared" si="19"/>
        <v>3608248.9774460015</v>
      </c>
      <c r="T222" s="101">
        <f t="shared" si="16"/>
        <v>330248.97744600149</v>
      </c>
      <c r="U222" s="101">
        <f t="shared" si="17"/>
        <v>330248.97744600149</v>
      </c>
      <c r="V222" s="101">
        <v>32021</v>
      </c>
      <c r="W222" s="149">
        <f t="shared" si="18"/>
        <v>1.0313512302738874E-2</v>
      </c>
    </row>
    <row r="223" spans="1:23" x14ac:dyDescent="0.25">
      <c r="A223" t="s">
        <v>515</v>
      </c>
      <c r="B223" t="s">
        <v>196</v>
      </c>
      <c r="C223" s="101">
        <f t="shared" si="15"/>
        <v>11054</v>
      </c>
      <c r="D223" s="101">
        <v>6910</v>
      </c>
      <c r="E223" s="101">
        <v>4144</v>
      </c>
      <c r="F223" s="101">
        <v>0</v>
      </c>
      <c r="G223" s="101">
        <v>42</v>
      </c>
      <c r="H223" s="101">
        <v>101</v>
      </c>
      <c r="I223" s="101">
        <v>686</v>
      </c>
      <c r="J223" s="101">
        <v>3245</v>
      </c>
      <c r="K223" s="101">
        <v>7543</v>
      </c>
      <c r="L223" s="101">
        <v>986</v>
      </c>
      <c r="M223" s="101">
        <v>104</v>
      </c>
      <c r="N223" s="101">
        <v>1336</v>
      </c>
      <c r="O223" s="101">
        <v>801</v>
      </c>
      <c r="P223" s="101">
        <v>8556802176.0593891</v>
      </c>
      <c r="Q223" s="101">
        <v>1495367459.2071142</v>
      </c>
      <c r="R223" s="101">
        <v>1422722170.3917155</v>
      </c>
      <c r="S223" s="101">
        <f t="shared" si="19"/>
        <v>18186583.194364302</v>
      </c>
      <c r="T223" s="101">
        <f t="shared" si="16"/>
        <v>7132583.1943643019</v>
      </c>
      <c r="U223" s="101">
        <f t="shared" si="17"/>
        <v>7132583.1943643019</v>
      </c>
      <c r="V223" s="101">
        <v>141797</v>
      </c>
      <c r="W223" s="149">
        <f t="shared" si="18"/>
        <v>5.0301368818552593E-2</v>
      </c>
    </row>
    <row r="224" spans="1:23" x14ac:dyDescent="0.25">
      <c r="A224" t="s">
        <v>517</v>
      </c>
      <c r="B224" t="s">
        <v>310</v>
      </c>
      <c r="C224" s="101">
        <f t="shared" si="15"/>
        <v>9210</v>
      </c>
      <c r="D224" s="101">
        <v>5887</v>
      </c>
      <c r="E224" s="101">
        <v>3323</v>
      </c>
      <c r="F224" s="101">
        <v>647</v>
      </c>
      <c r="G224" s="101">
        <v>0</v>
      </c>
      <c r="H224" s="101">
        <v>56</v>
      </c>
      <c r="I224" s="101">
        <v>335</v>
      </c>
      <c r="J224" s="101">
        <v>2642</v>
      </c>
      <c r="K224" s="101">
        <v>5858</v>
      </c>
      <c r="L224" s="101">
        <v>384</v>
      </c>
      <c r="M224" s="101">
        <v>408</v>
      </c>
      <c r="N224" s="101">
        <v>864</v>
      </c>
      <c r="O224" s="101">
        <v>186</v>
      </c>
      <c r="P224" s="101">
        <v>5254947181.9250355</v>
      </c>
      <c r="Q224" s="101">
        <v>644378590.49280572</v>
      </c>
      <c r="R224" s="101">
        <v>638753063.11548758</v>
      </c>
      <c r="S224" s="101">
        <f t="shared" si="19"/>
        <v>10419263.02650884</v>
      </c>
      <c r="T224" s="101">
        <f t="shared" si="16"/>
        <v>1209263.0265088398</v>
      </c>
      <c r="U224" s="101">
        <f t="shared" si="17"/>
        <v>1209263.0265088398</v>
      </c>
      <c r="V224" s="101">
        <v>109859</v>
      </c>
      <c r="W224" s="149">
        <f t="shared" si="18"/>
        <v>1.1007409738927533E-2</v>
      </c>
    </row>
    <row r="225" spans="1:23" x14ac:dyDescent="0.25">
      <c r="A225" t="s">
        <v>522</v>
      </c>
      <c r="B225" t="s">
        <v>415</v>
      </c>
      <c r="C225" s="101">
        <f t="shared" si="15"/>
        <v>9339</v>
      </c>
      <c r="D225" s="101">
        <v>5445</v>
      </c>
      <c r="E225" s="101">
        <v>3894</v>
      </c>
      <c r="F225" s="101">
        <v>0</v>
      </c>
      <c r="G225" s="101">
        <v>0</v>
      </c>
      <c r="H225" s="101">
        <v>1150</v>
      </c>
      <c r="I225" s="101">
        <v>0</v>
      </c>
      <c r="J225" s="101">
        <v>6177</v>
      </c>
      <c r="K225" s="101">
        <v>4424</v>
      </c>
      <c r="L225" s="101">
        <v>864</v>
      </c>
      <c r="M225" s="101">
        <v>45</v>
      </c>
      <c r="N225" s="101">
        <v>851</v>
      </c>
      <c r="O225" s="101">
        <v>28</v>
      </c>
      <c r="P225" s="101">
        <v>6973835595.5909243</v>
      </c>
      <c r="Q225" s="101">
        <v>1053507854.2977618</v>
      </c>
      <c r="R225" s="101">
        <v>1037142683.7455636</v>
      </c>
      <c r="S225" s="101">
        <f t="shared" si="19"/>
        <v>14431752.936115874</v>
      </c>
      <c r="T225" s="101">
        <f t="shared" si="16"/>
        <v>5092752.936115874</v>
      </c>
      <c r="U225" s="101">
        <f t="shared" si="17"/>
        <v>5092752.936115874</v>
      </c>
      <c r="V225" s="101">
        <v>131297</v>
      </c>
      <c r="W225" s="149">
        <f t="shared" si="18"/>
        <v>3.8788037320851766E-2</v>
      </c>
    </row>
    <row r="226" spans="1:23" x14ac:dyDescent="0.25">
      <c r="A226" t="s">
        <v>521</v>
      </c>
      <c r="B226" t="s">
        <v>122</v>
      </c>
      <c r="C226" s="101">
        <f t="shared" si="15"/>
        <v>3418</v>
      </c>
      <c r="D226" s="101">
        <v>2291</v>
      </c>
      <c r="E226" s="101">
        <v>1127</v>
      </c>
      <c r="F226" s="101">
        <v>0</v>
      </c>
      <c r="G226" s="101">
        <v>0</v>
      </c>
      <c r="H226" s="101">
        <v>0</v>
      </c>
      <c r="I226" s="101">
        <v>0</v>
      </c>
      <c r="J226" s="101">
        <v>1138</v>
      </c>
      <c r="K226" s="101">
        <v>1965</v>
      </c>
      <c r="L226" s="101">
        <v>234</v>
      </c>
      <c r="M226" s="101">
        <v>65</v>
      </c>
      <c r="N226" s="101">
        <v>140</v>
      </c>
      <c r="O226" s="101">
        <v>8</v>
      </c>
      <c r="P226" s="101">
        <v>1169973318.0609062</v>
      </c>
      <c r="Q226" s="101">
        <v>135012657.05563548</v>
      </c>
      <c r="R226" s="101">
        <v>120638685.96225983</v>
      </c>
      <c r="S226" s="101">
        <f t="shared" si="19"/>
        <v>2250944.8505267543</v>
      </c>
      <c r="T226" s="101">
        <f t="shared" si="16"/>
        <v>-1167055.1494732457</v>
      </c>
      <c r="U226" s="101">
        <f t="shared" si="17"/>
        <v>0</v>
      </c>
      <c r="V226" s="101">
        <v>58057</v>
      </c>
      <c r="W226" s="149">
        <f t="shared" si="18"/>
        <v>-2.010188520717994E-2</v>
      </c>
    </row>
    <row r="227" spans="1:23" x14ac:dyDescent="0.25">
      <c r="A227" t="s">
        <v>517</v>
      </c>
      <c r="B227" t="s">
        <v>311</v>
      </c>
      <c r="C227" s="101">
        <f t="shared" si="15"/>
        <v>12495</v>
      </c>
      <c r="D227" s="101">
        <v>8708</v>
      </c>
      <c r="E227" s="101">
        <v>3787</v>
      </c>
      <c r="F227" s="101">
        <v>11</v>
      </c>
      <c r="G227" s="101">
        <v>0</v>
      </c>
      <c r="H227" s="101">
        <v>219</v>
      </c>
      <c r="I227" s="101">
        <v>0</v>
      </c>
      <c r="J227" s="101">
        <v>4840</v>
      </c>
      <c r="K227" s="101">
        <v>8864</v>
      </c>
      <c r="L227" s="101">
        <v>754</v>
      </c>
      <c r="M227" s="101">
        <v>0</v>
      </c>
      <c r="N227" s="101">
        <v>2031</v>
      </c>
      <c r="O227" s="101">
        <v>131</v>
      </c>
      <c r="P227" s="101">
        <v>11747828598.509689</v>
      </c>
      <c r="Q227" s="101">
        <v>1112831597.5494804</v>
      </c>
      <c r="R227" s="101">
        <v>1078551267.8778412</v>
      </c>
      <c r="S227" s="101">
        <f t="shared" si="19"/>
        <v>22178365.159153271</v>
      </c>
      <c r="T227" s="101">
        <f t="shared" si="16"/>
        <v>9683365.1591532715</v>
      </c>
      <c r="U227" s="101">
        <f t="shared" si="17"/>
        <v>9683365.1591532715</v>
      </c>
      <c r="V227" s="101">
        <v>168678</v>
      </c>
      <c r="W227" s="149">
        <f t="shared" si="18"/>
        <v>5.7407398470181475E-2</v>
      </c>
    </row>
    <row r="228" spans="1:23" x14ac:dyDescent="0.25">
      <c r="A228" t="s">
        <v>514</v>
      </c>
      <c r="B228" t="s">
        <v>268</v>
      </c>
      <c r="C228">
        <v>17107</v>
      </c>
      <c r="D228">
        <v>14225</v>
      </c>
      <c r="E228">
        <v>6896</v>
      </c>
      <c r="F228">
        <v>4325</v>
      </c>
      <c r="G228">
        <v>310</v>
      </c>
      <c r="H228">
        <v>103</v>
      </c>
      <c r="I228">
        <v>759</v>
      </c>
      <c r="J228">
        <v>10793</v>
      </c>
      <c r="K228">
        <v>16631</v>
      </c>
      <c r="L228">
        <v>1969</v>
      </c>
      <c r="M228">
        <v>818</v>
      </c>
      <c r="N228">
        <v>3971</v>
      </c>
      <c r="O228">
        <v>361</v>
      </c>
      <c r="P228" s="101">
        <v>17757664730.961956</v>
      </c>
      <c r="Q228" s="101">
        <v>1856424034.5149879</v>
      </c>
      <c r="R228" s="101">
        <v>1772017871.4687014</v>
      </c>
      <c r="S228" s="101">
        <f t="shared" si="19"/>
        <v>33976212.255869478</v>
      </c>
      <c r="T228">
        <v>10538080.112000003</v>
      </c>
      <c r="U228">
        <v>10538080.112000003</v>
      </c>
      <c r="V228" s="101">
        <v>365767</v>
      </c>
      <c r="W228" s="149">
        <v>3.9618778782421711E-2</v>
      </c>
    </row>
    <row r="229" spans="1:23" x14ac:dyDescent="0.25">
      <c r="A229" t="s">
        <v>515</v>
      </c>
      <c r="B229" t="s">
        <v>197</v>
      </c>
      <c r="C229" s="101">
        <f t="shared" si="15"/>
        <v>4992</v>
      </c>
      <c r="D229" s="101">
        <v>3325</v>
      </c>
      <c r="E229" s="101">
        <v>1667</v>
      </c>
      <c r="F229" s="101">
        <v>0</v>
      </c>
      <c r="G229" s="101">
        <v>0</v>
      </c>
      <c r="H229" s="101">
        <v>880</v>
      </c>
      <c r="I229" s="101">
        <v>638</v>
      </c>
      <c r="J229" s="101">
        <v>2544</v>
      </c>
      <c r="K229" s="101">
        <v>1968</v>
      </c>
      <c r="L229" s="101">
        <v>449</v>
      </c>
      <c r="M229" s="101">
        <v>458</v>
      </c>
      <c r="N229" s="101">
        <v>738</v>
      </c>
      <c r="O229" s="101">
        <v>129</v>
      </c>
      <c r="P229" s="101">
        <v>5316634783.1454048</v>
      </c>
      <c r="Q229" s="101">
        <v>497092055.52302152</v>
      </c>
      <c r="R229" s="101">
        <v>456648932.57109708</v>
      </c>
      <c r="S229" s="101">
        <f t="shared" si="19"/>
        <v>9936742.5740187224</v>
      </c>
      <c r="T229" s="101">
        <f t="shared" si="16"/>
        <v>4944742.5740187224</v>
      </c>
      <c r="U229" s="101">
        <f t="shared" si="17"/>
        <v>4944742.5740187224</v>
      </c>
      <c r="V229" s="101">
        <v>73730</v>
      </c>
      <c r="W229" s="149">
        <f t="shared" si="18"/>
        <v>6.7065544202071378E-2</v>
      </c>
    </row>
    <row r="230" spans="1:23" x14ac:dyDescent="0.25">
      <c r="A230" t="s">
        <v>518</v>
      </c>
      <c r="B230" t="s">
        <v>154</v>
      </c>
      <c r="C230" s="101">
        <f t="shared" si="15"/>
        <v>9566</v>
      </c>
      <c r="D230" s="101">
        <v>5980</v>
      </c>
      <c r="E230" s="101">
        <v>3586</v>
      </c>
      <c r="F230" s="101">
        <v>4</v>
      </c>
      <c r="G230" s="101">
        <v>48</v>
      </c>
      <c r="H230" s="101">
        <v>427</v>
      </c>
      <c r="I230" s="101">
        <v>298</v>
      </c>
      <c r="J230" s="101">
        <v>4530</v>
      </c>
      <c r="K230" s="101">
        <v>3457</v>
      </c>
      <c r="L230" s="101">
        <v>750</v>
      </c>
      <c r="M230" s="101">
        <v>210</v>
      </c>
      <c r="N230" s="101">
        <v>929</v>
      </c>
      <c r="O230" s="101">
        <v>171</v>
      </c>
      <c r="P230" s="101">
        <v>6609983303.6470499</v>
      </c>
      <c r="Q230" s="101">
        <v>958385300.46310949</v>
      </c>
      <c r="R230" s="101">
        <v>852978267.95088279</v>
      </c>
      <c r="S230" s="101">
        <f t="shared" si="19"/>
        <v>13263924.044080362</v>
      </c>
      <c r="T230" s="101">
        <f t="shared" si="16"/>
        <v>3697924.0440803617</v>
      </c>
      <c r="U230" s="101">
        <f t="shared" si="17"/>
        <v>3697924.0440803617</v>
      </c>
      <c r="V230" s="101">
        <v>124347</v>
      </c>
      <c r="W230" s="149">
        <f t="shared" si="18"/>
        <v>2.9738747569948303E-2</v>
      </c>
    </row>
    <row r="231" spans="1:23" x14ac:dyDescent="0.25">
      <c r="A231" t="s">
        <v>524</v>
      </c>
      <c r="B231" t="s">
        <v>334</v>
      </c>
      <c r="C231" s="101">
        <f t="shared" si="15"/>
        <v>4528</v>
      </c>
      <c r="D231" s="101">
        <v>2382</v>
      </c>
      <c r="E231" s="101">
        <v>2146</v>
      </c>
      <c r="F231" s="101">
        <v>0</v>
      </c>
      <c r="G231" s="101">
        <v>0</v>
      </c>
      <c r="H231" s="101">
        <v>104</v>
      </c>
      <c r="I231" s="101">
        <v>14</v>
      </c>
      <c r="J231" s="101">
        <v>2795</v>
      </c>
      <c r="K231" s="101">
        <v>2897</v>
      </c>
      <c r="L231" s="101">
        <v>316</v>
      </c>
      <c r="M231" s="101">
        <v>322</v>
      </c>
      <c r="N231" s="101">
        <v>823</v>
      </c>
      <c r="O231" s="101">
        <v>1072</v>
      </c>
      <c r="P231" s="101">
        <v>2882588416.3484526</v>
      </c>
      <c r="Q231" s="101">
        <v>535959335.58449233</v>
      </c>
      <c r="R231" s="101">
        <v>513457226.07521975</v>
      </c>
      <c r="S231" s="101">
        <f t="shared" si="19"/>
        <v>6235657.075255733</v>
      </c>
      <c r="T231" s="101">
        <f t="shared" si="16"/>
        <v>1707657.075255733</v>
      </c>
      <c r="U231" s="101">
        <f t="shared" si="17"/>
        <v>1707657.075255733</v>
      </c>
      <c r="V231" s="101">
        <v>72765</v>
      </c>
      <c r="W231" s="149">
        <f t="shared" si="18"/>
        <v>2.3468110702339489E-2</v>
      </c>
    </row>
    <row r="232" spans="1:23" x14ac:dyDescent="0.25">
      <c r="A232" t="s">
        <v>515</v>
      </c>
      <c r="B232" t="s">
        <v>198</v>
      </c>
      <c r="C232" s="101">
        <f t="shared" si="15"/>
        <v>13895</v>
      </c>
      <c r="D232" s="101">
        <v>9585</v>
      </c>
      <c r="E232" s="101">
        <v>4310</v>
      </c>
      <c r="F232" s="101">
        <v>27</v>
      </c>
      <c r="G232" s="101">
        <v>0</v>
      </c>
      <c r="H232" s="101">
        <v>798</v>
      </c>
      <c r="I232" s="101">
        <v>70</v>
      </c>
      <c r="J232" s="101">
        <v>4020</v>
      </c>
      <c r="K232" s="101">
        <v>4165</v>
      </c>
      <c r="L232" s="101">
        <v>580</v>
      </c>
      <c r="M232" s="101">
        <v>351</v>
      </c>
      <c r="N232" s="101">
        <v>668</v>
      </c>
      <c r="O232" s="101">
        <v>19</v>
      </c>
      <c r="P232" s="101">
        <v>6520065783.2241383</v>
      </c>
      <c r="Q232" s="101">
        <v>447996543.86642683</v>
      </c>
      <c r="R232" s="101">
        <v>412668816.40724576</v>
      </c>
      <c r="S232" s="101">
        <f t="shared" si="19"/>
        <v>11715918.448581615</v>
      </c>
      <c r="T232" s="101">
        <f t="shared" si="16"/>
        <v>-2179081.5514183845</v>
      </c>
      <c r="U232" s="101">
        <f t="shared" si="17"/>
        <v>0</v>
      </c>
      <c r="V232" s="101">
        <v>113527</v>
      </c>
      <c r="W232" s="149">
        <f t="shared" si="18"/>
        <v>-1.9194390333738973E-2</v>
      </c>
    </row>
    <row r="233" spans="1:23" x14ac:dyDescent="0.25">
      <c r="A233" t="s">
        <v>520</v>
      </c>
      <c r="B233" t="s">
        <v>225</v>
      </c>
      <c r="C233" s="101">
        <f t="shared" si="15"/>
        <v>1231</v>
      </c>
      <c r="D233" s="101">
        <v>677</v>
      </c>
      <c r="E233" s="101">
        <v>554</v>
      </c>
      <c r="F233" s="101">
        <v>0</v>
      </c>
      <c r="G233" s="101">
        <v>0</v>
      </c>
      <c r="H233" s="101">
        <v>53</v>
      </c>
      <c r="I233" s="101">
        <v>0</v>
      </c>
      <c r="J233" s="101">
        <v>721</v>
      </c>
      <c r="K233" s="101">
        <v>654</v>
      </c>
      <c r="L233" s="101">
        <v>90</v>
      </c>
      <c r="M233" s="101">
        <v>71</v>
      </c>
      <c r="N233" s="101">
        <v>147</v>
      </c>
      <c r="O233" s="101">
        <v>111</v>
      </c>
      <c r="P233" s="101">
        <v>1132333425.7908502</v>
      </c>
      <c r="Q233" s="101">
        <v>197404869.78589129</v>
      </c>
      <c r="R233" s="101">
        <v>179971712.45415023</v>
      </c>
      <c r="S233" s="101">
        <f t="shared" si="19"/>
        <v>2380181.5768651455</v>
      </c>
      <c r="T233" s="101">
        <f t="shared" si="16"/>
        <v>1149181.5768651455</v>
      </c>
      <c r="U233" s="101">
        <f t="shared" si="17"/>
        <v>1149181.5768651455</v>
      </c>
      <c r="V233" s="101">
        <v>19086</v>
      </c>
      <c r="W233" s="149">
        <f t="shared" si="18"/>
        <v>6.0210708208380252E-2</v>
      </c>
    </row>
    <row r="234" spans="1:23" x14ac:dyDescent="0.25">
      <c r="A234" t="s">
        <v>513</v>
      </c>
      <c r="B234" t="s">
        <v>382</v>
      </c>
      <c r="C234" s="101">
        <f t="shared" si="15"/>
        <v>3659</v>
      </c>
      <c r="D234" s="101">
        <v>2335</v>
      </c>
      <c r="E234" s="101">
        <v>1324</v>
      </c>
      <c r="F234" s="101">
        <v>0</v>
      </c>
      <c r="G234" s="101">
        <v>0</v>
      </c>
      <c r="H234" s="101">
        <v>200</v>
      </c>
      <c r="I234" s="101">
        <v>27</v>
      </c>
      <c r="J234" s="101">
        <v>1973</v>
      </c>
      <c r="K234" s="101">
        <v>1144</v>
      </c>
      <c r="L234" s="101">
        <v>129</v>
      </c>
      <c r="M234" s="101">
        <v>0</v>
      </c>
      <c r="N234" s="101">
        <v>682</v>
      </c>
      <c r="O234" s="101">
        <v>164</v>
      </c>
      <c r="P234" s="101">
        <v>2591924803.8185759</v>
      </c>
      <c r="Q234" s="101">
        <v>312983886.81079131</v>
      </c>
      <c r="R234" s="101">
        <v>257148790.80035555</v>
      </c>
      <c r="S234" s="101">
        <f t="shared" si="19"/>
        <v>4954424.7047437625</v>
      </c>
      <c r="T234" s="101">
        <f t="shared" si="16"/>
        <v>1295424.7047437625</v>
      </c>
      <c r="U234" s="101">
        <f t="shared" si="17"/>
        <v>1295424.7047437625</v>
      </c>
      <c r="V234" s="101">
        <v>39606</v>
      </c>
      <c r="W234" s="149">
        <f t="shared" si="18"/>
        <v>3.2707789343628807E-2</v>
      </c>
    </row>
    <row r="235" spans="1:23" x14ac:dyDescent="0.25">
      <c r="A235" t="s">
        <v>515</v>
      </c>
      <c r="B235" t="s">
        <v>199</v>
      </c>
      <c r="C235" s="101">
        <f t="shared" si="15"/>
        <v>13436</v>
      </c>
      <c r="D235" s="101">
        <v>10582</v>
      </c>
      <c r="E235" s="101">
        <v>2854</v>
      </c>
      <c r="F235" s="101">
        <v>29</v>
      </c>
      <c r="G235" s="101">
        <v>0</v>
      </c>
      <c r="H235" s="101">
        <v>517</v>
      </c>
      <c r="I235" s="101">
        <v>375</v>
      </c>
      <c r="J235" s="101">
        <v>5754</v>
      </c>
      <c r="K235" s="101">
        <v>5345</v>
      </c>
      <c r="L235" s="101">
        <v>840</v>
      </c>
      <c r="M235" s="101">
        <v>504</v>
      </c>
      <c r="N235" s="101">
        <v>500</v>
      </c>
      <c r="O235" s="101">
        <v>157</v>
      </c>
      <c r="P235" s="101">
        <v>7839553117.8022118</v>
      </c>
      <c r="Q235" s="101">
        <v>626990596.78109503</v>
      </c>
      <c r="R235" s="101">
        <v>612659383.1403842</v>
      </c>
      <c r="S235" s="101">
        <f t="shared" si="19"/>
        <v>14458470.655112356</v>
      </c>
      <c r="T235" s="101">
        <f t="shared" si="16"/>
        <v>1022470.6551123559</v>
      </c>
      <c r="U235" s="101">
        <f t="shared" si="17"/>
        <v>1022470.6551123559</v>
      </c>
      <c r="V235" s="101">
        <v>176611</v>
      </c>
      <c r="W235" s="149">
        <f t="shared" si="18"/>
        <v>5.7893939511828594E-3</v>
      </c>
    </row>
    <row r="236" spans="1:23" x14ac:dyDescent="0.25">
      <c r="A236" t="s">
        <v>520</v>
      </c>
      <c r="B236" t="s">
        <v>226</v>
      </c>
      <c r="C236" s="101">
        <f t="shared" si="15"/>
        <v>5647</v>
      </c>
      <c r="D236" s="101">
        <v>3906</v>
      </c>
      <c r="E236" s="101">
        <v>1741</v>
      </c>
      <c r="F236" s="101">
        <v>6</v>
      </c>
      <c r="G236" s="101">
        <v>26</v>
      </c>
      <c r="H236" s="101">
        <v>172</v>
      </c>
      <c r="I236" s="101">
        <v>194</v>
      </c>
      <c r="J236" s="101">
        <v>2079</v>
      </c>
      <c r="K236" s="101">
        <v>3130</v>
      </c>
      <c r="L236" s="101">
        <v>268</v>
      </c>
      <c r="M236" s="101">
        <v>564</v>
      </c>
      <c r="N236" s="101">
        <v>923</v>
      </c>
      <c r="O236" s="101">
        <v>135</v>
      </c>
      <c r="P236" s="101">
        <v>3803720224.4017663</v>
      </c>
      <c r="Q236" s="101">
        <v>354919636.35079938</v>
      </c>
      <c r="R236" s="101">
        <v>323166364.41176683</v>
      </c>
      <c r="S236" s="101">
        <f t="shared" si="19"/>
        <v>7097834.4603943536</v>
      </c>
      <c r="T236" s="101">
        <f t="shared" si="16"/>
        <v>1450834.4603943536</v>
      </c>
      <c r="U236" s="101">
        <f t="shared" si="17"/>
        <v>1450834.4603943536</v>
      </c>
      <c r="V236" s="101">
        <v>65927</v>
      </c>
      <c r="W236" s="149">
        <f t="shared" si="18"/>
        <v>2.2006681031964955E-2</v>
      </c>
    </row>
    <row r="237" spans="1:23" x14ac:dyDescent="0.25">
      <c r="A237" t="s">
        <v>517</v>
      </c>
      <c r="B237" t="s">
        <v>312</v>
      </c>
      <c r="C237" s="101">
        <f t="shared" si="15"/>
        <v>14917</v>
      </c>
      <c r="D237" s="101">
        <v>6955</v>
      </c>
      <c r="E237" s="101">
        <v>7962</v>
      </c>
      <c r="F237" s="101">
        <v>357</v>
      </c>
      <c r="G237" s="101">
        <v>0</v>
      </c>
      <c r="H237" s="101">
        <v>0</v>
      </c>
      <c r="I237" s="101">
        <v>1</v>
      </c>
      <c r="J237" s="101">
        <v>5422</v>
      </c>
      <c r="K237" s="101">
        <v>7498</v>
      </c>
      <c r="L237" s="101">
        <v>1092</v>
      </c>
      <c r="M237" s="101">
        <v>245</v>
      </c>
      <c r="N237" s="101">
        <v>948</v>
      </c>
      <c r="O237" s="101">
        <v>266</v>
      </c>
      <c r="P237" s="101">
        <v>7863600826.7525253</v>
      </c>
      <c r="Q237" s="101">
        <v>1741867840.6496</v>
      </c>
      <c r="R237" s="101">
        <v>1741867840.6496</v>
      </c>
      <c r="S237" s="101">
        <f t="shared" si="19"/>
        <v>18099001.730342507</v>
      </c>
      <c r="T237" s="101">
        <f t="shared" si="16"/>
        <v>3182001.7303425074</v>
      </c>
      <c r="U237" s="101">
        <f t="shared" si="17"/>
        <v>3182001.7303425074</v>
      </c>
      <c r="V237" s="101">
        <v>163377</v>
      </c>
      <c r="W237" s="149">
        <f t="shared" si="18"/>
        <v>1.9476436281376859E-2</v>
      </c>
    </row>
    <row r="238" spans="1:23" x14ac:dyDescent="0.25">
      <c r="A238" t="s">
        <v>518</v>
      </c>
      <c r="B238" t="s">
        <v>155</v>
      </c>
      <c r="C238" s="101">
        <f t="shared" si="15"/>
        <v>8996</v>
      </c>
      <c r="D238" s="101">
        <v>4864</v>
      </c>
      <c r="E238" s="101">
        <v>4132</v>
      </c>
      <c r="F238" s="101">
        <v>1</v>
      </c>
      <c r="G238" s="101">
        <v>18</v>
      </c>
      <c r="H238" s="101">
        <v>485</v>
      </c>
      <c r="I238" s="101">
        <v>458</v>
      </c>
      <c r="J238" s="101">
        <v>3367</v>
      </c>
      <c r="K238" s="101">
        <v>3118</v>
      </c>
      <c r="L238" s="101">
        <v>584</v>
      </c>
      <c r="M238" s="101">
        <v>705</v>
      </c>
      <c r="N238" s="101">
        <v>1036</v>
      </c>
      <c r="O238" s="101">
        <v>89</v>
      </c>
      <c r="P238" s="101">
        <v>6124846914.3885508</v>
      </c>
      <c r="Q238" s="101">
        <v>967590708.89872098</v>
      </c>
      <c r="R238" s="101">
        <v>915938139.34334517</v>
      </c>
      <c r="S238" s="101">
        <f t="shared" si="19"/>
        <v>12690973.49295501</v>
      </c>
      <c r="T238" s="101">
        <f t="shared" si="16"/>
        <v>3694973.4929550104</v>
      </c>
      <c r="U238" s="101">
        <f t="shared" si="17"/>
        <v>3694973.4929550104</v>
      </c>
      <c r="V238" s="101">
        <v>120192</v>
      </c>
      <c r="W238" s="149">
        <f t="shared" si="18"/>
        <v>3.0742258161566581E-2</v>
      </c>
    </row>
    <row r="239" spans="1:23" x14ac:dyDescent="0.25">
      <c r="A239" t="s">
        <v>517</v>
      </c>
      <c r="B239" t="s">
        <v>726</v>
      </c>
      <c r="C239" s="101">
        <f t="shared" si="15"/>
        <v>15659</v>
      </c>
      <c r="D239" s="101">
        <v>8219</v>
      </c>
      <c r="E239" s="101">
        <v>7440</v>
      </c>
      <c r="F239" s="101">
        <v>7003</v>
      </c>
      <c r="G239" s="101">
        <v>25</v>
      </c>
      <c r="H239" s="101">
        <v>328</v>
      </c>
      <c r="I239" s="101">
        <v>109</v>
      </c>
      <c r="J239" s="101">
        <v>6051</v>
      </c>
      <c r="K239" s="101">
        <v>13209</v>
      </c>
      <c r="L239" s="101">
        <v>1396</v>
      </c>
      <c r="M239" s="101">
        <v>0</v>
      </c>
      <c r="N239" s="101">
        <v>3323</v>
      </c>
      <c r="O239" s="101">
        <v>191</v>
      </c>
      <c r="P239" s="101">
        <v>10838197868.650003</v>
      </c>
      <c r="Q239" s="101">
        <v>1256026839.8812149</v>
      </c>
      <c r="R239" s="101">
        <v>1248864161.3645806</v>
      </c>
      <c r="S239" s="101">
        <f t="shared" si="19"/>
        <v>21270802.275249768</v>
      </c>
      <c r="T239" s="101">
        <f t="shared" si="16"/>
        <v>5611802.275249768</v>
      </c>
      <c r="U239" s="101">
        <f t="shared" si="17"/>
        <v>5611802.275249768</v>
      </c>
      <c r="V239" s="101">
        <v>268864</v>
      </c>
      <c r="W239" s="149">
        <f t="shared" si="18"/>
        <v>2.0872271018990151E-2</v>
      </c>
    </row>
    <row r="240" spans="1:23" x14ac:dyDescent="0.25">
      <c r="A240" t="s">
        <v>522</v>
      </c>
      <c r="B240" t="s">
        <v>416</v>
      </c>
      <c r="C240" s="101">
        <f t="shared" si="15"/>
        <v>4866</v>
      </c>
      <c r="D240" s="101">
        <v>3794</v>
      </c>
      <c r="E240" s="101">
        <v>1072</v>
      </c>
      <c r="F240" s="101">
        <v>0</v>
      </c>
      <c r="G240" s="101">
        <v>0</v>
      </c>
      <c r="H240" s="101">
        <v>781</v>
      </c>
      <c r="I240" s="101">
        <v>33</v>
      </c>
      <c r="J240" s="101">
        <v>2566</v>
      </c>
      <c r="K240" s="101">
        <v>3221</v>
      </c>
      <c r="L240" s="101">
        <v>361</v>
      </c>
      <c r="M240" s="101">
        <v>80</v>
      </c>
      <c r="N240" s="101">
        <v>732</v>
      </c>
      <c r="O240" s="101">
        <v>3</v>
      </c>
      <c r="P240" s="101">
        <v>3103200007.1535029</v>
      </c>
      <c r="Q240" s="101">
        <v>261842728.83517185</v>
      </c>
      <c r="R240" s="101">
        <v>234737915.10809347</v>
      </c>
      <c r="S240" s="101">
        <f t="shared" si="19"/>
        <v>5698417.9606046546</v>
      </c>
      <c r="T240" s="101">
        <f t="shared" si="16"/>
        <v>832417.96060465463</v>
      </c>
      <c r="U240" s="101">
        <f t="shared" si="17"/>
        <v>832417.96060465463</v>
      </c>
      <c r="V240" s="101">
        <v>70802</v>
      </c>
      <c r="W240" s="149">
        <f t="shared" si="18"/>
        <v>1.1756983709565473E-2</v>
      </c>
    </row>
    <row r="241" spans="1:23" x14ac:dyDescent="0.25">
      <c r="A241" t="s">
        <v>522</v>
      </c>
      <c r="B241" t="s">
        <v>417</v>
      </c>
      <c r="C241" s="101">
        <f t="shared" si="15"/>
        <v>19403</v>
      </c>
      <c r="D241" s="101">
        <v>10678</v>
      </c>
      <c r="E241" s="101">
        <v>8725</v>
      </c>
      <c r="F241" s="101">
        <v>3743</v>
      </c>
      <c r="G241" s="101">
        <v>306</v>
      </c>
      <c r="H241" s="101">
        <v>1303</v>
      </c>
      <c r="I241" s="101">
        <v>764</v>
      </c>
      <c r="J241" s="101">
        <v>6240</v>
      </c>
      <c r="K241" s="101">
        <v>8773</v>
      </c>
      <c r="L241" s="101">
        <v>971</v>
      </c>
      <c r="M241" s="101">
        <v>272</v>
      </c>
      <c r="N241" s="101">
        <v>1606</v>
      </c>
      <c r="O241" s="101">
        <v>823</v>
      </c>
      <c r="P241" s="101">
        <v>9023118619.1828594</v>
      </c>
      <c r="Q241" s="101">
        <v>2077353836.9696643</v>
      </c>
      <c r="R241" s="101">
        <v>2049730811.3118551</v>
      </c>
      <c r="S241" s="101">
        <f t="shared" si="19"/>
        <v>20930515.485681482</v>
      </c>
      <c r="T241" s="101">
        <f t="shared" si="16"/>
        <v>1527515.4856814817</v>
      </c>
      <c r="U241" s="101">
        <f t="shared" si="17"/>
        <v>1527515.4856814817</v>
      </c>
      <c r="V241" s="101">
        <v>259526</v>
      </c>
      <c r="W241" s="149">
        <f t="shared" si="18"/>
        <v>5.8857898078862299E-3</v>
      </c>
    </row>
    <row r="242" spans="1:23" x14ac:dyDescent="0.25">
      <c r="A242" t="s">
        <v>513</v>
      </c>
      <c r="B242" t="s">
        <v>383</v>
      </c>
      <c r="C242" s="101">
        <f t="shared" si="15"/>
        <v>17227</v>
      </c>
      <c r="D242" s="101">
        <v>9690</v>
      </c>
      <c r="E242" s="101">
        <v>7537</v>
      </c>
      <c r="F242" s="101">
        <v>3080</v>
      </c>
      <c r="G242" s="101">
        <v>126</v>
      </c>
      <c r="H242" s="101">
        <v>255</v>
      </c>
      <c r="I242" s="101">
        <v>618</v>
      </c>
      <c r="J242" s="101">
        <v>14270</v>
      </c>
      <c r="K242" s="101">
        <v>11080</v>
      </c>
      <c r="L242" s="101">
        <v>1639</v>
      </c>
      <c r="M242" s="101">
        <v>0</v>
      </c>
      <c r="N242" s="101">
        <v>1736</v>
      </c>
      <c r="O242" s="101">
        <v>699</v>
      </c>
      <c r="P242" s="101">
        <v>11131998138.869051</v>
      </c>
      <c r="Q242" s="101">
        <v>2213389317.1848116</v>
      </c>
      <c r="R242" s="101">
        <v>2100341237.8924978</v>
      </c>
      <c r="S242" s="101">
        <f t="shared" si="19"/>
        <v>24455625.580373205</v>
      </c>
      <c r="T242" s="101">
        <f t="shared" si="16"/>
        <v>7228625.5803732052</v>
      </c>
      <c r="U242" s="101">
        <f t="shared" si="17"/>
        <v>7228625.5803732052</v>
      </c>
      <c r="V242" s="101">
        <v>335393</v>
      </c>
      <c r="W242" s="149">
        <f t="shared" si="18"/>
        <v>2.1552702591804855E-2</v>
      </c>
    </row>
    <row r="243" spans="1:23" x14ac:dyDescent="0.25">
      <c r="A243" t="s">
        <v>517</v>
      </c>
      <c r="B243" t="s">
        <v>314</v>
      </c>
      <c r="C243" s="101">
        <f t="shared" si="15"/>
        <v>360572</v>
      </c>
      <c r="D243" s="101">
        <v>76968</v>
      </c>
      <c r="E243" s="101">
        <v>283604</v>
      </c>
      <c r="F243" s="101">
        <v>235823</v>
      </c>
      <c r="G243" s="101">
        <v>12184</v>
      </c>
      <c r="H243" s="101">
        <v>16423</v>
      </c>
      <c r="I243" s="101">
        <v>3701</v>
      </c>
      <c r="J243" s="101">
        <v>113502</v>
      </c>
      <c r="K243" s="101">
        <v>135496</v>
      </c>
      <c r="L243" s="101">
        <v>17555</v>
      </c>
      <c r="M243" s="101">
        <v>5603</v>
      </c>
      <c r="N243" s="101">
        <v>25434</v>
      </c>
      <c r="O243" s="101">
        <v>12521</v>
      </c>
      <c r="P243" s="101">
        <v>116036469000.64113</v>
      </c>
      <c r="Q243" s="101">
        <v>29099318888.127495</v>
      </c>
      <c r="R243" s="101">
        <v>29099318888.127495</v>
      </c>
      <c r="S243" s="101">
        <f t="shared" si="19"/>
        <v>277904995.30914932</v>
      </c>
      <c r="T243" s="101">
        <f t="shared" si="16"/>
        <v>-82667004.690850675</v>
      </c>
      <c r="U243" s="101">
        <f t="shared" si="17"/>
        <v>0</v>
      </c>
      <c r="V243" s="101">
        <v>4734597</v>
      </c>
      <c r="W243" s="149">
        <f t="shared" si="18"/>
        <v>-1.7460198764720773E-2</v>
      </c>
    </row>
    <row r="244" spans="1:23" x14ac:dyDescent="0.25">
      <c r="A244" t="s">
        <v>515</v>
      </c>
      <c r="B244" t="s">
        <v>200</v>
      </c>
      <c r="C244" s="101">
        <f t="shared" si="15"/>
        <v>580</v>
      </c>
      <c r="D244" s="101">
        <v>512</v>
      </c>
      <c r="E244" s="101">
        <v>68</v>
      </c>
      <c r="F244" s="101">
        <v>0</v>
      </c>
      <c r="G244" s="101">
        <v>0</v>
      </c>
      <c r="H244" s="101">
        <v>0</v>
      </c>
      <c r="I244" s="101">
        <v>0</v>
      </c>
      <c r="J244" s="101">
        <v>160</v>
      </c>
      <c r="K244" s="101">
        <v>231</v>
      </c>
      <c r="L244" s="101">
        <v>58</v>
      </c>
      <c r="M244" s="101">
        <v>76</v>
      </c>
      <c r="N244" s="101">
        <v>25</v>
      </c>
      <c r="O244" s="101">
        <v>1</v>
      </c>
      <c r="P244" s="101">
        <v>570871699.42918205</v>
      </c>
      <c r="Q244" s="101">
        <v>23524932.668784969</v>
      </c>
      <c r="R244" s="101">
        <v>23524932.668784969</v>
      </c>
      <c r="S244" s="101">
        <f t="shared" si="19"/>
        <v>985584.89580296946</v>
      </c>
      <c r="T244" s="101">
        <f t="shared" si="16"/>
        <v>405584.89580296946</v>
      </c>
      <c r="U244" s="101">
        <f t="shared" si="17"/>
        <v>405584.89580296946</v>
      </c>
      <c r="V244" s="101">
        <v>10240</v>
      </c>
      <c r="W244" s="149">
        <f t="shared" si="18"/>
        <v>3.9607899980758733E-2</v>
      </c>
    </row>
    <row r="245" spans="1:23" x14ac:dyDescent="0.25">
      <c r="A245" t="s">
        <v>522</v>
      </c>
      <c r="B245" t="s">
        <v>384</v>
      </c>
      <c r="C245" s="101">
        <f t="shared" si="15"/>
        <v>4165</v>
      </c>
      <c r="D245" s="101">
        <v>2993</v>
      </c>
      <c r="E245" s="101">
        <v>1172</v>
      </c>
      <c r="F245" s="101">
        <v>0</v>
      </c>
      <c r="G245" s="101">
        <v>0</v>
      </c>
      <c r="H245" s="101">
        <v>116</v>
      </c>
      <c r="I245" s="101">
        <v>20</v>
      </c>
      <c r="J245" s="101">
        <v>2851</v>
      </c>
      <c r="K245" s="101">
        <v>3038</v>
      </c>
      <c r="L245" s="101">
        <v>463</v>
      </c>
      <c r="M245" s="101">
        <v>27</v>
      </c>
      <c r="N245" s="101">
        <v>620</v>
      </c>
      <c r="O245" s="101">
        <v>33</v>
      </c>
      <c r="P245" s="101">
        <v>3859134510.2437935</v>
      </c>
      <c r="Q245" s="101">
        <v>504251817.63960826</v>
      </c>
      <c r="R245" s="101">
        <v>438724677.88542563</v>
      </c>
      <c r="S245" s="101">
        <f t="shared" si="19"/>
        <v>7554851.2662933581</v>
      </c>
      <c r="T245" s="101">
        <f t="shared" si="16"/>
        <v>3389851.2662933581</v>
      </c>
      <c r="U245" s="101">
        <f t="shared" si="17"/>
        <v>3389851.2662933581</v>
      </c>
      <c r="V245" s="101">
        <v>78383</v>
      </c>
      <c r="W245" s="149">
        <f t="shared" si="18"/>
        <v>4.3247276402961839E-2</v>
      </c>
    </row>
    <row r="246" spans="1:23" x14ac:dyDescent="0.25">
      <c r="A246" t="s">
        <v>514</v>
      </c>
      <c r="B246" t="s">
        <v>269</v>
      </c>
      <c r="C246" s="101">
        <f t="shared" si="15"/>
        <v>13771</v>
      </c>
      <c r="D246" s="101">
        <v>9634</v>
      </c>
      <c r="E246" s="101">
        <v>4137</v>
      </c>
      <c r="F246" s="101">
        <v>7</v>
      </c>
      <c r="G246" s="101">
        <v>135</v>
      </c>
      <c r="H246" s="101">
        <v>2800</v>
      </c>
      <c r="I246" s="101">
        <v>2202</v>
      </c>
      <c r="J246" s="101">
        <v>5910</v>
      </c>
      <c r="K246" s="101">
        <v>7811</v>
      </c>
      <c r="L246" s="101">
        <v>874</v>
      </c>
      <c r="M246" s="101">
        <v>288</v>
      </c>
      <c r="N246" s="101">
        <v>1735</v>
      </c>
      <c r="O246" s="101">
        <v>232</v>
      </c>
      <c r="P246" s="101">
        <v>8524390046.6046181</v>
      </c>
      <c r="Q246" s="101">
        <v>1002366696.3221422</v>
      </c>
      <c r="R246" s="101">
        <v>921052255.14090729</v>
      </c>
      <c r="S246" s="101">
        <f t="shared" si="19"/>
        <v>16534558.818233861</v>
      </c>
      <c r="T246" s="101">
        <f t="shared" si="16"/>
        <v>2763558.8182338607</v>
      </c>
      <c r="U246" s="101">
        <f t="shared" si="17"/>
        <v>2763558.8182338607</v>
      </c>
      <c r="V246" s="101">
        <v>156268</v>
      </c>
      <c r="W246" s="149">
        <f t="shared" si="18"/>
        <v>1.7684739154746082E-2</v>
      </c>
    </row>
    <row r="247" spans="1:23" x14ac:dyDescent="0.25">
      <c r="A247" t="s">
        <v>515</v>
      </c>
      <c r="B247" t="s">
        <v>201</v>
      </c>
      <c r="C247" s="101">
        <f t="shared" si="15"/>
        <v>2528</v>
      </c>
      <c r="D247" s="101">
        <v>1757</v>
      </c>
      <c r="E247" s="101">
        <v>771</v>
      </c>
      <c r="F247" s="101">
        <v>0</v>
      </c>
      <c r="G247" s="101">
        <v>0</v>
      </c>
      <c r="H247" s="101">
        <v>161</v>
      </c>
      <c r="I247" s="101">
        <v>49</v>
      </c>
      <c r="J247" s="101">
        <v>1235</v>
      </c>
      <c r="K247" s="101">
        <v>1102</v>
      </c>
      <c r="L247" s="101">
        <v>162</v>
      </c>
      <c r="M247" s="101">
        <v>197</v>
      </c>
      <c r="N247" s="101">
        <v>653</v>
      </c>
      <c r="O247" s="101">
        <v>90</v>
      </c>
      <c r="P247" s="101">
        <v>1841218063.5435708</v>
      </c>
      <c r="Q247" s="101">
        <v>187176638.19076738</v>
      </c>
      <c r="R247" s="101">
        <v>175414171.85637489</v>
      </c>
      <c r="S247" s="101">
        <f t="shared" si="19"/>
        <v>3496314.0195738315</v>
      </c>
      <c r="T247" s="101">
        <f t="shared" si="16"/>
        <v>968314.01957383147</v>
      </c>
      <c r="U247" s="101">
        <f t="shared" si="17"/>
        <v>968314.01957383147</v>
      </c>
      <c r="V247" s="101">
        <v>34284</v>
      </c>
      <c r="W247" s="149">
        <f t="shared" si="18"/>
        <v>2.8243904432791723E-2</v>
      </c>
    </row>
    <row r="248" spans="1:23" x14ac:dyDescent="0.25">
      <c r="A248" t="s">
        <v>517</v>
      </c>
      <c r="B248" t="s">
        <v>315</v>
      </c>
      <c r="C248" s="101">
        <f t="shared" ref="C248:C310" si="20">SUM(D248:E248)</f>
        <v>18257</v>
      </c>
      <c r="D248" s="101">
        <v>9122</v>
      </c>
      <c r="E248" s="101">
        <v>9135</v>
      </c>
      <c r="F248" s="101">
        <v>4508</v>
      </c>
      <c r="G248" s="101">
        <v>168</v>
      </c>
      <c r="H248" s="101">
        <v>467</v>
      </c>
      <c r="I248" s="101">
        <v>0</v>
      </c>
      <c r="J248" s="101">
        <v>11102</v>
      </c>
      <c r="K248" s="101">
        <v>15342</v>
      </c>
      <c r="L248" s="101">
        <v>1787</v>
      </c>
      <c r="M248" s="101">
        <v>0</v>
      </c>
      <c r="N248" s="101">
        <v>1819</v>
      </c>
      <c r="O248" s="101">
        <v>1556</v>
      </c>
      <c r="P248" s="101">
        <v>11890023747.085455</v>
      </c>
      <c r="Q248" s="101">
        <v>1704023383.7476418</v>
      </c>
      <c r="R248" s="101">
        <v>1668725391.1092184</v>
      </c>
      <c r="S248" s="101">
        <f t="shared" si="19"/>
        <v>24287821.874239709</v>
      </c>
      <c r="T248" s="101">
        <f t="shared" si="16"/>
        <v>6030821.8742397092</v>
      </c>
      <c r="U248" s="101">
        <f t="shared" si="17"/>
        <v>6030821.8742397092</v>
      </c>
      <c r="V248" s="101">
        <v>390198</v>
      </c>
      <c r="W248" s="149">
        <f t="shared" si="18"/>
        <v>1.5455799041101465E-2</v>
      </c>
    </row>
    <row r="249" spans="1:23" x14ac:dyDescent="0.25">
      <c r="A249" t="s">
        <v>516</v>
      </c>
      <c r="B249" t="s">
        <v>133</v>
      </c>
      <c r="C249" s="101">
        <f t="shared" si="20"/>
        <v>776</v>
      </c>
      <c r="D249" s="101">
        <v>550</v>
      </c>
      <c r="E249" s="101">
        <v>226</v>
      </c>
      <c r="F249" s="101">
        <v>0</v>
      </c>
      <c r="G249" s="101">
        <v>0</v>
      </c>
      <c r="H249" s="101">
        <v>2364</v>
      </c>
      <c r="I249" s="101">
        <v>391</v>
      </c>
      <c r="J249" s="101">
        <v>224</v>
      </c>
      <c r="K249" s="101">
        <v>383</v>
      </c>
      <c r="L249" s="101">
        <v>32</v>
      </c>
      <c r="M249" s="101">
        <v>42</v>
      </c>
      <c r="N249" s="101">
        <v>112</v>
      </c>
      <c r="O249" s="101">
        <v>69</v>
      </c>
      <c r="P249" s="101">
        <v>553097305.85721123</v>
      </c>
      <c r="Q249" s="101">
        <v>61369389.570743404</v>
      </c>
      <c r="R249" s="101">
        <v>61369389.570743404</v>
      </c>
      <c r="S249" s="101">
        <f t="shared" si="19"/>
        <v>1077958.5555729235</v>
      </c>
      <c r="T249" s="101">
        <f t="shared" si="16"/>
        <v>301958.55557292351</v>
      </c>
      <c r="U249" s="101">
        <f t="shared" si="17"/>
        <v>301958.55557292351</v>
      </c>
      <c r="V249" s="101">
        <v>12876</v>
      </c>
      <c r="W249" s="149">
        <f t="shared" si="18"/>
        <v>2.3451270237101855E-2</v>
      </c>
    </row>
    <row r="250" spans="1:23" x14ac:dyDescent="0.25">
      <c r="A250" t="s">
        <v>524</v>
      </c>
      <c r="B250" t="s">
        <v>335</v>
      </c>
      <c r="C250" s="101">
        <f t="shared" si="20"/>
        <v>12099</v>
      </c>
      <c r="D250" s="101">
        <v>8279</v>
      </c>
      <c r="E250" s="101">
        <v>3820</v>
      </c>
      <c r="F250" s="101">
        <v>2424</v>
      </c>
      <c r="G250" s="101">
        <v>163</v>
      </c>
      <c r="H250" s="101">
        <v>10403</v>
      </c>
      <c r="I250" s="101">
        <v>3952</v>
      </c>
      <c r="J250" s="101">
        <v>7566</v>
      </c>
      <c r="K250" s="101">
        <v>5020</v>
      </c>
      <c r="L250" s="101">
        <v>610</v>
      </c>
      <c r="M250" s="101">
        <v>585</v>
      </c>
      <c r="N250" s="101">
        <v>2124</v>
      </c>
      <c r="O250" s="101">
        <v>1236</v>
      </c>
      <c r="P250" s="101">
        <v>7945153926.6709795</v>
      </c>
      <c r="Q250" s="101">
        <v>1164995578.6846123</v>
      </c>
      <c r="R250" s="101">
        <v>1004923754.2209233</v>
      </c>
      <c r="S250" s="101">
        <f t="shared" si="19"/>
        <v>15878227.289004957</v>
      </c>
      <c r="T250" s="101">
        <f t="shared" si="16"/>
        <v>3779227.2890049573</v>
      </c>
      <c r="U250" s="101">
        <f t="shared" si="17"/>
        <v>3779227.2890049573</v>
      </c>
      <c r="V250" s="101">
        <v>164190</v>
      </c>
      <c r="W250" s="149">
        <f t="shared" si="18"/>
        <v>2.301740233269357E-2</v>
      </c>
    </row>
    <row r="251" spans="1:23" x14ac:dyDescent="0.25">
      <c r="A251" t="s">
        <v>517</v>
      </c>
      <c r="B251" t="s">
        <v>441</v>
      </c>
      <c r="C251" s="101">
        <f t="shared" si="20"/>
        <v>151911</v>
      </c>
      <c r="D251" s="101">
        <v>55664</v>
      </c>
      <c r="E251" s="101">
        <v>96247</v>
      </c>
      <c r="F251" s="101">
        <v>113683</v>
      </c>
      <c r="G251" s="101">
        <v>160</v>
      </c>
      <c r="H251" s="101">
        <v>17269</v>
      </c>
      <c r="I251" s="101">
        <v>1050</v>
      </c>
      <c r="J251" s="101">
        <v>56670</v>
      </c>
      <c r="K251" s="101">
        <v>116520</v>
      </c>
      <c r="L251" s="101">
        <v>14483</v>
      </c>
      <c r="M251" s="101">
        <v>2724</v>
      </c>
      <c r="N251" s="101">
        <v>31331</v>
      </c>
      <c r="O251" s="101">
        <v>5448</v>
      </c>
      <c r="P251" s="101">
        <v>104908653072.02431</v>
      </c>
      <c r="Q251" s="101">
        <v>17410495821.219902</v>
      </c>
      <c r="R251" s="101">
        <v>17304119087.946873</v>
      </c>
      <c r="S251" s="101">
        <f t="shared" si="19"/>
        <v>222529441.54042932</v>
      </c>
      <c r="T251" s="101">
        <f t="shared" ref="T251:T312" si="21">SUM(S251,-C251*1000)</f>
        <v>70618441.540429324</v>
      </c>
      <c r="U251" s="101">
        <f t="shared" ref="U251:U312" si="22">IF(T251&lt;0,0,T251)</f>
        <v>70618441.540429324</v>
      </c>
      <c r="V251" s="101">
        <v>3157487</v>
      </c>
      <c r="W251" s="149">
        <f t="shared" si="18"/>
        <v>2.2365394232954663E-2</v>
      </c>
    </row>
    <row r="252" spans="1:23" x14ac:dyDescent="0.25">
      <c r="A252" t="s">
        <v>513</v>
      </c>
      <c r="B252" t="s">
        <v>476</v>
      </c>
      <c r="C252" s="101">
        <f t="shared" si="20"/>
        <v>58013</v>
      </c>
      <c r="D252" s="101">
        <v>24338</v>
      </c>
      <c r="E252" s="101">
        <v>33675</v>
      </c>
      <c r="F252" s="101">
        <v>25294</v>
      </c>
      <c r="G252" s="101">
        <v>600</v>
      </c>
      <c r="H252" s="101">
        <v>2784</v>
      </c>
      <c r="I252" s="101">
        <v>1235</v>
      </c>
      <c r="J252" s="101">
        <v>13692</v>
      </c>
      <c r="K252" s="101">
        <v>21379</v>
      </c>
      <c r="L252" s="101">
        <v>3911</v>
      </c>
      <c r="M252" s="101">
        <v>160</v>
      </c>
      <c r="N252" s="101">
        <v>4467</v>
      </c>
      <c r="O252" s="101">
        <v>2211</v>
      </c>
      <c r="P252" s="101">
        <v>32242749939.555161</v>
      </c>
      <c r="Q252" s="101">
        <v>5460852848.636651</v>
      </c>
      <c r="R252" s="101">
        <v>5372370358.9097481</v>
      </c>
      <c r="S252" s="101">
        <f t="shared" si="19"/>
        <v>68565047.598512575</v>
      </c>
      <c r="T252" s="101">
        <f t="shared" si="21"/>
        <v>10552047.598512575</v>
      </c>
      <c r="U252" s="101">
        <f t="shared" si="22"/>
        <v>10552047.598512575</v>
      </c>
      <c r="V252" s="101">
        <v>862891</v>
      </c>
      <c r="W252" s="149">
        <f t="shared" ref="W252:W313" si="23">T252/(V252*1000)</f>
        <v>1.2228714401370017E-2</v>
      </c>
    </row>
    <row r="253" spans="1:23" x14ac:dyDescent="0.25">
      <c r="A253" t="s">
        <v>522</v>
      </c>
      <c r="B253" t="s">
        <v>418</v>
      </c>
      <c r="C253" s="101">
        <f t="shared" si="20"/>
        <v>2458</v>
      </c>
      <c r="D253" s="101">
        <v>2042</v>
      </c>
      <c r="E253" s="101">
        <v>416</v>
      </c>
      <c r="F253" s="101">
        <v>2</v>
      </c>
      <c r="G253" s="101">
        <v>0</v>
      </c>
      <c r="H253" s="101">
        <v>116</v>
      </c>
      <c r="I253" s="101">
        <v>20</v>
      </c>
      <c r="J253" s="101">
        <v>1790</v>
      </c>
      <c r="K253" s="101">
        <v>1475</v>
      </c>
      <c r="L253" s="101">
        <v>183</v>
      </c>
      <c r="M253" s="101">
        <v>30</v>
      </c>
      <c r="N253" s="101">
        <v>35</v>
      </c>
      <c r="O253" s="101">
        <v>9</v>
      </c>
      <c r="P253" s="101">
        <v>1347717253.7806149</v>
      </c>
      <c r="Q253" s="101">
        <v>104327962.27026378</v>
      </c>
      <c r="R253" s="101">
        <v>91542672.776358902</v>
      </c>
      <c r="S253" s="101">
        <f t="shared" si="19"/>
        <v>2441630.1459366656</v>
      </c>
      <c r="T253" s="101">
        <f t="shared" si="21"/>
        <v>-16369.854063334409</v>
      </c>
      <c r="U253" s="101">
        <f t="shared" si="22"/>
        <v>0</v>
      </c>
      <c r="V253" s="101">
        <v>33620</v>
      </c>
      <c r="W253" s="149">
        <f t="shared" si="23"/>
        <v>-4.8690821128299851E-4</v>
      </c>
    </row>
    <row r="254" spans="1:23" x14ac:dyDescent="0.25">
      <c r="A254" t="s">
        <v>513</v>
      </c>
      <c r="B254" t="s">
        <v>385</v>
      </c>
      <c r="C254" s="101">
        <f t="shared" si="20"/>
        <v>9258</v>
      </c>
      <c r="D254" s="101">
        <v>7458</v>
      </c>
      <c r="E254" s="101">
        <v>1800</v>
      </c>
      <c r="F254" s="101">
        <v>0</v>
      </c>
      <c r="G254" s="101">
        <v>0</v>
      </c>
      <c r="H254" s="101">
        <v>170</v>
      </c>
      <c r="I254" s="101">
        <v>47</v>
      </c>
      <c r="J254" s="101">
        <v>2041</v>
      </c>
      <c r="K254" s="101">
        <v>3607</v>
      </c>
      <c r="L254" s="101">
        <v>637</v>
      </c>
      <c r="M254" s="101">
        <v>4</v>
      </c>
      <c r="N254" s="101">
        <v>632</v>
      </c>
      <c r="O254" s="101">
        <v>116</v>
      </c>
      <c r="P254" s="101">
        <v>6060022655.4790096</v>
      </c>
      <c r="Q254" s="101">
        <v>374353276.38153476</v>
      </c>
      <c r="R254" s="101">
        <v>341111523.69738209</v>
      </c>
      <c r="S254" s="101">
        <f t="shared" si="19"/>
        <v>10753881.89608367</v>
      </c>
      <c r="T254" s="101">
        <f t="shared" si="21"/>
        <v>1495881.8960836697</v>
      </c>
      <c r="U254" s="101">
        <f t="shared" si="22"/>
        <v>1495881.8960836697</v>
      </c>
      <c r="V254" s="101">
        <v>86342</v>
      </c>
      <c r="W254" s="149">
        <f t="shared" si="23"/>
        <v>1.7325078132121908E-2</v>
      </c>
    </row>
    <row r="255" spans="1:23" x14ac:dyDescent="0.25">
      <c r="A255" t="s">
        <v>522</v>
      </c>
      <c r="B255" t="s">
        <v>419</v>
      </c>
      <c r="C255" s="101">
        <f t="shared" si="20"/>
        <v>62671</v>
      </c>
      <c r="D255" s="101">
        <v>20916</v>
      </c>
      <c r="E255" s="101">
        <v>41755</v>
      </c>
      <c r="F255" s="101">
        <v>5469</v>
      </c>
      <c r="G255" s="101">
        <v>67</v>
      </c>
      <c r="H255" s="101">
        <v>526</v>
      </c>
      <c r="I255" s="101">
        <v>664</v>
      </c>
      <c r="J255" s="101">
        <v>11342</v>
      </c>
      <c r="K255" s="101">
        <v>14546</v>
      </c>
      <c r="L255" s="101">
        <v>1923</v>
      </c>
      <c r="M255" s="101">
        <v>506</v>
      </c>
      <c r="N255" s="101">
        <v>2152</v>
      </c>
      <c r="O255" s="101">
        <v>619</v>
      </c>
      <c r="P255" s="101">
        <v>12328110271.006386</v>
      </c>
      <c r="Q255" s="101">
        <v>3293490573.6298957</v>
      </c>
      <c r="R255" s="101">
        <v>3222393324.0982056</v>
      </c>
      <c r="S255" s="101">
        <f t="shared" si="19"/>
        <v>29942770.586128462</v>
      </c>
      <c r="T255" s="101">
        <f t="shared" si="21"/>
        <v>-32728229.413871538</v>
      </c>
      <c r="U255" s="101">
        <f t="shared" si="22"/>
        <v>0</v>
      </c>
      <c r="V255" s="101">
        <v>456415</v>
      </c>
      <c r="W255" s="149">
        <f t="shared" si="23"/>
        <v>-7.1707173107526126E-2</v>
      </c>
    </row>
    <row r="256" spans="1:23" x14ac:dyDescent="0.25">
      <c r="A256" t="s">
        <v>517</v>
      </c>
      <c r="B256" t="s">
        <v>316</v>
      </c>
      <c r="C256" s="101">
        <f t="shared" si="20"/>
        <v>5503</v>
      </c>
      <c r="D256" s="101">
        <v>2738</v>
      </c>
      <c r="E256" s="101">
        <v>2765</v>
      </c>
      <c r="F256" s="101">
        <v>0</v>
      </c>
      <c r="G256" s="101">
        <v>0</v>
      </c>
      <c r="H256" s="101">
        <v>0</v>
      </c>
      <c r="I256" s="101">
        <v>253</v>
      </c>
      <c r="J256" s="101">
        <v>3831</v>
      </c>
      <c r="K256" s="101">
        <v>4096</v>
      </c>
      <c r="L256" s="101">
        <v>537</v>
      </c>
      <c r="M256" s="101">
        <v>602</v>
      </c>
      <c r="N256" s="101">
        <v>611</v>
      </c>
      <c r="O256" s="101">
        <v>230</v>
      </c>
      <c r="P256" s="101">
        <v>3758761464.190311</v>
      </c>
      <c r="Q256" s="101">
        <v>711884919.02062345</v>
      </c>
      <c r="R256" s="101">
        <v>683245870.55427647</v>
      </c>
      <c r="S256" s="101">
        <f t="shared" si="19"/>
        <v>8174778.8624516875</v>
      </c>
      <c r="T256" s="101">
        <f t="shared" si="21"/>
        <v>2671778.8624516875</v>
      </c>
      <c r="U256" s="101">
        <f t="shared" si="22"/>
        <v>2671778.8624516875</v>
      </c>
      <c r="V256" s="101">
        <v>97082</v>
      </c>
      <c r="W256" s="149">
        <f t="shared" si="23"/>
        <v>2.7520846938172756E-2</v>
      </c>
    </row>
    <row r="257" spans="1:23" x14ac:dyDescent="0.25">
      <c r="A257" t="s">
        <v>524</v>
      </c>
      <c r="B257" t="s">
        <v>336</v>
      </c>
      <c r="C257" s="101">
        <f t="shared" si="20"/>
        <v>7874</v>
      </c>
      <c r="D257" s="101">
        <v>5226</v>
      </c>
      <c r="E257" s="101">
        <v>2648</v>
      </c>
      <c r="F257" s="101">
        <v>3991</v>
      </c>
      <c r="G257" s="101">
        <v>280</v>
      </c>
      <c r="H257" s="101">
        <v>8202</v>
      </c>
      <c r="I257" s="101">
        <v>5882</v>
      </c>
      <c r="J257" s="101">
        <v>5230</v>
      </c>
      <c r="K257" s="101">
        <v>4562</v>
      </c>
      <c r="L257" s="101">
        <v>854</v>
      </c>
      <c r="M257" s="101">
        <v>238</v>
      </c>
      <c r="N257" s="101">
        <v>669</v>
      </c>
      <c r="O257" s="101">
        <v>123</v>
      </c>
      <c r="P257" s="101">
        <v>6882872522.6049557</v>
      </c>
      <c r="Q257" s="101">
        <v>728250089.57282174</v>
      </c>
      <c r="R257" s="101">
        <v>647447059.97134292</v>
      </c>
      <c r="S257" s="101">
        <f t="shared" si="19"/>
        <v>13043537.794863489</v>
      </c>
      <c r="T257" s="101">
        <f t="shared" si="21"/>
        <v>5169537.7948634885</v>
      </c>
      <c r="U257" s="101">
        <f t="shared" si="22"/>
        <v>5169537.7948634885</v>
      </c>
      <c r="V257" s="101">
        <v>105525</v>
      </c>
      <c r="W257" s="149">
        <f t="shared" si="23"/>
        <v>4.8988749536730526E-2</v>
      </c>
    </row>
    <row r="258" spans="1:23" x14ac:dyDescent="0.25">
      <c r="A258" t="s">
        <v>516</v>
      </c>
      <c r="B258" t="s">
        <v>134</v>
      </c>
      <c r="C258" s="101">
        <f t="shared" si="20"/>
        <v>17157</v>
      </c>
      <c r="D258" s="101">
        <v>8141</v>
      </c>
      <c r="E258" s="101">
        <v>9016</v>
      </c>
      <c r="F258" s="101">
        <v>3589</v>
      </c>
      <c r="G258" s="101">
        <v>0</v>
      </c>
      <c r="H258" s="101">
        <v>154</v>
      </c>
      <c r="I258" s="101">
        <v>427</v>
      </c>
      <c r="J258" s="101">
        <v>9003</v>
      </c>
      <c r="K258" s="101">
        <v>7319</v>
      </c>
      <c r="L258" s="101">
        <v>1024</v>
      </c>
      <c r="M258" s="101">
        <v>494</v>
      </c>
      <c r="N258" s="101">
        <v>1254</v>
      </c>
      <c r="O258" s="101">
        <v>342</v>
      </c>
      <c r="P258" s="101">
        <v>7809232093.4735556</v>
      </c>
      <c r="Q258" s="101">
        <v>1509686983.4402876</v>
      </c>
      <c r="R258" s="101">
        <v>1418655722.2436848</v>
      </c>
      <c r="S258" s="101">
        <f t="shared" si="19"/>
        <v>16981236.943047676</v>
      </c>
      <c r="T258" s="101">
        <f t="shared" si="21"/>
        <v>-175763.05695232376</v>
      </c>
      <c r="U258" s="101">
        <f t="shared" si="22"/>
        <v>0</v>
      </c>
      <c r="V258" s="101">
        <v>254607</v>
      </c>
      <c r="W258" s="149">
        <f t="shared" si="23"/>
        <v>-6.9033081161289263E-4</v>
      </c>
    </row>
    <row r="259" spans="1:23" x14ac:dyDescent="0.25">
      <c r="A259" t="s">
        <v>520</v>
      </c>
      <c r="B259" t="s">
        <v>227</v>
      </c>
      <c r="C259" s="101">
        <f t="shared" si="20"/>
        <v>11271</v>
      </c>
      <c r="D259" s="101">
        <v>6875</v>
      </c>
      <c r="E259" s="101">
        <v>4396</v>
      </c>
      <c r="F259" s="101">
        <v>12</v>
      </c>
      <c r="G259" s="101">
        <v>0</v>
      </c>
      <c r="H259" s="101">
        <v>0</v>
      </c>
      <c r="I259" s="101">
        <v>178</v>
      </c>
      <c r="J259" s="101">
        <v>5136</v>
      </c>
      <c r="K259" s="101">
        <v>6893</v>
      </c>
      <c r="L259" s="101">
        <v>852</v>
      </c>
      <c r="M259" s="101">
        <v>705</v>
      </c>
      <c r="N259" s="101">
        <v>1448</v>
      </c>
      <c r="O259" s="101">
        <v>144</v>
      </c>
      <c r="P259" s="101">
        <v>10165907570.60428</v>
      </c>
      <c r="Q259" s="101">
        <v>1137379353.3777776</v>
      </c>
      <c r="R259" s="101">
        <v>1126123237.4199228</v>
      </c>
      <c r="S259" s="101">
        <f t="shared" ref="S259:S322" si="24">SUM(P259,R259,R259)*0.1595%</f>
        <v>19806955.702483382</v>
      </c>
      <c r="T259" s="101">
        <f t="shared" si="21"/>
        <v>8535955.7024833821</v>
      </c>
      <c r="U259" s="101">
        <f t="shared" si="22"/>
        <v>8535955.7024833821</v>
      </c>
      <c r="V259" s="101">
        <v>153083</v>
      </c>
      <c r="W259" s="149">
        <f t="shared" si="23"/>
        <v>5.5760311089300456E-2</v>
      </c>
    </row>
    <row r="260" spans="1:23" x14ac:dyDescent="0.25">
      <c r="A260" t="s">
        <v>513</v>
      </c>
      <c r="B260" t="s">
        <v>386</v>
      </c>
      <c r="C260" s="101">
        <f t="shared" si="20"/>
        <v>5225</v>
      </c>
      <c r="D260" s="101">
        <v>3602</v>
      </c>
      <c r="E260" s="101">
        <v>1623</v>
      </c>
      <c r="F260" s="101">
        <v>0</v>
      </c>
      <c r="G260" s="101">
        <v>0</v>
      </c>
      <c r="H260" s="101">
        <v>479</v>
      </c>
      <c r="I260" s="101">
        <v>115</v>
      </c>
      <c r="J260" s="101">
        <v>2141</v>
      </c>
      <c r="K260" s="101">
        <v>2070</v>
      </c>
      <c r="L260" s="101">
        <v>476</v>
      </c>
      <c r="M260" s="101">
        <v>0</v>
      </c>
      <c r="N260" s="101">
        <v>857</v>
      </c>
      <c r="O260" s="101">
        <v>76</v>
      </c>
      <c r="P260" s="101">
        <v>3642705129.6909714</v>
      </c>
      <c r="Q260" s="101">
        <v>553347329.29620302</v>
      </c>
      <c r="R260" s="101">
        <v>500111323.51747495</v>
      </c>
      <c r="S260" s="101">
        <f t="shared" si="24"/>
        <v>7405469.8038778454</v>
      </c>
      <c r="T260" s="101">
        <f t="shared" si="21"/>
        <v>2180469.8038778454</v>
      </c>
      <c r="U260" s="101">
        <f t="shared" si="22"/>
        <v>2180469.8038778454</v>
      </c>
      <c r="V260" s="101">
        <v>60449</v>
      </c>
      <c r="W260" s="149">
        <f t="shared" si="23"/>
        <v>3.6071230357455797E-2</v>
      </c>
    </row>
    <row r="261" spans="1:23" x14ac:dyDescent="0.25">
      <c r="A261" t="s">
        <v>513</v>
      </c>
      <c r="B261" t="s">
        <v>387</v>
      </c>
      <c r="C261" s="101">
        <f t="shared" si="20"/>
        <v>6223</v>
      </c>
      <c r="D261" s="101">
        <v>3162</v>
      </c>
      <c r="E261" s="101">
        <v>3061</v>
      </c>
      <c r="F261" s="101">
        <v>0</v>
      </c>
      <c r="G261" s="101">
        <v>15</v>
      </c>
      <c r="H261" s="101">
        <v>0</v>
      </c>
      <c r="I261" s="101">
        <v>0</v>
      </c>
      <c r="J261" s="101">
        <v>1792</v>
      </c>
      <c r="K261" s="101">
        <v>2422</v>
      </c>
      <c r="L261" s="101">
        <v>287</v>
      </c>
      <c r="M261" s="101">
        <v>0</v>
      </c>
      <c r="N261" s="101">
        <v>733</v>
      </c>
      <c r="O261" s="101">
        <v>107</v>
      </c>
      <c r="P261" s="101">
        <v>3917685453.7749915</v>
      </c>
      <c r="Q261" s="101">
        <v>824395466.5669862</v>
      </c>
      <c r="R261" s="101">
        <v>824395466.5669862</v>
      </c>
      <c r="S261" s="101">
        <f t="shared" si="24"/>
        <v>8878529.8371197991</v>
      </c>
      <c r="T261" s="101">
        <f t="shared" si="21"/>
        <v>2655529.8371197991</v>
      </c>
      <c r="U261" s="101">
        <f t="shared" si="22"/>
        <v>2655529.8371197991</v>
      </c>
      <c r="V261" s="101">
        <v>52464</v>
      </c>
      <c r="W261" s="149">
        <f t="shared" si="23"/>
        <v>5.0616228978343225E-2</v>
      </c>
    </row>
    <row r="262" spans="1:23" x14ac:dyDescent="0.25">
      <c r="A262" t="s">
        <v>521</v>
      </c>
      <c r="B262" t="s">
        <v>123</v>
      </c>
      <c r="C262" s="101">
        <f t="shared" si="20"/>
        <v>8865</v>
      </c>
      <c r="D262" s="101">
        <v>5447</v>
      </c>
      <c r="E262" s="101">
        <v>3418</v>
      </c>
      <c r="F262" s="101">
        <v>0</v>
      </c>
      <c r="G262" s="101">
        <v>0</v>
      </c>
      <c r="H262" s="101">
        <v>173</v>
      </c>
      <c r="I262" s="101">
        <v>59</v>
      </c>
      <c r="J262" s="101">
        <v>3205</v>
      </c>
      <c r="K262" s="101">
        <v>3955</v>
      </c>
      <c r="L262" s="101">
        <v>666</v>
      </c>
      <c r="M262" s="101">
        <v>62</v>
      </c>
      <c r="N262" s="101">
        <v>453</v>
      </c>
      <c r="O262" s="101">
        <v>166</v>
      </c>
      <c r="P262" s="101">
        <v>3975190844.7431326</v>
      </c>
      <c r="Q262" s="101">
        <v>512434402.91570735</v>
      </c>
      <c r="R262" s="101">
        <v>449467937.82216889</v>
      </c>
      <c r="S262" s="101">
        <f t="shared" si="24"/>
        <v>7774232.1190180173</v>
      </c>
      <c r="T262" s="101">
        <f t="shared" si="21"/>
        <v>-1090767.8809819827</v>
      </c>
      <c r="U262" s="101">
        <f t="shared" si="22"/>
        <v>0</v>
      </c>
      <c r="V262" s="101">
        <v>152567</v>
      </c>
      <c r="W262" s="149">
        <f t="shared" si="23"/>
        <v>-7.1494352053981707E-3</v>
      </c>
    </row>
    <row r="263" spans="1:23" x14ac:dyDescent="0.25">
      <c r="A263" t="s">
        <v>518</v>
      </c>
      <c r="B263" t="s">
        <v>156</v>
      </c>
      <c r="C263" s="101">
        <f t="shared" si="20"/>
        <v>4755</v>
      </c>
      <c r="D263" s="101">
        <v>2403</v>
      </c>
      <c r="E263" s="101">
        <v>2352</v>
      </c>
      <c r="F263" s="101">
        <v>0</v>
      </c>
      <c r="G263" s="101">
        <v>0</v>
      </c>
      <c r="H263" s="101">
        <v>133</v>
      </c>
      <c r="I263" s="101">
        <v>151</v>
      </c>
      <c r="J263" s="101">
        <v>1601</v>
      </c>
      <c r="K263" s="101">
        <v>1552</v>
      </c>
      <c r="L263" s="101">
        <v>348</v>
      </c>
      <c r="M263" s="101">
        <v>393</v>
      </c>
      <c r="N263" s="101">
        <v>776</v>
      </c>
      <c r="O263" s="101">
        <v>73</v>
      </c>
      <c r="P263" s="101">
        <v>2260484641.3294721</v>
      </c>
      <c r="Q263" s="101">
        <v>595283078.83621097</v>
      </c>
      <c r="R263" s="101">
        <v>520105576.61205029</v>
      </c>
      <c r="S263" s="101">
        <f t="shared" si="24"/>
        <v>5264609.792312949</v>
      </c>
      <c r="T263" s="101">
        <f t="shared" si="21"/>
        <v>509609.79231294896</v>
      </c>
      <c r="U263" s="101">
        <f t="shared" si="22"/>
        <v>509609.79231294896</v>
      </c>
      <c r="V263" s="101">
        <v>59323</v>
      </c>
      <c r="W263" s="149">
        <f t="shared" si="23"/>
        <v>8.5904251692083839E-3</v>
      </c>
    </row>
    <row r="264" spans="1:23" x14ac:dyDescent="0.25">
      <c r="A264" t="s">
        <v>514</v>
      </c>
      <c r="B264" t="s">
        <v>270</v>
      </c>
      <c r="C264" s="101">
        <f t="shared" si="20"/>
        <v>5833</v>
      </c>
      <c r="D264" s="101">
        <v>4711</v>
      </c>
      <c r="E264" s="101">
        <v>1122</v>
      </c>
      <c r="F264" s="101">
        <v>0</v>
      </c>
      <c r="G264" s="101">
        <v>0</v>
      </c>
      <c r="H264" s="101">
        <v>86</v>
      </c>
      <c r="I264" s="101">
        <v>121</v>
      </c>
      <c r="J264" s="101">
        <v>1995</v>
      </c>
      <c r="K264" s="101">
        <v>3546</v>
      </c>
      <c r="L264" s="101">
        <v>402</v>
      </c>
      <c r="M264" s="101">
        <v>10</v>
      </c>
      <c r="N264" s="101">
        <v>346</v>
      </c>
      <c r="O264" s="101">
        <v>114</v>
      </c>
      <c r="P264" s="101">
        <v>3564288687.461688</v>
      </c>
      <c r="Q264" s="101">
        <v>309915417.33225417</v>
      </c>
      <c r="R264" s="101">
        <v>291504600.46103114</v>
      </c>
      <c r="S264" s="101">
        <f t="shared" si="24"/>
        <v>6614940.131972081</v>
      </c>
      <c r="T264" s="101">
        <f t="shared" si="21"/>
        <v>781940.13197208103</v>
      </c>
      <c r="U264" s="101">
        <f t="shared" si="22"/>
        <v>781940.13197208103</v>
      </c>
      <c r="V264" s="101">
        <v>69993</v>
      </c>
      <c r="W264" s="149">
        <f t="shared" si="23"/>
        <v>1.1171690482935166E-2</v>
      </c>
    </row>
    <row r="265" spans="1:23" x14ac:dyDescent="0.25">
      <c r="A265" t="s">
        <v>513</v>
      </c>
      <c r="B265" t="s">
        <v>388</v>
      </c>
      <c r="C265" s="101">
        <f t="shared" si="20"/>
        <v>6229</v>
      </c>
      <c r="D265" s="101">
        <v>3671</v>
      </c>
      <c r="E265" s="101">
        <v>2558</v>
      </c>
      <c r="F265" s="101">
        <v>0</v>
      </c>
      <c r="G265" s="101">
        <v>0</v>
      </c>
      <c r="H265" s="101">
        <v>176</v>
      </c>
      <c r="I265" s="101">
        <v>106</v>
      </c>
      <c r="J265" s="101">
        <v>2098</v>
      </c>
      <c r="K265" s="101">
        <v>4123</v>
      </c>
      <c r="L265" s="101">
        <v>426</v>
      </c>
      <c r="M265" s="101">
        <v>33</v>
      </c>
      <c r="N265" s="101">
        <v>657</v>
      </c>
      <c r="O265" s="101">
        <v>59</v>
      </c>
      <c r="P265" s="101">
        <v>3777581410.3253388</v>
      </c>
      <c r="Q265" s="101">
        <v>692451278.98988807</v>
      </c>
      <c r="R265" s="101">
        <v>619319423.0847522</v>
      </c>
      <c r="S265" s="101">
        <f t="shared" si="24"/>
        <v>8000871.3091092752</v>
      </c>
      <c r="T265" s="101">
        <f t="shared" si="21"/>
        <v>1771871.3091092752</v>
      </c>
      <c r="U265" s="101">
        <f t="shared" si="22"/>
        <v>1771871.3091092752</v>
      </c>
      <c r="V265" s="101">
        <v>78334</v>
      </c>
      <c r="W265" s="149">
        <f t="shared" si="23"/>
        <v>2.2619441227427109E-2</v>
      </c>
    </row>
    <row r="266" spans="1:23" x14ac:dyDescent="0.25">
      <c r="A266" t="s">
        <v>518</v>
      </c>
      <c r="B266" t="s">
        <v>157</v>
      </c>
      <c r="C266" s="101">
        <f t="shared" si="20"/>
        <v>8736</v>
      </c>
      <c r="D266" s="101">
        <v>5254</v>
      </c>
      <c r="E266" s="101">
        <v>3482</v>
      </c>
      <c r="F266" s="101">
        <v>11</v>
      </c>
      <c r="G266" s="101">
        <v>0</v>
      </c>
      <c r="H266" s="101">
        <v>1570</v>
      </c>
      <c r="I266" s="101">
        <v>1202</v>
      </c>
      <c r="J266" s="101">
        <v>5366</v>
      </c>
      <c r="K266" s="101">
        <v>4929</v>
      </c>
      <c r="L266" s="101">
        <v>848</v>
      </c>
      <c r="M266" s="101">
        <v>675</v>
      </c>
      <c r="N266" s="101">
        <v>1592</v>
      </c>
      <c r="O266" s="101">
        <v>621</v>
      </c>
      <c r="P266" s="101">
        <v>6935150150.7578115</v>
      </c>
      <c r="Q266" s="101">
        <v>1003389519.4816545</v>
      </c>
      <c r="R266" s="101">
        <v>888833325.61626685</v>
      </c>
      <c r="S266" s="101">
        <f t="shared" si="24"/>
        <v>13896942.799174601</v>
      </c>
      <c r="T266" s="101">
        <f t="shared" si="21"/>
        <v>5160942.7991746012</v>
      </c>
      <c r="U266" s="101">
        <f t="shared" si="22"/>
        <v>5160942.7991746012</v>
      </c>
      <c r="V266" s="101">
        <v>172507</v>
      </c>
      <c r="W266" s="149">
        <f t="shared" si="23"/>
        <v>2.9917294945565113E-2</v>
      </c>
    </row>
    <row r="267" spans="1:23" x14ac:dyDescent="0.25">
      <c r="A267" t="s">
        <v>522</v>
      </c>
      <c r="B267" t="s">
        <v>727</v>
      </c>
      <c r="C267" s="101">
        <f t="shared" si="20"/>
        <v>6485</v>
      </c>
      <c r="D267" s="101">
        <v>4240</v>
      </c>
      <c r="E267" s="101">
        <v>2245</v>
      </c>
      <c r="F267" s="101">
        <v>0</v>
      </c>
      <c r="G267" s="101">
        <v>0</v>
      </c>
      <c r="H267" s="101">
        <v>209</v>
      </c>
      <c r="I267" s="101">
        <v>0</v>
      </c>
      <c r="J267" s="101">
        <v>3403</v>
      </c>
      <c r="K267" s="101">
        <v>3978</v>
      </c>
      <c r="L267" s="101">
        <v>534</v>
      </c>
      <c r="M267" s="101">
        <v>40</v>
      </c>
      <c r="N267" s="101">
        <v>271</v>
      </c>
      <c r="O267" s="101">
        <v>72</v>
      </c>
      <c r="P267" s="101">
        <v>3566379792.5878024</v>
      </c>
      <c r="Q267" s="101">
        <v>349805520.55323738</v>
      </c>
      <c r="R267" s="101">
        <v>336489351.39601314</v>
      </c>
      <c r="S267" s="101">
        <f t="shared" si="24"/>
        <v>6761776.8001308274</v>
      </c>
      <c r="T267" s="101">
        <f t="shared" si="21"/>
        <v>276776.80013082735</v>
      </c>
      <c r="U267" s="101">
        <f t="shared" si="22"/>
        <v>276776.80013082735</v>
      </c>
      <c r="V267" s="101">
        <v>84226</v>
      </c>
      <c r="W267" s="149">
        <f t="shared" si="23"/>
        <v>3.2861206768791981E-3</v>
      </c>
    </row>
    <row r="268" spans="1:23" x14ac:dyDescent="0.25">
      <c r="A268" t="s">
        <v>520</v>
      </c>
      <c r="B268" t="s">
        <v>228</v>
      </c>
      <c r="C268" s="101">
        <f t="shared" si="20"/>
        <v>15387</v>
      </c>
      <c r="D268" s="101">
        <v>11566</v>
      </c>
      <c r="E268" s="101">
        <v>3821</v>
      </c>
      <c r="F268" s="101">
        <v>66</v>
      </c>
      <c r="G268" s="101">
        <v>112</v>
      </c>
      <c r="H268" s="101">
        <v>614</v>
      </c>
      <c r="I268" s="101">
        <v>313</v>
      </c>
      <c r="J268" s="101">
        <v>8465</v>
      </c>
      <c r="K268" s="101">
        <v>11806</v>
      </c>
      <c r="L268" s="101">
        <v>1423</v>
      </c>
      <c r="M268" s="101">
        <v>600</v>
      </c>
      <c r="N268" s="101">
        <v>3784</v>
      </c>
      <c r="O268" s="101">
        <v>270</v>
      </c>
      <c r="P268" s="101">
        <v>13779337228.529654</v>
      </c>
      <c r="Q268" s="101">
        <v>1137379353.3777776</v>
      </c>
      <c r="R268" s="101">
        <v>1082633698.4918478</v>
      </c>
      <c r="S268" s="101">
        <f t="shared" si="24"/>
        <v>25431644.377693795</v>
      </c>
      <c r="T268" s="101">
        <f t="shared" si="21"/>
        <v>10044644.377693795</v>
      </c>
      <c r="U268" s="101">
        <f t="shared" si="22"/>
        <v>10044644.377693795</v>
      </c>
      <c r="V268" s="101">
        <v>186978</v>
      </c>
      <c r="W268" s="149">
        <f t="shared" si="23"/>
        <v>5.3720995933713031E-2</v>
      </c>
    </row>
    <row r="269" spans="1:23" x14ac:dyDescent="0.25">
      <c r="A269" t="s">
        <v>516</v>
      </c>
      <c r="B269" t="s">
        <v>438</v>
      </c>
      <c r="C269" s="101">
        <f t="shared" si="20"/>
        <v>28281</v>
      </c>
      <c r="D269" s="101">
        <v>14412</v>
      </c>
      <c r="E269" s="101">
        <v>13869</v>
      </c>
      <c r="F269" s="101">
        <v>2077</v>
      </c>
      <c r="G269" s="101">
        <v>121</v>
      </c>
      <c r="H269" s="101">
        <v>3636</v>
      </c>
      <c r="I269" s="101">
        <v>1149</v>
      </c>
      <c r="J269" s="101">
        <v>9821</v>
      </c>
      <c r="K269" s="101">
        <v>11933</v>
      </c>
      <c r="L269" s="101">
        <v>1462</v>
      </c>
      <c r="M269" s="101">
        <v>625</v>
      </c>
      <c r="N269" s="101">
        <v>2793</v>
      </c>
      <c r="O269" s="101">
        <v>2055</v>
      </c>
      <c r="P269" s="101">
        <v>13370526176.374323</v>
      </c>
      <c r="Q269" s="101">
        <v>2637860928.3824539</v>
      </c>
      <c r="R269" s="101">
        <v>2425113711.2038765</v>
      </c>
      <c r="S269" s="101">
        <f t="shared" si="24"/>
        <v>29062101.990057409</v>
      </c>
      <c r="T269" s="101">
        <f t="shared" si="21"/>
        <v>781101.99005740881</v>
      </c>
      <c r="U269" s="101">
        <f t="shared" si="22"/>
        <v>781101.99005740881</v>
      </c>
      <c r="V269" s="101">
        <v>363224</v>
      </c>
      <c r="W269" s="149">
        <f t="shared" si="23"/>
        <v>2.1504691046225163E-3</v>
      </c>
    </row>
    <row r="270" spans="1:23" x14ac:dyDescent="0.25">
      <c r="A270" t="s">
        <v>524</v>
      </c>
      <c r="B270" t="s">
        <v>337</v>
      </c>
      <c r="C270" s="101">
        <f t="shared" si="20"/>
        <v>21900</v>
      </c>
      <c r="D270" s="101">
        <v>8770</v>
      </c>
      <c r="E270" s="101">
        <v>13130</v>
      </c>
      <c r="F270" s="101">
        <v>1148</v>
      </c>
      <c r="G270" s="101">
        <v>0</v>
      </c>
      <c r="H270" s="101">
        <v>592</v>
      </c>
      <c r="I270" s="101">
        <v>793</v>
      </c>
      <c r="J270" s="101">
        <v>6921</v>
      </c>
      <c r="K270" s="101">
        <v>10495</v>
      </c>
      <c r="L270" s="101">
        <v>1251</v>
      </c>
      <c r="M270" s="101">
        <v>594</v>
      </c>
      <c r="N270" s="101">
        <v>2265</v>
      </c>
      <c r="O270" s="101">
        <v>211</v>
      </c>
      <c r="P270" s="101">
        <v>6966516727.6495247</v>
      </c>
      <c r="Q270" s="101">
        <v>2188841561.3565149</v>
      </c>
      <c r="R270" s="101">
        <v>2188841561.3565149</v>
      </c>
      <c r="S270" s="101">
        <f t="shared" si="24"/>
        <v>18093998.761328273</v>
      </c>
      <c r="T270" s="101">
        <f t="shared" si="21"/>
        <v>-3806001.2386717275</v>
      </c>
      <c r="U270" s="101">
        <f t="shared" si="22"/>
        <v>0</v>
      </c>
      <c r="V270" s="101">
        <v>242743</v>
      </c>
      <c r="W270" s="149">
        <f t="shared" si="23"/>
        <v>-1.5679139001626114E-2</v>
      </c>
    </row>
    <row r="271" spans="1:23" x14ac:dyDescent="0.25">
      <c r="A271" t="s">
        <v>516</v>
      </c>
      <c r="B271" t="s">
        <v>135</v>
      </c>
      <c r="C271" s="101">
        <f t="shared" si="20"/>
        <v>2881</v>
      </c>
      <c r="D271" s="101">
        <v>1463</v>
      </c>
      <c r="E271" s="101">
        <v>1418</v>
      </c>
      <c r="F271" s="101">
        <v>0</v>
      </c>
      <c r="G271" s="101">
        <v>133</v>
      </c>
      <c r="H271" s="101">
        <v>4345</v>
      </c>
      <c r="I271" s="101">
        <v>956</v>
      </c>
      <c r="J271" s="101">
        <v>940</v>
      </c>
      <c r="K271" s="101">
        <v>1135</v>
      </c>
      <c r="L271" s="101">
        <v>130</v>
      </c>
      <c r="M271" s="101">
        <v>10</v>
      </c>
      <c r="N271" s="101">
        <v>287</v>
      </c>
      <c r="O271" s="101">
        <v>22</v>
      </c>
      <c r="P271" s="101">
        <v>1783712672.5754299</v>
      </c>
      <c r="Q271" s="101">
        <v>272070960.43029577</v>
      </c>
      <c r="R271" s="101">
        <v>272070960.43029577</v>
      </c>
      <c r="S271" s="101">
        <f t="shared" si="24"/>
        <v>3712928.0765304542</v>
      </c>
      <c r="T271" s="101">
        <f t="shared" si="21"/>
        <v>831928.07653045421</v>
      </c>
      <c r="U271" s="101">
        <f t="shared" si="22"/>
        <v>831928.07653045421</v>
      </c>
      <c r="V271" s="101">
        <v>30997</v>
      </c>
      <c r="W271" s="149">
        <f t="shared" si="23"/>
        <v>2.6838986886810148E-2</v>
      </c>
    </row>
    <row r="272" spans="1:23" x14ac:dyDescent="0.25">
      <c r="A272" t="s">
        <v>514</v>
      </c>
      <c r="B272" t="s">
        <v>271</v>
      </c>
      <c r="C272" s="101">
        <f t="shared" si="20"/>
        <v>2157</v>
      </c>
      <c r="D272" s="101">
        <v>1258</v>
      </c>
      <c r="E272" s="101">
        <v>899</v>
      </c>
      <c r="F272" s="101">
        <v>5977</v>
      </c>
      <c r="G272" s="101">
        <v>158</v>
      </c>
      <c r="H272" s="101">
        <v>9000</v>
      </c>
      <c r="I272" s="101">
        <v>1445</v>
      </c>
      <c r="J272" s="101">
        <v>3710</v>
      </c>
      <c r="K272" s="101">
        <v>2965</v>
      </c>
      <c r="L272" s="101">
        <v>235</v>
      </c>
      <c r="M272" s="101">
        <v>71</v>
      </c>
      <c r="N272" s="101">
        <v>1181</v>
      </c>
      <c r="O272" s="101">
        <v>316</v>
      </c>
      <c r="P272" s="101">
        <v>4374591923.8309488</v>
      </c>
      <c r="Q272" s="101">
        <v>712907742.18013597</v>
      </c>
      <c r="R272" s="101">
        <v>712907742.18013597</v>
      </c>
      <c r="S272" s="101">
        <f t="shared" si="24"/>
        <v>9251649.8160649966</v>
      </c>
      <c r="T272" s="101">
        <f t="shared" si="21"/>
        <v>7094649.8160649966</v>
      </c>
      <c r="U272" s="101">
        <f t="shared" si="22"/>
        <v>7094649.8160649966</v>
      </c>
      <c r="V272" s="101">
        <v>76081</v>
      </c>
      <c r="W272" s="149">
        <f t="shared" si="23"/>
        <v>9.325126925336151E-2</v>
      </c>
    </row>
    <row r="273" spans="1:23" x14ac:dyDescent="0.25">
      <c r="A273" t="s">
        <v>517</v>
      </c>
      <c r="B273" t="s">
        <v>317</v>
      </c>
      <c r="C273" s="101">
        <f t="shared" si="20"/>
        <v>10110</v>
      </c>
      <c r="D273" s="101">
        <v>6977</v>
      </c>
      <c r="E273" s="101">
        <v>3133</v>
      </c>
      <c r="F273" s="101">
        <v>17</v>
      </c>
      <c r="G273" s="101">
        <v>90</v>
      </c>
      <c r="H273" s="101">
        <v>0</v>
      </c>
      <c r="I273" s="101">
        <v>175</v>
      </c>
      <c r="J273" s="101">
        <v>3745</v>
      </c>
      <c r="K273" s="101">
        <v>6428</v>
      </c>
      <c r="L273" s="101">
        <v>742</v>
      </c>
      <c r="M273" s="101">
        <v>0</v>
      </c>
      <c r="N273" s="101">
        <v>1294</v>
      </c>
      <c r="O273" s="101">
        <v>235</v>
      </c>
      <c r="P273" s="101">
        <v>8170993280.2913151</v>
      </c>
      <c r="Q273" s="101">
        <v>935883190.9538368</v>
      </c>
      <c r="R273" s="101">
        <v>903664261.4291966</v>
      </c>
      <c r="S273" s="101">
        <f t="shared" si="24"/>
        <v>15915423.276023788</v>
      </c>
      <c r="T273" s="101">
        <f t="shared" si="21"/>
        <v>5805423.2760237884</v>
      </c>
      <c r="U273" s="101">
        <f t="shared" si="22"/>
        <v>5805423.2760237884</v>
      </c>
      <c r="V273" s="101">
        <v>103354</v>
      </c>
      <c r="W273" s="149">
        <f t="shared" si="23"/>
        <v>5.6170281518120133E-2</v>
      </c>
    </row>
    <row r="274" spans="1:23" x14ac:dyDescent="0.25">
      <c r="A274" t="s">
        <v>524</v>
      </c>
      <c r="B274" t="s">
        <v>338</v>
      </c>
      <c r="C274" s="101">
        <f t="shared" si="20"/>
        <v>6232</v>
      </c>
      <c r="D274" s="101">
        <v>3522</v>
      </c>
      <c r="E274" s="101">
        <v>2710</v>
      </c>
      <c r="F274" s="101">
        <v>6</v>
      </c>
      <c r="G274" s="101">
        <v>12</v>
      </c>
      <c r="H274" s="101">
        <v>460</v>
      </c>
      <c r="I274" s="101">
        <v>180</v>
      </c>
      <c r="J274" s="101">
        <v>2478</v>
      </c>
      <c r="K274" s="101">
        <v>3239</v>
      </c>
      <c r="L274" s="101">
        <v>536</v>
      </c>
      <c r="M274" s="101">
        <v>496</v>
      </c>
      <c r="N274" s="101">
        <v>552</v>
      </c>
      <c r="O274" s="101">
        <v>162</v>
      </c>
      <c r="P274" s="101">
        <v>3527694347.7546892</v>
      </c>
      <c r="Q274" s="101">
        <v>571758146.16742599</v>
      </c>
      <c r="R274" s="101">
        <v>517499987.26523519</v>
      </c>
      <c r="S274" s="101">
        <f t="shared" si="24"/>
        <v>7277497.4440448293</v>
      </c>
      <c r="T274" s="101">
        <f t="shared" si="21"/>
        <v>1045497.4440448293</v>
      </c>
      <c r="U274" s="101">
        <f t="shared" si="22"/>
        <v>1045497.4440448293</v>
      </c>
      <c r="V274" s="101">
        <v>96804</v>
      </c>
      <c r="W274" s="149">
        <f t="shared" si="23"/>
        <v>1.0800147143143148E-2</v>
      </c>
    </row>
    <row r="275" spans="1:23" x14ac:dyDescent="0.25">
      <c r="A275" t="s">
        <v>515</v>
      </c>
      <c r="B275" t="s">
        <v>202</v>
      </c>
      <c r="C275" s="101">
        <f t="shared" si="20"/>
        <v>12786</v>
      </c>
      <c r="D275" s="101">
        <v>6541</v>
      </c>
      <c r="E275" s="101">
        <v>6245</v>
      </c>
      <c r="F275" s="101">
        <v>2651</v>
      </c>
      <c r="G275" s="101">
        <v>35</v>
      </c>
      <c r="H275" s="101">
        <v>354</v>
      </c>
      <c r="I275" s="101">
        <v>734</v>
      </c>
      <c r="J275" s="101">
        <v>4713</v>
      </c>
      <c r="K275" s="101">
        <v>0</v>
      </c>
      <c r="L275" s="101">
        <v>668</v>
      </c>
      <c r="M275" s="101">
        <v>300</v>
      </c>
      <c r="N275" s="101">
        <v>852</v>
      </c>
      <c r="O275" s="101">
        <v>491</v>
      </c>
      <c r="P275" s="101">
        <v>6688399745.8763332</v>
      </c>
      <c r="Q275" s="101">
        <v>1217159559.8197441</v>
      </c>
      <c r="R275" s="101">
        <v>1165485278.3814111</v>
      </c>
      <c r="S275" s="101">
        <f t="shared" si="24"/>
        <v>14385895.632709451</v>
      </c>
      <c r="T275" s="101">
        <f t="shared" si="21"/>
        <v>1599895.632709451</v>
      </c>
      <c r="U275" s="101">
        <f t="shared" si="22"/>
        <v>1599895.632709451</v>
      </c>
      <c r="V275" s="101">
        <v>183102</v>
      </c>
      <c r="W275" s="149">
        <f t="shared" si="23"/>
        <v>8.7377288763063818E-3</v>
      </c>
    </row>
    <row r="276" spans="1:23" x14ac:dyDescent="0.25">
      <c r="A276" t="s">
        <v>513</v>
      </c>
      <c r="B276" t="s">
        <v>389</v>
      </c>
      <c r="C276" s="102">
        <v>45953.23596134995</v>
      </c>
      <c r="D276" s="102">
        <v>28755</v>
      </c>
      <c r="E276" s="102">
        <v>31467</v>
      </c>
      <c r="F276" s="102">
        <v>24391</v>
      </c>
      <c r="G276" s="102">
        <v>939</v>
      </c>
      <c r="H276" s="102">
        <v>809</v>
      </c>
      <c r="I276" s="102">
        <v>3604</v>
      </c>
      <c r="J276" s="102">
        <v>16259</v>
      </c>
      <c r="K276" s="102">
        <v>33708</v>
      </c>
      <c r="L276" s="102">
        <v>4492</v>
      </c>
      <c r="M276" s="102">
        <v>268</v>
      </c>
      <c r="N276" s="102">
        <v>7630</v>
      </c>
      <c r="O276" s="102">
        <v>1850</v>
      </c>
      <c r="P276" s="101">
        <v>36356999275.184891</v>
      </c>
      <c r="Q276" s="101">
        <v>8172357044.5039959</v>
      </c>
      <c r="R276" s="101">
        <v>8005114992.2133141</v>
      </c>
      <c r="S276" s="101">
        <f t="shared" si="24"/>
        <v>83525730.669080392</v>
      </c>
      <c r="T276">
        <v>21762267.26966545</v>
      </c>
      <c r="U276">
        <v>21762267.26966545</v>
      </c>
      <c r="V276" s="101">
        <v>1145777</v>
      </c>
      <c r="W276" s="149">
        <v>2.6824591078192166E-2</v>
      </c>
    </row>
    <row r="277" spans="1:23" x14ac:dyDescent="0.25">
      <c r="A277" t="s">
        <v>518</v>
      </c>
      <c r="B277" t="s">
        <v>158</v>
      </c>
      <c r="C277" s="101">
        <f t="shared" si="20"/>
        <v>5687</v>
      </c>
      <c r="D277" s="101">
        <v>3308</v>
      </c>
      <c r="E277" s="101">
        <v>2379</v>
      </c>
      <c r="F277" s="101">
        <v>2</v>
      </c>
      <c r="G277" s="101">
        <v>0</v>
      </c>
      <c r="H277" s="101">
        <v>245</v>
      </c>
      <c r="I277" s="101">
        <v>93</v>
      </c>
      <c r="J277" s="101">
        <v>2401</v>
      </c>
      <c r="K277" s="101">
        <v>1823</v>
      </c>
      <c r="L277" s="101">
        <v>472</v>
      </c>
      <c r="M277" s="101">
        <v>0</v>
      </c>
      <c r="N277" s="101">
        <v>568</v>
      </c>
      <c r="O277" s="101">
        <v>21</v>
      </c>
      <c r="P277" s="101">
        <v>3564288687.461688</v>
      </c>
      <c r="Q277" s="101">
        <v>676086108.43768978</v>
      </c>
      <c r="R277" s="101">
        <v>527664479.78747773</v>
      </c>
      <c r="S277" s="101">
        <f t="shared" si="24"/>
        <v>7368290.1470234459</v>
      </c>
      <c r="T277" s="101">
        <f t="shared" si="21"/>
        <v>1681290.1470234459</v>
      </c>
      <c r="U277" s="101">
        <f t="shared" si="22"/>
        <v>1681290.1470234459</v>
      </c>
      <c r="V277" s="101">
        <v>56948</v>
      </c>
      <c r="W277" s="149">
        <f t="shared" si="23"/>
        <v>2.9523251861758901E-2</v>
      </c>
    </row>
    <row r="278" spans="1:23" x14ac:dyDescent="0.25">
      <c r="A278" t="s">
        <v>518</v>
      </c>
      <c r="B278" t="s">
        <v>159</v>
      </c>
      <c r="C278" s="101">
        <f t="shared" si="20"/>
        <v>9363</v>
      </c>
      <c r="D278" s="101">
        <v>5948</v>
      </c>
      <c r="E278" s="101">
        <v>3415</v>
      </c>
      <c r="F278" s="101">
        <v>0</v>
      </c>
      <c r="G278" s="101">
        <v>0</v>
      </c>
      <c r="H278" s="101">
        <v>81</v>
      </c>
      <c r="I278" s="101">
        <v>6</v>
      </c>
      <c r="J278" s="101">
        <v>3921</v>
      </c>
      <c r="K278" s="101">
        <v>2499</v>
      </c>
      <c r="L278" s="101">
        <v>536</v>
      </c>
      <c r="M278" s="101">
        <v>650</v>
      </c>
      <c r="N278" s="101">
        <v>975</v>
      </c>
      <c r="O278" s="101">
        <v>31</v>
      </c>
      <c r="P278" s="101">
        <v>4839862814.3913622</v>
      </c>
      <c r="Q278" s="101">
        <v>687337163.19232607</v>
      </c>
      <c r="R278" s="101">
        <v>594702742.83654726</v>
      </c>
      <c r="S278" s="101">
        <f t="shared" si="24"/>
        <v>9616682.938602807</v>
      </c>
      <c r="T278" s="101">
        <f t="shared" si="21"/>
        <v>253682.938602807</v>
      </c>
      <c r="U278" s="101">
        <f t="shared" si="22"/>
        <v>253682.938602807</v>
      </c>
      <c r="V278" s="101">
        <v>149761</v>
      </c>
      <c r="W278" s="149">
        <f t="shared" si="23"/>
        <v>1.6939185676030943E-3</v>
      </c>
    </row>
    <row r="279" spans="1:23" x14ac:dyDescent="0.25">
      <c r="A279" t="s">
        <v>512</v>
      </c>
      <c r="B279" t="s">
        <v>113</v>
      </c>
      <c r="C279" s="101">
        <f t="shared" si="20"/>
        <v>6756</v>
      </c>
      <c r="D279" s="101">
        <v>5171</v>
      </c>
      <c r="E279" s="101">
        <v>1585</v>
      </c>
      <c r="F279" s="101">
        <v>0</v>
      </c>
      <c r="G279" s="101">
        <v>0</v>
      </c>
      <c r="H279" s="101">
        <v>517</v>
      </c>
      <c r="I279" s="101">
        <v>73</v>
      </c>
      <c r="J279" s="101">
        <v>3469</v>
      </c>
      <c r="K279" s="101">
        <v>3747</v>
      </c>
      <c r="L279" s="101">
        <v>849</v>
      </c>
      <c r="M279" s="101">
        <v>484</v>
      </c>
      <c r="N279" s="101">
        <v>879</v>
      </c>
      <c r="O279" s="101">
        <v>324</v>
      </c>
      <c r="P279" s="101">
        <v>6468833707.6343403</v>
      </c>
      <c r="Q279" s="101">
        <v>593237432.51718616</v>
      </c>
      <c r="R279" s="101">
        <v>525161005.83488607</v>
      </c>
      <c r="S279" s="101">
        <f t="shared" si="24"/>
        <v>11993053.372290062</v>
      </c>
      <c r="T279" s="101">
        <f t="shared" si="21"/>
        <v>5237053.3722900618</v>
      </c>
      <c r="U279" s="101">
        <f t="shared" si="22"/>
        <v>5237053.3722900618</v>
      </c>
      <c r="V279" s="101">
        <v>104044</v>
      </c>
      <c r="W279" s="149">
        <f t="shared" si="23"/>
        <v>5.0334986854504458E-2</v>
      </c>
    </row>
    <row r="280" spans="1:23" x14ac:dyDescent="0.25">
      <c r="A280" t="s">
        <v>516</v>
      </c>
      <c r="B280" t="s">
        <v>136</v>
      </c>
      <c r="C280" s="101">
        <f t="shared" si="20"/>
        <v>9081</v>
      </c>
      <c r="D280" s="101">
        <v>6467</v>
      </c>
      <c r="E280" s="101">
        <v>2614</v>
      </c>
      <c r="F280" s="101">
        <v>0</v>
      </c>
      <c r="G280" s="101">
        <v>0</v>
      </c>
      <c r="H280" s="101">
        <v>460</v>
      </c>
      <c r="I280" s="101">
        <v>46</v>
      </c>
      <c r="J280" s="101">
        <v>2376</v>
      </c>
      <c r="K280" s="101">
        <v>3727</v>
      </c>
      <c r="L280" s="101">
        <v>618</v>
      </c>
      <c r="M280" s="101">
        <v>17</v>
      </c>
      <c r="N280" s="101">
        <v>497</v>
      </c>
      <c r="O280" s="101">
        <v>233</v>
      </c>
      <c r="P280" s="101">
        <v>4433142867.3621464</v>
      </c>
      <c r="Q280" s="101">
        <v>510388756.59668261</v>
      </c>
      <c r="R280" s="101">
        <v>430016605.35728526</v>
      </c>
      <c r="S280" s="101">
        <f t="shared" si="24"/>
        <v>8442615.844532365</v>
      </c>
      <c r="T280" s="101">
        <f t="shared" si="21"/>
        <v>-638384.15546763502</v>
      </c>
      <c r="U280" s="101">
        <f t="shared" si="22"/>
        <v>0</v>
      </c>
      <c r="V280" s="101">
        <v>107660</v>
      </c>
      <c r="W280" s="149">
        <f t="shared" si="23"/>
        <v>-5.9296317617279866E-3</v>
      </c>
    </row>
    <row r="281" spans="1:23" x14ac:dyDescent="0.25">
      <c r="A281" t="s">
        <v>514</v>
      </c>
      <c r="B281" t="s">
        <v>272</v>
      </c>
      <c r="C281" s="101">
        <f t="shared" si="20"/>
        <v>4086</v>
      </c>
      <c r="D281" s="101">
        <v>3017</v>
      </c>
      <c r="E281" s="101">
        <v>1069</v>
      </c>
      <c r="F281" s="101">
        <v>0</v>
      </c>
      <c r="G281" s="101">
        <v>18</v>
      </c>
      <c r="H281" s="101">
        <v>114</v>
      </c>
      <c r="I281" s="101">
        <v>40</v>
      </c>
      <c r="J281" s="101">
        <v>1281</v>
      </c>
      <c r="K281" s="101">
        <v>1888</v>
      </c>
      <c r="L281" s="101">
        <v>257</v>
      </c>
      <c r="M281" s="101">
        <v>16</v>
      </c>
      <c r="N281" s="101">
        <v>206</v>
      </c>
      <c r="O281" s="101">
        <v>81</v>
      </c>
      <c r="P281" s="101">
        <v>2726801084.4529433</v>
      </c>
      <c r="Q281" s="101">
        <v>203541808.74296558</v>
      </c>
      <c r="R281" s="101">
        <v>194313212.88056412</v>
      </c>
      <c r="S281" s="101">
        <f t="shared" si="24"/>
        <v>4969106.8787914449</v>
      </c>
      <c r="T281" s="101">
        <f t="shared" si="21"/>
        <v>883106.87879144493</v>
      </c>
      <c r="U281" s="101">
        <f t="shared" si="22"/>
        <v>883106.87879144493</v>
      </c>
      <c r="V281" s="101">
        <v>34713</v>
      </c>
      <c r="W281" s="149">
        <f t="shared" si="23"/>
        <v>2.5440235035619076E-2</v>
      </c>
    </row>
    <row r="282" spans="1:23" x14ac:dyDescent="0.25">
      <c r="A282" t="s">
        <v>514</v>
      </c>
      <c r="B282" t="s">
        <v>273</v>
      </c>
      <c r="C282" s="101">
        <f t="shared" si="20"/>
        <v>10442</v>
      </c>
      <c r="D282" s="101">
        <v>5557</v>
      </c>
      <c r="E282" s="101">
        <v>4885</v>
      </c>
      <c r="F282" s="101">
        <v>2</v>
      </c>
      <c r="G282" s="101">
        <v>35</v>
      </c>
      <c r="H282" s="101">
        <v>194</v>
      </c>
      <c r="I282" s="101">
        <v>5</v>
      </c>
      <c r="J282" s="101">
        <v>4685</v>
      </c>
      <c r="K282" s="101">
        <v>4696</v>
      </c>
      <c r="L282" s="101">
        <v>694</v>
      </c>
      <c r="M282" s="101">
        <v>354</v>
      </c>
      <c r="N282" s="101">
        <v>927</v>
      </c>
      <c r="O282" s="101">
        <v>111</v>
      </c>
      <c r="P282" s="101">
        <v>6163532359.2216635</v>
      </c>
      <c r="Q282" s="101">
        <v>1129196768.1016784</v>
      </c>
      <c r="R282" s="101">
        <v>1102591316.383832</v>
      </c>
      <c r="S282" s="101">
        <f t="shared" si="24"/>
        <v>13348100.412222978</v>
      </c>
      <c r="T282" s="101">
        <f t="shared" si="21"/>
        <v>2906100.4122229777</v>
      </c>
      <c r="U282" s="101">
        <f t="shared" si="22"/>
        <v>2906100.4122229777</v>
      </c>
      <c r="V282" s="101">
        <v>102968</v>
      </c>
      <c r="W282" s="149">
        <f t="shared" si="23"/>
        <v>2.8223335523880989E-2</v>
      </c>
    </row>
    <row r="283" spans="1:23" x14ac:dyDescent="0.25">
      <c r="A283" t="s">
        <v>519</v>
      </c>
      <c r="B283" t="s">
        <v>431</v>
      </c>
      <c r="C283" s="101">
        <f t="shared" si="20"/>
        <v>6208</v>
      </c>
      <c r="D283" s="101">
        <v>3205</v>
      </c>
      <c r="E283" s="101">
        <v>3003</v>
      </c>
      <c r="F283" s="101">
        <v>0</v>
      </c>
      <c r="G283" s="101">
        <v>19</v>
      </c>
      <c r="H283" s="101">
        <v>133</v>
      </c>
      <c r="I283" s="101">
        <v>91</v>
      </c>
      <c r="J283" s="101">
        <v>2356</v>
      </c>
      <c r="K283" s="101">
        <v>2266</v>
      </c>
      <c r="L283" s="101">
        <v>198</v>
      </c>
      <c r="M283" s="101">
        <v>400</v>
      </c>
      <c r="N283" s="101">
        <v>610</v>
      </c>
      <c r="O283" s="101">
        <v>800</v>
      </c>
      <c r="P283" s="101">
        <v>2485278442.3867507</v>
      </c>
      <c r="Q283" s="101">
        <v>580963554.6030376</v>
      </c>
      <c r="R283" s="101">
        <v>572773760.00070393</v>
      </c>
      <c r="S283" s="101">
        <f t="shared" si="24"/>
        <v>5791167.4100091131</v>
      </c>
      <c r="T283" s="101">
        <f t="shared" si="21"/>
        <v>-416832.58999088686</v>
      </c>
      <c r="U283" s="101">
        <f t="shared" si="22"/>
        <v>0</v>
      </c>
      <c r="V283" s="101">
        <v>76713</v>
      </c>
      <c r="W283" s="149">
        <f t="shared" si="23"/>
        <v>-5.4336630035442084E-3</v>
      </c>
    </row>
    <row r="284" spans="1:23" x14ac:dyDescent="0.25">
      <c r="A284" t="s">
        <v>520</v>
      </c>
      <c r="B284" t="s">
        <v>728</v>
      </c>
      <c r="C284" s="101">
        <f t="shared" si="20"/>
        <v>203518</v>
      </c>
      <c r="D284" s="101">
        <v>71585</v>
      </c>
      <c r="E284" s="101">
        <v>131933</v>
      </c>
      <c r="F284" s="101">
        <v>89099</v>
      </c>
      <c r="G284" s="101">
        <v>1483</v>
      </c>
      <c r="H284" s="101">
        <v>7352</v>
      </c>
      <c r="I284" s="101">
        <v>1149</v>
      </c>
      <c r="J284" s="101">
        <v>51190</v>
      </c>
      <c r="K284" s="101">
        <v>65546</v>
      </c>
      <c r="L284" s="101">
        <v>7789</v>
      </c>
      <c r="M284" s="101">
        <v>1366</v>
      </c>
      <c r="N284" s="101">
        <v>20145</v>
      </c>
      <c r="O284" s="101">
        <v>4918</v>
      </c>
      <c r="P284" s="101">
        <v>78509496407.39534</v>
      </c>
      <c r="Q284" s="101">
        <v>15336210453.728777</v>
      </c>
      <c r="R284" s="101">
        <v>15336210453.728777</v>
      </c>
      <c r="S284" s="101">
        <f t="shared" si="24"/>
        <v>174145158.11719036</v>
      </c>
      <c r="T284" s="101">
        <f t="shared" si="21"/>
        <v>-29372841.882809639</v>
      </c>
      <c r="U284" s="101">
        <f t="shared" si="22"/>
        <v>0</v>
      </c>
      <c r="V284" s="101">
        <v>2044932</v>
      </c>
      <c r="W284" s="149">
        <f t="shared" si="23"/>
        <v>-1.4363725484666306E-2</v>
      </c>
    </row>
    <row r="285" spans="1:23" x14ac:dyDescent="0.25">
      <c r="A285" t="s">
        <v>520</v>
      </c>
      <c r="B285" t="s">
        <v>230</v>
      </c>
      <c r="C285" s="101">
        <f t="shared" si="20"/>
        <v>15669</v>
      </c>
      <c r="D285" s="101">
        <v>11377</v>
      </c>
      <c r="E285" s="101">
        <v>4292</v>
      </c>
      <c r="F285" s="101">
        <v>22</v>
      </c>
      <c r="G285" s="101">
        <v>0</v>
      </c>
      <c r="H285" s="101">
        <v>2256</v>
      </c>
      <c r="I285" s="101">
        <v>894</v>
      </c>
      <c r="J285" s="101">
        <v>8413</v>
      </c>
      <c r="K285" s="101">
        <v>7406</v>
      </c>
      <c r="L285" s="101">
        <v>1079</v>
      </c>
      <c r="M285" s="101">
        <v>1329</v>
      </c>
      <c r="N285" s="101">
        <v>1849</v>
      </c>
      <c r="O285" s="101">
        <v>252</v>
      </c>
      <c r="P285" s="101">
        <v>11627590053.758121</v>
      </c>
      <c r="Q285" s="101">
        <v>970659178.37725806</v>
      </c>
      <c r="R285" s="101">
        <v>908778377.22675848</v>
      </c>
      <c r="S285" s="101">
        <f t="shared" si="24"/>
        <v>21445009.159097567</v>
      </c>
      <c r="T285" s="101">
        <f t="shared" si="21"/>
        <v>5776009.1590975672</v>
      </c>
      <c r="U285" s="101">
        <f t="shared" si="22"/>
        <v>5776009.1590975672</v>
      </c>
      <c r="V285" s="101">
        <v>160804</v>
      </c>
      <c r="W285" s="149">
        <f t="shared" si="23"/>
        <v>3.5919561448083177E-2</v>
      </c>
    </row>
    <row r="286" spans="1:23" x14ac:dyDescent="0.25">
      <c r="A286" t="s">
        <v>522</v>
      </c>
      <c r="B286" t="s">
        <v>421</v>
      </c>
      <c r="C286" s="101">
        <f t="shared" si="20"/>
        <v>2402</v>
      </c>
      <c r="D286" s="101">
        <v>1776</v>
      </c>
      <c r="E286" s="101">
        <v>626</v>
      </c>
      <c r="F286" s="101">
        <v>807</v>
      </c>
      <c r="G286" s="101">
        <v>0</v>
      </c>
      <c r="H286" s="101">
        <v>1803</v>
      </c>
      <c r="I286" s="101">
        <v>91</v>
      </c>
      <c r="J286" s="101">
        <v>1597</v>
      </c>
      <c r="K286" s="101">
        <v>2313</v>
      </c>
      <c r="L286" s="101">
        <v>103</v>
      </c>
      <c r="M286" s="101">
        <v>0</v>
      </c>
      <c r="N286" s="101">
        <v>230</v>
      </c>
      <c r="O286" s="101">
        <v>54</v>
      </c>
      <c r="P286" s="101">
        <v>1405222644.7487559</v>
      </c>
      <c r="Q286" s="101">
        <v>112510547.54636291</v>
      </c>
      <c r="R286" s="101">
        <v>103305139.11075141</v>
      </c>
      <c r="S286" s="101">
        <f t="shared" si="24"/>
        <v>2570873.512137563</v>
      </c>
      <c r="T286" s="101">
        <f t="shared" si="21"/>
        <v>168873.51213756297</v>
      </c>
      <c r="U286" s="101">
        <f t="shared" si="22"/>
        <v>168873.51213756297</v>
      </c>
      <c r="V286" s="101">
        <v>44047</v>
      </c>
      <c r="W286" s="149">
        <f t="shared" si="23"/>
        <v>3.8339390228066149E-3</v>
      </c>
    </row>
    <row r="287" spans="1:23" x14ac:dyDescent="0.25">
      <c r="A287" t="s">
        <v>522</v>
      </c>
      <c r="B287" t="s">
        <v>422</v>
      </c>
      <c r="C287" s="101">
        <f t="shared" si="20"/>
        <v>6510</v>
      </c>
      <c r="D287" s="101">
        <v>3919</v>
      </c>
      <c r="E287" s="101">
        <v>2591</v>
      </c>
      <c r="F287" s="101">
        <v>2962</v>
      </c>
      <c r="G287" s="101">
        <v>408</v>
      </c>
      <c r="H287" s="101">
        <v>3440</v>
      </c>
      <c r="I287" s="101">
        <v>126</v>
      </c>
      <c r="J287" s="101">
        <v>2303</v>
      </c>
      <c r="K287" s="101">
        <v>2211</v>
      </c>
      <c r="L287" s="101">
        <v>403</v>
      </c>
      <c r="M287" s="101">
        <v>139</v>
      </c>
      <c r="N287" s="101">
        <v>651</v>
      </c>
      <c r="O287" s="101">
        <v>327</v>
      </c>
      <c r="P287" s="101">
        <v>2867950680.4656529</v>
      </c>
      <c r="Q287" s="101">
        <v>284344838.34444445</v>
      </c>
      <c r="R287" s="101">
        <v>277684508.79763764</v>
      </c>
      <c r="S287" s="101">
        <f t="shared" si="24"/>
        <v>5460194.9184071803</v>
      </c>
      <c r="T287" s="101">
        <f t="shared" si="21"/>
        <v>-1049805.0815928197</v>
      </c>
      <c r="U287" s="101">
        <f t="shared" si="22"/>
        <v>0</v>
      </c>
      <c r="V287" s="101">
        <v>68242</v>
      </c>
      <c r="W287" s="149">
        <f t="shared" si="23"/>
        <v>-1.5383562638738895E-2</v>
      </c>
    </row>
    <row r="288" spans="1:23" x14ac:dyDescent="0.25">
      <c r="A288" t="s">
        <v>513</v>
      </c>
      <c r="B288" t="s">
        <v>391</v>
      </c>
      <c r="C288" s="101">
        <f t="shared" si="20"/>
        <v>8831</v>
      </c>
      <c r="D288" s="101">
        <v>5904</v>
      </c>
      <c r="E288" s="101">
        <v>2927</v>
      </c>
      <c r="F288" s="101">
        <v>701</v>
      </c>
      <c r="G288" s="101">
        <v>62</v>
      </c>
      <c r="H288" s="101">
        <v>0</v>
      </c>
      <c r="I288" s="101">
        <v>90</v>
      </c>
      <c r="J288" s="101">
        <v>3637</v>
      </c>
      <c r="K288" s="101">
        <v>4853</v>
      </c>
      <c r="L288" s="101">
        <v>555</v>
      </c>
      <c r="M288" s="101">
        <v>188</v>
      </c>
      <c r="N288" s="101">
        <v>879</v>
      </c>
      <c r="O288" s="101">
        <v>237</v>
      </c>
      <c r="P288" s="101">
        <v>6053749340.100667</v>
      </c>
      <c r="Q288" s="101">
        <v>675063285.2781775</v>
      </c>
      <c r="R288" s="101">
        <v>630570477.83938849</v>
      </c>
      <c r="S288" s="101">
        <f t="shared" si="24"/>
        <v>11667250.021768214</v>
      </c>
      <c r="T288" s="101">
        <f t="shared" si="21"/>
        <v>2836250.0217682142</v>
      </c>
      <c r="U288" s="101">
        <f t="shared" si="22"/>
        <v>2836250.0217682142</v>
      </c>
      <c r="V288" s="101">
        <v>108596</v>
      </c>
      <c r="W288" s="149">
        <f t="shared" si="23"/>
        <v>2.6117444673544276E-2</v>
      </c>
    </row>
    <row r="289" spans="1:23" x14ac:dyDescent="0.25">
      <c r="A289" t="s">
        <v>521</v>
      </c>
      <c r="B289" t="s">
        <v>124</v>
      </c>
      <c r="C289" s="101">
        <f t="shared" si="20"/>
        <v>9109</v>
      </c>
      <c r="D289" s="101">
        <v>5517</v>
      </c>
      <c r="E289" s="101">
        <v>3592</v>
      </c>
      <c r="F289" s="101">
        <v>0</v>
      </c>
      <c r="G289" s="101">
        <v>14</v>
      </c>
      <c r="H289" s="101">
        <v>0</v>
      </c>
      <c r="I289" s="101">
        <v>134</v>
      </c>
      <c r="J289" s="101">
        <v>2458</v>
      </c>
      <c r="K289" s="101">
        <v>4886</v>
      </c>
      <c r="L289" s="101">
        <v>315</v>
      </c>
      <c r="M289" s="101">
        <v>83</v>
      </c>
      <c r="N289" s="101">
        <v>394</v>
      </c>
      <c r="O289" s="101">
        <v>45</v>
      </c>
      <c r="P289" s="101">
        <v>3046740168.7484188</v>
      </c>
      <c r="Q289" s="101">
        <v>539027805.06302953</v>
      </c>
      <c r="R289" s="101">
        <v>523685457.6703437</v>
      </c>
      <c r="S289" s="101">
        <f t="shared" si="24"/>
        <v>6530107.1791221248</v>
      </c>
      <c r="T289" s="101">
        <f t="shared" si="21"/>
        <v>-2578892.8208778752</v>
      </c>
      <c r="U289" s="101">
        <f t="shared" si="22"/>
        <v>0</v>
      </c>
      <c r="V289" s="101">
        <v>136030</v>
      </c>
      <c r="W289" s="149">
        <f t="shared" si="23"/>
        <v>-1.8958265242063333E-2</v>
      </c>
    </row>
    <row r="290" spans="1:23" x14ac:dyDescent="0.25">
      <c r="A290" t="s">
        <v>520</v>
      </c>
      <c r="B290" t="s">
        <v>231</v>
      </c>
      <c r="C290" s="101">
        <f t="shared" si="20"/>
        <v>18619</v>
      </c>
      <c r="D290" s="101">
        <v>10934</v>
      </c>
      <c r="E290" s="101">
        <v>7685</v>
      </c>
      <c r="F290" s="101">
        <v>2993</v>
      </c>
      <c r="G290" s="101">
        <v>118</v>
      </c>
      <c r="H290" s="101">
        <v>257</v>
      </c>
      <c r="I290" s="101">
        <v>1454</v>
      </c>
      <c r="J290" s="101">
        <v>5153</v>
      </c>
      <c r="K290" s="101">
        <v>9008</v>
      </c>
      <c r="L290" s="101">
        <v>878</v>
      </c>
      <c r="M290" s="101">
        <v>999</v>
      </c>
      <c r="N290" s="101">
        <v>1905</v>
      </c>
      <c r="O290" s="101">
        <v>85</v>
      </c>
      <c r="P290" s="101">
        <v>12235056092.894302</v>
      </c>
      <c r="Q290" s="101">
        <v>1630380116.2627497</v>
      </c>
      <c r="R290" s="101">
        <v>1615544526.8772399</v>
      </c>
      <c r="S290" s="101">
        <f t="shared" si="24"/>
        <v>24668501.508904807</v>
      </c>
      <c r="T290" s="101">
        <f t="shared" si="21"/>
        <v>6049501.5089048073</v>
      </c>
      <c r="U290" s="101">
        <f t="shared" si="22"/>
        <v>6049501.5089048073</v>
      </c>
      <c r="V290" s="101">
        <v>249440</v>
      </c>
      <c r="W290" s="149">
        <f t="shared" si="23"/>
        <v>2.4252331257636334E-2</v>
      </c>
    </row>
    <row r="291" spans="1:23" x14ac:dyDescent="0.25">
      <c r="A291" t="s">
        <v>524</v>
      </c>
      <c r="B291" t="s">
        <v>339</v>
      </c>
      <c r="C291" s="101">
        <f t="shared" si="20"/>
        <v>7226</v>
      </c>
      <c r="D291" s="101">
        <v>4999</v>
      </c>
      <c r="E291" s="101">
        <v>2227</v>
      </c>
      <c r="F291" s="101">
        <v>7582</v>
      </c>
      <c r="G291" s="101">
        <v>211</v>
      </c>
      <c r="H291" s="101">
        <v>10700</v>
      </c>
      <c r="I291" s="101">
        <v>2181</v>
      </c>
      <c r="J291" s="101">
        <v>2708</v>
      </c>
      <c r="K291" s="101">
        <v>4113</v>
      </c>
      <c r="L291" s="101">
        <v>349</v>
      </c>
      <c r="M291" s="101">
        <v>596</v>
      </c>
      <c r="N291" s="101">
        <v>977</v>
      </c>
      <c r="O291" s="101">
        <v>319</v>
      </c>
      <c r="P291" s="101">
        <v>6670625352.3043623</v>
      </c>
      <c r="Q291" s="101">
        <v>877582270.86163056</v>
      </c>
      <c r="R291" s="101">
        <v>841205803.67565632</v>
      </c>
      <c r="S291" s="101">
        <f t="shared" si="24"/>
        <v>13323093.950650802</v>
      </c>
      <c r="T291" s="101">
        <f t="shared" si="21"/>
        <v>6097093.9506508019</v>
      </c>
      <c r="U291" s="101">
        <f t="shared" si="22"/>
        <v>6097093.9506508019</v>
      </c>
      <c r="V291" s="101">
        <v>90875</v>
      </c>
      <c r="W291" s="149">
        <f t="shared" si="23"/>
        <v>6.7093193404685572E-2</v>
      </c>
    </row>
    <row r="292" spans="1:23" x14ac:dyDescent="0.25">
      <c r="A292" t="s">
        <v>513</v>
      </c>
      <c r="B292" t="s">
        <v>392</v>
      </c>
      <c r="C292" s="101">
        <f t="shared" si="20"/>
        <v>16591</v>
      </c>
      <c r="D292" s="101">
        <v>9272</v>
      </c>
      <c r="E292" s="101">
        <v>7319</v>
      </c>
      <c r="F292" s="101">
        <v>704</v>
      </c>
      <c r="G292" s="101">
        <v>0</v>
      </c>
      <c r="H292" s="101">
        <v>456</v>
      </c>
      <c r="I292" s="101">
        <v>578</v>
      </c>
      <c r="J292" s="101">
        <v>5405</v>
      </c>
      <c r="K292" s="101">
        <v>6108</v>
      </c>
      <c r="L292" s="101">
        <v>579</v>
      </c>
      <c r="M292" s="101">
        <v>132</v>
      </c>
      <c r="N292" s="101">
        <v>1207</v>
      </c>
      <c r="O292" s="101">
        <v>83</v>
      </c>
      <c r="P292" s="101">
        <v>10138723203.964796</v>
      </c>
      <c r="Q292" s="101">
        <v>2380109492.1853313</v>
      </c>
      <c r="R292" s="101">
        <v>2380109492.1853313</v>
      </c>
      <c r="S292" s="101">
        <f t="shared" si="24"/>
        <v>23763812.790395059</v>
      </c>
      <c r="T292" s="101">
        <f t="shared" si="21"/>
        <v>7172812.7903950587</v>
      </c>
      <c r="U292" s="101">
        <f t="shared" si="22"/>
        <v>7172812.7903950587</v>
      </c>
      <c r="V292" s="101">
        <v>171026</v>
      </c>
      <c r="W292" s="149">
        <f t="shared" si="23"/>
        <v>4.1939896801626998E-2</v>
      </c>
    </row>
    <row r="293" spans="1:23" x14ac:dyDescent="0.25">
      <c r="A293" t="s">
        <v>514</v>
      </c>
      <c r="B293" t="s">
        <v>274</v>
      </c>
      <c r="C293" s="101">
        <f t="shared" si="20"/>
        <v>20781</v>
      </c>
      <c r="D293" s="101">
        <v>10131</v>
      </c>
      <c r="E293" s="101">
        <v>10650</v>
      </c>
      <c r="F293" s="101">
        <v>317</v>
      </c>
      <c r="G293" s="101">
        <v>75</v>
      </c>
      <c r="H293" s="101">
        <v>1111</v>
      </c>
      <c r="I293" s="101">
        <v>773</v>
      </c>
      <c r="J293" s="101">
        <v>6570</v>
      </c>
      <c r="K293" s="101">
        <v>13431</v>
      </c>
      <c r="L293" s="101">
        <v>1430</v>
      </c>
      <c r="M293" s="101">
        <v>380</v>
      </c>
      <c r="N293" s="101">
        <v>2411</v>
      </c>
      <c r="O293" s="101">
        <v>178</v>
      </c>
      <c r="P293" s="101">
        <v>13322430758.473696</v>
      </c>
      <c r="Q293" s="101">
        <v>1854378388.1959629</v>
      </c>
      <c r="R293" s="101">
        <v>1808351346.0179057</v>
      </c>
      <c r="S293" s="101">
        <f t="shared" si="24"/>
        <v>27017917.853562668</v>
      </c>
      <c r="T293" s="101">
        <f t="shared" si="21"/>
        <v>6236917.853562668</v>
      </c>
      <c r="U293" s="101">
        <f t="shared" si="22"/>
        <v>6236917.853562668</v>
      </c>
      <c r="V293" s="101">
        <v>254811</v>
      </c>
      <c r="W293" s="149">
        <f t="shared" si="23"/>
        <v>2.4476642898315488E-2</v>
      </c>
    </row>
    <row r="294" spans="1:23" x14ac:dyDescent="0.25">
      <c r="A294" t="s">
        <v>522</v>
      </c>
      <c r="B294" t="s">
        <v>423</v>
      </c>
      <c r="C294" s="101">
        <f t="shared" si="20"/>
        <v>43055</v>
      </c>
      <c r="D294" s="101">
        <v>18374</v>
      </c>
      <c r="E294" s="101">
        <v>24681</v>
      </c>
      <c r="F294" s="101">
        <v>2840</v>
      </c>
      <c r="G294" s="101">
        <v>0</v>
      </c>
      <c r="H294" s="101">
        <v>2675</v>
      </c>
      <c r="I294" s="101">
        <v>929</v>
      </c>
      <c r="J294" s="101">
        <v>8282</v>
      </c>
      <c r="K294" s="101">
        <v>10924</v>
      </c>
      <c r="L294" s="101">
        <v>3271</v>
      </c>
      <c r="M294" s="101">
        <v>384</v>
      </c>
      <c r="N294" s="101">
        <v>4142</v>
      </c>
      <c r="O294" s="101">
        <v>1214</v>
      </c>
      <c r="P294" s="101">
        <v>14605323753.34477</v>
      </c>
      <c r="Q294" s="101">
        <v>4044242772.7119899</v>
      </c>
      <c r="R294" s="101">
        <v>4044242772.7119899</v>
      </c>
      <c r="S294" s="101">
        <f t="shared" si="24"/>
        <v>36196625.831536159</v>
      </c>
      <c r="T294" s="101">
        <f t="shared" si="21"/>
        <v>-6858374.1684638411</v>
      </c>
      <c r="U294" s="101">
        <f t="shared" si="22"/>
        <v>0</v>
      </c>
      <c r="V294" s="101">
        <v>593253</v>
      </c>
      <c r="W294" s="149">
        <f t="shared" si="23"/>
        <v>-1.1560622817691341E-2</v>
      </c>
    </row>
    <row r="295" spans="1:23" x14ac:dyDescent="0.25">
      <c r="A295" t="s">
        <v>522</v>
      </c>
      <c r="B295" t="s">
        <v>424</v>
      </c>
      <c r="C295" s="101">
        <f t="shared" si="20"/>
        <v>17519</v>
      </c>
      <c r="D295" s="101">
        <v>7544</v>
      </c>
      <c r="E295" s="101">
        <v>9975</v>
      </c>
      <c r="F295" s="101">
        <v>511</v>
      </c>
      <c r="G295" s="101">
        <v>0</v>
      </c>
      <c r="H295" s="101">
        <v>707</v>
      </c>
      <c r="I295" s="101">
        <v>218</v>
      </c>
      <c r="J295" s="101">
        <v>5015</v>
      </c>
      <c r="K295" s="101">
        <v>5466</v>
      </c>
      <c r="L295" s="101">
        <v>982</v>
      </c>
      <c r="M295" s="101">
        <v>17</v>
      </c>
      <c r="N295" s="101">
        <v>1035</v>
      </c>
      <c r="O295" s="101">
        <v>470</v>
      </c>
      <c r="P295" s="101">
        <v>6648668748.4801626</v>
      </c>
      <c r="Q295" s="101">
        <v>1806305699.6988809</v>
      </c>
      <c r="R295" s="101">
        <v>1806305699.6988809</v>
      </c>
      <c r="S295" s="101">
        <f t="shared" si="24"/>
        <v>16366741.835865289</v>
      </c>
      <c r="T295" s="101">
        <f t="shared" si="21"/>
        <v>-1152258.164134711</v>
      </c>
      <c r="U295" s="101">
        <f t="shared" si="22"/>
        <v>0</v>
      </c>
      <c r="V295" s="101">
        <v>167264</v>
      </c>
      <c r="W295" s="149">
        <f t="shared" si="23"/>
        <v>-6.8888593130303653E-3</v>
      </c>
    </row>
    <row r="296" spans="1:23" x14ac:dyDescent="0.25">
      <c r="A296" t="s">
        <v>520</v>
      </c>
      <c r="B296" s="164" t="s">
        <v>598</v>
      </c>
      <c r="C296" s="101">
        <v>15061</v>
      </c>
      <c r="D296" s="101">
        <v>9133</v>
      </c>
      <c r="E296" s="101">
        <v>5928</v>
      </c>
      <c r="F296" s="101">
        <v>531</v>
      </c>
      <c r="G296" s="101">
        <v>0</v>
      </c>
      <c r="H296" s="101">
        <v>229</v>
      </c>
      <c r="I296" s="101">
        <v>549</v>
      </c>
      <c r="J296" s="101">
        <v>5253</v>
      </c>
      <c r="K296" s="101">
        <v>9271</v>
      </c>
      <c r="L296" s="101">
        <v>672</v>
      </c>
      <c r="M296" s="101">
        <v>893</v>
      </c>
      <c r="N296" s="101">
        <v>2432</v>
      </c>
      <c r="O296" s="101">
        <v>354</v>
      </c>
      <c r="P296" s="101">
        <v>10411612422.922703</v>
      </c>
      <c r="Q296" s="101">
        <v>1394107966.4153876</v>
      </c>
      <c r="R296" s="101">
        <v>1339386927.3814747</v>
      </c>
      <c r="S296" s="101">
        <f t="shared" si="24"/>
        <v>20879166.112908617</v>
      </c>
      <c r="T296" s="101">
        <f t="shared" si="21"/>
        <v>5818166.1129086167</v>
      </c>
      <c r="U296" s="101">
        <f t="shared" si="22"/>
        <v>5818166.1129086167</v>
      </c>
      <c r="V296" s="187">
        <f>177539*(78/73)</f>
        <v>189699.20547945207</v>
      </c>
      <c r="W296" s="149">
        <f t="shared" si="23"/>
        <v>3.0670482241628744E-2</v>
      </c>
    </row>
    <row r="297" spans="1:23" x14ac:dyDescent="0.25">
      <c r="A297" t="s">
        <v>517</v>
      </c>
      <c r="B297" t="s">
        <v>318</v>
      </c>
      <c r="C297" s="101">
        <f t="shared" si="20"/>
        <v>23176</v>
      </c>
      <c r="D297" s="101">
        <v>11880</v>
      </c>
      <c r="E297" s="101">
        <v>11296</v>
      </c>
      <c r="F297" s="101">
        <v>3423</v>
      </c>
      <c r="G297" s="101">
        <v>336</v>
      </c>
      <c r="H297" s="101">
        <v>363</v>
      </c>
      <c r="I297" s="101">
        <v>0</v>
      </c>
      <c r="J297" s="101">
        <v>8158</v>
      </c>
      <c r="K297" s="101">
        <v>13147</v>
      </c>
      <c r="L297" s="101">
        <v>862</v>
      </c>
      <c r="M297" s="101">
        <v>925</v>
      </c>
      <c r="N297" s="101">
        <v>1537</v>
      </c>
      <c r="O297" s="101">
        <v>1194</v>
      </c>
      <c r="P297" s="101">
        <v>11080766063.279253</v>
      </c>
      <c r="Q297" s="101">
        <v>1488207697.0905275</v>
      </c>
      <c r="R297" s="101">
        <v>1455977691.9627504</v>
      </c>
      <c r="S297" s="101">
        <f t="shared" si="24"/>
        <v>22318390.708291583</v>
      </c>
      <c r="T297" s="101">
        <f t="shared" si="21"/>
        <v>-857609.29170841724</v>
      </c>
      <c r="U297" s="101">
        <f t="shared" si="22"/>
        <v>0</v>
      </c>
      <c r="V297" s="101">
        <v>385429</v>
      </c>
      <c r="W297" s="149">
        <f t="shared" si="23"/>
        <v>-2.225077230069396E-3</v>
      </c>
    </row>
    <row r="298" spans="1:23" x14ac:dyDescent="0.25">
      <c r="A298" t="s">
        <v>516</v>
      </c>
      <c r="B298" t="s">
        <v>137</v>
      </c>
      <c r="C298" s="101">
        <f t="shared" si="20"/>
        <v>788</v>
      </c>
      <c r="D298" s="101">
        <v>383</v>
      </c>
      <c r="E298" s="101">
        <v>405</v>
      </c>
      <c r="F298" s="101">
        <v>0</v>
      </c>
      <c r="G298" s="101">
        <v>49</v>
      </c>
      <c r="H298" s="101">
        <v>1750</v>
      </c>
      <c r="I298" s="101">
        <v>333</v>
      </c>
      <c r="J298" s="101">
        <v>245</v>
      </c>
      <c r="K298" s="101">
        <v>571</v>
      </c>
      <c r="L298" s="101">
        <v>120</v>
      </c>
      <c r="M298" s="101">
        <v>21</v>
      </c>
      <c r="N298" s="101">
        <v>180</v>
      </c>
      <c r="O298" s="101">
        <v>0</v>
      </c>
      <c r="P298" s="101">
        <v>603283828.8839525</v>
      </c>
      <c r="Q298" s="101">
        <v>109442078.06782573</v>
      </c>
      <c r="R298" s="101">
        <v>109442078.06782573</v>
      </c>
      <c r="S298" s="101">
        <f t="shared" si="24"/>
        <v>1311357.9361062683</v>
      </c>
      <c r="T298" s="101">
        <f t="shared" si="21"/>
        <v>523357.93610626832</v>
      </c>
      <c r="U298" s="101">
        <f t="shared" si="22"/>
        <v>523357.93610626832</v>
      </c>
      <c r="V298" s="101">
        <v>11260</v>
      </c>
      <c r="W298" s="149">
        <f t="shared" si="23"/>
        <v>4.6479390417963437E-2</v>
      </c>
    </row>
    <row r="299" spans="1:23" x14ac:dyDescent="0.25">
      <c r="A299" t="s">
        <v>524</v>
      </c>
      <c r="B299" t="s">
        <v>340</v>
      </c>
      <c r="C299" s="101">
        <f t="shared" si="20"/>
        <v>16733</v>
      </c>
      <c r="D299" s="101">
        <v>7593</v>
      </c>
      <c r="E299" s="101">
        <v>9140</v>
      </c>
      <c r="F299" s="101">
        <v>3382</v>
      </c>
      <c r="G299" s="101">
        <v>142</v>
      </c>
      <c r="H299" s="101">
        <v>1094</v>
      </c>
      <c r="I299" s="101">
        <v>876</v>
      </c>
      <c r="J299" s="101">
        <v>7318</v>
      </c>
      <c r="K299" s="101">
        <v>7991</v>
      </c>
      <c r="L299" s="101">
        <v>669</v>
      </c>
      <c r="M299" s="101">
        <v>666</v>
      </c>
      <c r="N299" s="101">
        <v>1035</v>
      </c>
      <c r="O299" s="101">
        <v>365</v>
      </c>
      <c r="P299" s="101">
        <v>6233584380.9464903</v>
      </c>
      <c r="Q299" s="101">
        <v>1351149393.7158673</v>
      </c>
      <c r="R299" s="101">
        <v>1256026839.8812151</v>
      </c>
      <c r="S299" s="101">
        <f t="shared" si="24"/>
        <v>13949292.706830727</v>
      </c>
      <c r="T299" s="101">
        <f t="shared" si="21"/>
        <v>-2783707.2931692731</v>
      </c>
      <c r="U299" s="101">
        <f t="shared" si="22"/>
        <v>0</v>
      </c>
      <c r="V299" s="101">
        <v>309052</v>
      </c>
      <c r="W299" s="149">
        <f t="shared" si="23"/>
        <v>-9.0072456841220026E-3</v>
      </c>
    </row>
    <row r="300" spans="1:23" x14ac:dyDescent="0.25">
      <c r="A300" t="s">
        <v>522</v>
      </c>
      <c r="B300" t="s">
        <v>425</v>
      </c>
      <c r="C300" s="101">
        <f t="shared" si="20"/>
        <v>3338</v>
      </c>
      <c r="D300" s="101">
        <v>2760</v>
      </c>
      <c r="E300" s="101">
        <v>578</v>
      </c>
      <c r="F300" s="101">
        <v>2</v>
      </c>
      <c r="G300" s="101">
        <v>0</v>
      </c>
      <c r="H300" s="101">
        <v>63</v>
      </c>
      <c r="I300" s="101">
        <v>0</v>
      </c>
      <c r="J300" s="101">
        <v>2109</v>
      </c>
      <c r="K300" s="101">
        <v>1855</v>
      </c>
      <c r="L300" s="101">
        <v>242</v>
      </c>
      <c r="M300" s="101">
        <v>28</v>
      </c>
      <c r="N300" s="101">
        <v>82</v>
      </c>
      <c r="O300" s="101">
        <v>42</v>
      </c>
      <c r="P300" s="101">
        <v>1953092187.7906816</v>
      </c>
      <c r="Q300" s="101">
        <v>127852894.93904874</v>
      </c>
      <c r="R300" s="101">
        <v>112962397.13490249</v>
      </c>
      <c r="S300" s="101">
        <f t="shared" si="24"/>
        <v>3475532.0863864766</v>
      </c>
      <c r="T300" s="101">
        <f t="shared" si="21"/>
        <v>137532.08638647664</v>
      </c>
      <c r="U300" s="101">
        <f t="shared" si="22"/>
        <v>137532.08638647664</v>
      </c>
      <c r="V300" s="101">
        <v>36255</v>
      </c>
      <c r="W300" s="149">
        <f t="shared" si="23"/>
        <v>3.7934653533713046E-3</v>
      </c>
    </row>
    <row r="301" spans="1:23" x14ac:dyDescent="0.25">
      <c r="A301" t="s">
        <v>517</v>
      </c>
      <c r="B301" t="s">
        <v>827</v>
      </c>
      <c r="C301" s="101">
        <v>11876</v>
      </c>
      <c r="D301" s="101">
        <v>13354</v>
      </c>
      <c r="E301" s="101">
        <v>4040</v>
      </c>
      <c r="F301" s="101">
        <v>3</v>
      </c>
      <c r="G301" s="101">
        <v>48</v>
      </c>
      <c r="H301" s="101">
        <v>2469</v>
      </c>
      <c r="I301" s="101">
        <v>142</v>
      </c>
      <c r="J301" s="101">
        <v>8272</v>
      </c>
      <c r="K301" s="101">
        <v>12171</v>
      </c>
      <c r="L301" s="101">
        <v>2160</v>
      </c>
      <c r="M301" s="101">
        <v>581</v>
      </c>
      <c r="N301" s="101">
        <v>2313</v>
      </c>
      <c r="O301" s="101">
        <v>289</v>
      </c>
      <c r="P301" s="101">
        <v>13913167956.600964</v>
      </c>
      <c r="Q301" s="101">
        <v>1287734357.8260992</v>
      </c>
      <c r="R301" s="101">
        <v>1231456733.924283</v>
      </c>
      <c r="S301" s="101">
        <f t="shared" si="24"/>
        <v>26119849.871996999</v>
      </c>
      <c r="T301" s="101">
        <f t="shared" si="21"/>
        <v>14243849.871996999</v>
      </c>
      <c r="U301" s="101">
        <f t="shared" si="22"/>
        <v>14243849.871996999</v>
      </c>
      <c r="V301" s="101">
        <v>245814</v>
      </c>
      <c r="W301" s="149">
        <f t="shared" si="23"/>
        <v>5.7945641306015927E-2</v>
      </c>
    </row>
    <row r="302" spans="1:23" x14ac:dyDescent="0.25">
      <c r="A302" t="s">
        <v>517</v>
      </c>
      <c r="B302" t="s">
        <v>319</v>
      </c>
      <c r="C302" s="101">
        <f t="shared" si="20"/>
        <v>8854</v>
      </c>
      <c r="D302" s="101">
        <v>7491</v>
      </c>
      <c r="E302" s="101">
        <v>1363</v>
      </c>
      <c r="F302" s="101">
        <v>3</v>
      </c>
      <c r="G302" s="101">
        <v>11</v>
      </c>
      <c r="H302" s="101">
        <v>280</v>
      </c>
      <c r="I302" s="101">
        <v>117</v>
      </c>
      <c r="J302" s="101">
        <v>2974</v>
      </c>
      <c r="K302" s="101">
        <v>5352</v>
      </c>
      <c r="L302" s="101">
        <v>573</v>
      </c>
      <c r="M302" s="101">
        <v>716</v>
      </c>
      <c r="N302" s="101">
        <v>1305</v>
      </c>
      <c r="O302" s="101">
        <v>112</v>
      </c>
      <c r="P302" s="101">
        <v>6130074677.2038364</v>
      </c>
      <c r="Q302" s="101">
        <v>293550246.78005594</v>
      </c>
      <c r="R302" s="101">
        <v>280764957.28615105</v>
      </c>
      <c r="S302" s="101">
        <f t="shared" si="24"/>
        <v>10673109.323882941</v>
      </c>
      <c r="T302" s="101">
        <f t="shared" si="21"/>
        <v>1819109.3238829412</v>
      </c>
      <c r="U302" s="101">
        <f t="shared" si="22"/>
        <v>1819109.3238829412</v>
      </c>
      <c r="V302" s="101">
        <v>82754</v>
      </c>
      <c r="W302" s="149">
        <f t="shared" si="23"/>
        <v>2.1982131665936887E-2</v>
      </c>
    </row>
    <row r="303" spans="1:23" x14ac:dyDescent="0.25">
      <c r="A303" t="s">
        <v>515</v>
      </c>
      <c r="B303" t="s">
        <v>203</v>
      </c>
      <c r="C303" s="101">
        <f t="shared" si="20"/>
        <v>8259</v>
      </c>
      <c r="D303" s="101">
        <v>5222</v>
      </c>
      <c r="E303" s="101">
        <v>3037</v>
      </c>
      <c r="F303" s="101">
        <v>0</v>
      </c>
      <c r="G303" s="101">
        <v>0</v>
      </c>
      <c r="H303" s="101">
        <v>207</v>
      </c>
      <c r="I303" s="101">
        <v>110</v>
      </c>
      <c r="J303" s="101">
        <v>2632</v>
      </c>
      <c r="K303" s="101">
        <v>2252</v>
      </c>
      <c r="L303" s="101">
        <v>394</v>
      </c>
      <c r="M303" s="101">
        <v>174</v>
      </c>
      <c r="N303" s="101">
        <v>1239</v>
      </c>
      <c r="O303" s="101">
        <v>126</v>
      </c>
      <c r="P303" s="101">
        <v>5006105671.9174433</v>
      </c>
      <c r="Q303" s="101">
        <v>687337163.19232607</v>
      </c>
      <c r="R303" s="101">
        <v>593679158.08123481</v>
      </c>
      <c r="S303" s="101">
        <f t="shared" si="24"/>
        <v>9878575.0609874614</v>
      </c>
      <c r="T303" s="101">
        <f t="shared" si="21"/>
        <v>1619575.0609874614</v>
      </c>
      <c r="U303" s="101">
        <f t="shared" si="22"/>
        <v>1619575.0609874614</v>
      </c>
      <c r="V303" s="101">
        <v>88800</v>
      </c>
      <c r="W303" s="149">
        <f t="shared" si="23"/>
        <v>1.8238457894002944E-2</v>
      </c>
    </row>
    <row r="304" spans="1:23" x14ac:dyDescent="0.25">
      <c r="A304" t="s">
        <v>513</v>
      </c>
      <c r="B304" t="s">
        <v>393</v>
      </c>
      <c r="C304" s="101">
        <v>9331.2166363254437</v>
      </c>
      <c r="D304" s="101">
        <v>6962</v>
      </c>
      <c r="E304" s="101">
        <v>3693</v>
      </c>
      <c r="F304" s="101">
        <v>0</v>
      </c>
      <c r="G304" s="101">
        <v>0</v>
      </c>
      <c r="H304" s="101">
        <v>581</v>
      </c>
      <c r="I304" s="101">
        <v>49</v>
      </c>
      <c r="J304" s="101">
        <v>4699</v>
      </c>
      <c r="K304" s="101">
        <v>3851</v>
      </c>
      <c r="L304" s="101">
        <v>707</v>
      </c>
      <c r="M304" s="101">
        <v>20</v>
      </c>
      <c r="N304" s="101">
        <v>2063</v>
      </c>
      <c r="O304" s="101">
        <v>99</v>
      </c>
      <c r="P304" s="101">
        <v>7806095435.7843838</v>
      </c>
      <c r="Q304" s="101">
        <v>843829106.5977217</v>
      </c>
      <c r="R304" s="101">
        <v>762465354.05130708</v>
      </c>
      <c r="S304" s="101">
        <f t="shared" si="24"/>
        <v>14882986.699499762</v>
      </c>
      <c r="T304" s="101">
        <v>3515150.4753919635</v>
      </c>
      <c r="U304" s="101">
        <v>3515150.4753919635</v>
      </c>
      <c r="V304" s="101">
        <v>118324</v>
      </c>
      <c r="W304" s="149">
        <f t="shared" si="23"/>
        <v>2.9707840128730973E-2</v>
      </c>
    </row>
    <row r="305" spans="1:23" x14ac:dyDescent="0.25">
      <c r="A305" t="s">
        <v>516</v>
      </c>
      <c r="B305" t="s">
        <v>599</v>
      </c>
      <c r="C305" s="101">
        <f t="shared" si="20"/>
        <v>9495</v>
      </c>
      <c r="D305" s="101">
        <v>6460</v>
      </c>
      <c r="E305" s="101">
        <v>3035</v>
      </c>
      <c r="F305" s="101">
        <v>513</v>
      </c>
      <c r="G305" s="101">
        <v>0</v>
      </c>
      <c r="H305" s="101">
        <v>135</v>
      </c>
      <c r="I305" s="101">
        <v>129</v>
      </c>
      <c r="J305" s="101">
        <v>6935</v>
      </c>
      <c r="K305" s="101">
        <v>6104</v>
      </c>
      <c r="L305" s="101">
        <v>797</v>
      </c>
      <c r="M305" s="101">
        <v>170</v>
      </c>
      <c r="N305" s="101">
        <v>759</v>
      </c>
      <c r="O305" s="101">
        <v>119</v>
      </c>
      <c r="P305" s="101">
        <v>5466148799.6625719</v>
      </c>
      <c r="Q305" s="101">
        <v>799847710.73868895</v>
      </c>
      <c r="R305" s="101">
        <v>669866061.00892127</v>
      </c>
      <c r="S305" s="101">
        <f t="shared" si="24"/>
        <v>10855380.070080262</v>
      </c>
      <c r="T305" s="101">
        <f t="shared" si="21"/>
        <v>1360380.0700802617</v>
      </c>
      <c r="U305" s="101">
        <f t="shared" si="22"/>
        <v>1360380.0700802617</v>
      </c>
      <c r="V305" s="101">
        <v>166612</v>
      </c>
      <c r="W305" s="149">
        <f t="shared" si="23"/>
        <v>8.1649585268783863E-3</v>
      </c>
    </row>
    <row r="306" spans="1:23" x14ac:dyDescent="0.25">
      <c r="A306" t="s">
        <v>513</v>
      </c>
      <c r="B306" t="s">
        <v>394</v>
      </c>
      <c r="C306" s="101">
        <f t="shared" si="20"/>
        <v>5648</v>
      </c>
      <c r="D306" s="101">
        <v>4633</v>
      </c>
      <c r="E306" s="101">
        <v>1015</v>
      </c>
      <c r="F306" s="101">
        <v>0</v>
      </c>
      <c r="G306" s="101">
        <v>3</v>
      </c>
      <c r="H306" s="101">
        <v>220</v>
      </c>
      <c r="I306" s="101">
        <v>38</v>
      </c>
      <c r="J306" s="101">
        <v>1772</v>
      </c>
      <c r="K306" s="101">
        <v>1952</v>
      </c>
      <c r="L306" s="101">
        <v>398</v>
      </c>
      <c r="M306" s="101">
        <v>70</v>
      </c>
      <c r="N306" s="101">
        <v>990</v>
      </c>
      <c r="O306" s="101">
        <v>5</v>
      </c>
      <c r="P306" s="101">
        <v>4307676559.7952938</v>
      </c>
      <c r="Q306" s="101">
        <v>222975448.77370101</v>
      </c>
      <c r="R306" s="101">
        <v>210190159.27979612</v>
      </c>
      <c r="S306" s="101">
        <f t="shared" si="24"/>
        <v>7541250.7209760454</v>
      </c>
      <c r="T306" s="101">
        <f t="shared" si="21"/>
        <v>1893250.7209760454</v>
      </c>
      <c r="U306" s="101">
        <f t="shared" si="22"/>
        <v>1893250.7209760454</v>
      </c>
      <c r="V306" s="101">
        <v>48265</v>
      </c>
      <c r="W306" s="149">
        <f t="shared" si="23"/>
        <v>3.9226162249581378E-2</v>
      </c>
    </row>
    <row r="307" spans="1:23" x14ac:dyDescent="0.25">
      <c r="A307" t="s">
        <v>513</v>
      </c>
      <c r="B307" t="s">
        <v>395</v>
      </c>
      <c r="C307" s="101">
        <f t="shared" si="20"/>
        <v>15556</v>
      </c>
      <c r="D307" s="101">
        <v>7366</v>
      </c>
      <c r="E307" s="101">
        <v>8190</v>
      </c>
      <c r="F307" s="101">
        <v>1337</v>
      </c>
      <c r="G307" s="101">
        <v>116</v>
      </c>
      <c r="H307" s="101">
        <v>509</v>
      </c>
      <c r="I307" s="101">
        <v>542</v>
      </c>
      <c r="J307" s="101">
        <v>5276</v>
      </c>
      <c r="K307" s="101">
        <v>4889</v>
      </c>
      <c r="L307" s="101">
        <v>1092</v>
      </c>
      <c r="M307" s="101">
        <v>390</v>
      </c>
      <c r="N307" s="101">
        <v>1486</v>
      </c>
      <c r="O307" s="101">
        <v>248</v>
      </c>
      <c r="P307" s="101">
        <v>8204450962.3091431</v>
      </c>
      <c r="Q307" s="101">
        <v>2099855946.4789367</v>
      </c>
      <c r="R307" s="101">
        <v>2099855946.4789367</v>
      </c>
      <c r="S307" s="101">
        <f t="shared" si="24"/>
        <v>19784639.754150894</v>
      </c>
      <c r="T307" s="101">
        <f t="shared" si="21"/>
        <v>4228639.7541508935</v>
      </c>
      <c r="U307" s="101">
        <f t="shared" si="22"/>
        <v>4228639.7541508935</v>
      </c>
      <c r="V307" s="101">
        <v>209979</v>
      </c>
      <c r="W307" s="149">
        <f t="shared" si="23"/>
        <v>2.0138393621033025E-2</v>
      </c>
    </row>
    <row r="308" spans="1:23" x14ac:dyDescent="0.25">
      <c r="A308" t="s">
        <v>517</v>
      </c>
      <c r="B308" t="s">
        <v>320</v>
      </c>
      <c r="C308" s="101">
        <f t="shared" si="20"/>
        <v>10924</v>
      </c>
      <c r="D308" s="101">
        <v>5106</v>
      </c>
      <c r="E308" s="101">
        <v>5818</v>
      </c>
      <c r="F308" s="101">
        <v>20</v>
      </c>
      <c r="G308" s="101">
        <v>37</v>
      </c>
      <c r="H308" s="101">
        <v>33</v>
      </c>
      <c r="I308" s="101">
        <v>0</v>
      </c>
      <c r="J308" s="101">
        <v>3618</v>
      </c>
      <c r="K308" s="101">
        <v>5780</v>
      </c>
      <c r="L308" s="101">
        <v>642</v>
      </c>
      <c r="M308" s="101">
        <v>380</v>
      </c>
      <c r="N308" s="101">
        <v>1813</v>
      </c>
      <c r="O308" s="101">
        <v>151</v>
      </c>
      <c r="P308" s="101">
        <v>5685714837.9045649</v>
      </c>
      <c r="Q308" s="101">
        <v>1002366696.3221422</v>
      </c>
      <c r="R308" s="101">
        <v>995206934.20555544</v>
      </c>
      <c r="S308" s="101">
        <f t="shared" si="24"/>
        <v>12243425.286573503</v>
      </c>
      <c r="T308" s="101">
        <f t="shared" si="21"/>
        <v>1319425.2865735032</v>
      </c>
      <c r="U308" s="101">
        <f t="shared" si="22"/>
        <v>1319425.2865735032</v>
      </c>
      <c r="V308" s="101">
        <v>129448</v>
      </c>
      <c r="W308" s="149">
        <f t="shared" si="23"/>
        <v>1.019270507519238E-2</v>
      </c>
    </row>
    <row r="309" spans="1:23" x14ac:dyDescent="0.25">
      <c r="A309" t="s">
        <v>515</v>
      </c>
      <c r="B309" t="s">
        <v>204</v>
      </c>
      <c r="C309" s="101">
        <f t="shared" si="20"/>
        <v>14668</v>
      </c>
      <c r="D309" s="101">
        <v>7519</v>
      </c>
      <c r="E309" s="101">
        <v>7149</v>
      </c>
      <c r="F309" s="101">
        <v>1296</v>
      </c>
      <c r="G309" s="101">
        <v>123</v>
      </c>
      <c r="H309" s="101">
        <v>264</v>
      </c>
      <c r="I309" s="101">
        <v>310</v>
      </c>
      <c r="J309" s="101">
        <v>2499</v>
      </c>
      <c r="K309" s="101">
        <v>5940</v>
      </c>
      <c r="L309" s="101">
        <v>781</v>
      </c>
      <c r="M309" s="101">
        <v>562</v>
      </c>
      <c r="N309" s="101">
        <v>1391</v>
      </c>
      <c r="O309" s="101">
        <v>1314</v>
      </c>
      <c r="P309" s="101">
        <v>6865098129.0329847</v>
      </c>
      <c r="Q309" s="101">
        <v>1118968536.5065548</v>
      </c>
      <c r="R309" s="101">
        <v>1110785951.2304556</v>
      </c>
      <c r="S309" s="101">
        <f t="shared" si="24"/>
        <v>14493238.700232765</v>
      </c>
      <c r="T309" s="101">
        <f t="shared" si="21"/>
        <v>-174761.29976723529</v>
      </c>
      <c r="U309" s="101">
        <f t="shared" si="22"/>
        <v>0</v>
      </c>
      <c r="V309" s="101">
        <v>143148</v>
      </c>
      <c r="W309" s="149">
        <f t="shared" si="23"/>
        <v>-1.2208434610838804E-3</v>
      </c>
    </row>
    <row r="310" spans="1:23" x14ac:dyDescent="0.25">
      <c r="A310" t="s">
        <v>517</v>
      </c>
      <c r="B310" t="s">
        <v>321</v>
      </c>
      <c r="C310" s="101">
        <f t="shared" si="20"/>
        <v>13510</v>
      </c>
      <c r="D310" s="101">
        <v>9851</v>
      </c>
      <c r="E310" s="101">
        <v>3659</v>
      </c>
      <c r="F310" s="101">
        <v>19</v>
      </c>
      <c r="G310" s="101">
        <v>139</v>
      </c>
      <c r="H310" s="101">
        <v>2266</v>
      </c>
      <c r="I310" s="101">
        <v>387</v>
      </c>
      <c r="J310" s="101">
        <v>3001</v>
      </c>
      <c r="K310" s="101">
        <v>6459</v>
      </c>
      <c r="L310" s="101">
        <v>606</v>
      </c>
      <c r="M310" s="101">
        <v>57</v>
      </c>
      <c r="N310" s="101">
        <v>2056</v>
      </c>
      <c r="O310" s="101">
        <v>89</v>
      </c>
      <c r="P310" s="101">
        <v>9431929671.3381901</v>
      </c>
      <c r="Q310" s="101">
        <v>558461445.09376502</v>
      </c>
      <c r="R310" s="101">
        <v>535426830.0349021</v>
      </c>
      <c r="S310" s="101">
        <f t="shared" si="24"/>
        <v>16751939.413595753</v>
      </c>
      <c r="T310" s="101">
        <f t="shared" si="21"/>
        <v>3241939.4135957528</v>
      </c>
      <c r="U310" s="101">
        <f t="shared" si="22"/>
        <v>3241939.4135957528</v>
      </c>
      <c r="V310" s="101">
        <v>91448</v>
      </c>
      <c r="W310" s="149">
        <f t="shared" si="23"/>
        <v>3.5451178960674401E-2</v>
      </c>
    </row>
    <row r="311" spans="1:23" x14ac:dyDescent="0.25">
      <c r="A311" t="s">
        <v>514</v>
      </c>
      <c r="B311" t="s">
        <v>275</v>
      </c>
      <c r="C311" s="101">
        <f t="shared" ref="C311:C343" si="25">SUM(D311:E311)</f>
        <v>4780</v>
      </c>
      <c r="D311" s="101">
        <v>3811</v>
      </c>
      <c r="E311" s="101">
        <v>969</v>
      </c>
      <c r="F311" s="101">
        <v>563</v>
      </c>
      <c r="G311" s="101">
        <v>48</v>
      </c>
      <c r="H311" s="101">
        <v>832</v>
      </c>
      <c r="I311" s="101">
        <v>139</v>
      </c>
      <c r="J311" s="101">
        <v>1353</v>
      </c>
      <c r="K311" s="101">
        <v>2377</v>
      </c>
      <c r="L311" s="101">
        <v>375</v>
      </c>
      <c r="M311" s="101">
        <v>269</v>
      </c>
      <c r="N311" s="101">
        <v>910</v>
      </c>
      <c r="O311" s="101">
        <v>162</v>
      </c>
      <c r="P311" s="101">
        <v>3784900278.2667384</v>
      </c>
      <c r="Q311" s="101">
        <v>198427692.9454037</v>
      </c>
      <c r="R311" s="101">
        <v>191762163.20821956</v>
      </c>
      <c r="S311" s="101">
        <f t="shared" si="24"/>
        <v>6648637.2444696687</v>
      </c>
      <c r="T311" s="101">
        <f t="shared" si="21"/>
        <v>1868637.2444696687</v>
      </c>
      <c r="U311" s="101">
        <f t="shared" si="22"/>
        <v>1868637.2444696687</v>
      </c>
      <c r="V311" s="101">
        <v>51147</v>
      </c>
      <c r="W311" s="149">
        <f t="shared" si="23"/>
        <v>3.6534640242236467E-2</v>
      </c>
    </row>
    <row r="312" spans="1:23" x14ac:dyDescent="0.25">
      <c r="A312" t="s">
        <v>522</v>
      </c>
      <c r="B312" t="s">
        <v>426</v>
      </c>
      <c r="C312" s="101">
        <f t="shared" si="25"/>
        <v>13596</v>
      </c>
      <c r="D312" s="101">
        <v>8051</v>
      </c>
      <c r="E312" s="101">
        <v>5545</v>
      </c>
      <c r="F312" s="101">
        <v>3065</v>
      </c>
      <c r="G312" s="101">
        <v>0</v>
      </c>
      <c r="H312" s="101">
        <v>1803</v>
      </c>
      <c r="I312" s="101">
        <v>169</v>
      </c>
      <c r="J312" s="101">
        <v>5709</v>
      </c>
      <c r="K312" s="101">
        <v>8163</v>
      </c>
      <c r="L312" s="101">
        <v>1044</v>
      </c>
      <c r="M312" s="101">
        <v>4</v>
      </c>
      <c r="N312" s="101">
        <v>1353</v>
      </c>
      <c r="O312" s="101">
        <v>815</v>
      </c>
      <c r="P312" s="101">
        <v>8265093010.9664555</v>
      </c>
      <c r="Q312" s="101">
        <v>1486162050.7715027</v>
      </c>
      <c r="R312" s="101">
        <v>1474399584.4371104</v>
      </c>
      <c r="S312" s="101">
        <f t="shared" si="24"/>
        <v>17886158.02684588</v>
      </c>
      <c r="T312" s="101">
        <f t="shared" si="21"/>
        <v>4290158.0268458799</v>
      </c>
      <c r="U312" s="101">
        <f t="shared" si="22"/>
        <v>4290158.0268458799</v>
      </c>
      <c r="V312" s="101">
        <v>200611</v>
      </c>
      <c r="W312" s="149">
        <f t="shared" si="23"/>
        <v>2.1385457561379384E-2</v>
      </c>
    </row>
    <row r="313" spans="1:23" x14ac:dyDescent="0.25">
      <c r="A313" t="s">
        <v>515</v>
      </c>
      <c r="B313" t="s">
        <v>828</v>
      </c>
      <c r="C313" s="101">
        <f t="shared" si="25"/>
        <v>16986</v>
      </c>
      <c r="D313" s="101">
        <v>9791</v>
      </c>
      <c r="E313" s="101">
        <v>7195</v>
      </c>
      <c r="F313" s="101">
        <v>199</v>
      </c>
      <c r="G313" s="101">
        <v>0</v>
      </c>
      <c r="H313" s="101">
        <v>518</v>
      </c>
      <c r="I313" s="101">
        <v>43</v>
      </c>
      <c r="J313" s="101">
        <v>11129</v>
      </c>
      <c r="K313" s="101">
        <v>0</v>
      </c>
      <c r="L313" s="101">
        <v>1088</v>
      </c>
      <c r="M313" s="101">
        <v>825</v>
      </c>
      <c r="N313" s="101">
        <v>2510</v>
      </c>
      <c r="O313" s="101">
        <v>350</v>
      </c>
      <c r="P313" s="101">
        <v>9360832097.0503063</v>
      </c>
      <c r="Q313" s="101">
        <v>1512755452.9188249</v>
      </c>
      <c r="R313" s="101">
        <v>1353195040.0348921</v>
      </c>
      <c r="S313" s="101">
        <f t="shared" si="24"/>
        <v>19247219.372506544</v>
      </c>
      <c r="T313" s="101">
        <f t="shared" ref="T313:T344" si="26">SUM(S313,-C313*1000)</f>
        <v>2261219.372506544</v>
      </c>
      <c r="U313" s="101">
        <f t="shared" ref="U313:U344" si="27">IF(T313&lt;0,0,T313)</f>
        <v>2261219.372506544</v>
      </c>
      <c r="V313" s="101">
        <v>166260</v>
      </c>
      <c r="W313" s="149">
        <f t="shared" si="23"/>
        <v>1.3600501458598244E-2</v>
      </c>
    </row>
    <row r="314" spans="1:23" x14ac:dyDescent="0.25">
      <c r="A314" t="s">
        <v>515</v>
      </c>
      <c r="B314" t="s">
        <v>205</v>
      </c>
      <c r="C314" s="101">
        <f t="shared" si="25"/>
        <v>5097</v>
      </c>
      <c r="D314" s="101">
        <v>3134</v>
      </c>
      <c r="E314" s="101">
        <v>1963</v>
      </c>
      <c r="F314" s="101">
        <v>0</v>
      </c>
      <c r="G314" s="101">
        <v>0</v>
      </c>
      <c r="H314" s="101">
        <v>333</v>
      </c>
      <c r="I314" s="101">
        <v>163</v>
      </c>
      <c r="J314" s="101">
        <v>2720</v>
      </c>
      <c r="K314" s="101">
        <v>0</v>
      </c>
      <c r="L314" s="101">
        <v>349</v>
      </c>
      <c r="M314" s="101">
        <v>13</v>
      </c>
      <c r="N314" s="101">
        <v>1320</v>
      </c>
      <c r="O314" s="101">
        <v>67</v>
      </c>
      <c r="P314" s="101">
        <v>3575789765.6553164</v>
      </c>
      <c r="Q314" s="101">
        <v>435722665.95227814</v>
      </c>
      <c r="R314" s="101">
        <v>361480848.6043576</v>
      </c>
      <c r="S314" s="101">
        <f t="shared" si="24"/>
        <v>6856508.5832681311</v>
      </c>
      <c r="T314" s="101">
        <f t="shared" si="26"/>
        <v>1759508.5832681311</v>
      </c>
      <c r="U314" s="101">
        <f t="shared" si="27"/>
        <v>1759508.5832681311</v>
      </c>
      <c r="V314" s="101">
        <v>57469</v>
      </c>
      <c r="W314" s="149">
        <f t="shared" ref="W314:W344" si="28">T314/(V314*1000)</f>
        <v>3.0616655645097898E-2</v>
      </c>
    </row>
    <row r="315" spans="1:23" x14ac:dyDescent="0.25">
      <c r="A315" t="s">
        <v>521</v>
      </c>
      <c r="B315" t="s">
        <v>601</v>
      </c>
      <c r="C315" s="101">
        <f t="shared" si="25"/>
        <v>16496</v>
      </c>
      <c r="D315" s="101">
        <v>10262</v>
      </c>
      <c r="E315" s="101">
        <v>6234</v>
      </c>
      <c r="F315" s="101">
        <v>7</v>
      </c>
      <c r="G315" s="101">
        <v>0</v>
      </c>
      <c r="H315" s="101">
        <v>0</v>
      </c>
      <c r="I315" s="101">
        <v>65</v>
      </c>
      <c r="J315" s="101">
        <v>7204</v>
      </c>
      <c r="K315" s="101">
        <v>10974</v>
      </c>
      <c r="L315" s="101">
        <v>970</v>
      </c>
      <c r="M315" s="101">
        <v>539</v>
      </c>
      <c r="N315" s="101">
        <v>1780</v>
      </c>
      <c r="O315" s="101">
        <v>202</v>
      </c>
      <c r="P315" s="101">
        <v>8590259858.0772171</v>
      </c>
      <c r="Q315" s="101">
        <v>1382856911.6607513</v>
      </c>
      <c r="R315" s="101">
        <v>1252958370.4026778</v>
      </c>
      <c r="S315" s="101">
        <f t="shared" si="24"/>
        <v>17698401.675217703</v>
      </c>
      <c r="T315" s="101">
        <f t="shared" si="26"/>
        <v>1202401.675217703</v>
      </c>
      <c r="U315" s="101">
        <f t="shared" si="27"/>
        <v>1202401.675217703</v>
      </c>
      <c r="V315" s="101">
        <v>213885</v>
      </c>
      <c r="W315" s="149">
        <f t="shared" si="28"/>
        <v>5.6217204348958695E-3</v>
      </c>
    </row>
    <row r="316" spans="1:23" x14ac:dyDescent="0.25">
      <c r="A316" t="s">
        <v>512</v>
      </c>
      <c r="B316" t="s">
        <v>114</v>
      </c>
      <c r="C316" s="101">
        <f t="shared" si="25"/>
        <v>4843</v>
      </c>
      <c r="D316" s="101">
        <v>3539</v>
      </c>
      <c r="E316" s="101">
        <v>1304</v>
      </c>
      <c r="F316" s="101">
        <v>0</v>
      </c>
      <c r="G316" s="101">
        <v>0</v>
      </c>
      <c r="H316" s="101">
        <v>1307</v>
      </c>
      <c r="I316" s="101">
        <v>1158</v>
      </c>
      <c r="J316" s="101">
        <v>2148</v>
      </c>
      <c r="K316" s="101">
        <v>2110</v>
      </c>
      <c r="L316" s="101">
        <v>301</v>
      </c>
      <c r="M316" s="101">
        <v>375</v>
      </c>
      <c r="N316" s="101">
        <v>551</v>
      </c>
      <c r="O316" s="101">
        <v>19</v>
      </c>
      <c r="P316" s="101">
        <v>3725303782.1724834</v>
      </c>
      <c r="Q316" s="101">
        <v>439813958.59032774</v>
      </c>
      <c r="R316" s="101">
        <v>359428869.5348196</v>
      </c>
      <c r="S316" s="101">
        <f t="shared" si="24"/>
        <v>7088437.6263811858</v>
      </c>
      <c r="T316" s="101">
        <f t="shared" si="26"/>
        <v>2245437.6263811858</v>
      </c>
      <c r="U316" s="101">
        <f t="shared" si="27"/>
        <v>2245437.6263811858</v>
      </c>
      <c r="V316" s="101">
        <v>66339</v>
      </c>
      <c r="W316" s="149">
        <f t="shared" si="28"/>
        <v>3.3847926956710017E-2</v>
      </c>
    </row>
    <row r="317" spans="1:23" x14ac:dyDescent="0.25">
      <c r="A317" t="s">
        <v>515</v>
      </c>
      <c r="B317" t="s">
        <v>206</v>
      </c>
      <c r="C317" s="101">
        <f t="shared" si="25"/>
        <v>4146</v>
      </c>
      <c r="D317" s="101">
        <v>3469</v>
      </c>
      <c r="E317" s="101">
        <v>677</v>
      </c>
      <c r="F317" s="101">
        <v>2</v>
      </c>
      <c r="G317" s="101">
        <v>0</v>
      </c>
      <c r="H317" s="101">
        <v>0</v>
      </c>
      <c r="I317" s="101">
        <v>177</v>
      </c>
      <c r="J317" s="101">
        <v>1880</v>
      </c>
      <c r="K317" s="101">
        <v>1842</v>
      </c>
      <c r="L317" s="101">
        <v>367</v>
      </c>
      <c r="M317" s="101">
        <v>54</v>
      </c>
      <c r="N317" s="101">
        <v>296</v>
      </c>
      <c r="O317" s="101">
        <v>36</v>
      </c>
      <c r="P317" s="101">
        <v>2265712404.1447577</v>
      </c>
      <c r="Q317" s="101">
        <v>119670309.66294964</v>
      </c>
      <c r="R317" s="101">
        <v>118129490.22522926</v>
      </c>
      <c r="S317" s="101">
        <f t="shared" si="24"/>
        <v>3990644.35842937</v>
      </c>
      <c r="T317" s="101">
        <f t="shared" si="26"/>
        <v>-155355.64157063002</v>
      </c>
      <c r="U317" s="101">
        <f t="shared" si="27"/>
        <v>0</v>
      </c>
      <c r="V317" s="101">
        <v>52178</v>
      </c>
      <c r="W317" s="149">
        <f t="shared" si="28"/>
        <v>-2.9774165658060874E-3</v>
      </c>
    </row>
    <row r="318" spans="1:23" x14ac:dyDescent="0.25">
      <c r="A318" t="s">
        <v>521</v>
      </c>
      <c r="B318" t="s">
        <v>602</v>
      </c>
      <c r="C318" s="101">
        <f t="shared" si="25"/>
        <v>7341</v>
      </c>
      <c r="D318" s="101">
        <v>4657</v>
      </c>
      <c r="E318" s="101">
        <v>2684</v>
      </c>
      <c r="F318" s="101">
        <v>0</v>
      </c>
      <c r="G318" s="101">
        <v>0</v>
      </c>
      <c r="H318" s="101">
        <v>392</v>
      </c>
      <c r="I318" s="101">
        <v>77</v>
      </c>
      <c r="J318" s="101">
        <v>4197</v>
      </c>
      <c r="K318" s="101">
        <v>4412</v>
      </c>
      <c r="L318" s="101">
        <v>479</v>
      </c>
      <c r="M318" s="101">
        <v>110</v>
      </c>
      <c r="N318" s="101">
        <v>500</v>
      </c>
      <c r="O318" s="101">
        <v>44</v>
      </c>
      <c r="P318" s="101">
        <v>3405364697.8770075</v>
      </c>
      <c r="Q318" s="101">
        <v>647447059.97134292</v>
      </c>
      <c r="R318" s="101">
        <v>559926548.3072325</v>
      </c>
      <c r="S318" s="101">
        <f t="shared" si="24"/>
        <v>7217722.3822138989</v>
      </c>
      <c r="T318" s="101">
        <f t="shared" si="26"/>
        <v>-123277.61778610107</v>
      </c>
      <c r="U318" s="101">
        <f t="shared" si="27"/>
        <v>0</v>
      </c>
      <c r="V318" s="101">
        <v>133240</v>
      </c>
      <c r="W318" s="149">
        <f t="shared" si="28"/>
        <v>-9.2522979425173422E-4</v>
      </c>
    </row>
    <row r="319" spans="1:23" x14ac:dyDescent="0.25">
      <c r="A319" t="s">
        <v>517</v>
      </c>
      <c r="B319" t="s">
        <v>322</v>
      </c>
      <c r="C319" s="101">
        <f t="shared" si="25"/>
        <v>40234</v>
      </c>
      <c r="D319" s="101">
        <v>17498</v>
      </c>
      <c r="E319" s="101">
        <v>22736</v>
      </c>
      <c r="F319" s="101">
        <v>373</v>
      </c>
      <c r="G319" s="101">
        <v>0</v>
      </c>
      <c r="H319" s="101">
        <v>318</v>
      </c>
      <c r="I319" s="101">
        <v>697</v>
      </c>
      <c r="J319" s="101">
        <v>17676</v>
      </c>
      <c r="K319" s="101">
        <v>15790</v>
      </c>
      <c r="L319" s="101">
        <v>1919</v>
      </c>
      <c r="M319" s="101">
        <v>938</v>
      </c>
      <c r="N319" s="101">
        <v>5374</v>
      </c>
      <c r="O319" s="101">
        <v>431</v>
      </c>
      <c r="P319" s="101">
        <v>21996334821.595482</v>
      </c>
      <c r="Q319" s="101">
        <v>5072180048.0219421</v>
      </c>
      <c r="R319" s="101">
        <v>5072180048.0219421</v>
      </c>
      <c r="S319" s="101">
        <f t="shared" si="24"/>
        <v>51264408.393634789</v>
      </c>
      <c r="T319" s="101">
        <f t="shared" si="26"/>
        <v>11030408.393634789</v>
      </c>
      <c r="U319" s="101">
        <f t="shared" si="27"/>
        <v>11030408.393634789</v>
      </c>
      <c r="V319" s="101">
        <v>373794</v>
      </c>
      <c r="W319" s="149">
        <f t="shared" si="28"/>
        <v>2.9509324370200669E-2</v>
      </c>
    </row>
    <row r="320" spans="1:23" x14ac:dyDescent="0.25">
      <c r="A320" t="s">
        <v>516</v>
      </c>
      <c r="B320" t="s">
        <v>138</v>
      </c>
      <c r="C320" s="101">
        <f t="shared" si="25"/>
        <v>5226</v>
      </c>
      <c r="D320" s="101">
        <v>3258</v>
      </c>
      <c r="E320" s="101">
        <v>1968</v>
      </c>
      <c r="F320" s="101">
        <v>0</v>
      </c>
      <c r="G320" s="101">
        <v>0</v>
      </c>
      <c r="H320" s="101">
        <v>170</v>
      </c>
      <c r="I320" s="101">
        <v>159</v>
      </c>
      <c r="J320" s="101">
        <v>2467</v>
      </c>
      <c r="K320" s="101">
        <v>3388</v>
      </c>
      <c r="L320" s="101">
        <v>399</v>
      </c>
      <c r="M320" s="101">
        <v>97</v>
      </c>
      <c r="N320" s="101">
        <v>525</v>
      </c>
      <c r="O320" s="101">
        <v>75</v>
      </c>
      <c r="P320" s="101">
        <v>3737850412.9291687</v>
      </c>
      <c r="Q320" s="101">
        <v>531868042.94644278</v>
      </c>
      <c r="R320" s="101">
        <v>453622071.24374497</v>
      </c>
      <c r="S320" s="101">
        <f t="shared" si="24"/>
        <v>7408925.8158895709</v>
      </c>
      <c r="T320" s="101">
        <f t="shared" si="26"/>
        <v>2182925.8158895709</v>
      </c>
      <c r="U320" s="101">
        <f t="shared" si="27"/>
        <v>2182925.8158895709</v>
      </c>
      <c r="V320" s="101">
        <v>104191</v>
      </c>
      <c r="W320" s="149">
        <f t="shared" si="28"/>
        <v>2.0951193633707045E-2</v>
      </c>
    </row>
    <row r="321" spans="1:23" x14ac:dyDescent="0.25">
      <c r="A321" t="s">
        <v>518</v>
      </c>
      <c r="B321" t="s">
        <v>160</v>
      </c>
      <c r="C321" s="101">
        <f t="shared" si="25"/>
        <v>6188</v>
      </c>
      <c r="D321" s="101">
        <v>4149</v>
      </c>
      <c r="E321" s="101">
        <v>2039</v>
      </c>
      <c r="F321" s="101">
        <v>0</v>
      </c>
      <c r="G321" s="101">
        <v>0</v>
      </c>
      <c r="H321" s="101">
        <v>328</v>
      </c>
      <c r="I321" s="101">
        <v>169</v>
      </c>
      <c r="J321" s="101">
        <v>3879</v>
      </c>
      <c r="K321" s="101">
        <v>2675</v>
      </c>
      <c r="L321" s="101">
        <v>503</v>
      </c>
      <c r="M321" s="101">
        <v>334</v>
      </c>
      <c r="N321" s="101">
        <v>1111</v>
      </c>
      <c r="O321" s="101">
        <v>42</v>
      </c>
      <c r="P321" s="101">
        <v>4468691654.5060883</v>
      </c>
      <c r="Q321" s="101">
        <v>502206171.3205834</v>
      </c>
      <c r="R321" s="101">
        <v>458691875.13072652</v>
      </c>
      <c r="S321" s="101">
        <f t="shared" si="24"/>
        <v>8590790.2706042305</v>
      </c>
      <c r="T321" s="101">
        <f t="shared" si="26"/>
        <v>2402790.2706042305</v>
      </c>
      <c r="U321" s="101">
        <f t="shared" si="27"/>
        <v>2402790.2706042305</v>
      </c>
      <c r="V321" s="101">
        <v>83803</v>
      </c>
      <c r="W321" s="149">
        <f t="shared" si="28"/>
        <v>2.8671888483756316E-2</v>
      </c>
    </row>
    <row r="322" spans="1:23" x14ac:dyDescent="0.25">
      <c r="A322" t="s">
        <v>515</v>
      </c>
      <c r="B322" t="s">
        <v>207</v>
      </c>
      <c r="C322" s="101">
        <f t="shared" si="25"/>
        <v>12322</v>
      </c>
      <c r="D322" s="101">
        <v>7639</v>
      </c>
      <c r="E322" s="101">
        <v>4683</v>
      </c>
      <c r="F322" s="101">
        <v>0</v>
      </c>
      <c r="G322" s="101">
        <v>0</v>
      </c>
      <c r="H322" s="101">
        <v>215</v>
      </c>
      <c r="I322" s="101">
        <v>892</v>
      </c>
      <c r="J322" s="101">
        <v>4676</v>
      </c>
      <c r="K322" s="101">
        <v>4571</v>
      </c>
      <c r="L322" s="101">
        <v>866</v>
      </c>
      <c r="M322" s="101">
        <v>0</v>
      </c>
      <c r="N322" s="101">
        <v>1442</v>
      </c>
      <c r="O322" s="101">
        <v>364</v>
      </c>
      <c r="P322" s="101">
        <v>7121258506.9819765</v>
      </c>
      <c r="Q322" s="101">
        <v>1051462207.9787369</v>
      </c>
      <c r="R322" s="101">
        <v>1016174808.9755596</v>
      </c>
      <c r="S322" s="101">
        <f t="shared" si="24"/>
        <v>14600004.959268289</v>
      </c>
      <c r="T322" s="101">
        <f t="shared" si="26"/>
        <v>2278004.9592682887</v>
      </c>
      <c r="U322" s="101">
        <f t="shared" si="27"/>
        <v>2278004.9592682887</v>
      </c>
      <c r="V322" s="101">
        <v>136099</v>
      </c>
      <c r="W322" s="149">
        <f t="shared" si="28"/>
        <v>1.6737852293318017E-2</v>
      </c>
    </row>
    <row r="323" spans="1:23" x14ac:dyDescent="0.25">
      <c r="A323" t="s">
        <v>514</v>
      </c>
      <c r="B323" t="s">
        <v>277</v>
      </c>
      <c r="C323" s="101">
        <f t="shared" si="25"/>
        <v>9794</v>
      </c>
      <c r="D323" s="101">
        <v>7775</v>
      </c>
      <c r="E323" s="101">
        <v>2019</v>
      </c>
      <c r="F323" s="101">
        <v>0</v>
      </c>
      <c r="G323" s="101">
        <v>0</v>
      </c>
      <c r="H323" s="101">
        <v>325</v>
      </c>
      <c r="I323" s="101">
        <v>1658</v>
      </c>
      <c r="J323" s="101">
        <v>4973</v>
      </c>
      <c r="K323" s="101">
        <v>4864</v>
      </c>
      <c r="L323" s="101">
        <v>261</v>
      </c>
      <c r="M323" s="101">
        <v>282</v>
      </c>
      <c r="N323" s="101">
        <v>412</v>
      </c>
      <c r="O323" s="101">
        <v>32</v>
      </c>
      <c r="P323" s="101">
        <v>6589072252.3859081</v>
      </c>
      <c r="Q323" s="101">
        <v>585054847.24108708</v>
      </c>
      <c r="R323" s="101">
        <v>546187567.17961633</v>
      </c>
      <c r="S323" s="101">
        <f t="shared" ref="S323:S344" si="29">SUM(P323,R323,R323)*0.1595%</f>
        <v>12251908.581858499</v>
      </c>
      <c r="T323" s="101">
        <f t="shared" si="26"/>
        <v>2457908.581858499</v>
      </c>
      <c r="U323" s="101">
        <f t="shared" si="27"/>
        <v>2457908.581858499</v>
      </c>
      <c r="V323" s="101">
        <v>67654</v>
      </c>
      <c r="W323" s="149">
        <f t="shared" si="28"/>
        <v>3.6330572942597616E-2</v>
      </c>
    </row>
    <row r="324" spans="1:23" x14ac:dyDescent="0.25">
      <c r="A324" t="s">
        <v>520</v>
      </c>
      <c r="B324" t="s">
        <v>232</v>
      </c>
      <c r="C324" s="101">
        <f t="shared" si="25"/>
        <v>6972</v>
      </c>
      <c r="D324" s="101">
        <v>5278</v>
      </c>
      <c r="E324" s="101">
        <v>1694</v>
      </c>
      <c r="F324" s="101">
        <v>36</v>
      </c>
      <c r="G324" s="101">
        <v>19</v>
      </c>
      <c r="H324" s="101">
        <v>46</v>
      </c>
      <c r="I324" s="101">
        <v>0</v>
      </c>
      <c r="J324" s="101">
        <v>2737</v>
      </c>
      <c r="K324" s="101">
        <v>3605</v>
      </c>
      <c r="L324" s="101">
        <v>435</v>
      </c>
      <c r="M324" s="101">
        <v>191</v>
      </c>
      <c r="N324" s="101">
        <v>618</v>
      </c>
      <c r="O324" s="101">
        <v>138</v>
      </c>
      <c r="P324" s="101">
        <v>4657936668.419425</v>
      </c>
      <c r="Q324" s="101">
        <v>326280587.8844524</v>
      </c>
      <c r="R324" s="101">
        <v>287352291.6847375</v>
      </c>
      <c r="S324" s="101">
        <f t="shared" si="29"/>
        <v>8346062.796603295</v>
      </c>
      <c r="T324" s="101">
        <f t="shared" si="26"/>
        <v>1374062.796603295</v>
      </c>
      <c r="U324" s="101">
        <f t="shared" si="27"/>
        <v>1374062.796603295</v>
      </c>
      <c r="V324" s="101">
        <v>66958</v>
      </c>
      <c r="W324" s="149">
        <f t="shared" si="28"/>
        <v>2.0521264025259042E-2</v>
      </c>
    </row>
    <row r="325" spans="1:23" x14ac:dyDescent="0.25">
      <c r="A325" t="s">
        <v>515</v>
      </c>
      <c r="B325" t="s">
        <v>208</v>
      </c>
      <c r="C325" s="101">
        <f t="shared" si="25"/>
        <v>7344</v>
      </c>
      <c r="D325" s="101">
        <v>4188</v>
      </c>
      <c r="E325" s="101">
        <v>3156</v>
      </c>
      <c r="F325" s="101">
        <v>0</v>
      </c>
      <c r="G325" s="101">
        <v>50</v>
      </c>
      <c r="H325" s="101">
        <v>1159</v>
      </c>
      <c r="I325" s="101">
        <v>90</v>
      </c>
      <c r="J325" s="101">
        <v>4554</v>
      </c>
      <c r="K325" s="101">
        <v>3160</v>
      </c>
      <c r="L325" s="101">
        <v>559</v>
      </c>
      <c r="M325" s="101">
        <v>237</v>
      </c>
      <c r="N325" s="101">
        <v>1300</v>
      </c>
      <c r="O325" s="101">
        <v>208</v>
      </c>
      <c r="P325" s="101">
        <v>4229260117.5660105</v>
      </c>
      <c r="Q325" s="101">
        <v>749729375.92258191</v>
      </c>
      <c r="R325" s="101">
        <v>655118233.66768587</v>
      </c>
      <c r="S325" s="101">
        <f t="shared" si="29"/>
        <v>8835497.052917704</v>
      </c>
      <c r="T325" s="101">
        <f t="shared" si="26"/>
        <v>1491497.052917704</v>
      </c>
      <c r="U325" s="101">
        <f t="shared" si="27"/>
        <v>1491497.052917704</v>
      </c>
      <c r="V325" s="101">
        <v>124343</v>
      </c>
      <c r="W325" s="149">
        <f t="shared" si="28"/>
        <v>1.1995022260341989E-2</v>
      </c>
    </row>
    <row r="326" spans="1:23" x14ac:dyDescent="0.25">
      <c r="A326" t="s">
        <v>513</v>
      </c>
      <c r="B326" t="s">
        <v>396</v>
      </c>
      <c r="C326" s="101">
        <f t="shared" si="25"/>
        <v>6061</v>
      </c>
      <c r="D326" s="101">
        <v>3796</v>
      </c>
      <c r="E326" s="101">
        <v>2265</v>
      </c>
      <c r="F326" s="101">
        <v>0</v>
      </c>
      <c r="G326" s="101">
        <v>0</v>
      </c>
      <c r="H326" s="101">
        <v>641</v>
      </c>
      <c r="I326" s="101">
        <v>178</v>
      </c>
      <c r="J326" s="101">
        <v>2356</v>
      </c>
      <c r="K326" s="101">
        <v>2884</v>
      </c>
      <c r="L326" s="101">
        <v>412</v>
      </c>
      <c r="M326" s="101">
        <v>88</v>
      </c>
      <c r="N326" s="101">
        <v>782</v>
      </c>
      <c r="O326" s="101">
        <v>123</v>
      </c>
      <c r="P326" s="101">
        <v>3550696504.1419458</v>
      </c>
      <c r="Q326" s="101">
        <v>687337163.19232607</v>
      </c>
      <c r="R326" s="101">
        <v>640252264.44795239</v>
      </c>
      <c r="S326" s="101">
        <f t="shared" si="29"/>
        <v>7705765.6476953719</v>
      </c>
      <c r="T326" s="101">
        <f t="shared" si="26"/>
        <v>1644765.6476953719</v>
      </c>
      <c r="U326" s="101">
        <f t="shared" si="27"/>
        <v>1644765.6476953719</v>
      </c>
      <c r="V326" s="101">
        <v>67169</v>
      </c>
      <c r="W326" s="149">
        <f t="shared" si="28"/>
        <v>2.4486975356122199E-2</v>
      </c>
    </row>
    <row r="327" spans="1:23" x14ac:dyDescent="0.25">
      <c r="A327" t="s">
        <v>520</v>
      </c>
      <c r="B327" t="s">
        <v>233</v>
      </c>
      <c r="C327" s="101">
        <f t="shared" si="25"/>
        <v>18242</v>
      </c>
      <c r="D327" s="101">
        <v>11444</v>
      </c>
      <c r="E327" s="101">
        <v>6798</v>
      </c>
      <c r="F327" s="101">
        <v>2356</v>
      </c>
      <c r="G327" s="101">
        <v>146</v>
      </c>
      <c r="H327" s="101">
        <v>221</v>
      </c>
      <c r="I327" s="101">
        <v>280</v>
      </c>
      <c r="J327" s="101">
        <v>8114</v>
      </c>
      <c r="K327" s="101">
        <v>7230</v>
      </c>
      <c r="L327" s="101">
        <v>941</v>
      </c>
      <c r="M327" s="101">
        <v>958</v>
      </c>
      <c r="N327" s="101">
        <v>1766</v>
      </c>
      <c r="O327" s="101">
        <v>469</v>
      </c>
      <c r="P327" s="101">
        <v>9829239645.2998924</v>
      </c>
      <c r="Q327" s="101">
        <v>1180337926.0772982</v>
      </c>
      <c r="R327" s="101">
        <v>1122548417.5648482</v>
      </c>
      <c r="S327" s="101">
        <f t="shared" si="29"/>
        <v>19258566.686285194</v>
      </c>
      <c r="T327" s="101">
        <f t="shared" si="26"/>
        <v>1016566.686285194</v>
      </c>
      <c r="U327" s="101">
        <f t="shared" si="27"/>
        <v>1016566.686285194</v>
      </c>
      <c r="V327" s="101">
        <v>191203</v>
      </c>
      <c r="W327" s="149">
        <f t="shared" si="28"/>
        <v>5.3166879509484368E-3</v>
      </c>
    </row>
    <row r="328" spans="1:23" x14ac:dyDescent="0.25">
      <c r="A328" t="s">
        <v>514</v>
      </c>
      <c r="B328" t="s">
        <v>278</v>
      </c>
      <c r="C328" s="101">
        <f t="shared" si="25"/>
        <v>4765</v>
      </c>
      <c r="D328" s="101">
        <v>3511</v>
      </c>
      <c r="E328" s="101">
        <v>1254</v>
      </c>
      <c r="F328" s="101">
        <v>0</v>
      </c>
      <c r="G328" s="101">
        <v>0</v>
      </c>
      <c r="H328" s="101">
        <v>31</v>
      </c>
      <c r="I328" s="101">
        <v>151</v>
      </c>
      <c r="J328" s="101">
        <v>2252</v>
      </c>
      <c r="K328" s="101">
        <v>3013</v>
      </c>
      <c r="L328" s="101">
        <v>360</v>
      </c>
      <c r="M328" s="101">
        <v>181</v>
      </c>
      <c r="N328" s="101">
        <v>254</v>
      </c>
      <c r="O328" s="101">
        <v>63</v>
      </c>
      <c r="P328" s="101">
        <v>3199390842.9547567</v>
      </c>
      <c r="Q328" s="101">
        <v>320143648.92737806</v>
      </c>
      <c r="R328" s="101">
        <v>300678915.07259351</v>
      </c>
      <c r="S328" s="101">
        <f t="shared" si="29"/>
        <v>6062194.1335944114</v>
      </c>
      <c r="T328" s="101">
        <f t="shared" si="26"/>
        <v>1297194.1335944114</v>
      </c>
      <c r="U328" s="101">
        <f t="shared" si="27"/>
        <v>1297194.1335944114</v>
      </c>
      <c r="V328" s="101">
        <v>50458</v>
      </c>
      <c r="W328" s="149">
        <f t="shared" si="28"/>
        <v>2.5708393784819285E-2</v>
      </c>
    </row>
    <row r="329" spans="1:23" x14ac:dyDescent="0.25">
      <c r="A329" t="s">
        <v>520</v>
      </c>
      <c r="B329" t="s">
        <v>234</v>
      </c>
      <c r="C329" s="101">
        <f t="shared" si="25"/>
        <v>3412</v>
      </c>
      <c r="D329" s="101">
        <v>2501</v>
      </c>
      <c r="E329" s="101">
        <v>911</v>
      </c>
      <c r="F329" s="101">
        <v>0</v>
      </c>
      <c r="G329" s="101">
        <v>0</v>
      </c>
      <c r="H329" s="101">
        <v>357</v>
      </c>
      <c r="I329" s="101">
        <v>107</v>
      </c>
      <c r="J329" s="101">
        <v>1493</v>
      </c>
      <c r="K329" s="101">
        <v>1866</v>
      </c>
      <c r="L329" s="101">
        <v>205</v>
      </c>
      <c r="M329" s="101">
        <v>234</v>
      </c>
      <c r="N329" s="101">
        <v>481</v>
      </c>
      <c r="O329" s="101">
        <v>7</v>
      </c>
      <c r="P329" s="101">
        <v>2850176286.893682</v>
      </c>
      <c r="Q329" s="101">
        <v>304801301.53469223</v>
      </c>
      <c r="R329" s="101">
        <v>282261373.35397547</v>
      </c>
      <c r="S329" s="101">
        <f t="shared" si="29"/>
        <v>5446444.9585946044</v>
      </c>
      <c r="T329" s="101">
        <f t="shared" si="26"/>
        <v>2034444.9585946044</v>
      </c>
      <c r="U329" s="101">
        <f t="shared" si="27"/>
        <v>2034444.9585946044</v>
      </c>
      <c r="V329" s="101">
        <v>47920</v>
      </c>
      <c r="W329" s="149">
        <f t="shared" si="28"/>
        <v>4.2455028351306434E-2</v>
      </c>
    </row>
    <row r="330" spans="1:23" x14ac:dyDescent="0.25">
      <c r="A330" t="s">
        <v>514</v>
      </c>
      <c r="B330" t="s">
        <v>279</v>
      </c>
      <c r="C330" s="101">
        <f t="shared" si="25"/>
        <v>41796</v>
      </c>
      <c r="D330" s="101">
        <v>22005</v>
      </c>
      <c r="E330" s="101">
        <v>19791</v>
      </c>
      <c r="F330" s="101">
        <v>6740</v>
      </c>
      <c r="G330" s="101">
        <v>336</v>
      </c>
      <c r="H330" s="101">
        <v>3033</v>
      </c>
      <c r="I330" s="101">
        <v>663</v>
      </c>
      <c r="J330" s="101">
        <v>26024</v>
      </c>
      <c r="K330" s="101">
        <v>25168</v>
      </c>
      <c r="L330" s="101">
        <v>3693</v>
      </c>
      <c r="M330" s="101">
        <v>1390</v>
      </c>
      <c r="N330" s="101">
        <v>7105</v>
      </c>
      <c r="O330" s="101">
        <v>1965</v>
      </c>
      <c r="P330" s="101">
        <v>29293246159.171055</v>
      </c>
      <c r="Q330" s="101">
        <v>3888773652.4661074</v>
      </c>
      <c r="R330" s="101">
        <v>3855531899.7819543</v>
      </c>
      <c r="S330" s="101">
        <f t="shared" si="29"/>
        <v>59021874.384182267</v>
      </c>
      <c r="T330" s="101">
        <f t="shared" si="26"/>
        <v>17225874.384182267</v>
      </c>
      <c r="U330" s="101">
        <f t="shared" si="27"/>
        <v>17225874.384182267</v>
      </c>
      <c r="V330" s="101">
        <v>732529</v>
      </c>
      <c r="W330" s="149">
        <f t="shared" si="28"/>
        <v>2.3515621066445516E-2</v>
      </c>
    </row>
    <row r="331" spans="1:23" x14ac:dyDescent="0.25">
      <c r="A331" t="s">
        <v>515</v>
      </c>
      <c r="B331" t="s">
        <v>209</v>
      </c>
      <c r="C331" s="101">
        <f t="shared" si="25"/>
        <v>9074</v>
      </c>
      <c r="D331" s="101">
        <v>4223</v>
      </c>
      <c r="E331" s="101">
        <v>4851</v>
      </c>
      <c r="F331" s="101">
        <v>792</v>
      </c>
      <c r="G331" s="101">
        <v>0</v>
      </c>
      <c r="H331" s="101">
        <v>324</v>
      </c>
      <c r="I331" s="101">
        <v>396</v>
      </c>
      <c r="J331" s="101">
        <v>5307</v>
      </c>
      <c r="K331" s="101">
        <v>0</v>
      </c>
      <c r="L331" s="101">
        <v>596</v>
      </c>
      <c r="M331" s="101">
        <v>434</v>
      </c>
      <c r="N331" s="101">
        <v>1471</v>
      </c>
      <c r="O331" s="101">
        <v>175</v>
      </c>
      <c r="P331" s="101">
        <v>4775038555.481822</v>
      </c>
      <c r="Q331" s="101">
        <v>942020129.91091108</v>
      </c>
      <c r="R331" s="101">
        <v>906713563.39062178</v>
      </c>
      <c r="S331" s="101">
        <f t="shared" si="29"/>
        <v>10508602.763209591</v>
      </c>
      <c r="T331" s="101">
        <f t="shared" si="26"/>
        <v>1434602.7632095907</v>
      </c>
      <c r="U331" s="101">
        <f t="shared" si="27"/>
        <v>1434602.7632095907</v>
      </c>
      <c r="V331" s="101">
        <v>103957</v>
      </c>
      <c r="W331" s="149">
        <f t="shared" si="28"/>
        <v>1.3799963092524705E-2</v>
      </c>
    </row>
    <row r="332" spans="1:23" x14ac:dyDescent="0.25">
      <c r="A332" t="s">
        <v>514</v>
      </c>
      <c r="B332" t="s">
        <v>280</v>
      </c>
      <c r="C332" s="101">
        <f t="shared" si="25"/>
        <v>4514</v>
      </c>
      <c r="D332" s="101">
        <v>3237</v>
      </c>
      <c r="E332" s="101">
        <v>1277</v>
      </c>
      <c r="F332" s="101">
        <v>10506</v>
      </c>
      <c r="G332" s="101">
        <v>164</v>
      </c>
      <c r="H332" s="101">
        <v>4310</v>
      </c>
      <c r="I332" s="101">
        <v>972</v>
      </c>
      <c r="J332" s="101">
        <v>2390</v>
      </c>
      <c r="K332" s="101">
        <v>2493</v>
      </c>
      <c r="L332" s="101">
        <v>394</v>
      </c>
      <c r="M332" s="101">
        <v>146</v>
      </c>
      <c r="N332" s="101">
        <v>494</v>
      </c>
      <c r="O332" s="101">
        <v>995</v>
      </c>
      <c r="P332" s="101">
        <v>4739489768.3378801</v>
      </c>
      <c r="Q332" s="101">
        <v>361056575.30787367</v>
      </c>
      <c r="R332" s="101">
        <v>342645758.43665063</v>
      </c>
      <c r="S332" s="101">
        <f t="shared" si="29"/>
        <v>8652526.1499118339</v>
      </c>
      <c r="T332" s="101">
        <f t="shared" si="26"/>
        <v>4138526.1499118339</v>
      </c>
      <c r="U332" s="101">
        <f t="shared" si="27"/>
        <v>4138526.1499118339</v>
      </c>
      <c r="V332" s="101">
        <v>75540</v>
      </c>
      <c r="W332" s="149">
        <f t="shared" si="28"/>
        <v>5.4785890255650435E-2</v>
      </c>
    </row>
    <row r="333" spans="1:23" x14ac:dyDescent="0.25">
      <c r="A333" t="s">
        <v>519</v>
      </c>
      <c r="B333" t="s">
        <v>432</v>
      </c>
      <c r="C333" s="101">
        <f t="shared" si="25"/>
        <v>11793</v>
      </c>
      <c r="D333" s="101">
        <v>6019</v>
      </c>
      <c r="E333" s="101">
        <v>5774</v>
      </c>
      <c r="F333" s="101">
        <v>0</v>
      </c>
      <c r="G333" s="101">
        <v>0</v>
      </c>
      <c r="H333" s="101">
        <v>3850</v>
      </c>
      <c r="I333" s="101">
        <v>643</v>
      </c>
      <c r="J333" s="101">
        <v>1339</v>
      </c>
      <c r="K333" s="101">
        <v>3739</v>
      </c>
      <c r="L333" s="101">
        <v>507</v>
      </c>
      <c r="M333" s="101">
        <v>110</v>
      </c>
      <c r="N333" s="101">
        <v>800</v>
      </c>
      <c r="O333" s="101">
        <v>85</v>
      </c>
      <c r="P333" s="101">
        <v>4430006209.6729755</v>
      </c>
      <c r="Q333" s="101">
        <v>1339898338.961231</v>
      </c>
      <c r="R333" s="101">
        <v>1339898338.961231</v>
      </c>
      <c r="S333" s="101">
        <f t="shared" si="29"/>
        <v>11340135.605714723</v>
      </c>
      <c r="T333" s="101">
        <f t="shared" si="26"/>
        <v>-452864.39428527653</v>
      </c>
      <c r="U333" s="101">
        <f t="shared" si="27"/>
        <v>0</v>
      </c>
      <c r="V333" s="101">
        <v>91893</v>
      </c>
      <c r="W333" s="149">
        <f t="shared" si="28"/>
        <v>-4.9281707451631412E-3</v>
      </c>
    </row>
    <row r="334" spans="1:23" x14ac:dyDescent="0.25">
      <c r="A334" t="s">
        <v>520</v>
      </c>
      <c r="B334" t="s">
        <v>235</v>
      </c>
      <c r="C334" s="101">
        <f t="shared" si="25"/>
        <v>16005</v>
      </c>
      <c r="D334" s="101">
        <v>9883</v>
      </c>
      <c r="E334" s="101">
        <v>6122</v>
      </c>
      <c r="F334" s="101">
        <v>3574</v>
      </c>
      <c r="G334" s="101">
        <v>162</v>
      </c>
      <c r="H334" s="101">
        <v>462</v>
      </c>
      <c r="I334" s="101">
        <v>200</v>
      </c>
      <c r="J334" s="101">
        <v>6199</v>
      </c>
      <c r="K334" s="101">
        <v>10896</v>
      </c>
      <c r="L334" s="101">
        <v>1582</v>
      </c>
      <c r="M334" s="101">
        <v>1874</v>
      </c>
      <c r="N334" s="101">
        <v>4026</v>
      </c>
      <c r="O334" s="101">
        <v>115</v>
      </c>
      <c r="P334" s="101">
        <v>16107782786.457838</v>
      </c>
      <c r="Q334" s="101">
        <v>1668224573.1647079</v>
      </c>
      <c r="R334" s="101">
        <v>1573613430.909812</v>
      </c>
      <c r="S334" s="101">
        <f t="shared" si="29"/>
        <v>30711740.389002554</v>
      </c>
      <c r="T334" s="101">
        <f t="shared" si="26"/>
        <v>14706740.389002554</v>
      </c>
      <c r="U334" s="101">
        <f t="shared" si="27"/>
        <v>14706740.389002554</v>
      </c>
      <c r="V334" s="101">
        <v>220495</v>
      </c>
      <c r="W334" s="149">
        <f t="shared" si="28"/>
        <v>6.6698747767534663E-2</v>
      </c>
    </row>
    <row r="335" spans="1:23" x14ac:dyDescent="0.25">
      <c r="A335" t="s">
        <v>515</v>
      </c>
      <c r="B335" t="s">
        <v>210</v>
      </c>
      <c r="C335" s="101">
        <f t="shared" si="25"/>
        <v>15028</v>
      </c>
      <c r="D335" s="101">
        <v>9009</v>
      </c>
      <c r="E335" s="101">
        <v>6019</v>
      </c>
      <c r="F335" s="101">
        <v>1290</v>
      </c>
      <c r="G335" s="101">
        <v>38</v>
      </c>
      <c r="H335" s="101">
        <v>382</v>
      </c>
      <c r="I335" s="101">
        <v>105</v>
      </c>
      <c r="J335" s="101">
        <v>5182</v>
      </c>
      <c r="K335" s="101">
        <v>4703</v>
      </c>
      <c r="L335" s="101">
        <v>1110</v>
      </c>
      <c r="M335" s="101">
        <v>135</v>
      </c>
      <c r="N335" s="101">
        <v>961</v>
      </c>
      <c r="O335" s="101">
        <v>154</v>
      </c>
      <c r="P335" s="101">
        <v>6836868209.8304424</v>
      </c>
      <c r="Q335" s="101">
        <v>1090329488.0402079</v>
      </c>
      <c r="R335" s="101">
        <v>1062201851.1536171</v>
      </c>
      <c r="S335" s="101">
        <f t="shared" si="29"/>
        <v>14293228.699859595</v>
      </c>
      <c r="T335" s="101">
        <f t="shared" si="26"/>
        <v>-734771.30014040507</v>
      </c>
      <c r="U335" s="101">
        <f t="shared" si="27"/>
        <v>0</v>
      </c>
      <c r="V335" s="101">
        <v>177303</v>
      </c>
      <c r="W335" s="149">
        <f t="shared" si="28"/>
        <v>-4.1441560500409189E-3</v>
      </c>
    </row>
    <row r="336" spans="1:23" x14ac:dyDescent="0.25">
      <c r="A336" t="s">
        <v>517</v>
      </c>
      <c r="B336" t="s">
        <v>324</v>
      </c>
      <c r="C336" s="101">
        <f t="shared" si="25"/>
        <v>43757</v>
      </c>
      <c r="D336" s="101">
        <v>26454</v>
      </c>
      <c r="E336" s="101">
        <v>17303</v>
      </c>
      <c r="F336" s="101">
        <v>2074</v>
      </c>
      <c r="G336" s="101">
        <v>224</v>
      </c>
      <c r="H336" s="101">
        <v>442</v>
      </c>
      <c r="I336" s="101">
        <v>117</v>
      </c>
      <c r="J336" s="101">
        <v>8066</v>
      </c>
      <c r="K336" s="101">
        <v>18748</v>
      </c>
      <c r="L336" s="101">
        <v>2550</v>
      </c>
      <c r="M336" s="101">
        <v>484</v>
      </c>
      <c r="N336" s="101">
        <v>4065</v>
      </c>
      <c r="O336" s="101">
        <v>566</v>
      </c>
      <c r="P336" s="101">
        <v>21980651533.149624</v>
      </c>
      <c r="Q336" s="101">
        <v>2459889698.6272979</v>
      </c>
      <c r="R336" s="101">
        <v>2432267730.7075906</v>
      </c>
      <c r="S336" s="101">
        <f t="shared" si="29"/>
        <v>42818073.25633087</v>
      </c>
      <c r="T336" s="101">
        <f t="shared" si="26"/>
        <v>-938926.74366912991</v>
      </c>
      <c r="U336" s="101">
        <f t="shared" si="27"/>
        <v>0</v>
      </c>
      <c r="V336" s="101">
        <v>497946</v>
      </c>
      <c r="W336" s="149">
        <f t="shared" si="28"/>
        <v>-1.8855995302083557E-3</v>
      </c>
    </row>
    <row r="337" spans="1:28" x14ac:dyDescent="0.25">
      <c r="A337" t="s">
        <v>517</v>
      </c>
      <c r="B337" t="s">
        <v>325</v>
      </c>
      <c r="C337" s="101">
        <f t="shared" si="25"/>
        <v>6126</v>
      </c>
      <c r="D337" s="101">
        <v>2790</v>
      </c>
      <c r="E337" s="101">
        <v>3336</v>
      </c>
      <c r="F337" s="101">
        <v>0</v>
      </c>
      <c r="G337" s="101">
        <v>0</v>
      </c>
      <c r="H337" s="101">
        <v>0</v>
      </c>
      <c r="I337" s="101">
        <v>0</v>
      </c>
      <c r="J337" s="101">
        <v>1467</v>
      </c>
      <c r="K337" s="101">
        <v>1185</v>
      </c>
      <c r="L337" s="101">
        <v>219</v>
      </c>
      <c r="M337" s="101">
        <v>5</v>
      </c>
      <c r="N337" s="101">
        <v>113</v>
      </c>
      <c r="O337" s="101">
        <v>28</v>
      </c>
      <c r="P337" s="101">
        <v>2109925072.2492483</v>
      </c>
      <c r="Q337" s="101">
        <v>451065013.34496397</v>
      </c>
      <c r="R337" s="101">
        <v>451065013.34496397</v>
      </c>
      <c r="S337" s="101">
        <f t="shared" si="29"/>
        <v>4804227.8828079859</v>
      </c>
      <c r="T337" s="101">
        <f t="shared" si="26"/>
        <v>-1321772.1171920141</v>
      </c>
      <c r="U337" s="101">
        <f t="shared" si="27"/>
        <v>0</v>
      </c>
      <c r="V337" s="101">
        <v>31219</v>
      </c>
      <c r="W337" s="149">
        <f t="shared" si="28"/>
        <v>-4.2338707748230696E-2</v>
      </c>
    </row>
    <row r="338" spans="1:28" x14ac:dyDescent="0.25">
      <c r="A338" t="s">
        <v>517</v>
      </c>
      <c r="B338" t="s">
        <v>326</v>
      </c>
      <c r="C338" s="101">
        <f t="shared" si="25"/>
        <v>13950</v>
      </c>
      <c r="D338" s="101">
        <v>9241</v>
      </c>
      <c r="E338" s="101">
        <v>4709</v>
      </c>
      <c r="F338" s="101">
        <v>12</v>
      </c>
      <c r="G338" s="101">
        <v>22</v>
      </c>
      <c r="H338" s="101">
        <v>481</v>
      </c>
      <c r="I338" s="101">
        <v>191</v>
      </c>
      <c r="J338" s="101">
        <v>4917</v>
      </c>
      <c r="K338" s="101">
        <v>5769</v>
      </c>
      <c r="L338" s="101">
        <v>1127</v>
      </c>
      <c r="M338" s="101">
        <v>324</v>
      </c>
      <c r="N338" s="101">
        <v>1922</v>
      </c>
      <c r="O338" s="101">
        <v>47</v>
      </c>
      <c r="P338" s="101">
        <v>8856875761.6567802</v>
      </c>
      <c r="Q338" s="101">
        <v>1187497688.1938848</v>
      </c>
      <c r="R338" s="101">
        <v>1183917807.1355915</v>
      </c>
      <c r="S338" s="101">
        <f t="shared" si="29"/>
        <v>17903414.644605104</v>
      </c>
      <c r="T338" s="101">
        <f t="shared" si="26"/>
        <v>3953414.6446051039</v>
      </c>
      <c r="U338" s="101">
        <f t="shared" si="27"/>
        <v>3953414.6446051039</v>
      </c>
      <c r="V338" s="101">
        <v>281021</v>
      </c>
      <c r="W338" s="149">
        <f t="shared" si="28"/>
        <v>1.4068039913761264E-2</v>
      </c>
    </row>
    <row r="339" spans="1:28" x14ac:dyDescent="0.25">
      <c r="A339" t="s">
        <v>513</v>
      </c>
      <c r="B339" t="s">
        <v>397</v>
      </c>
      <c r="C339" s="101">
        <f t="shared" si="25"/>
        <v>6695</v>
      </c>
      <c r="D339" s="101">
        <v>4682</v>
      </c>
      <c r="E339" s="101">
        <v>2013</v>
      </c>
      <c r="F339" s="101">
        <v>0</v>
      </c>
      <c r="G339" s="101">
        <v>0</v>
      </c>
      <c r="H339" s="101">
        <v>103</v>
      </c>
      <c r="I339" s="101">
        <v>14</v>
      </c>
      <c r="J339" s="101">
        <v>3287</v>
      </c>
      <c r="K339" s="101">
        <v>3358</v>
      </c>
      <c r="L339" s="101">
        <v>336</v>
      </c>
      <c r="M339" s="101">
        <v>2</v>
      </c>
      <c r="N339" s="101">
        <v>1433</v>
      </c>
      <c r="O339" s="101">
        <v>166</v>
      </c>
      <c r="P339" s="101">
        <v>4442552840.4296608</v>
      </c>
      <c r="Q339" s="101">
        <v>679154577.91622698</v>
      </c>
      <c r="R339" s="101">
        <v>599314250.74596977</v>
      </c>
      <c r="S339" s="101">
        <f t="shared" si="29"/>
        <v>8997684.240364952</v>
      </c>
      <c r="T339" s="101">
        <f t="shared" si="26"/>
        <v>2302684.240364952</v>
      </c>
      <c r="U339" s="101">
        <f t="shared" si="27"/>
        <v>2302684.240364952</v>
      </c>
      <c r="V339" s="101">
        <v>69440</v>
      </c>
      <c r="W339" s="149">
        <f t="shared" si="28"/>
        <v>3.3160775350877768E-2</v>
      </c>
    </row>
    <row r="340" spans="1:28" x14ac:dyDescent="0.25">
      <c r="A340" t="s">
        <v>515</v>
      </c>
      <c r="B340" t="s">
        <v>211</v>
      </c>
      <c r="C340" s="101">
        <f t="shared" si="25"/>
        <v>14949</v>
      </c>
      <c r="D340" s="101">
        <v>8463</v>
      </c>
      <c r="E340" s="101">
        <v>6486</v>
      </c>
      <c r="F340" s="101">
        <v>3085</v>
      </c>
      <c r="G340" s="101">
        <v>97</v>
      </c>
      <c r="H340" s="101">
        <v>200</v>
      </c>
      <c r="I340" s="101">
        <v>0</v>
      </c>
      <c r="J340" s="101">
        <v>4009</v>
      </c>
      <c r="K340" s="101">
        <v>6585</v>
      </c>
      <c r="L340" s="101">
        <v>942</v>
      </c>
      <c r="M340" s="101">
        <v>215</v>
      </c>
      <c r="N340" s="101">
        <v>1631</v>
      </c>
      <c r="O340" s="101">
        <v>295</v>
      </c>
      <c r="P340" s="101">
        <v>8006841527.8913488</v>
      </c>
      <c r="Q340" s="101">
        <v>999298226.84360492</v>
      </c>
      <c r="R340" s="101">
        <v>958364351.70408201</v>
      </c>
      <c r="S340" s="101">
        <f t="shared" si="29"/>
        <v>15828094.518922724</v>
      </c>
      <c r="T340" s="101">
        <f t="shared" si="26"/>
        <v>879094.51892272383</v>
      </c>
      <c r="U340" s="101">
        <f t="shared" si="27"/>
        <v>879094.51892272383</v>
      </c>
      <c r="V340" s="101">
        <v>215010</v>
      </c>
      <c r="W340" s="149">
        <f t="shared" si="28"/>
        <v>4.0886215474755768E-3</v>
      </c>
    </row>
    <row r="341" spans="1:28" x14ac:dyDescent="0.25">
      <c r="A341" t="s">
        <v>518</v>
      </c>
      <c r="B341" t="s">
        <v>161</v>
      </c>
      <c r="C341" s="101">
        <f t="shared" si="25"/>
        <v>6241</v>
      </c>
      <c r="D341" s="101">
        <v>2632</v>
      </c>
      <c r="E341" s="101">
        <v>3609</v>
      </c>
      <c r="F341" s="101">
        <v>0</v>
      </c>
      <c r="G341" s="101">
        <v>18</v>
      </c>
      <c r="H341" s="101">
        <v>91</v>
      </c>
      <c r="I341" s="101">
        <v>75</v>
      </c>
      <c r="J341" s="101">
        <v>3602</v>
      </c>
      <c r="K341" s="101">
        <v>2140</v>
      </c>
      <c r="L341" s="101">
        <v>468</v>
      </c>
      <c r="M341" s="101">
        <v>507</v>
      </c>
      <c r="N341" s="101">
        <v>917</v>
      </c>
      <c r="O341" s="101">
        <v>349</v>
      </c>
      <c r="P341" s="101">
        <v>2949503780.3841076</v>
      </c>
      <c r="Q341" s="101">
        <v>828486759.20503581</v>
      </c>
      <c r="R341" s="101">
        <v>768651604.37356114</v>
      </c>
      <c r="S341" s="101">
        <f t="shared" si="29"/>
        <v>7156457.1476643113</v>
      </c>
      <c r="T341" s="101">
        <f t="shared" si="26"/>
        <v>915457.14766431134</v>
      </c>
      <c r="U341" s="101">
        <f t="shared" si="27"/>
        <v>915457.14766431134</v>
      </c>
      <c r="V341" s="101">
        <v>78676</v>
      </c>
      <c r="W341" s="149">
        <f t="shared" si="28"/>
        <v>1.1635786614270061E-2</v>
      </c>
    </row>
    <row r="342" spans="1:28" x14ac:dyDescent="0.25">
      <c r="A342" t="s">
        <v>517</v>
      </c>
      <c r="B342" t="s">
        <v>327</v>
      </c>
      <c r="C342" s="101">
        <f t="shared" si="25"/>
        <v>12661</v>
      </c>
      <c r="D342" s="101">
        <v>6230</v>
      </c>
      <c r="E342" s="101">
        <v>6431</v>
      </c>
      <c r="F342" s="101">
        <v>217</v>
      </c>
      <c r="G342" s="101">
        <v>102</v>
      </c>
      <c r="H342" s="101">
        <v>0</v>
      </c>
      <c r="I342" s="101">
        <v>89</v>
      </c>
      <c r="J342" s="101">
        <v>7357</v>
      </c>
      <c r="K342" s="101">
        <v>7485</v>
      </c>
      <c r="L342" s="101">
        <v>943</v>
      </c>
      <c r="M342" s="101">
        <v>690</v>
      </c>
      <c r="N342" s="101">
        <v>1459</v>
      </c>
      <c r="O342" s="101">
        <v>784</v>
      </c>
      <c r="P342" s="101">
        <v>6874508102.1004992</v>
      </c>
      <c r="Q342" s="101">
        <v>1070895848.0094724</v>
      </c>
      <c r="R342" s="101">
        <v>1043791034.2823939</v>
      </c>
      <c r="S342" s="101">
        <f t="shared" si="29"/>
        <v>14294533.822211133</v>
      </c>
      <c r="T342" s="101">
        <f t="shared" si="26"/>
        <v>1633533.8222111333</v>
      </c>
      <c r="U342" s="101">
        <f t="shared" si="27"/>
        <v>1633533.8222111333</v>
      </c>
      <c r="V342" s="101">
        <v>192121</v>
      </c>
      <c r="W342" s="149">
        <f t="shared" si="28"/>
        <v>8.502630228924132E-3</v>
      </c>
    </row>
    <row r="343" spans="1:28" x14ac:dyDescent="0.25">
      <c r="A343" t="s">
        <v>518</v>
      </c>
      <c r="B343" t="s">
        <v>162</v>
      </c>
      <c r="C343" s="101">
        <f t="shared" si="25"/>
        <v>61012</v>
      </c>
      <c r="D343" s="101">
        <v>22621</v>
      </c>
      <c r="E343" s="101">
        <v>38391</v>
      </c>
      <c r="F343" s="101">
        <v>13232</v>
      </c>
      <c r="G343" s="101">
        <v>448</v>
      </c>
      <c r="H343" s="101">
        <v>1006</v>
      </c>
      <c r="I343" s="101">
        <v>552</v>
      </c>
      <c r="J343" s="101">
        <v>8835</v>
      </c>
      <c r="K343" s="101">
        <v>18911</v>
      </c>
      <c r="L343" s="101">
        <v>3416</v>
      </c>
      <c r="M343" s="101">
        <v>1559</v>
      </c>
      <c r="N343" s="101">
        <v>6080</v>
      </c>
      <c r="O343" s="101">
        <v>731</v>
      </c>
      <c r="P343" s="101">
        <v>22659215146.573689</v>
      </c>
      <c r="Q343" s="101">
        <v>4492239316.5784178</v>
      </c>
      <c r="R343" s="101">
        <v>4409892677.6203022</v>
      </c>
      <c r="S343" s="101">
        <f t="shared" si="29"/>
        <v>50209005.800393797</v>
      </c>
      <c r="T343" s="101">
        <f t="shared" si="26"/>
        <v>-10802994.199606203</v>
      </c>
      <c r="U343" s="101">
        <f t="shared" si="27"/>
        <v>0</v>
      </c>
      <c r="V343" s="101">
        <v>768840</v>
      </c>
      <c r="W343" s="149">
        <f t="shared" si="28"/>
        <v>-1.4051030382922589E-2</v>
      </c>
    </row>
    <row r="344" spans="1:28" x14ac:dyDescent="0.25">
      <c r="B344" t="s">
        <v>440</v>
      </c>
      <c r="C344" s="101">
        <f t="shared" ref="C344:O344" si="30">SUM(C2:C343)</f>
        <v>5743056.1883489704</v>
      </c>
      <c r="D344" s="101">
        <f t="shared" si="30"/>
        <v>3046088</v>
      </c>
      <c r="E344" s="101">
        <f t="shared" si="30"/>
        <v>2915508</v>
      </c>
      <c r="F344" s="101">
        <f t="shared" si="30"/>
        <v>1475223</v>
      </c>
      <c r="G344" s="101">
        <f t="shared" si="30"/>
        <v>52300</v>
      </c>
      <c r="H344" s="101">
        <f t="shared" si="30"/>
        <v>599626</v>
      </c>
      <c r="I344" s="101">
        <f t="shared" si="30"/>
        <v>140147</v>
      </c>
      <c r="J344" s="101">
        <f t="shared" si="30"/>
        <v>2092845</v>
      </c>
      <c r="K344" s="101">
        <f t="shared" si="30"/>
        <v>2665573</v>
      </c>
      <c r="L344" s="101">
        <f t="shared" si="30"/>
        <v>368536</v>
      </c>
      <c r="M344" s="101">
        <f t="shared" si="30"/>
        <v>133200</v>
      </c>
      <c r="N344" s="101">
        <f t="shared" si="30"/>
        <v>676416</v>
      </c>
      <c r="O344" s="101">
        <f t="shared" si="30"/>
        <v>186625</v>
      </c>
      <c r="P344" s="101">
        <f>SUM(P2:P343)</f>
        <v>3265080872709.6895</v>
      </c>
      <c r="Q344" s="101">
        <f>SUM(Q2:Q343)</f>
        <v>532978828897.67322</v>
      </c>
      <c r="R344" s="101">
        <f>SUM(R2:R343)</f>
        <v>515871727520.76477</v>
      </c>
      <c r="S344" s="101">
        <f t="shared" si="29"/>
        <v>6853434802.7631941</v>
      </c>
      <c r="T344" s="101">
        <f t="shared" si="26"/>
        <v>1110378614.4142237</v>
      </c>
      <c r="U344" s="101">
        <f t="shared" si="27"/>
        <v>1110378614.4142237</v>
      </c>
      <c r="V344" s="101">
        <v>78560379</v>
      </c>
      <c r="W344" s="149">
        <f t="shared" si="28"/>
        <v>1.4134079144580293E-2</v>
      </c>
    </row>
    <row r="345" spans="1:28" x14ac:dyDescent="0.25">
      <c r="U345" s="101"/>
    </row>
    <row r="346" spans="1:28" x14ac:dyDescent="0.25">
      <c r="U346" s="101">
        <f>COUNTIF(U2:U343,"=0")</f>
        <v>67</v>
      </c>
    </row>
    <row r="347" spans="1:28" x14ac:dyDescent="0.25">
      <c r="V347"/>
      <c r="W347" s="149"/>
      <c r="Y347" s="149"/>
      <c r="AB347" s="149"/>
    </row>
    <row r="348" spans="1:28" x14ac:dyDescent="0.25">
      <c r="V348"/>
      <c r="W348" s="149"/>
      <c r="Y348" s="149"/>
      <c r="AB348" s="149"/>
    </row>
    <row r="349" spans="1:28" x14ac:dyDescent="0.25">
      <c r="V349"/>
      <c r="W349" s="149"/>
      <c r="Y349" s="149"/>
      <c r="AB349" s="149"/>
    </row>
    <row r="350" spans="1:28" x14ac:dyDescent="0.25">
      <c r="P350"/>
      <c r="Q350"/>
      <c r="R350"/>
      <c r="W350" s="149"/>
    </row>
    <row r="352" spans="1:28" x14ac:dyDescent="0.25">
      <c r="C352" s="101"/>
      <c r="V352"/>
      <c r="W352" s="149"/>
      <c r="Y352" s="149"/>
      <c r="AB352" s="149"/>
    </row>
    <row r="353" spans="3:23" x14ac:dyDescent="0.25">
      <c r="C353" s="101"/>
      <c r="D353" s="101"/>
      <c r="E353" s="101"/>
      <c r="F353" s="101"/>
      <c r="G353" s="101"/>
      <c r="H353" s="101"/>
      <c r="I353" s="101"/>
      <c r="J353" s="101"/>
      <c r="K353" s="101"/>
      <c r="L353" s="101"/>
      <c r="M353" s="101"/>
      <c r="N353" s="101"/>
      <c r="O353" s="101"/>
      <c r="T353" s="101"/>
      <c r="U353" s="101"/>
      <c r="W353" s="149"/>
    </row>
    <row r="354" spans="3:23" x14ac:dyDescent="0.25">
      <c r="C354" s="101"/>
      <c r="D354" s="101"/>
      <c r="E354" s="101"/>
      <c r="F354" s="101"/>
      <c r="G354" s="101"/>
      <c r="H354" s="101"/>
      <c r="I354" s="101"/>
      <c r="J354" s="101"/>
      <c r="K354" s="101"/>
      <c r="L354" s="101"/>
      <c r="M354" s="101"/>
      <c r="N354" s="101"/>
      <c r="O354" s="101"/>
      <c r="T354" s="101"/>
      <c r="U354" s="101"/>
      <c r="W354" s="149"/>
    </row>
    <row r="355" spans="3:23" x14ac:dyDescent="0.25">
      <c r="C355" s="101"/>
      <c r="D355" s="101"/>
      <c r="E355" s="101"/>
      <c r="F355" s="101"/>
      <c r="G355" s="101"/>
      <c r="H355" s="101"/>
      <c r="I355" s="101"/>
      <c r="J355" s="101"/>
      <c r="K355" s="101"/>
      <c r="L355" s="101"/>
      <c r="M355" s="101"/>
      <c r="N355" s="101"/>
      <c r="O355" s="101"/>
      <c r="T355" s="101"/>
      <c r="U355" s="101"/>
      <c r="W355" s="149"/>
    </row>
    <row r="356" spans="3:23" x14ac:dyDescent="0.25">
      <c r="C356" s="101"/>
      <c r="D356" s="101"/>
      <c r="E356" s="101"/>
      <c r="F356" s="101"/>
      <c r="G356" s="101"/>
      <c r="H356" s="101"/>
      <c r="I356" s="101"/>
      <c r="J356" s="101"/>
      <c r="K356" s="101"/>
      <c r="L356" s="101"/>
      <c r="M356" s="101"/>
      <c r="N356" s="101"/>
      <c r="O356" s="101"/>
      <c r="T356" s="101"/>
      <c r="U356" s="101"/>
      <c r="W356" s="149"/>
    </row>
    <row r="357" spans="3:23" x14ac:dyDescent="0.25">
      <c r="C357" s="101"/>
      <c r="D357" s="101"/>
      <c r="E357" s="101"/>
      <c r="F357" s="101"/>
      <c r="G357" s="101"/>
      <c r="H357" s="101"/>
      <c r="I357" s="101"/>
      <c r="J357" s="101"/>
      <c r="K357" s="101"/>
      <c r="L357" s="101"/>
      <c r="M357" s="101"/>
      <c r="N357" s="101"/>
      <c r="O357" s="101"/>
      <c r="T357" s="101"/>
      <c r="U357" s="101"/>
      <c r="W357" s="149"/>
    </row>
    <row r="358" spans="3:23" x14ac:dyDescent="0.25">
      <c r="C358" s="101"/>
      <c r="D358" s="101"/>
      <c r="E358" s="101"/>
      <c r="F358" s="101"/>
      <c r="G358" s="101"/>
      <c r="H358" s="101"/>
      <c r="I358" s="101"/>
      <c r="J358" s="101"/>
      <c r="K358" s="101"/>
      <c r="L358" s="101"/>
      <c r="M358" s="101"/>
      <c r="N358" s="101"/>
      <c r="O358" s="101"/>
      <c r="T358" s="101"/>
      <c r="U358" s="101"/>
      <c r="W358" s="149"/>
    </row>
    <row r="359" spans="3:23" x14ac:dyDescent="0.25">
      <c r="C359" s="101"/>
      <c r="D359" s="101"/>
      <c r="E359" s="101"/>
      <c r="F359" s="101"/>
      <c r="G359" s="101"/>
      <c r="H359" s="101"/>
      <c r="I359" s="101"/>
      <c r="J359" s="101"/>
      <c r="K359" s="101"/>
      <c r="L359" s="101"/>
      <c r="M359" s="101"/>
      <c r="N359" s="101"/>
      <c r="O359" s="101"/>
      <c r="T359" s="101"/>
      <c r="U359" s="101"/>
      <c r="W359" s="149"/>
    </row>
    <row r="360" spans="3:23" x14ac:dyDescent="0.25">
      <c r="C360" s="101"/>
      <c r="D360" s="101"/>
      <c r="E360" s="101"/>
      <c r="F360" s="101"/>
      <c r="G360" s="101"/>
      <c r="H360" s="101"/>
      <c r="I360" s="101"/>
      <c r="J360" s="101"/>
      <c r="K360" s="101"/>
      <c r="L360" s="101"/>
      <c r="M360" s="101"/>
      <c r="N360" s="101"/>
      <c r="O360" s="101"/>
      <c r="T360" s="101"/>
      <c r="U360" s="101"/>
      <c r="W360" s="149"/>
    </row>
    <row r="361" spans="3:23" x14ac:dyDescent="0.25">
      <c r="C361" s="101"/>
      <c r="D361" s="101"/>
      <c r="E361" s="101"/>
      <c r="F361" s="101"/>
      <c r="G361" s="101"/>
      <c r="H361" s="101"/>
      <c r="I361" s="101"/>
      <c r="J361" s="101"/>
      <c r="K361" s="101"/>
      <c r="L361" s="101"/>
      <c r="M361" s="101"/>
      <c r="N361" s="101"/>
      <c r="O361" s="101"/>
      <c r="T361" s="101"/>
      <c r="U361" s="101"/>
      <c r="W361" s="149"/>
    </row>
    <row r="362" spans="3:23" x14ac:dyDescent="0.25">
      <c r="C362" s="101"/>
      <c r="D362" s="101"/>
      <c r="E362" s="101"/>
      <c r="F362" s="101"/>
      <c r="G362" s="101"/>
      <c r="H362" s="101"/>
      <c r="I362" s="101"/>
      <c r="J362" s="101"/>
      <c r="K362" s="101"/>
      <c r="L362" s="101"/>
      <c r="M362" s="101"/>
      <c r="N362" s="101"/>
      <c r="O362" s="101"/>
      <c r="T362" s="101"/>
      <c r="U362" s="101"/>
      <c r="W362" s="149"/>
    </row>
    <row r="363" spans="3:23" x14ac:dyDescent="0.25">
      <c r="C363" s="101"/>
      <c r="D363" s="101"/>
      <c r="E363" s="101"/>
      <c r="F363" s="101"/>
      <c r="G363" s="101"/>
      <c r="H363" s="101"/>
      <c r="I363" s="101"/>
      <c r="J363" s="101"/>
      <c r="K363" s="101"/>
      <c r="L363" s="101"/>
      <c r="M363" s="101"/>
      <c r="N363" s="101"/>
      <c r="O363" s="101"/>
      <c r="T363" s="101"/>
      <c r="U363" s="101"/>
      <c r="W363" s="149"/>
    </row>
    <row r="365" spans="3:23" x14ac:dyDescent="0.25">
      <c r="C365" s="101"/>
      <c r="D365" s="101"/>
      <c r="E365" s="101"/>
      <c r="F365" s="101"/>
      <c r="G365" s="101"/>
      <c r="H365" s="101"/>
      <c r="I365" s="101"/>
      <c r="J365" s="101"/>
      <c r="K365" s="101"/>
      <c r="L365" s="101"/>
      <c r="M365" s="101"/>
      <c r="N365" s="101"/>
      <c r="O365" s="101"/>
      <c r="T365" s="101"/>
      <c r="U365" s="101"/>
      <c r="W365" s="149"/>
    </row>
    <row r="366" spans="3:23" x14ac:dyDescent="0.25">
      <c r="C366" s="101"/>
      <c r="D366" s="101"/>
      <c r="E366" s="101"/>
      <c r="F366" s="101"/>
      <c r="G366" s="101"/>
      <c r="H366" s="101"/>
      <c r="I366" s="101"/>
      <c r="J366" s="101"/>
      <c r="K366" s="101"/>
      <c r="L366" s="101"/>
      <c r="M366" s="101"/>
      <c r="N366" s="101"/>
      <c r="O366" s="101"/>
      <c r="T366" s="101"/>
      <c r="U366" s="101"/>
      <c r="W366" s="149"/>
    </row>
    <row r="367" spans="3:23" x14ac:dyDescent="0.25">
      <c r="C367" s="101"/>
      <c r="D367" s="101"/>
      <c r="E367" s="101"/>
      <c r="F367" s="101"/>
      <c r="G367" s="101"/>
      <c r="H367" s="101"/>
      <c r="I367" s="101"/>
      <c r="J367" s="101"/>
      <c r="K367" s="101"/>
      <c r="L367" s="101"/>
      <c r="M367" s="101"/>
      <c r="N367" s="101"/>
      <c r="O367" s="101"/>
      <c r="T367" s="101"/>
      <c r="U367" s="101"/>
      <c r="W367" s="149"/>
    </row>
    <row r="369" spans="3:23" x14ac:dyDescent="0.25">
      <c r="C369" s="101"/>
      <c r="D369" s="101"/>
      <c r="E369" s="101"/>
      <c r="F369" s="101"/>
      <c r="G369" s="101"/>
      <c r="H369" s="101"/>
      <c r="I369" s="101"/>
      <c r="J369" s="101"/>
      <c r="K369" s="101"/>
      <c r="L369" s="101"/>
      <c r="M369" s="101"/>
      <c r="N369" s="101"/>
      <c r="O369" s="101"/>
      <c r="T369" s="101"/>
      <c r="U369" s="101"/>
      <c r="W369" s="149"/>
    </row>
    <row r="370" spans="3:23" x14ac:dyDescent="0.25">
      <c r="C370" s="101"/>
      <c r="D370" s="101"/>
      <c r="E370" s="101"/>
      <c r="F370" s="101"/>
      <c r="G370" s="101"/>
      <c r="H370" s="101"/>
      <c r="I370" s="101"/>
      <c r="J370" s="101"/>
      <c r="K370" s="101"/>
      <c r="L370" s="101"/>
      <c r="M370" s="101"/>
      <c r="N370" s="101"/>
      <c r="O370" s="101"/>
      <c r="T370" s="101"/>
      <c r="U370" s="101"/>
      <c r="W370" s="149"/>
    </row>
    <row r="371" spans="3:23" x14ac:dyDescent="0.25">
      <c r="C371" s="101"/>
      <c r="D371" s="101"/>
      <c r="E371" s="101"/>
      <c r="F371" s="101"/>
      <c r="G371" s="101"/>
      <c r="H371" s="101"/>
      <c r="I371" s="101"/>
      <c r="J371" s="101"/>
      <c r="K371" s="101"/>
      <c r="L371" s="101"/>
      <c r="M371" s="101"/>
      <c r="N371" s="101"/>
      <c r="O371" s="101"/>
      <c r="T371" s="101"/>
      <c r="U371" s="101"/>
      <c r="W371" s="149"/>
    </row>
    <row r="373" spans="3:23" x14ac:dyDescent="0.25">
      <c r="C373" s="101"/>
      <c r="D373" s="101"/>
      <c r="E373" s="101"/>
      <c r="F373" s="101"/>
      <c r="G373" s="101"/>
      <c r="H373" s="101"/>
      <c r="I373" s="101"/>
      <c r="J373" s="101"/>
      <c r="K373" s="101"/>
      <c r="L373" s="101"/>
      <c r="M373" s="101"/>
      <c r="N373" s="101"/>
      <c r="O373" s="101"/>
      <c r="T373" s="101"/>
      <c r="U373" s="101"/>
      <c r="W373" s="149"/>
    </row>
    <row r="374" spans="3:23" x14ac:dyDescent="0.25">
      <c r="C374" s="101"/>
      <c r="D374" s="101"/>
      <c r="E374" s="101"/>
      <c r="F374" s="101"/>
      <c r="G374" s="101"/>
      <c r="H374" s="101"/>
      <c r="I374" s="101"/>
      <c r="J374" s="101"/>
      <c r="K374" s="101"/>
      <c r="L374" s="101"/>
      <c r="M374" s="101"/>
      <c r="N374" s="101"/>
      <c r="O374" s="101"/>
      <c r="T374" s="101"/>
      <c r="U374" s="101"/>
      <c r="W374" s="149"/>
    </row>
    <row r="375" spans="3:23" x14ac:dyDescent="0.25">
      <c r="C375" s="101"/>
      <c r="D375" s="101"/>
      <c r="E375" s="101"/>
      <c r="F375" s="101"/>
      <c r="G375" s="101"/>
      <c r="H375" s="101"/>
      <c r="I375" s="101"/>
      <c r="J375" s="101"/>
      <c r="K375" s="101"/>
      <c r="L375" s="101"/>
      <c r="M375" s="101"/>
      <c r="N375" s="101"/>
      <c r="O375" s="101"/>
      <c r="T375" s="101"/>
      <c r="U375" s="101"/>
      <c r="W375" s="149"/>
    </row>
    <row r="377" spans="3:23" x14ac:dyDescent="0.25">
      <c r="C377" s="101"/>
      <c r="D377" s="101"/>
      <c r="E377" s="101"/>
      <c r="F377" s="101"/>
      <c r="G377" s="101"/>
      <c r="H377" s="101"/>
      <c r="I377" s="101"/>
      <c r="J377" s="101"/>
      <c r="K377" s="101"/>
      <c r="L377" s="101"/>
      <c r="M377" s="101"/>
      <c r="N377" s="101"/>
      <c r="O377" s="101"/>
      <c r="T377" s="101"/>
      <c r="U377" s="101"/>
      <c r="W377" s="149"/>
    </row>
    <row r="378" spans="3:23" x14ac:dyDescent="0.25">
      <c r="C378" s="101"/>
      <c r="D378" s="101"/>
      <c r="E378" s="101"/>
      <c r="F378" s="101"/>
      <c r="G378" s="101"/>
      <c r="H378" s="101"/>
      <c r="I378" s="101"/>
      <c r="J378" s="101"/>
      <c r="K378" s="101"/>
      <c r="L378" s="101"/>
      <c r="M378" s="101"/>
      <c r="N378" s="101"/>
      <c r="O378" s="101"/>
      <c r="T378" s="101"/>
      <c r="U378" s="101"/>
      <c r="W378" s="149"/>
    </row>
    <row r="379" spans="3:23" x14ac:dyDescent="0.25">
      <c r="C379" s="101"/>
      <c r="D379" s="101"/>
      <c r="E379" s="101"/>
      <c r="F379" s="101"/>
      <c r="G379" s="101"/>
      <c r="H379" s="101"/>
      <c r="I379" s="101"/>
      <c r="J379" s="101"/>
      <c r="K379" s="101"/>
      <c r="L379" s="101"/>
      <c r="M379" s="101"/>
      <c r="N379" s="101"/>
      <c r="O379" s="101"/>
      <c r="T379" s="101"/>
      <c r="U379" s="101"/>
      <c r="W379" s="149"/>
    </row>
    <row r="380" spans="3:23" x14ac:dyDescent="0.25">
      <c r="C380" s="101"/>
      <c r="D380" s="101"/>
      <c r="E380" s="101"/>
      <c r="F380" s="101"/>
      <c r="G380" s="101"/>
      <c r="H380" s="101"/>
      <c r="I380" s="101"/>
      <c r="J380" s="101"/>
      <c r="K380" s="101"/>
      <c r="L380" s="101"/>
      <c r="M380" s="101"/>
      <c r="N380" s="101"/>
      <c r="O380" s="101"/>
      <c r="T380" s="101"/>
      <c r="U380" s="101"/>
      <c r="W380" s="149"/>
    </row>
    <row r="381" spans="3:23" x14ac:dyDescent="0.25">
      <c r="C381" s="101"/>
      <c r="D381" s="101"/>
      <c r="E381" s="101"/>
      <c r="F381" s="101"/>
      <c r="G381" s="101"/>
      <c r="H381" s="101"/>
      <c r="I381" s="101"/>
      <c r="J381" s="101"/>
      <c r="K381" s="101"/>
      <c r="L381" s="101"/>
      <c r="M381" s="101"/>
      <c r="N381" s="101"/>
      <c r="O381" s="101"/>
      <c r="T381" s="101"/>
      <c r="U381" s="101"/>
      <c r="W381" s="149"/>
    </row>
    <row r="382" spans="3:23" x14ac:dyDescent="0.25">
      <c r="C382" s="101"/>
      <c r="D382" s="101"/>
      <c r="E382" s="101"/>
      <c r="F382" s="101"/>
      <c r="G382" s="101"/>
      <c r="H382" s="101"/>
      <c r="I382" s="101"/>
      <c r="J382" s="101"/>
      <c r="K382" s="101"/>
      <c r="L382" s="101"/>
      <c r="M382" s="101"/>
      <c r="N382" s="101"/>
      <c r="O382" s="101"/>
      <c r="T382" s="101"/>
      <c r="U382" s="101"/>
      <c r="W382" s="149"/>
    </row>
    <row r="384" spans="3:23" x14ac:dyDescent="0.25">
      <c r="C384" s="101"/>
      <c r="D384" s="101"/>
      <c r="E384" s="101"/>
      <c r="F384" s="101"/>
      <c r="G384" s="101"/>
      <c r="H384" s="101"/>
      <c r="I384" s="101"/>
      <c r="J384" s="101"/>
      <c r="K384" s="101"/>
      <c r="L384" s="101"/>
      <c r="M384" s="101"/>
      <c r="N384" s="101"/>
      <c r="O384" s="101"/>
      <c r="T384" s="101"/>
      <c r="U384" s="101"/>
      <c r="W384" s="149"/>
    </row>
    <row r="385" spans="3:23" x14ac:dyDescent="0.25">
      <c r="C385" s="101"/>
      <c r="D385" s="101"/>
      <c r="E385" s="101"/>
      <c r="F385" s="101"/>
      <c r="G385" s="101"/>
      <c r="H385" s="101"/>
      <c r="I385" s="101"/>
      <c r="J385" s="101"/>
      <c r="K385" s="101"/>
      <c r="L385" s="101"/>
      <c r="M385" s="101"/>
      <c r="N385" s="101"/>
      <c r="O385" s="101"/>
      <c r="T385" s="101"/>
      <c r="U385" s="101"/>
      <c r="W385" s="149"/>
    </row>
    <row r="386" spans="3:23" x14ac:dyDescent="0.25">
      <c r="C386" s="101"/>
      <c r="D386" s="101"/>
      <c r="E386" s="101"/>
      <c r="F386" s="101"/>
      <c r="G386" s="101"/>
      <c r="H386" s="101"/>
      <c r="I386" s="101"/>
      <c r="J386" s="101"/>
      <c r="K386" s="101"/>
      <c r="L386" s="101"/>
      <c r="M386" s="101"/>
      <c r="N386" s="101"/>
      <c r="O386" s="101"/>
      <c r="T386" s="101"/>
      <c r="U386" s="101"/>
      <c r="W386" s="149"/>
    </row>
    <row r="387" spans="3:23" x14ac:dyDescent="0.25">
      <c r="C387" s="101"/>
      <c r="D387" s="101"/>
      <c r="E387" s="101"/>
      <c r="F387" s="101"/>
      <c r="G387" s="101"/>
      <c r="H387" s="101"/>
      <c r="I387" s="101"/>
      <c r="J387" s="101"/>
      <c r="K387" s="101"/>
      <c r="L387" s="101"/>
      <c r="M387" s="101"/>
      <c r="N387" s="101"/>
      <c r="O387" s="101"/>
      <c r="T387" s="101"/>
      <c r="U387" s="101"/>
      <c r="W387" s="149"/>
    </row>
    <row r="390" spans="3:23" x14ac:dyDescent="0.25">
      <c r="C390" s="101"/>
      <c r="D390" s="101"/>
      <c r="E390" s="101"/>
      <c r="F390" s="101"/>
      <c r="G390" s="101"/>
      <c r="H390" s="101"/>
      <c r="I390" s="101"/>
      <c r="J390" s="101"/>
      <c r="K390" s="101"/>
      <c r="L390" s="101"/>
      <c r="M390" s="101"/>
      <c r="N390" s="101"/>
      <c r="O390" s="101"/>
      <c r="T390" s="101"/>
      <c r="U390" s="101"/>
      <c r="W390" s="149"/>
    </row>
    <row r="391" spans="3:23" x14ac:dyDescent="0.25">
      <c r="P391"/>
      <c r="Q391"/>
      <c r="R391"/>
      <c r="T391" s="101"/>
      <c r="U391" s="101"/>
      <c r="W391" s="149"/>
    </row>
  </sheetData>
  <sheetProtection algorithmName="SHA-512" hashValue="BOZ0KNLcBoIK3ay6GEAITuwyFZlplRQiEpULA/dyErI/+nUJ1P1noyFjgjeBS3u/aqslRCV1+y1oURyEvo4Ttg==" saltValue="m6fHR8DA9J7r3v+TPeDwDw==" spinCount="100000" sheet="1" objects="1" scenarios="1"/>
  <sortState xmlns:xlrd2="http://schemas.microsoft.com/office/spreadsheetml/2017/richdata2" ref="AB2:AD343">
    <sortCondition ref="AB2:AB343"/>
  </sortState>
  <pageMargins left="0.7" right="0.7" top="0.75" bottom="0.75" header="0.3" footer="0.3"/>
  <ignoredErrors>
    <ignoredError sqref="C2 C73:C85 C176:C183 C229:C275 C156 C208:C227 C302:C303 C87:C154 C305:C312 C277:C295 C313:C344 C158:C174 C185:C206 C297:C300"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3B9E4-0BD6-4B57-9479-9B6CFE8F71FC}">
  <sheetPr codeName="Blad12"/>
  <dimension ref="B1:AA360"/>
  <sheetViews>
    <sheetView zoomScaleNormal="100" workbookViewId="0">
      <pane xSplit="2" ySplit="1" topLeftCell="C2" activePane="bottomRight" state="frozen"/>
      <selection pane="topRight" activeCell="C1" sqref="C1"/>
      <selection pane="bottomLeft" activeCell="A2" sqref="A2"/>
      <selection pane="bottomRight" activeCell="J343" sqref="J343"/>
    </sheetView>
  </sheetViews>
  <sheetFormatPr defaultRowHeight="12.5" x14ac:dyDescent="0.25"/>
  <cols>
    <col min="2" max="2" width="27.7265625" bestFit="1" customWidth="1"/>
    <col min="3" max="3" width="22.81640625" style="149" bestFit="1" customWidth="1"/>
    <col min="4" max="4" width="20.36328125" style="149" bestFit="1" customWidth="1"/>
    <col min="5" max="5" width="25.1796875" bestFit="1" customWidth="1"/>
    <col min="6" max="6" width="10.36328125" bestFit="1" customWidth="1"/>
    <col min="7" max="7" width="27.26953125" bestFit="1" customWidth="1"/>
    <col min="8" max="8" width="7.7265625" bestFit="1" customWidth="1"/>
    <col min="9" max="9" width="24.08984375" bestFit="1" customWidth="1"/>
    <col min="10" max="10" width="8.26953125" style="267" bestFit="1" customWidth="1"/>
    <col min="13" max="13" width="12.7265625" style="149" bestFit="1" customWidth="1"/>
    <col min="14" max="14" width="11.81640625" style="149" bestFit="1" customWidth="1"/>
    <col min="15" max="15" width="12.7265625" style="149" bestFit="1" customWidth="1"/>
    <col min="16" max="16" width="8.26953125" bestFit="1" customWidth="1"/>
    <col min="18" max="18" width="9.7265625" style="149" bestFit="1" customWidth="1"/>
    <col min="19" max="19" width="11.81640625" style="149" bestFit="1" customWidth="1"/>
    <col min="22" max="22" width="13.81640625" bestFit="1" customWidth="1"/>
    <col min="23" max="23" width="22.54296875" bestFit="1" customWidth="1"/>
    <col min="24" max="24" width="10.81640625" bestFit="1" customWidth="1"/>
    <col min="25" max="25" width="11.81640625" style="149" bestFit="1" customWidth="1"/>
    <col min="26" max="26" width="10.81640625" bestFit="1" customWidth="1"/>
    <col min="27" max="27" width="12.7265625" style="149" bestFit="1" customWidth="1"/>
  </cols>
  <sheetData>
    <row r="1" spans="2:26" x14ac:dyDescent="0.25">
      <c r="B1" t="s">
        <v>526</v>
      </c>
      <c r="C1" s="149" t="s">
        <v>911</v>
      </c>
      <c r="D1" s="149" t="s">
        <v>915</v>
      </c>
      <c r="E1" s="184" t="s">
        <v>913</v>
      </c>
      <c r="F1" s="266" t="s">
        <v>914</v>
      </c>
      <c r="G1" s="101" t="s">
        <v>916</v>
      </c>
      <c r="H1" t="s">
        <v>854</v>
      </c>
      <c r="I1" t="s">
        <v>958</v>
      </c>
      <c r="J1" s="267" t="s">
        <v>959</v>
      </c>
    </row>
    <row r="2" spans="2:26" x14ac:dyDescent="0.25">
      <c r="B2" t="s">
        <v>104</v>
      </c>
      <c r="C2" s="149">
        <v>7.248560578218792E-2</v>
      </c>
      <c r="D2" s="149">
        <v>0.72350539967963623</v>
      </c>
      <c r="E2" s="184">
        <v>5.0200000000000002E-2</v>
      </c>
      <c r="F2" s="253">
        <v>8</v>
      </c>
      <c r="G2" s="101">
        <v>2273.2695614484655</v>
      </c>
      <c r="H2" t="s">
        <v>116</v>
      </c>
      <c r="I2" s="184">
        <v>6.2700000000000006E-2</v>
      </c>
      <c r="J2" s="267">
        <v>7.5</v>
      </c>
      <c r="M2" s="101"/>
      <c r="X2" s="149"/>
      <c r="Z2" s="149"/>
    </row>
    <row r="3" spans="2:26" x14ac:dyDescent="0.25">
      <c r="B3" t="s">
        <v>236</v>
      </c>
      <c r="C3" s="149">
        <v>3.4399299654977088E-2</v>
      </c>
      <c r="D3" s="149">
        <v>0.53942048517520214</v>
      </c>
      <c r="E3" s="184">
        <v>3.8899999999999997E-2</v>
      </c>
      <c r="F3" s="253">
        <v>9</v>
      </c>
      <c r="G3" s="101">
        <v>2293.8036138688212</v>
      </c>
      <c r="H3" t="s">
        <v>465</v>
      </c>
      <c r="I3" s="184">
        <v>4.3700000000000003E-2</v>
      </c>
      <c r="J3" s="267">
        <v>10</v>
      </c>
      <c r="M3" s="102"/>
      <c r="X3" s="149"/>
      <c r="Z3" s="149"/>
    </row>
    <row r="4" spans="2:26" x14ac:dyDescent="0.25">
      <c r="B4" t="s">
        <v>163</v>
      </c>
      <c r="C4" s="149">
        <v>4.7363160832262503E-2</v>
      </c>
      <c r="D4" s="149">
        <v>0.824034173942369</v>
      </c>
      <c r="E4" s="184">
        <v>5.0099999999999999E-2</v>
      </c>
      <c r="F4" s="253">
        <v>9</v>
      </c>
      <c r="G4" s="101">
        <v>2182.2334946596129</v>
      </c>
      <c r="H4" t="s">
        <v>116</v>
      </c>
      <c r="I4" s="184">
        <v>6.1800000000000001E-2</v>
      </c>
      <c r="J4" s="267">
        <v>8</v>
      </c>
      <c r="M4" s="101"/>
      <c r="X4" s="149"/>
      <c r="Z4" s="149"/>
    </row>
    <row r="5" spans="2:26" x14ac:dyDescent="0.25">
      <c r="B5" t="s">
        <v>125</v>
      </c>
      <c r="C5" s="149">
        <v>5.6597194548497647E-2</v>
      </c>
      <c r="D5" s="149">
        <v>0.81506461357724258</v>
      </c>
      <c r="E5" s="184">
        <v>4.4600000000000001E-2</v>
      </c>
      <c r="F5" s="253">
        <v>7</v>
      </c>
      <c r="G5" s="101">
        <v>2421.3252666906997</v>
      </c>
      <c r="H5" t="s">
        <v>116</v>
      </c>
      <c r="I5" s="184">
        <v>5.8500000000000003E-2</v>
      </c>
      <c r="J5" s="267">
        <v>5.5</v>
      </c>
      <c r="M5" s="101"/>
      <c r="X5" s="149"/>
      <c r="Z5" s="149"/>
    </row>
    <row r="6" spans="2:26" x14ac:dyDescent="0.25">
      <c r="B6" t="s">
        <v>281</v>
      </c>
      <c r="C6" s="149">
        <v>-2.2558758695714408E-2</v>
      </c>
      <c r="D6" s="149">
        <v>0.73116512013765134</v>
      </c>
      <c r="E6" s="184">
        <v>3.9899999999999998E-2</v>
      </c>
      <c r="F6" s="253">
        <v>6.5</v>
      </c>
      <c r="G6" s="101">
        <v>2246.715458421776</v>
      </c>
      <c r="H6" t="s">
        <v>465</v>
      </c>
      <c r="I6" s="184">
        <v>5.2400000000000002E-2</v>
      </c>
      <c r="J6" s="267">
        <v>6</v>
      </c>
      <c r="M6" s="101"/>
      <c r="X6" s="149"/>
      <c r="Z6" s="149"/>
    </row>
    <row r="7" spans="2:26" x14ac:dyDescent="0.25">
      <c r="B7" t="s">
        <v>282</v>
      </c>
      <c r="C7" s="149">
        <v>5.3259418354907996E-3</v>
      </c>
      <c r="D7" s="149">
        <v>0.62456374532460124</v>
      </c>
      <c r="E7" s="184">
        <v>4.2799999999999998E-2</v>
      </c>
      <c r="F7" s="253">
        <v>6</v>
      </c>
      <c r="G7" s="101">
        <v>1859.7574515107581</v>
      </c>
      <c r="H7" t="s">
        <v>465</v>
      </c>
      <c r="I7" s="184">
        <v>5.8799999999999998E-2</v>
      </c>
      <c r="J7" s="267">
        <v>7.5</v>
      </c>
      <c r="M7" s="101"/>
      <c r="X7" s="149"/>
      <c r="Z7" s="149"/>
    </row>
    <row r="8" spans="2:26" x14ac:dyDescent="0.25">
      <c r="B8" t="s">
        <v>237</v>
      </c>
      <c r="C8" s="149">
        <v>5.7416572848737177E-2</v>
      </c>
      <c r="D8" s="149">
        <v>0.74601145723032758</v>
      </c>
      <c r="E8" s="184">
        <v>4.19E-2</v>
      </c>
      <c r="F8" s="253">
        <v>8</v>
      </c>
      <c r="G8" s="101">
        <v>2645.1133913336016</v>
      </c>
      <c r="H8" t="s">
        <v>439</v>
      </c>
      <c r="I8" s="184">
        <v>5.5500000000000001E-2</v>
      </c>
      <c r="J8" s="267">
        <v>7</v>
      </c>
      <c r="X8" s="149"/>
      <c r="Z8" s="149"/>
    </row>
    <row r="9" spans="2:26" x14ac:dyDescent="0.25">
      <c r="B9" t="s">
        <v>139</v>
      </c>
      <c r="C9" s="149">
        <v>9.3245254365983299E-2</v>
      </c>
      <c r="D9" s="149">
        <v>0.74705016197113971</v>
      </c>
      <c r="E9" s="184">
        <v>3.4000000000000002E-2</v>
      </c>
      <c r="F9" s="253">
        <v>7.5</v>
      </c>
      <c r="G9" s="101">
        <v>2991.9313792689504</v>
      </c>
      <c r="H9" t="s">
        <v>439</v>
      </c>
      <c r="I9" s="184">
        <v>5.62E-2</v>
      </c>
      <c r="J9" s="267">
        <v>7</v>
      </c>
      <c r="X9" s="149"/>
      <c r="Z9" s="149"/>
    </row>
    <row r="10" spans="2:26" x14ac:dyDescent="0.25">
      <c r="B10" t="s">
        <v>427</v>
      </c>
      <c r="C10" s="149">
        <v>4.6154932836909822E-2</v>
      </c>
      <c r="D10" s="149">
        <v>0.6717395373212548</v>
      </c>
      <c r="E10" s="184">
        <v>5.3199999999999997E-2</v>
      </c>
      <c r="F10" s="253">
        <v>7</v>
      </c>
      <c r="G10" s="101">
        <v>2705.7232889851343</v>
      </c>
      <c r="H10" t="s">
        <v>439</v>
      </c>
      <c r="I10" s="184">
        <v>7.2599999999999998E-2</v>
      </c>
      <c r="J10" s="267">
        <v>8</v>
      </c>
      <c r="X10" s="149"/>
      <c r="Z10" s="149"/>
    </row>
    <row r="11" spans="2:26" x14ac:dyDescent="0.25">
      <c r="B11" t="s">
        <v>283</v>
      </c>
      <c r="C11" s="149">
        <v>5.6589307535908018E-2</v>
      </c>
      <c r="D11" s="149">
        <v>0.6808075188775784</v>
      </c>
      <c r="E11" s="184">
        <v>4.48E-2</v>
      </c>
      <c r="F11" s="253">
        <v>7.5</v>
      </c>
      <c r="G11" s="101">
        <v>2328.5383935616605</v>
      </c>
      <c r="H11" t="s">
        <v>465</v>
      </c>
      <c r="I11" s="184">
        <v>5.3999999999999999E-2</v>
      </c>
      <c r="J11" s="267">
        <v>6</v>
      </c>
      <c r="X11" s="149"/>
      <c r="Z11" s="149"/>
    </row>
    <row r="12" spans="2:26" x14ac:dyDescent="0.25">
      <c r="B12" t="s">
        <v>341</v>
      </c>
      <c r="C12" s="149">
        <v>4.9782594996534126E-2</v>
      </c>
      <c r="D12" s="149">
        <v>0.70780628839898807</v>
      </c>
      <c r="E12" s="184">
        <v>5.0099999999999999E-2</v>
      </c>
      <c r="F12" s="253">
        <v>8.5</v>
      </c>
      <c r="G12" s="101">
        <v>1937.152073638609</v>
      </c>
      <c r="H12" t="s">
        <v>465</v>
      </c>
      <c r="I12" s="184">
        <v>5.9400000000000001E-2</v>
      </c>
      <c r="J12" s="267">
        <v>7</v>
      </c>
      <c r="X12" s="149"/>
      <c r="Z12" s="149"/>
    </row>
    <row r="13" spans="2:26" x14ac:dyDescent="0.25">
      <c r="B13" t="s">
        <v>591</v>
      </c>
      <c r="C13" s="149">
        <v>5.0822524112876404E-2</v>
      </c>
      <c r="D13" s="149">
        <v>0.6984265787719609</v>
      </c>
      <c r="E13" s="184">
        <v>4.1399999999999999E-2</v>
      </c>
      <c r="F13" s="253">
        <v>8.5</v>
      </c>
      <c r="G13" s="101">
        <v>1835.1264207612332</v>
      </c>
      <c r="H13" t="s">
        <v>465</v>
      </c>
      <c r="I13" s="184">
        <v>5.9499999999999997E-2</v>
      </c>
      <c r="J13" s="267">
        <v>6.5</v>
      </c>
      <c r="X13" s="149"/>
      <c r="Z13" s="149"/>
    </row>
    <row r="14" spans="2:26" x14ac:dyDescent="0.25">
      <c r="B14" t="s">
        <v>126</v>
      </c>
      <c r="C14" s="149">
        <v>2.4441721132897602E-2</v>
      </c>
      <c r="D14" s="149">
        <v>0.44986147712683289</v>
      </c>
      <c r="E14" s="184">
        <v>7.5899999999999995E-2</v>
      </c>
      <c r="F14" s="253">
        <v>6</v>
      </c>
      <c r="G14" s="101">
        <v>6596.7128862567879</v>
      </c>
      <c r="H14" t="s">
        <v>439</v>
      </c>
      <c r="I14" s="184">
        <v>1.72E-2</v>
      </c>
      <c r="J14" s="267">
        <v>8</v>
      </c>
      <c r="X14" s="149"/>
      <c r="Z14" s="149"/>
    </row>
    <row r="15" spans="2:26" x14ac:dyDescent="0.25">
      <c r="B15" t="s">
        <v>212</v>
      </c>
      <c r="C15" s="149">
        <v>2.3755571273330972E-2</v>
      </c>
      <c r="D15" s="149">
        <v>0.68562366692197807</v>
      </c>
      <c r="E15" s="184">
        <v>4.8000000000000001E-2</v>
      </c>
      <c r="F15" s="253">
        <v>6.5</v>
      </c>
      <c r="G15" s="101">
        <v>2658.8737804409816</v>
      </c>
      <c r="H15" t="s">
        <v>439</v>
      </c>
      <c r="I15" s="184">
        <v>6.2399999999999997E-2</v>
      </c>
      <c r="J15" s="267">
        <v>7.5</v>
      </c>
      <c r="X15" s="149"/>
      <c r="Z15" s="149"/>
    </row>
    <row r="16" spans="2:26" x14ac:dyDescent="0.25">
      <c r="B16" t="s">
        <v>238</v>
      </c>
      <c r="C16" s="149">
        <v>3.2218399592252804E-2</v>
      </c>
      <c r="D16" s="149">
        <v>0.52263359535898823</v>
      </c>
      <c r="E16" s="184">
        <v>3.44E-2</v>
      </c>
      <c r="F16" s="253">
        <v>9</v>
      </c>
      <c r="G16" s="101">
        <v>2792.3483554884715</v>
      </c>
      <c r="H16" t="s">
        <v>465</v>
      </c>
      <c r="I16" s="184">
        <v>4.9399999999999999E-2</v>
      </c>
      <c r="J16" s="267">
        <v>8</v>
      </c>
      <c r="X16" s="149"/>
      <c r="Z16" s="149"/>
    </row>
    <row r="17" spans="2:26" x14ac:dyDescent="0.25">
      <c r="B17" t="s">
        <v>239</v>
      </c>
      <c r="C17" s="149">
        <v>2.5638435677760293E-2</v>
      </c>
      <c r="D17" s="149">
        <v>0.57973113809003707</v>
      </c>
      <c r="E17" s="184">
        <v>3.0099999999999998E-2</v>
      </c>
      <c r="F17" s="253">
        <v>7</v>
      </c>
      <c r="G17" s="101">
        <v>3838.5421608681563</v>
      </c>
      <c r="H17" t="s">
        <v>439</v>
      </c>
      <c r="I17" s="184">
        <v>3.6600000000000001E-2</v>
      </c>
      <c r="J17" s="267">
        <v>7.5</v>
      </c>
      <c r="X17" s="149"/>
      <c r="Z17" s="149"/>
    </row>
    <row r="18" spans="2:26" x14ac:dyDescent="0.25">
      <c r="B18" t="s">
        <v>164</v>
      </c>
      <c r="C18" s="149">
        <v>6.5982837815883141E-2</v>
      </c>
      <c r="D18" s="149">
        <v>0.74264486846681332</v>
      </c>
      <c r="E18" s="184">
        <v>4.8800000000000003E-2</v>
      </c>
      <c r="F18" s="253">
        <v>7</v>
      </c>
      <c r="G18" s="101">
        <v>2698.1952262373843</v>
      </c>
      <c r="H18" t="s">
        <v>439</v>
      </c>
      <c r="I18" s="184">
        <v>6.2700000000000006E-2</v>
      </c>
      <c r="J18" s="267">
        <v>7</v>
      </c>
      <c r="X18" s="149"/>
      <c r="Z18" s="149"/>
    </row>
    <row r="19" spans="2:26" x14ac:dyDescent="0.25">
      <c r="B19" t="s">
        <v>165</v>
      </c>
      <c r="C19" s="149">
        <v>6.1723483652882973E-2</v>
      </c>
      <c r="D19" s="149">
        <v>0.7526164147488601</v>
      </c>
      <c r="E19" s="184">
        <v>3.8399999999999997E-2</v>
      </c>
      <c r="F19" s="253">
        <v>7</v>
      </c>
      <c r="G19" s="101">
        <v>3012.2802037340443</v>
      </c>
      <c r="H19" t="s">
        <v>439</v>
      </c>
      <c r="I19" s="184">
        <v>5.3400000000000003E-2</v>
      </c>
      <c r="J19" s="267">
        <v>7.5</v>
      </c>
      <c r="X19" s="149"/>
      <c r="Z19" s="149"/>
    </row>
    <row r="20" spans="2:26" x14ac:dyDescent="0.25">
      <c r="B20" t="s">
        <v>105</v>
      </c>
      <c r="C20" s="149">
        <v>9.2213214364802024E-2</v>
      </c>
      <c r="D20" s="149">
        <v>0.77405251228468852</v>
      </c>
      <c r="E20" s="184">
        <v>4.9099999999999998E-2</v>
      </c>
      <c r="F20" s="253">
        <v>7</v>
      </c>
      <c r="G20" s="101">
        <v>2930.3620598135572</v>
      </c>
      <c r="H20" t="s">
        <v>439</v>
      </c>
      <c r="I20" s="184">
        <v>7.2300000000000003E-2</v>
      </c>
      <c r="J20" s="267">
        <v>5.5</v>
      </c>
      <c r="X20" s="149"/>
      <c r="Z20" s="149"/>
    </row>
    <row r="21" spans="2:26" x14ac:dyDescent="0.25">
      <c r="B21" t="s">
        <v>342</v>
      </c>
      <c r="C21" s="149">
        <v>5.9779212664028331E-2</v>
      </c>
      <c r="D21" s="149">
        <v>0.68109290471261452</v>
      </c>
      <c r="E21" s="184">
        <v>5.2999999999999999E-2</v>
      </c>
      <c r="F21" s="253">
        <v>5.5</v>
      </c>
      <c r="G21" s="101">
        <v>2362.0826090421183</v>
      </c>
      <c r="H21" t="s">
        <v>465</v>
      </c>
      <c r="I21" s="184">
        <v>6.3600000000000004E-2</v>
      </c>
      <c r="J21" s="267">
        <v>6</v>
      </c>
      <c r="X21" s="149"/>
      <c r="Z21" s="149"/>
    </row>
    <row r="22" spans="2:26" x14ac:dyDescent="0.25">
      <c r="B22" t="s">
        <v>343</v>
      </c>
      <c r="C22" s="149">
        <v>2.3345935727788279E-2</v>
      </c>
      <c r="D22" s="149">
        <v>0.71570796460176989</v>
      </c>
      <c r="E22" s="184">
        <v>3.9399999999999998E-2</v>
      </c>
      <c r="F22" s="253">
        <v>6</v>
      </c>
      <c r="G22" s="101">
        <v>2521.8311750029379</v>
      </c>
      <c r="H22" t="s">
        <v>465</v>
      </c>
      <c r="I22" s="184">
        <v>5.3999999999999999E-2</v>
      </c>
      <c r="J22" s="267">
        <v>6</v>
      </c>
      <c r="X22" s="149"/>
      <c r="Z22" s="149"/>
    </row>
    <row r="23" spans="2:26" x14ac:dyDescent="0.25">
      <c r="B23" t="s">
        <v>213</v>
      </c>
      <c r="C23" s="149">
        <v>2.511349239864865E-2</v>
      </c>
      <c r="D23" s="149">
        <v>0.72478294530774756</v>
      </c>
      <c r="E23" s="184">
        <v>4.41E-2</v>
      </c>
      <c r="F23" s="253">
        <v>7.5</v>
      </c>
      <c r="G23" s="101">
        <v>2218.5893054251219</v>
      </c>
      <c r="H23" t="s">
        <v>116</v>
      </c>
      <c r="I23" s="184">
        <v>6.0600000000000001E-2</v>
      </c>
      <c r="J23" s="267">
        <v>7.5</v>
      </c>
      <c r="X23" s="149"/>
      <c r="Z23" s="149"/>
    </row>
    <row r="24" spans="2:26" x14ac:dyDescent="0.25">
      <c r="B24" t="s">
        <v>284</v>
      </c>
      <c r="C24" s="149">
        <v>-3.8570893301888873E-3</v>
      </c>
      <c r="D24" s="149">
        <v>0.66745464897550288</v>
      </c>
      <c r="E24" s="184">
        <v>3.9600000000000003E-2</v>
      </c>
      <c r="F24" s="253">
        <v>8</v>
      </c>
      <c r="G24" s="101">
        <v>2077.0253381726416</v>
      </c>
      <c r="H24" t="s">
        <v>465</v>
      </c>
      <c r="I24" s="184">
        <v>4.9299999999999997E-2</v>
      </c>
      <c r="J24" s="267">
        <v>6.5</v>
      </c>
      <c r="X24" s="149"/>
      <c r="Z24" s="149"/>
    </row>
    <row r="25" spans="2:26" x14ac:dyDescent="0.25">
      <c r="B25" t="s">
        <v>166</v>
      </c>
      <c r="C25" s="149">
        <v>5.9471427527802601E-2</v>
      </c>
      <c r="D25" s="149">
        <v>0.71391896882408301</v>
      </c>
      <c r="E25" s="184">
        <v>3.5000000000000003E-2</v>
      </c>
      <c r="F25" s="253">
        <v>7.5</v>
      </c>
      <c r="G25" s="101">
        <v>1969.9956622314398</v>
      </c>
      <c r="H25" t="s">
        <v>465</v>
      </c>
      <c r="I25" s="184">
        <v>4.7199999999999999E-2</v>
      </c>
      <c r="J25" s="267">
        <v>7.5</v>
      </c>
      <c r="X25" s="149"/>
      <c r="Z25" s="149"/>
    </row>
    <row r="26" spans="2:26" x14ac:dyDescent="0.25">
      <c r="B26" t="s">
        <v>826</v>
      </c>
      <c r="C26" s="149">
        <v>-5.1288775663120033E-2</v>
      </c>
      <c r="D26" s="149">
        <v>0.70721744904324035</v>
      </c>
      <c r="E26" s="184">
        <v>4.8399999999999999E-2</v>
      </c>
      <c r="F26" s="253">
        <v>5.5</v>
      </c>
      <c r="G26" s="101">
        <v>2319.3731470811526</v>
      </c>
      <c r="H26" t="s">
        <v>116</v>
      </c>
      <c r="I26" s="184">
        <v>6.3200000000000006E-2</v>
      </c>
      <c r="J26" s="267">
        <v>7</v>
      </c>
      <c r="X26" s="149"/>
      <c r="Z26" s="149"/>
    </row>
    <row r="27" spans="2:26" x14ac:dyDescent="0.25">
      <c r="B27" t="s">
        <v>592</v>
      </c>
      <c r="C27" s="149">
        <v>5.5582675935327661E-2</v>
      </c>
      <c r="D27" s="149">
        <v>0.76768829475057054</v>
      </c>
      <c r="E27" s="184">
        <v>4.6600000000000003E-2</v>
      </c>
      <c r="F27" s="253">
        <v>6</v>
      </c>
      <c r="G27" s="101">
        <v>1964.3195140693354</v>
      </c>
      <c r="H27" t="s">
        <v>116</v>
      </c>
      <c r="I27" s="184">
        <v>6.0100000000000001E-2</v>
      </c>
      <c r="J27" s="267">
        <v>6</v>
      </c>
      <c r="X27" s="149"/>
      <c r="Z27" s="149"/>
    </row>
    <row r="28" spans="2:26" x14ac:dyDescent="0.25">
      <c r="B28" t="s">
        <v>399</v>
      </c>
      <c r="C28" s="149">
        <v>8.5682099310832302E-2</v>
      </c>
      <c r="D28" s="149">
        <v>0.77376324060062851</v>
      </c>
      <c r="E28" s="184">
        <v>4.87E-2</v>
      </c>
      <c r="F28" s="253">
        <v>6.5</v>
      </c>
      <c r="G28" s="101">
        <v>2455.0898757216601</v>
      </c>
      <c r="H28" t="s">
        <v>116</v>
      </c>
      <c r="I28" s="184">
        <v>6.2199999999999998E-2</v>
      </c>
      <c r="J28" s="267">
        <v>6</v>
      </c>
      <c r="X28" s="149"/>
      <c r="Z28" s="149"/>
    </row>
    <row r="29" spans="2:26" x14ac:dyDescent="0.25">
      <c r="B29" t="s">
        <v>523</v>
      </c>
      <c r="C29" s="149">
        <v>8.3799080297134773E-2</v>
      </c>
      <c r="D29" s="149">
        <v>0.59739343377744569</v>
      </c>
      <c r="E29" s="184">
        <v>4.1500000000000002E-2</v>
      </c>
      <c r="F29" s="253">
        <v>7</v>
      </c>
      <c r="G29" s="101">
        <v>3111.7330149445493</v>
      </c>
      <c r="H29" t="s">
        <v>116</v>
      </c>
      <c r="I29" s="184">
        <v>6.7400000000000002E-2</v>
      </c>
      <c r="J29" s="267">
        <v>7.5</v>
      </c>
      <c r="X29" s="149"/>
      <c r="Z29" s="149"/>
    </row>
    <row r="30" spans="2:26" x14ac:dyDescent="0.25">
      <c r="B30" t="s">
        <v>344</v>
      </c>
      <c r="C30" s="149">
        <v>8.1959247141144845E-2</v>
      </c>
      <c r="D30" s="149">
        <v>0.63145935027773104</v>
      </c>
      <c r="E30" s="184">
        <v>3.5700000000000003E-2</v>
      </c>
      <c r="F30" s="253">
        <v>9</v>
      </c>
      <c r="G30" s="101">
        <v>1899.7583051601343</v>
      </c>
      <c r="H30" t="s">
        <v>465</v>
      </c>
      <c r="I30" s="184">
        <v>5.4199999999999998E-2</v>
      </c>
      <c r="J30" s="267">
        <v>7</v>
      </c>
      <c r="X30" s="149"/>
      <c r="Z30" s="149"/>
    </row>
    <row r="31" spans="2:26" x14ac:dyDescent="0.25">
      <c r="B31" t="s">
        <v>434</v>
      </c>
      <c r="C31" s="149">
        <v>2.2987243945814213E-2</v>
      </c>
      <c r="D31" s="149">
        <v>0.74903805044890981</v>
      </c>
      <c r="E31" s="184">
        <v>3.6600000000000001E-2</v>
      </c>
      <c r="F31" s="253">
        <v>8.5</v>
      </c>
      <c r="G31" s="101">
        <v>2223.3147896757723</v>
      </c>
      <c r="H31" t="s">
        <v>116</v>
      </c>
      <c r="I31" s="184">
        <v>5.1200000000000002E-2</v>
      </c>
      <c r="J31" s="267">
        <v>8</v>
      </c>
      <c r="X31" s="149"/>
      <c r="Z31" s="149"/>
    </row>
    <row r="32" spans="2:26" x14ac:dyDescent="0.25">
      <c r="B32" t="s">
        <v>435</v>
      </c>
      <c r="C32" s="149">
        <v>4.3469599588999444E-2</v>
      </c>
      <c r="D32" s="149">
        <v>0.59840269636576793</v>
      </c>
      <c r="E32" s="184">
        <v>2.4400000000000002E-2</v>
      </c>
      <c r="F32" s="253">
        <v>9.5</v>
      </c>
      <c r="G32" s="101">
        <v>1851.4973529249844</v>
      </c>
      <c r="H32" t="s">
        <v>465</v>
      </c>
      <c r="I32" s="184">
        <v>4.1500000000000002E-2</v>
      </c>
      <c r="J32" s="267">
        <v>8</v>
      </c>
      <c r="X32" s="149"/>
      <c r="Z32" s="149"/>
    </row>
    <row r="33" spans="2:26" x14ac:dyDescent="0.25">
      <c r="B33" t="s">
        <v>345</v>
      </c>
      <c r="C33" s="149">
        <v>3.171163053244571E-2</v>
      </c>
      <c r="D33" s="149">
        <v>0.65146650688463792</v>
      </c>
      <c r="E33" s="184">
        <v>4.1200000000000001E-2</v>
      </c>
      <c r="F33" s="253">
        <v>8.5</v>
      </c>
      <c r="G33" s="101">
        <v>3065.1202715148261</v>
      </c>
      <c r="H33" t="s">
        <v>439</v>
      </c>
      <c r="I33" s="184">
        <v>5.0900000000000001E-2</v>
      </c>
      <c r="J33" s="267">
        <v>8</v>
      </c>
      <c r="X33" s="149"/>
      <c r="Z33" s="149"/>
    </row>
    <row r="34" spans="2:26" x14ac:dyDescent="0.25">
      <c r="B34" t="s">
        <v>167</v>
      </c>
      <c r="C34" s="149">
        <v>2.9484826371228706E-2</v>
      </c>
      <c r="D34" s="149">
        <v>0.75447313185280862</v>
      </c>
      <c r="E34" s="184">
        <v>4.4699999999999997E-2</v>
      </c>
      <c r="F34" s="253">
        <v>8</v>
      </c>
      <c r="G34" s="101">
        <v>2247.3165261399517</v>
      </c>
      <c r="H34" t="s">
        <v>116</v>
      </c>
      <c r="I34" s="184">
        <v>6.2300000000000001E-2</v>
      </c>
      <c r="J34" s="267">
        <v>7</v>
      </c>
      <c r="X34" s="149"/>
      <c r="Z34" s="149"/>
    </row>
    <row r="35" spans="2:26" x14ac:dyDescent="0.25">
      <c r="B35" t="s">
        <v>346</v>
      </c>
      <c r="C35" s="149">
        <v>5.7571161454446233E-2</v>
      </c>
      <c r="D35" s="149">
        <v>0.68111653812264084</v>
      </c>
      <c r="E35" s="184">
        <v>5.1499999999999997E-2</v>
      </c>
      <c r="F35" s="253">
        <v>8.5</v>
      </c>
      <c r="G35" s="101">
        <v>1870.0279583704857</v>
      </c>
      <c r="H35" t="s">
        <v>465</v>
      </c>
      <c r="I35" s="184">
        <v>6.1499999999999999E-2</v>
      </c>
      <c r="J35" s="267">
        <v>8</v>
      </c>
      <c r="X35" s="149"/>
      <c r="Z35" s="149"/>
    </row>
    <row r="36" spans="2:26" x14ac:dyDescent="0.25">
      <c r="B36" t="s">
        <v>347</v>
      </c>
      <c r="C36" s="149">
        <v>-2.496051209576856E-2</v>
      </c>
      <c r="D36" s="149">
        <v>0.67007930939167781</v>
      </c>
      <c r="E36" s="184">
        <v>5.3499999999999999E-2</v>
      </c>
      <c r="F36" s="253">
        <v>7.5</v>
      </c>
      <c r="G36" s="101">
        <v>2055.0056735576718</v>
      </c>
      <c r="H36" t="s">
        <v>465</v>
      </c>
      <c r="I36" s="184">
        <v>6.6199999999999995E-2</v>
      </c>
      <c r="J36" s="267">
        <v>8</v>
      </c>
      <c r="X36" s="149"/>
      <c r="Z36" s="149"/>
    </row>
    <row r="37" spans="2:26" x14ac:dyDescent="0.25">
      <c r="B37" t="s">
        <v>168</v>
      </c>
      <c r="C37" s="149">
        <v>8.5443610623237007E-2</v>
      </c>
      <c r="D37" s="149">
        <v>0.66794394308360794</v>
      </c>
      <c r="E37" s="184">
        <v>4.2700000000000002E-2</v>
      </c>
      <c r="F37" s="253">
        <v>8.5</v>
      </c>
      <c r="G37" s="101">
        <v>2182.9250159990493</v>
      </c>
      <c r="H37" t="s">
        <v>465</v>
      </c>
      <c r="I37" s="184">
        <v>5.8900000000000001E-2</v>
      </c>
      <c r="J37" s="267">
        <v>8</v>
      </c>
      <c r="X37" s="149"/>
      <c r="Z37" s="149"/>
    </row>
    <row r="38" spans="2:26" x14ac:dyDescent="0.25">
      <c r="B38" t="s">
        <v>241</v>
      </c>
      <c r="C38" s="149">
        <v>6.9882506883297446E-2</v>
      </c>
      <c r="D38" s="149">
        <v>0.76632124007480917</v>
      </c>
      <c r="E38" s="184">
        <v>3.6700000000000003E-2</v>
      </c>
      <c r="F38" s="253">
        <v>9</v>
      </c>
      <c r="G38" s="101">
        <v>2234.6279200812769</v>
      </c>
      <c r="H38" t="s">
        <v>116</v>
      </c>
      <c r="I38" s="184">
        <v>4.9299999999999997E-2</v>
      </c>
      <c r="J38" s="267">
        <v>8</v>
      </c>
      <c r="X38" s="149"/>
      <c r="Z38" s="149"/>
    </row>
    <row r="39" spans="2:26" x14ac:dyDescent="0.25">
      <c r="B39" t="s">
        <v>348</v>
      </c>
      <c r="C39" s="149">
        <v>0.13063905621750593</v>
      </c>
      <c r="D39" s="149">
        <v>0.72497952760962769</v>
      </c>
      <c r="E39" s="184">
        <v>3.9E-2</v>
      </c>
      <c r="F39" s="253">
        <v>9</v>
      </c>
      <c r="G39" s="101">
        <v>1910.577379910955</v>
      </c>
      <c r="H39" t="s">
        <v>465</v>
      </c>
      <c r="I39" s="184">
        <v>5.33E-2</v>
      </c>
      <c r="J39" s="267">
        <v>7</v>
      </c>
      <c r="X39" s="149"/>
      <c r="Z39" s="149"/>
    </row>
    <row r="40" spans="2:26" x14ac:dyDescent="0.25">
      <c r="B40" t="s">
        <v>242</v>
      </c>
      <c r="C40" s="149">
        <v>4.7244558334069688E-2</v>
      </c>
      <c r="D40" s="149">
        <v>0.66778927110897279</v>
      </c>
      <c r="E40" s="184">
        <v>4.2700000000000002E-2</v>
      </c>
      <c r="F40" s="253">
        <v>8.5</v>
      </c>
      <c r="G40" s="101">
        <v>1962.1968567964789</v>
      </c>
      <c r="H40" t="s">
        <v>465</v>
      </c>
      <c r="I40" s="184">
        <v>8.3500000000000005E-2</v>
      </c>
      <c r="J40" s="267">
        <v>6.5</v>
      </c>
      <c r="X40" s="149"/>
      <c r="Z40" s="149"/>
    </row>
    <row r="41" spans="2:26" x14ac:dyDescent="0.25">
      <c r="B41" t="s">
        <v>243</v>
      </c>
      <c r="C41" s="149">
        <v>5.1534370467279086E-2</v>
      </c>
      <c r="D41" s="149">
        <v>0.51084807051245829</v>
      </c>
      <c r="E41" s="184">
        <v>3.6799999999999999E-2</v>
      </c>
      <c r="F41" s="253">
        <v>8.5</v>
      </c>
      <c r="G41" s="101">
        <v>2040.8946703643865</v>
      </c>
      <c r="H41" t="s">
        <v>465</v>
      </c>
      <c r="I41" s="184">
        <v>5.28E-2</v>
      </c>
      <c r="J41" s="267">
        <v>8</v>
      </c>
      <c r="X41" s="149"/>
      <c r="Z41" s="149"/>
    </row>
    <row r="42" spans="2:26" x14ac:dyDescent="0.25">
      <c r="B42" t="s">
        <v>285</v>
      </c>
      <c r="C42" s="149">
        <v>7.6348903550989694E-2</v>
      </c>
      <c r="D42" s="149">
        <v>0.64609351769253642</v>
      </c>
      <c r="E42" s="184">
        <v>1.77E-2</v>
      </c>
      <c r="F42" s="253">
        <v>5.5</v>
      </c>
      <c r="G42" s="101">
        <v>1822.4593010230199</v>
      </c>
      <c r="H42" t="s">
        <v>465</v>
      </c>
      <c r="I42" s="184">
        <v>4.7500000000000001E-2</v>
      </c>
      <c r="J42" s="267">
        <v>6.5</v>
      </c>
      <c r="X42" s="149"/>
      <c r="Z42" s="149"/>
    </row>
    <row r="43" spans="2:26" x14ac:dyDescent="0.25">
      <c r="B43" t="s">
        <v>349</v>
      </c>
      <c r="C43" s="149">
        <v>4.9369917294445599E-2</v>
      </c>
      <c r="D43" s="149">
        <v>0.41382834420350445</v>
      </c>
      <c r="E43" s="184">
        <v>3.8399999999999997E-2</v>
      </c>
      <c r="F43" s="253">
        <v>7</v>
      </c>
      <c r="G43" s="101">
        <v>2403.2465286060769</v>
      </c>
      <c r="H43" t="s">
        <v>465</v>
      </c>
      <c r="I43" s="184">
        <v>5.2499999999999998E-2</v>
      </c>
      <c r="J43" s="267">
        <v>9.5</v>
      </c>
      <c r="X43" s="149"/>
      <c r="Z43" s="149"/>
    </row>
    <row r="44" spans="2:26" x14ac:dyDescent="0.25">
      <c r="B44" t="s">
        <v>106</v>
      </c>
      <c r="C44" s="149">
        <v>9.421230740918711E-2</v>
      </c>
      <c r="D44" s="149">
        <v>0.78270636435588248</v>
      </c>
      <c r="E44" s="184">
        <v>4.2999999999999997E-2</v>
      </c>
      <c r="F44" s="253">
        <v>7</v>
      </c>
      <c r="G44" s="101">
        <v>2281.8925720257466</v>
      </c>
      <c r="H44" t="s">
        <v>116</v>
      </c>
      <c r="I44" s="184">
        <v>6.0900000000000003E-2</v>
      </c>
      <c r="J44" s="267">
        <v>7.5</v>
      </c>
      <c r="X44" s="149"/>
      <c r="Z44" s="149"/>
    </row>
    <row r="45" spans="2:26" x14ac:dyDescent="0.25">
      <c r="B45" t="s">
        <v>140</v>
      </c>
      <c r="C45" s="149">
        <v>3.7862788491938033E-2</v>
      </c>
      <c r="D45" s="149">
        <v>0.70287255563047879</v>
      </c>
      <c r="E45" s="184">
        <v>3.8600000000000002E-2</v>
      </c>
      <c r="F45" s="253">
        <v>6.5</v>
      </c>
      <c r="G45" s="101">
        <v>2197.5661403448448</v>
      </c>
      <c r="H45" t="s">
        <v>116</v>
      </c>
      <c r="I45" s="184">
        <v>5.4399999999999997E-2</v>
      </c>
      <c r="J45" s="267">
        <v>6.5</v>
      </c>
      <c r="X45" s="149"/>
      <c r="Z45" s="149"/>
    </row>
    <row r="46" spans="2:26" x14ac:dyDescent="0.25">
      <c r="B46" t="s">
        <v>328</v>
      </c>
      <c r="C46" s="149">
        <v>0.13718159042641132</v>
      </c>
      <c r="D46" s="149">
        <v>0.70400692518743491</v>
      </c>
      <c r="E46" s="184">
        <v>4.87E-2</v>
      </c>
      <c r="F46" s="253">
        <v>7.5</v>
      </c>
      <c r="G46" s="101">
        <v>2214.7158404417642</v>
      </c>
      <c r="H46" t="s">
        <v>465</v>
      </c>
      <c r="I46" s="184">
        <v>6.2199999999999998E-2</v>
      </c>
      <c r="J46" s="267">
        <v>6</v>
      </c>
      <c r="X46" s="149"/>
      <c r="Z46" s="149"/>
    </row>
    <row r="47" spans="2:26" x14ac:dyDescent="0.25">
      <c r="B47" t="s">
        <v>351</v>
      </c>
      <c r="C47" s="149">
        <v>9.7894773289936121E-2</v>
      </c>
      <c r="D47" s="149">
        <v>0.72201404332066754</v>
      </c>
      <c r="E47" s="184">
        <v>3.1699999999999999E-2</v>
      </c>
      <c r="F47" s="253">
        <v>8.5</v>
      </c>
      <c r="G47" s="101">
        <v>2229.9826437158308</v>
      </c>
      <c r="H47" t="s">
        <v>116</v>
      </c>
      <c r="I47" s="184">
        <v>4.8000000000000001E-2</v>
      </c>
      <c r="J47" s="267">
        <v>8</v>
      </c>
      <c r="X47" s="149"/>
      <c r="Z47" s="149"/>
    </row>
    <row r="48" spans="2:26" x14ac:dyDescent="0.25">
      <c r="B48" t="s">
        <v>352</v>
      </c>
      <c r="C48" s="149">
        <v>2.8436877833179379E-2</v>
      </c>
      <c r="D48" s="149">
        <v>0.68511440668436629</v>
      </c>
      <c r="E48" s="184">
        <v>4.1099999999999998E-2</v>
      </c>
      <c r="F48" s="253">
        <v>7.5</v>
      </c>
      <c r="G48" s="101">
        <v>2773.7068855627249</v>
      </c>
      <c r="H48" t="s">
        <v>439</v>
      </c>
      <c r="I48" s="184">
        <v>4.9500000000000002E-2</v>
      </c>
      <c r="J48" s="267">
        <v>9</v>
      </c>
      <c r="X48" s="149"/>
      <c r="Z48" s="149"/>
    </row>
    <row r="49" spans="2:26" x14ac:dyDescent="0.25">
      <c r="B49" t="s">
        <v>169</v>
      </c>
      <c r="C49" s="149">
        <v>7.647052948050781E-2</v>
      </c>
      <c r="D49" s="149">
        <v>0.72320536309127248</v>
      </c>
      <c r="E49" s="184">
        <v>5.7200000000000001E-2</v>
      </c>
      <c r="F49" s="253">
        <v>7</v>
      </c>
      <c r="G49" s="101">
        <v>2220.540114875409</v>
      </c>
      <c r="H49" t="s">
        <v>465</v>
      </c>
      <c r="I49" s="184">
        <v>6.2199999999999998E-2</v>
      </c>
      <c r="J49" s="267">
        <v>7</v>
      </c>
      <c r="X49" s="149"/>
      <c r="Z49" s="149"/>
    </row>
    <row r="50" spans="2:26" x14ac:dyDescent="0.25">
      <c r="B50" t="s">
        <v>170</v>
      </c>
      <c r="C50" s="149">
        <v>0.12303749787733301</v>
      </c>
      <c r="D50" s="149">
        <v>0.71742733494981736</v>
      </c>
      <c r="E50" s="184">
        <v>3.9600000000000003E-2</v>
      </c>
      <c r="F50" s="253">
        <v>8.5</v>
      </c>
      <c r="G50" s="101">
        <v>2152.1261821613302</v>
      </c>
      <c r="H50" t="s">
        <v>116</v>
      </c>
      <c r="I50" s="184">
        <v>5.1900000000000002E-2</v>
      </c>
      <c r="J50" s="267">
        <v>9</v>
      </c>
      <c r="X50" s="149"/>
      <c r="Z50" s="149"/>
    </row>
    <row r="51" spans="2:26" x14ac:dyDescent="0.25">
      <c r="B51" t="s">
        <v>400</v>
      </c>
      <c r="C51" s="149">
        <v>-1.103657217052586E-2</v>
      </c>
      <c r="D51" s="149">
        <v>0.7512734019227526</v>
      </c>
      <c r="E51" s="184">
        <v>4.7300000000000002E-2</v>
      </c>
      <c r="F51" s="253">
        <v>6.5</v>
      </c>
      <c r="G51" s="101">
        <v>2731.3513747762759</v>
      </c>
      <c r="H51" t="s">
        <v>439</v>
      </c>
      <c r="I51" s="184">
        <v>5.96E-2</v>
      </c>
      <c r="J51" s="267">
        <v>5</v>
      </c>
      <c r="X51" s="149"/>
      <c r="Z51" s="149"/>
    </row>
    <row r="52" spans="2:26" x14ac:dyDescent="0.25">
      <c r="B52" t="s">
        <v>214</v>
      </c>
      <c r="C52" s="149">
        <v>3.44405784494944E-2</v>
      </c>
      <c r="D52" s="149">
        <v>0.64795753862943029</v>
      </c>
      <c r="E52" s="184">
        <v>4.9299999999999997E-2</v>
      </c>
      <c r="F52" s="253">
        <v>7.5</v>
      </c>
      <c r="G52" s="101">
        <v>1919.1221301003179</v>
      </c>
      <c r="H52" t="s">
        <v>465</v>
      </c>
      <c r="I52" s="184">
        <v>6.5500000000000003E-2</v>
      </c>
      <c r="J52" s="267">
        <v>7</v>
      </c>
      <c r="X52" s="149"/>
      <c r="Z52" s="149"/>
    </row>
    <row r="53" spans="2:26" x14ac:dyDescent="0.25">
      <c r="B53" t="s">
        <v>215</v>
      </c>
      <c r="C53" s="149">
        <v>0.13492602594476383</v>
      </c>
      <c r="D53" s="149">
        <v>0.58643966632086064</v>
      </c>
      <c r="E53" s="184">
        <v>3.0200000000000001E-2</v>
      </c>
      <c r="F53" s="253">
        <v>10</v>
      </c>
      <c r="G53" s="101">
        <v>2143.4596985838571</v>
      </c>
      <c r="H53" t="s">
        <v>465</v>
      </c>
      <c r="I53" s="184">
        <v>5.7099999999999998E-2</v>
      </c>
      <c r="J53" s="267">
        <v>6.5</v>
      </c>
      <c r="X53" s="149"/>
      <c r="Z53" s="149"/>
    </row>
    <row r="54" spans="2:26" x14ac:dyDescent="0.25">
      <c r="B54" t="s">
        <v>171</v>
      </c>
      <c r="C54" s="149">
        <v>5.5976075842557205E-2</v>
      </c>
      <c r="D54" s="149">
        <v>0.70615561795571891</v>
      </c>
      <c r="E54" s="184">
        <v>4.7300000000000002E-2</v>
      </c>
      <c r="F54" s="253">
        <v>7</v>
      </c>
      <c r="G54" s="101">
        <v>2178.5330925312342</v>
      </c>
      <c r="H54" t="s">
        <v>465</v>
      </c>
      <c r="I54" s="184">
        <v>6.54E-2</v>
      </c>
      <c r="J54" s="267">
        <v>8</v>
      </c>
      <c r="X54" s="149"/>
      <c r="Z54" s="149"/>
    </row>
    <row r="55" spans="2:26" x14ac:dyDescent="0.25">
      <c r="B55" t="s">
        <v>287</v>
      </c>
      <c r="C55" s="149">
        <v>3.615846301395291E-2</v>
      </c>
      <c r="D55" s="149">
        <v>0.75818769808946995</v>
      </c>
      <c r="E55" s="184">
        <v>3.7999999999999999E-2</v>
      </c>
      <c r="F55" s="253">
        <v>9.5</v>
      </c>
      <c r="G55" s="101">
        <v>2585.1971828202172</v>
      </c>
      <c r="H55" t="s">
        <v>116</v>
      </c>
      <c r="I55" s="184">
        <v>6.1100000000000002E-2</v>
      </c>
      <c r="J55" s="267">
        <v>5.5</v>
      </c>
      <c r="X55" s="149"/>
      <c r="Z55" s="149"/>
    </row>
    <row r="56" spans="2:26" x14ac:dyDescent="0.25">
      <c r="B56" t="s">
        <v>244</v>
      </c>
      <c r="C56" s="149">
        <v>-9.7864768683274019E-3</v>
      </c>
      <c r="D56" s="149">
        <v>0.72111263939252712</v>
      </c>
      <c r="E56" s="184">
        <v>4.3999999999999997E-2</v>
      </c>
      <c r="F56" s="253">
        <v>7</v>
      </c>
      <c r="G56" s="101">
        <v>1751.9389190263075</v>
      </c>
      <c r="H56" t="s">
        <v>465</v>
      </c>
      <c r="I56" s="184">
        <v>6.2300000000000001E-2</v>
      </c>
      <c r="J56" s="267">
        <v>7</v>
      </c>
      <c r="X56" s="149"/>
      <c r="Z56" s="149"/>
    </row>
    <row r="57" spans="2:26" x14ac:dyDescent="0.25">
      <c r="B57" t="s">
        <v>107</v>
      </c>
      <c r="C57" s="149">
        <v>6.0870841128351859E-2</v>
      </c>
      <c r="D57" s="149">
        <v>0.72949352993126748</v>
      </c>
      <c r="E57" s="184">
        <v>2.1999999999999999E-2</v>
      </c>
      <c r="F57" s="253">
        <v>8</v>
      </c>
      <c r="G57" s="101">
        <v>2255.3226247685652</v>
      </c>
      <c r="H57" t="s">
        <v>116</v>
      </c>
      <c r="I57" s="184">
        <v>4.5199999999999997E-2</v>
      </c>
      <c r="J57" s="267">
        <v>9.5</v>
      </c>
      <c r="X57" s="149"/>
      <c r="Z57" s="149"/>
    </row>
    <row r="58" spans="2:26" x14ac:dyDescent="0.25">
      <c r="B58" t="s">
        <v>353</v>
      </c>
      <c r="C58" s="149">
        <v>5.0374909296138033E-2</v>
      </c>
      <c r="D58" s="149">
        <v>0.69953001495406963</v>
      </c>
      <c r="E58" s="184">
        <v>4.1099999999999998E-2</v>
      </c>
      <c r="F58" s="253">
        <v>8.5</v>
      </c>
      <c r="G58" s="101">
        <v>2221.6500009036531</v>
      </c>
      <c r="H58" t="s">
        <v>465</v>
      </c>
      <c r="I58" s="184">
        <v>6.5699999999999995E-2</v>
      </c>
      <c r="J58" s="267">
        <v>7</v>
      </c>
      <c r="X58" s="149"/>
      <c r="Z58" s="149"/>
    </row>
    <row r="59" spans="2:26" x14ac:dyDescent="0.25">
      <c r="B59" t="s">
        <v>172</v>
      </c>
      <c r="C59" s="149">
        <v>-5.4318895370943738E-4</v>
      </c>
      <c r="D59" s="149">
        <v>0.73296634815122563</v>
      </c>
      <c r="E59" s="184">
        <v>3.9899999999999998E-2</v>
      </c>
      <c r="F59" s="253">
        <v>6.5</v>
      </c>
      <c r="G59" s="101">
        <v>2385.6362178128938</v>
      </c>
      <c r="H59" t="s">
        <v>116</v>
      </c>
      <c r="I59" s="184">
        <v>5.79E-2</v>
      </c>
      <c r="J59" s="267">
        <v>6</v>
      </c>
      <c r="X59" s="149"/>
      <c r="Z59" s="149"/>
    </row>
    <row r="60" spans="2:26" x14ac:dyDescent="0.25">
      <c r="B60" t="s">
        <v>141</v>
      </c>
      <c r="C60" s="149">
        <v>4.738154613466334E-2</v>
      </c>
      <c r="D60" s="149">
        <v>0.73533826037521322</v>
      </c>
      <c r="E60" s="184">
        <v>5.1900000000000002E-2</v>
      </c>
      <c r="F60" s="253">
        <v>8</v>
      </c>
      <c r="G60" s="101">
        <v>2112.0551819674006</v>
      </c>
      <c r="H60" t="s">
        <v>465</v>
      </c>
      <c r="I60" s="184">
        <v>8.2799999999999999E-2</v>
      </c>
      <c r="J60" s="267">
        <v>7.5</v>
      </c>
      <c r="X60" s="149"/>
      <c r="Z60" s="149"/>
    </row>
    <row r="61" spans="2:26" x14ac:dyDescent="0.25">
      <c r="B61" t="s">
        <v>127</v>
      </c>
      <c r="C61" s="149">
        <v>8.7673559382635116E-2</v>
      </c>
      <c r="D61" s="149">
        <v>0.83430009190484078</v>
      </c>
      <c r="E61" s="184">
        <v>4.5199999999999997E-2</v>
      </c>
      <c r="F61" s="253">
        <v>7.5</v>
      </c>
      <c r="G61" s="101">
        <v>2397.7500743788896</v>
      </c>
      <c r="H61" t="s">
        <v>116</v>
      </c>
      <c r="I61" s="184">
        <v>6.5699999999999995E-2</v>
      </c>
      <c r="J61" s="267">
        <v>7.5</v>
      </c>
      <c r="X61" s="149"/>
      <c r="Z61" s="149"/>
    </row>
    <row r="62" spans="2:26" x14ac:dyDescent="0.25">
      <c r="B62" t="s">
        <v>216</v>
      </c>
      <c r="C62" s="149">
        <v>2.5182571657885743E-2</v>
      </c>
      <c r="D62" s="149">
        <v>0.68873953452646131</v>
      </c>
      <c r="E62" s="184">
        <v>3.5799999999999998E-2</v>
      </c>
      <c r="F62" s="253">
        <v>9.5</v>
      </c>
      <c r="G62" s="101">
        <v>2003.2097621054181</v>
      </c>
      <c r="H62" t="s">
        <v>465</v>
      </c>
      <c r="I62" s="184">
        <v>5.5E-2</v>
      </c>
      <c r="J62" s="267">
        <v>9</v>
      </c>
      <c r="X62" s="149"/>
      <c r="Z62" s="149"/>
    </row>
    <row r="63" spans="2:26" x14ac:dyDescent="0.25">
      <c r="B63" t="s">
        <v>525</v>
      </c>
      <c r="C63" s="149">
        <v>1.9957270971125922E-2</v>
      </c>
      <c r="D63" s="149">
        <v>0.75611824950519935</v>
      </c>
      <c r="E63" s="184">
        <v>4.3700000000000003E-2</v>
      </c>
      <c r="F63" s="253">
        <v>8</v>
      </c>
      <c r="G63" s="101">
        <v>2293.4066475513823</v>
      </c>
      <c r="H63" t="s">
        <v>116</v>
      </c>
      <c r="I63" s="184">
        <v>5.0799999999999998E-2</v>
      </c>
      <c r="J63" s="267">
        <v>8</v>
      </c>
      <c r="X63" s="149"/>
      <c r="Z63" s="149"/>
    </row>
    <row r="64" spans="2:26" x14ac:dyDescent="0.25">
      <c r="B64" t="s">
        <v>217</v>
      </c>
      <c r="C64" s="149">
        <v>2.3555693560351223E-2</v>
      </c>
      <c r="D64" s="149">
        <v>0.71471846781602533</v>
      </c>
      <c r="E64" s="184">
        <v>3.7199999999999997E-2</v>
      </c>
      <c r="F64" s="253">
        <v>10</v>
      </c>
      <c r="G64" s="101">
        <v>1825.1980295874976</v>
      </c>
      <c r="H64" t="s">
        <v>465</v>
      </c>
      <c r="I64" s="184">
        <v>6.7900000000000002E-2</v>
      </c>
      <c r="J64" s="267">
        <v>6</v>
      </c>
      <c r="X64" s="149"/>
      <c r="Z64" s="149"/>
    </row>
    <row r="65" spans="2:26" x14ac:dyDescent="0.25">
      <c r="B65" t="s">
        <v>115</v>
      </c>
      <c r="C65" s="149">
        <v>9.2890013104562213E-2</v>
      </c>
      <c r="D65" s="149">
        <v>0.76281292671825218</v>
      </c>
      <c r="E65" s="184">
        <v>4.5999999999999999E-2</v>
      </c>
      <c r="F65" s="253">
        <v>8</v>
      </c>
      <c r="G65" s="101">
        <v>2067.13120681393</v>
      </c>
      <c r="H65" t="s">
        <v>465</v>
      </c>
      <c r="I65" s="184">
        <v>6.3200000000000006E-2</v>
      </c>
      <c r="J65" s="267">
        <v>7</v>
      </c>
      <c r="X65" s="149"/>
      <c r="Z65" s="149"/>
    </row>
    <row r="66" spans="2:26" x14ac:dyDescent="0.25">
      <c r="B66" t="s">
        <v>288</v>
      </c>
      <c r="C66" s="149">
        <v>4.7873259603041375E-2</v>
      </c>
      <c r="D66" s="149">
        <v>0.69153956840630759</v>
      </c>
      <c r="E66" s="184">
        <v>6.0100000000000001E-2</v>
      </c>
      <c r="F66" s="253">
        <v>5</v>
      </c>
      <c r="G66" s="101">
        <v>3119.7937141344337</v>
      </c>
      <c r="H66" t="s">
        <v>116</v>
      </c>
      <c r="I66" s="184">
        <v>5.5300000000000002E-2</v>
      </c>
      <c r="J66" s="267">
        <v>7</v>
      </c>
      <c r="X66" s="149"/>
      <c r="Z66" s="149"/>
    </row>
    <row r="67" spans="2:26" x14ac:dyDescent="0.25">
      <c r="B67" t="s">
        <v>245</v>
      </c>
      <c r="C67" s="149">
        <v>2.7370828271278496E-2</v>
      </c>
      <c r="D67" s="149">
        <v>0.79343740124083095</v>
      </c>
      <c r="E67" s="184">
        <v>4.6100000000000002E-2</v>
      </c>
      <c r="F67" s="253">
        <v>5.5</v>
      </c>
      <c r="G67" s="101">
        <v>2815.2792386717788</v>
      </c>
      <c r="H67" t="s">
        <v>439</v>
      </c>
      <c r="I67" s="184">
        <v>6.6100000000000006E-2</v>
      </c>
      <c r="J67" s="267">
        <v>6</v>
      </c>
      <c r="X67" s="149"/>
      <c r="Z67" s="149"/>
    </row>
    <row r="68" spans="2:26" x14ac:dyDescent="0.25">
      <c r="B68" t="s">
        <v>355</v>
      </c>
      <c r="C68" s="149">
        <v>6.675839676898862E-2</v>
      </c>
      <c r="D68" s="149">
        <v>0.64443998183913664</v>
      </c>
      <c r="E68" s="184">
        <v>4.2099999999999999E-2</v>
      </c>
      <c r="F68" s="253">
        <v>8.5</v>
      </c>
      <c r="G68" s="101">
        <v>2323.7028769015119</v>
      </c>
      <c r="H68" t="s">
        <v>116</v>
      </c>
      <c r="I68" s="184">
        <v>5.7000000000000002E-2</v>
      </c>
      <c r="J68" s="267">
        <v>8</v>
      </c>
      <c r="X68" s="149"/>
      <c r="Z68" s="149"/>
    </row>
    <row r="69" spans="2:26" x14ac:dyDescent="0.25">
      <c r="B69" t="s">
        <v>142</v>
      </c>
      <c r="C69" s="149">
        <v>8.0240370816505951E-2</v>
      </c>
      <c r="D69" s="149">
        <v>0.72807439949791752</v>
      </c>
      <c r="E69" s="184">
        <v>5.0099999999999999E-2</v>
      </c>
      <c r="F69" s="253">
        <v>7</v>
      </c>
      <c r="G69" s="101">
        <v>2896.2182863654443</v>
      </c>
      <c r="H69" t="s">
        <v>439</v>
      </c>
      <c r="I69" s="184">
        <v>5.7200000000000001E-2</v>
      </c>
      <c r="J69" s="267">
        <v>7.5</v>
      </c>
      <c r="X69" s="149"/>
      <c r="Z69" s="149"/>
    </row>
    <row r="70" spans="2:26" x14ac:dyDescent="0.25">
      <c r="B70" t="s">
        <v>246</v>
      </c>
      <c r="C70" s="149">
        <v>0.10787106152274692</v>
      </c>
      <c r="D70" s="149">
        <v>0.66587643047384903</v>
      </c>
      <c r="E70" s="184">
        <v>2.7400000000000001E-2</v>
      </c>
      <c r="F70" s="253">
        <v>6.5</v>
      </c>
      <c r="G70" s="101">
        <v>2019.0614854253506</v>
      </c>
      <c r="H70" t="s">
        <v>116</v>
      </c>
      <c r="I70" s="184">
        <v>4.7500000000000001E-2</v>
      </c>
      <c r="J70" s="267">
        <v>6.5</v>
      </c>
      <c r="X70" s="149"/>
      <c r="Z70" s="149"/>
    </row>
    <row r="71" spans="2:26" x14ac:dyDescent="0.25">
      <c r="B71" t="s">
        <v>772</v>
      </c>
      <c r="C71" s="149">
        <v>9.0875433341186772E-3</v>
      </c>
      <c r="D71" s="149">
        <v>0.67561231263757382</v>
      </c>
      <c r="E71" s="184">
        <v>4.0500000000000001E-2</v>
      </c>
      <c r="F71" s="253">
        <v>8.5</v>
      </c>
      <c r="G71" s="101">
        <v>2179.2544346124773</v>
      </c>
      <c r="H71" t="s">
        <v>116</v>
      </c>
      <c r="I71" s="184">
        <v>6.13E-2</v>
      </c>
      <c r="J71" s="267">
        <v>8</v>
      </c>
      <c r="X71" s="149"/>
      <c r="Z71" s="149"/>
    </row>
    <row r="72" spans="2:26" x14ac:dyDescent="0.25">
      <c r="B72" t="s">
        <v>143</v>
      </c>
      <c r="C72" s="149">
        <v>2.92141161321476E-2</v>
      </c>
      <c r="D72" s="149">
        <v>0.68573433935778205</v>
      </c>
      <c r="E72" s="184">
        <v>4.8800000000000003E-2</v>
      </c>
      <c r="F72" s="253">
        <v>7</v>
      </c>
      <c r="G72" s="101">
        <v>2090.4627105050113</v>
      </c>
      <c r="H72" t="s">
        <v>465</v>
      </c>
      <c r="I72" s="184">
        <v>6.2300000000000001E-2</v>
      </c>
      <c r="J72" s="267">
        <v>7.5</v>
      </c>
      <c r="X72" s="149"/>
      <c r="Z72" s="149"/>
    </row>
    <row r="73" spans="2:26" x14ac:dyDescent="0.25">
      <c r="B73" t="s">
        <v>173</v>
      </c>
      <c r="C73" s="149">
        <v>4.0805857389357832E-2</v>
      </c>
      <c r="D73" s="149">
        <v>0.7894451294697904</v>
      </c>
      <c r="E73" s="184">
        <v>4.65E-2</v>
      </c>
      <c r="F73" s="253">
        <v>8</v>
      </c>
      <c r="G73" s="101">
        <v>2705.957212669513</v>
      </c>
      <c r="H73" t="s">
        <v>439</v>
      </c>
      <c r="I73" s="184">
        <v>6.3E-2</v>
      </c>
      <c r="J73" s="267">
        <v>7.5</v>
      </c>
      <c r="X73" s="149"/>
      <c r="Z73" s="149"/>
    </row>
    <row r="74" spans="2:26" x14ac:dyDescent="0.25">
      <c r="B74" t="s">
        <v>174</v>
      </c>
      <c r="C74" s="149">
        <v>7.7180964494198728E-2</v>
      </c>
      <c r="D74" s="149">
        <v>0.71569540122882147</v>
      </c>
      <c r="E74" s="184">
        <v>4.5100000000000001E-2</v>
      </c>
      <c r="F74" s="253">
        <v>8.5</v>
      </c>
      <c r="G74" s="101">
        <v>2696.3248782779947</v>
      </c>
      <c r="H74" t="s">
        <v>439</v>
      </c>
      <c r="I74" s="184">
        <v>5.8200000000000002E-2</v>
      </c>
      <c r="J74" s="267">
        <v>9.5</v>
      </c>
      <c r="X74" s="149"/>
      <c r="Z74" s="149"/>
    </row>
    <row r="75" spans="2:26" x14ac:dyDescent="0.25">
      <c r="B75" t="s">
        <v>356</v>
      </c>
      <c r="C75" s="149">
        <v>0.10308368848231494</v>
      </c>
      <c r="D75" s="149">
        <v>0.74603884934342091</v>
      </c>
      <c r="E75" s="184">
        <v>3.7400000000000003E-2</v>
      </c>
      <c r="F75" s="253">
        <v>8</v>
      </c>
      <c r="G75" s="101">
        <v>1916.9162671965601</v>
      </c>
      <c r="H75" t="s">
        <v>465</v>
      </c>
      <c r="I75" s="184">
        <v>5.5399999999999998E-2</v>
      </c>
      <c r="J75" s="267">
        <v>8.5</v>
      </c>
      <c r="X75" s="149"/>
      <c r="Z75" s="149"/>
    </row>
    <row r="76" spans="2:26" x14ac:dyDescent="0.25">
      <c r="B76" t="s">
        <v>289</v>
      </c>
      <c r="C76" s="149">
        <v>-1.7248897972479523E-2</v>
      </c>
      <c r="D76" s="149">
        <v>0.66015955527001147</v>
      </c>
      <c r="E76" s="184">
        <v>5.5100000000000003E-2</v>
      </c>
      <c r="F76" s="253">
        <v>4.5</v>
      </c>
      <c r="G76" s="101">
        <v>3442.77862197483</v>
      </c>
      <c r="H76" t="s">
        <v>439</v>
      </c>
      <c r="I76" s="184">
        <v>6.2100000000000002E-2</v>
      </c>
      <c r="J76" s="267">
        <v>6.5</v>
      </c>
      <c r="X76" s="149"/>
      <c r="Z76" s="149"/>
    </row>
    <row r="77" spans="2:26" x14ac:dyDescent="0.25">
      <c r="B77" t="s">
        <v>247</v>
      </c>
      <c r="C77" s="149">
        <v>5.4010969198944832E-2</v>
      </c>
      <c r="D77" s="149">
        <v>0.74822383498854084</v>
      </c>
      <c r="E77" s="184">
        <v>5.04E-2</v>
      </c>
      <c r="F77" s="253">
        <v>7</v>
      </c>
      <c r="G77" s="101">
        <v>2001.8148054614085</v>
      </c>
      <c r="H77" t="s">
        <v>465</v>
      </c>
      <c r="I77" s="184">
        <v>6.4199999999999993E-2</v>
      </c>
      <c r="J77" s="267">
        <v>7.5</v>
      </c>
      <c r="X77" s="149"/>
      <c r="Z77" s="149"/>
    </row>
    <row r="78" spans="2:26" x14ac:dyDescent="0.25">
      <c r="B78" t="s">
        <v>357</v>
      </c>
      <c r="C78" s="149">
        <v>2.3800096162004694E-2</v>
      </c>
      <c r="D78" s="149">
        <v>0.67842585719680693</v>
      </c>
      <c r="E78" s="184">
        <v>4.36E-2</v>
      </c>
      <c r="F78" s="253">
        <v>8.5</v>
      </c>
      <c r="G78" s="101">
        <v>1834.3521738556906</v>
      </c>
      <c r="H78" t="s">
        <v>465</v>
      </c>
      <c r="I78" s="184">
        <v>5.57E-2</v>
      </c>
      <c r="J78" s="267">
        <v>7</v>
      </c>
      <c r="X78" s="149"/>
      <c r="Z78" s="149"/>
    </row>
    <row r="79" spans="2:26" x14ac:dyDescent="0.25">
      <c r="B79" t="s">
        <v>428</v>
      </c>
      <c r="C79" s="149">
        <v>7.5488708892641462E-2</v>
      </c>
      <c r="D79" s="149">
        <v>0.73796714103899108</v>
      </c>
      <c r="E79" s="184">
        <v>5.0099999999999999E-2</v>
      </c>
      <c r="F79" s="253">
        <v>5.5</v>
      </c>
      <c r="G79" s="101">
        <v>2257.0959192998926</v>
      </c>
      <c r="H79" t="s">
        <v>465</v>
      </c>
      <c r="I79" s="184">
        <v>6.6799999999999998E-2</v>
      </c>
      <c r="J79" s="267">
        <v>7.5</v>
      </c>
      <c r="X79" s="149"/>
      <c r="Z79" s="149"/>
    </row>
    <row r="80" spans="2:26" x14ac:dyDescent="0.25">
      <c r="B80" t="s">
        <v>175</v>
      </c>
      <c r="C80" s="149">
        <v>4.7842465753424657E-2</v>
      </c>
      <c r="D80" s="149">
        <v>0.78579408877001722</v>
      </c>
      <c r="E80" s="184">
        <v>4.4299999999999999E-2</v>
      </c>
      <c r="F80" s="253">
        <v>7</v>
      </c>
      <c r="G80" s="101">
        <v>2151.2336214536654</v>
      </c>
      <c r="H80" t="s">
        <v>116</v>
      </c>
      <c r="I80" s="184">
        <v>0.12429999999999999</v>
      </c>
      <c r="J80" s="267">
        <v>7.5</v>
      </c>
      <c r="X80" s="149"/>
      <c r="Z80" s="149"/>
    </row>
    <row r="81" spans="2:26" x14ac:dyDescent="0.25">
      <c r="B81" t="s">
        <v>176</v>
      </c>
      <c r="C81" s="149">
        <v>7.0363177069449209E-2</v>
      </c>
      <c r="D81" s="149">
        <v>0.74454110424513764</v>
      </c>
      <c r="E81" s="184">
        <v>4.9799999999999997E-2</v>
      </c>
      <c r="F81" s="253">
        <v>8</v>
      </c>
      <c r="G81" s="101">
        <v>2246.5604268304487</v>
      </c>
      <c r="H81" t="s">
        <v>465</v>
      </c>
      <c r="I81" s="184">
        <v>6.88E-2</v>
      </c>
      <c r="J81" s="267">
        <v>6</v>
      </c>
      <c r="X81" s="149"/>
      <c r="Z81" s="149"/>
    </row>
    <row r="82" spans="2:26" x14ac:dyDescent="0.25">
      <c r="B82" t="s">
        <v>401</v>
      </c>
      <c r="C82" s="149">
        <v>7.7451610464237111E-2</v>
      </c>
      <c r="D82" s="149">
        <v>0.72319341596118714</v>
      </c>
      <c r="E82" s="184">
        <v>4.02E-2</v>
      </c>
      <c r="F82" s="253">
        <v>8.5</v>
      </c>
      <c r="G82" s="101">
        <v>2373.4794038046061</v>
      </c>
      <c r="H82" t="s">
        <v>116</v>
      </c>
      <c r="I82" s="184">
        <v>5.5800000000000002E-2</v>
      </c>
      <c r="J82" s="267">
        <v>9</v>
      </c>
      <c r="X82" s="149"/>
      <c r="Z82" s="149"/>
    </row>
    <row r="83" spans="2:26" x14ac:dyDescent="0.25">
      <c r="B83" t="s">
        <v>248</v>
      </c>
      <c r="C83" s="149">
        <v>4.3500521658487577E-2</v>
      </c>
      <c r="D83" s="149">
        <v>0.72012387485166851</v>
      </c>
      <c r="E83" s="184">
        <v>5.3499999999999999E-2</v>
      </c>
      <c r="F83" s="253">
        <v>8</v>
      </c>
      <c r="G83" s="101">
        <v>2140.443796910517</v>
      </c>
      <c r="H83" t="s">
        <v>465</v>
      </c>
      <c r="I83" s="184">
        <v>6.1199999999999997E-2</v>
      </c>
      <c r="J83" s="267">
        <v>7</v>
      </c>
      <c r="X83" s="149"/>
      <c r="Z83" s="149"/>
    </row>
    <row r="84" spans="2:26" x14ac:dyDescent="0.25">
      <c r="B84" t="s">
        <v>177</v>
      </c>
      <c r="C84" s="149">
        <v>3.8414782941588663E-2</v>
      </c>
      <c r="D84" s="149">
        <v>0.68983842175127019</v>
      </c>
      <c r="E84" s="184">
        <v>4.5499999999999999E-2</v>
      </c>
      <c r="F84" s="253">
        <v>9</v>
      </c>
      <c r="G84" s="101">
        <v>2288.7053686758832</v>
      </c>
      <c r="H84" t="s">
        <v>439</v>
      </c>
      <c r="I84" s="184">
        <v>6.1499999999999999E-2</v>
      </c>
      <c r="J84" s="267">
        <v>6.5</v>
      </c>
      <c r="X84" s="149"/>
      <c r="Z84" s="149"/>
    </row>
    <row r="85" spans="2:26" x14ac:dyDescent="0.25">
      <c r="B85" t="s">
        <v>218</v>
      </c>
      <c r="C85" s="149">
        <v>9.5553618134263298E-3</v>
      </c>
      <c r="D85" s="149">
        <v>0.61646186586119311</v>
      </c>
      <c r="E85" s="184">
        <v>3.4299999999999997E-2</v>
      </c>
      <c r="F85" s="253">
        <v>6.5</v>
      </c>
      <c r="G85" s="101">
        <v>2145.8161303825332</v>
      </c>
      <c r="H85" t="s">
        <v>465</v>
      </c>
      <c r="I85" s="184">
        <v>6.1100000000000002E-2</v>
      </c>
      <c r="J85" s="267">
        <v>6</v>
      </c>
      <c r="X85" s="149"/>
      <c r="Z85" s="149"/>
    </row>
    <row r="86" spans="2:26" x14ac:dyDescent="0.25">
      <c r="B86" t="s">
        <v>719</v>
      </c>
      <c r="C86" s="149">
        <v>4.8814395131675584E-3</v>
      </c>
      <c r="D86" s="149">
        <v>0.83553353931006302</v>
      </c>
      <c r="E86" s="184">
        <v>3.27E-2</v>
      </c>
      <c r="F86" s="253">
        <v>6</v>
      </c>
      <c r="G86" s="101">
        <v>3086.7967971856415</v>
      </c>
      <c r="H86" t="s">
        <v>439</v>
      </c>
      <c r="I86" s="184">
        <v>4.7500000000000001E-2</v>
      </c>
      <c r="J86" s="267">
        <v>6</v>
      </c>
      <c r="X86" s="149"/>
      <c r="Z86" s="149"/>
    </row>
    <row r="87" spans="2:26" x14ac:dyDescent="0.25">
      <c r="B87" t="s">
        <v>358</v>
      </c>
      <c r="C87" s="149">
        <v>0.13468244357227271</v>
      </c>
      <c r="D87" s="149">
        <v>0.72168325338297412</v>
      </c>
      <c r="E87" s="184">
        <v>4.7600000000000003E-2</v>
      </c>
      <c r="F87" s="253">
        <v>10</v>
      </c>
      <c r="G87" s="101">
        <v>1862.7192535824274</v>
      </c>
      <c r="H87" t="s">
        <v>465</v>
      </c>
      <c r="I87" s="184">
        <v>5.4199999999999998E-2</v>
      </c>
      <c r="J87" s="267">
        <v>8.5</v>
      </c>
      <c r="X87" s="149"/>
      <c r="Z87" s="149"/>
    </row>
    <row r="88" spans="2:26" x14ac:dyDescent="0.25">
      <c r="B88" t="s">
        <v>402</v>
      </c>
      <c r="C88" s="149">
        <v>2.5469779302389119E-2</v>
      </c>
      <c r="D88" s="149">
        <v>0.71296296296296291</v>
      </c>
      <c r="E88" s="184">
        <v>4.07E-2</v>
      </c>
      <c r="F88" s="253">
        <v>9</v>
      </c>
      <c r="G88" s="101">
        <v>1871.2116870243885</v>
      </c>
      <c r="H88" t="s">
        <v>465</v>
      </c>
      <c r="I88" s="184">
        <v>5.16E-2</v>
      </c>
      <c r="J88" s="267">
        <v>8</v>
      </c>
      <c r="X88" s="149"/>
      <c r="Z88" s="149"/>
    </row>
    <row r="89" spans="2:26" x14ac:dyDescent="0.25">
      <c r="B89" t="s">
        <v>359</v>
      </c>
      <c r="C89" s="149">
        <v>4.7696252200859525E-2</v>
      </c>
      <c r="D89" s="149">
        <v>0.73400457291434651</v>
      </c>
      <c r="E89" s="184">
        <v>4.2700000000000002E-2</v>
      </c>
      <c r="F89" s="253">
        <v>7</v>
      </c>
      <c r="G89" s="101">
        <v>2743.0865610092428</v>
      </c>
      <c r="H89" t="s">
        <v>439</v>
      </c>
      <c r="I89" s="184">
        <v>4.8599999999999997E-2</v>
      </c>
      <c r="J89" s="267">
        <v>8</v>
      </c>
      <c r="X89" s="149"/>
      <c r="Z89" s="149"/>
    </row>
    <row r="90" spans="2:26" x14ac:dyDescent="0.25">
      <c r="B90" t="s">
        <v>178</v>
      </c>
      <c r="C90" s="149">
        <v>9.9063405255842354E-2</v>
      </c>
      <c r="D90" s="149">
        <v>0.68850420210293584</v>
      </c>
      <c r="E90" s="184">
        <v>4.7500000000000001E-2</v>
      </c>
      <c r="F90" s="253">
        <v>8.5</v>
      </c>
      <c r="G90" s="101">
        <v>2362.5896980491748</v>
      </c>
      <c r="H90" t="s">
        <v>465</v>
      </c>
      <c r="I90" s="184">
        <v>7.2499999999999995E-2</v>
      </c>
      <c r="J90" s="267">
        <v>7.5</v>
      </c>
      <c r="X90" s="149"/>
      <c r="Z90" s="149"/>
    </row>
    <row r="91" spans="2:26" x14ac:dyDescent="0.25">
      <c r="B91" t="s">
        <v>108</v>
      </c>
      <c r="C91" s="149">
        <v>0.10430626755019433</v>
      </c>
      <c r="D91" s="149">
        <v>0.7638558496051806</v>
      </c>
      <c r="E91" s="184">
        <v>3.4200000000000001E-2</v>
      </c>
      <c r="F91" s="253">
        <v>7.5</v>
      </c>
      <c r="G91" s="101">
        <v>2620.0806070428616</v>
      </c>
      <c r="H91" t="s">
        <v>439</v>
      </c>
      <c r="I91" s="184">
        <v>5.1799999999999999E-2</v>
      </c>
      <c r="J91" s="267">
        <v>8</v>
      </c>
      <c r="X91" s="149"/>
      <c r="Z91" s="149"/>
    </row>
    <row r="92" spans="2:26" x14ac:dyDescent="0.25">
      <c r="B92" t="s">
        <v>249</v>
      </c>
      <c r="C92" s="149">
        <v>4.4367032315446191E-2</v>
      </c>
      <c r="D92" s="149">
        <v>0.7270907038012796</v>
      </c>
      <c r="E92" s="184">
        <v>4.1700000000000001E-2</v>
      </c>
      <c r="F92" s="253">
        <v>5</v>
      </c>
      <c r="G92" s="101">
        <v>2652.4349381289435</v>
      </c>
      <c r="H92" t="s">
        <v>116</v>
      </c>
      <c r="I92" s="184">
        <v>5.96E-2</v>
      </c>
      <c r="J92" s="267">
        <v>5</v>
      </c>
      <c r="X92" s="149"/>
      <c r="Z92" s="149"/>
    </row>
    <row r="93" spans="2:26" x14ac:dyDescent="0.25">
      <c r="B93" t="s">
        <v>144</v>
      </c>
      <c r="C93" s="149">
        <v>2.5795651523006245E-2</v>
      </c>
      <c r="D93" s="149">
        <v>0.727721260722198</v>
      </c>
      <c r="E93" s="184">
        <v>4.3499999999999997E-2</v>
      </c>
      <c r="F93" s="253">
        <v>6.5</v>
      </c>
      <c r="G93" s="101">
        <v>3243.4626716170596</v>
      </c>
      <c r="H93" t="s">
        <v>439</v>
      </c>
      <c r="I93" s="184">
        <v>5.8099999999999999E-2</v>
      </c>
      <c r="J93" s="267">
        <v>6.5</v>
      </c>
      <c r="X93" s="149"/>
      <c r="Z93" s="149"/>
    </row>
    <row r="94" spans="2:26" x14ac:dyDescent="0.25">
      <c r="B94" t="s">
        <v>179</v>
      </c>
      <c r="C94" s="149">
        <v>4.9851274136010058E-2</v>
      </c>
      <c r="D94" s="149">
        <v>0.76034273417371645</v>
      </c>
      <c r="E94" s="184">
        <v>4.6899999999999997E-2</v>
      </c>
      <c r="F94" s="253">
        <v>8</v>
      </c>
      <c r="G94" s="101">
        <v>2129.160190376339</v>
      </c>
      <c r="H94" t="s">
        <v>116</v>
      </c>
      <c r="I94" s="184">
        <v>6.4899999999999999E-2</v>
      </c>
      <c r="J94" s="267">
        <v>7.5</v>
      </c>
      <c r="X94" s="149"/>
      <c r="Z94" s="149"/>
    </row>
    <row r="95" spans="2:26" x14ac:dyDescent="0.25">
      <c r="B95" t="s">
        <v>180</v>
      </c>
      <c r="C95" s="149">
        <v>8.1137594913983382E-2</v>
      </c>
      <c r="D95" s="149">
        <v>0.70688331765748824</v>
      </c>
      <c r="E95" s="184">
        <v>3.95E-2</v>
      </c>
      <c r="F95" s="253">
        <v>6.5</v>
      </c>
      <c r="G95" s="101">
        <v>2509.1740877249749</v>
      </c>
      <c r="H95" t="s">
        <v>116</v>
      </c>
      <c r="I95" s="184">
        <v>5.4100000000000002E-2</v>
      </c>
      <c r="J95" s="267">
        <v>6</v>
      </c>
      <c r="X95" s="149"/>
      <c r="Z95" s="149"/>
    </row>
    <row r="96" spans="2:26" x14ac:dyDescent="0.25">
      <c r="B96" t="s">
        <v>360</v>
      </c>
      <c r="C96" s="149">
        <v>5.4858115269215267E-2</v>
      </c>
      <c r="D96" s="149">
        <v>0.71424547747378664</v>
      </c>
      <c r="E96" s="184">
        <v>3.9399999999999998E-2</v>
      </c>
      <c r="F96" s="253">
        <v>10</v>
      </c>
      <c r="G96" s="101">
        <v>2192.4676724785973</v>
      </c>
      <c r="H96" t="s">
        <v>116</v>
      </c>
      <c r="I96" s="184">
        <v>5.91E-2</v>
      </c>
      <c r="J96" s="267">
        <v>7.5</v>
      </c>
      <c r="X96" s="149"/>
      <c r="Z96" s="149"/>
    </row>
    <row r="97" spans="2:26" x14ac:dyDescent="0.25">
      <c r="B97" t="s">
        <v>361</v>
      </c>
      <c r="C97" s="149">
        <v>6.1664160534404981E-2</v>
      </c>
      <c r="D97" s="149">
        <v>0.71984356599741217</v>
      </c>
      <c r="E97" s="184">
        <v>4.1399999999999999E-2</v>
      </c>
      <c r="F97" s="253">
        <v>8.5</v>
      </c>
      <c r="G97" s="101">
        <v>2207.0374036928497</v>
      </c>
      <c r="H97" t="s">
        <v>116</v>
      </c>
      <c r="I97" s="184">
        <v>5.4899999999999997E-2</v>
      </c>
      <c r="J97" s="267">
        <v>9.5</v>
      </c>
      <c r="X97" s="149"/>
      <c r="Z97" s="149"/>
    </row>
    <row r="98" spans="2:26" x14ac:dyDescent="0.25">
      <c r="B98" t="s">
        <v>362</v>
      </c>
      <c r="C98" s="149">
        <v>2.536739132348927E-2</v>
      </c>
      <c r="D98" s="149">
        <v>0.75960704755330699</v>
      </c>
      <c r="E98" s="184">
        <v>3.2599999999999997E-2</v>
      </c>
      <c r="F98" s="253">
        <v>7</v>
      </c>
      <c r="G98" s="101">
        <v>2004.6141179786684</v>
      </c>
      <c r="H98" t="s">
        <v>116</v>
      </c>
      <c r="I98" s="184">
        <v>5.1900000000000002E-2</v>
      </c>
      <c r="J98" s="267">
        <v>7</v>
      </c>
      <c r="X98" s="149"/>
      <c r="Z98" s="149"/>
    </row>
    <row r="99" spans="2:26" x14ac:dyDescent="0.25">
      <c r="B99" t="s">
        <v>363</v>
      </c>
      <c r="C99" s="149">
        <v>9.5960137684904384E-2</v>
      </c>
      <c r="D99" s="149">
        <v>0.69111897032742509</v>
      </c>
      <c r="E99" s="184">
        <v>4.0099999999999997E-2</v>
      </c>
      <c r="F99" s="253">
        <v>9</v>
      </c>
      <c r="G99" s="101">
        <v>2127.5306091625375</v>
      </c>
      <c r="H99" t="s">
        <v>116</v>
      </c>
      <c r="I99" s="184">
        <v>5.3999999999999999E-2</v>
      </c>
      <c r="J99" s="267">
        <v>9</v>
      </c>
      <c r="X99" s="149"/>
      <c r="Z99" s="149"/>
    </row>
    <row r="100" spans="2:26" x14ac:dyDescent="0.25">
      <c r="B100" t="s">
        <v>403</v>
      </c>
      <c r="C100" s="149">
        <v>0.13315972474795235</v>
      </c>
      <c r="D100" s="149">
        <v>0.75618740646943705</v>
      </c>
      <c r="E100" s="184">
        <v>4.19E-2</v>
      </c>
      <c r="F100" s="253">
        <v>9.5</v>
      </c>
      <c r="G100" s="101">
        <v>2169.1107595272983</v>
      </c>
      <c r="H100" t="s">
        <v>116</v>
      </c>
      <c r="I100" s="184">
        <v>5.4399999999999997E-2</v>
      </c>
      <c r="J100" s="267">
        <v>8</v>
      </c>
      <c r="X100" s="149"/>
      <c r="Z100" s="149"/>
    </row>
    <row r="101" spans="2:26" x14ac:dyDescent="0.25">
      <c r="B101" t="s">
        <v>364</v>
      </c>
      <c r="C101" s="149">
        <v>6.8738785926825738E-2</v>
      </c>
      <c r="D101" s="149">
        <v>0.68166586320826816</v>
      </c>
      <c r="E101" s="184">
        <v>4.07E-2</v>
      </c>
      <c r="F101" s="253">
        <v>8.5</v>
      </c>
      <c r="G101" s="101">
        <v>2206.0238356525251</v>
      </c>
      <c r="H101" t="s">
        <v>116</v>
      </c>
      <c r="I101" s="184">
        <v>5.6899999999999999E-2</v>
      </c>
      <c r="J101" s="267">
        <v>7.5</v>
      </c>
      <c r="X101" s="149"/>
      <c r="Z101" s="149"/>
    </row>
    <row r="102" spans="2:26" x14ac:dyDescent="0.25">
      <c r="B102" t="s">
        <v>290</v>
      </c>
      <c r="C102" s="149">
        <v>0.13449277502892451</v>
      </c>
      <c r="D102" s="149">
        <v>0.70791083888878514</v>
      </c>
      <c r="E102" s="184">
        <v>4.1700000000000001E-2</v>
      </c>
      <c r="F102" s="253">
        <v>8</v>
      </c>
      <c r="G102" s="101">
        <v>2165.2137823381158</v>
      </c>
      <c r="H102" t="s">
        <v>465</v>
      </c>
      <c r="I102" s="184">
        <v>5.9499999999999997E-2</v>
      </c>
      <c r="J102" s="267">
        <v>8</v>
      </c>
      <c r="X102" s="149"/>
      <c r="Z102" s="149"/>
    </row>
    <row r="103" spans="2:26" x14ac:dyDescent="0.25">
      <c r="B103" t="s">
        <v>329</v>
      </c>
      <c r="C103" s="149">
        <v>8.4931675077033003E-2</v>
      </c>
      <c r="D103" s="149">
        <v>0.66588405877924328</v>
      </c>
      <c r="E103" s="184">
        <v>4.1399999999999999E-2</v>
      </c>
      <c r="F103" s="253">
        <v>6.5</v>
      </c>
      <c r="G103" s="101">
        <v>2987.1328997568089</v>
      </c>
      <c r="H103" t="s">
        <v>439</v>
      </c>
      <c r="I103" s="184">
        <v>0.05</v>
      </c>
      <c r="J103" s="267">
        <v>10</v>
      </c>
      <c r="X103" s="149"/>
      <c r="Z103" s="149"/>
    </row>
    <row r="104" spans="2:26" x14ac:dyDescent="0.25">
      <c r="B104" t="s">
        <v>365</v>
      </c>
      <c r="C104" s="149">
        <v>0.10453740528928498</v>
      </c>
      <c r="D104" s="149">
        <v>0.73783023046478735</v>
      </c>
      <c r="E104" s="184">
        <v>3.7900000000000003E-2</v>
      </c>
      <c r="F104" s="253">
        <v>8</v>
      </c>
      <c r="G104" s="101">
        <v>2031.0533177459711</v>
      </c>
      <c r="H104" t="s">
        <v>465</v>
      </c>
      <c r="I104" s="184">
        <v>4.4600000000000001E-2</v>
      </c>
      <c r="J104" s="267">
        <v>9.5</v>
      </c>
      <c r="X104" s="149"/>
      <c r="Z104" s="149"/>
    </row>
    <row r="105" spans="2:26" x14ac:dyDescent="0.25">
      <c r="B105" t="s">
        <v>486</v>
      </c>
      <c r="C105" s="149">
        <v>2.3979207339144677E-2</v>
      </c>
      <c r="D105" s="149">
        <v>0.71536373982316381</v>
      </c>
      <c r="E105" s="184">
        <v>3.3700000000000001E-2</v>
      </c>
      <c r="F105" s="253">
        <v>7.5</v>
      </c>
      <c r="G105" s="101">
        <v>1855.6472542175704</v>
      </c>
      <c r="H105" t="s">
        <v>465</v>
      </c>
      <c r="I105" s="184">
        <v>4.1799999999999997E-2</v>
      </c>
      <c r="J105" s="267">
        <v>8.5</v>
      </c>
      <c r="X105" s="149"/>
      <c r="Z105" s="149"/>
    </row>
    <row r="106" spans="2:26" x14ac:dyDescent="0.25">
      <c r="B106" t="s">
        <v>291</v>
      </c>
      <c r="C106" s="149">
        <v>7.6705130223153201E-3</v>
      </c>
      <c r="D106" s="149">
        <v>0.72126559549239966</v>
      </c>
      <c r="E106" s="184">
        <v>3.2399999999999998E-2</v>
      </c>
      <c r="F106" s="253">
        <v>8.5</v>
      </c>
      <c r="G106" s="101">
        <v>2694.0570315179943</v>
      </c>
      <c r="H106" t="s">
        <v>439</v>
      </c>
      <c r="I106" s="184">
        <v>4.1200000000000001E-2</v>
      </c>
      <c r="J106" s="267">
        <v>10</v>
      </c>
      <c r="X106" s="149"/>
      <c r="Z106" s="149"/>
    </row>
    <row r="107" spans="2:26" x14ac:dyDescent="0.25">
      <c r="B107" t="s">
        <v>292</v>
      </c>
      <c r="C107" s="149">
        <v>6.9007850612218521E-2</v>
      </c>
      <c r="D107" s="149">
        <v>0.71898860256975772</v>
      </c>
      <c r="E107" s="184">
        <v>3.5299999999999998E-2</v>
      </c>
      <c r="F107" s="253">
        <v>7</v>
      </c>
      <c r="G107" s="101">
        <v>2636.6779309730518</v>
      </c>
      <c r="H107" t="s">
        <v>439</v>
      </c>
      <c r="I107" s="184">
        <v>5.7000000000000002E-2</v>
      </c>
      <c r="J107" s="267">
        <v>7.5</v>
      </c>
      <c r="X107" s="149"/>
      <c r="Z107" s="149"/>
    </row>
    <row r="108" spans="2:26" x14ac:dyDescent="0.25">
      <c r="B108" t="s">
        <v>721</v>
      </c>
      <c r="C108" s="149">
        <v>3.3138083531856655E-2</v>
      </c>
      <c r="D108" s="149">
        <v>0.72926342278997958</v>
      </c>
      <c r="E108" s="184">
        <v>3.1699999999999999E-2</v>
      </c>
      <c r="F108" s="253">
        <v>6</v>
      </c>
      <c r="G108" s="101">
        <v>3077.9657099194101</v>
      </c>
      <c r="H108" t="s">
        <v>439</v>
      </c>
      <c r="I108" s="184">
        <v>4.1799999999999997E-2</v>
      </c>
      <c r="J108" s="267">
        <v>8</v>
      </c>
      <c r="X108" s="149"/>
      <c r="Z108" s="149"/>
    </row>
    <row r="109" spans="2:26" x14ac:dyDescent="0.25">
      <c r="B109" t="s">
        <v>404</v>
      </c>
      <c r="C109" s="149">
        <v>7.6318447284064464E-2</v>
      </c>
      <c r="D109" s="149">
        <v>0.70801745416078987</v>
      </c>
      <c r="E109" s="184">
        <v>3.5499999999999997E-2</v>
      </c>
      <c r="F109" s="253">
        <v>5</v>
      </c>
      <c r="G109" s="101">
        <v>2150.3006136460808</v>
      </c>
      <c r="H109" t="s">
        <v>116</v>
      </c>
      <c r="I109" s="184">
        <v>5.04E-2</v>
      </c>
      <c r="J109" s="267">
        <v>5</v>
      </c>
      <c r="X109" s="149"/>
      <c r="Z109" s="149"/>
    </row>
    <row r="110" spans="2:26" x14ac:dyDescent="0.25">
      <c r="B110" t="s">
        <v>145</v>
      </c>
      <c r="C110" s="149">
        <v>0.11785531041559774</v>
      </c>
      <c r="D110" s="149">
        <v>0.74172765624789405</v>
      </c>
      <c r="E110" s="184">
        <v>4.1399999999999999E-2</v>
      </c>
      <c r="F110" s="253">
        <v>7</v>
      </c>
      <c r="G110" s="101">
        <v>2204.6564467305661</v>
      </c>
      <c r="H110" t="s">
        <v>116</v>
      </c>
      <c r="I110" s="184">
        <v>5.8999999999999997E-2</v>
      </c>
      <c r="J110" s="267">
        <v>7</v>
      </c>
      <c r="X110" s="149"/>
      <c r="Z110" s="149"/>
    </row>
    <row r="111" spans="2:26" x14ac:dyDescent="0.25">
      <c r="B111" t="s">
        <v>250</v>
      </c>
      <c r="C111" s="149">
        <v>9.3199967779726375E-2</v>
      </c>
      <c r="D111" s="149">
        <v>0.70575342998821466</v>
      </c>
      <c r="E111" s="184">
        <v>3.4700000000000002E-2</v>
      </c>
      <c r="F111" s="253">
        <v>9.5</v>
      </c>
      <c r="G111" s="101">
        <v>2536.1591160519215</v>
      </c>
      <c r="H111" t="s">
        <v>439</v>
      </c>
      <c r="I111" s="184">
        <v>4.5199999999999997E-2</v>
      </c>
      <c r="J111" s="267">
        <v>8</v>
      </c>
      <c r="X111" s="149"/>
      <c r="Z111" s="149"/>
    </row>
    <row r="112" spans="2:26" x14ac:dyDescent="0.25">
      <c r="B112" t="s">
        <v>251</v>
      </c>
      <c r="C112" s="149">
        <v>-9.0725639862727202E-3</v>
      </c>
      <c r="D112" s="149">
        <v>0.5866466630846886</v>
      </c>
      <c r="E112" s="184">
        <v>2.9700000000000001E-2</v>
      </c>
      <c r="F112" s="253">
        <v>8</v>
      </c>
      <c r="G112" s="101">
        <v>2279.3840934215127</v>
      </c>
      <c r="H112" t="s">
        <v>465</v>
      </c>
      <c r="I112" s="184">
        <v>4.0800000000000003E-2</v>
      </c>
      <c r="J112" s="267">
        <v>5.5</v>
      </c>
      <c r="X112" s="149"/>
      <c r="Z112" s="149"/>
    </row>
    <row r="113" spans="2:26" x14ac:dyDescent="0.25">
      <c r="B113" t="s">
        <v>368</v>
      </c>
      <c r="C113" s="149">
        <v>8.9927380030554796E-2</v>
      </c>
      <c r="D113" s="149">
        <v>0.72125544128439445</v>
      </c>
      <c r="E113" s="184">
        <v>4.2700000000000002E-2</v>
      </c>
      <c r="F113" s="253">
        <v>7</v>
      </c>
      <c r="G113" s="101">
        <v>1984.6052749416251</v>
      </c>
      <c r="H113" t="s">
        <v>116</v>
      </c>
      <c r="I113" s="184">
        <v>5.67E-2</v>
      </c>
      <c r="J113" s="267">
        <v>7</v>
      </c>
      <c r="X113" s="149"/>
      <c r="Z113" s="149"/>
    </row>
    <row r="114" spans="2:26" x14ac:dyDescent="0.25">
      <c r="B114" t="s">
        <v>146</v>
      </c>
      <c r="C114" s="149">
        <v>8.1158448159397628E-2</v>
      </c>
      <c r="D114" s="149">
        <v>0.60242064972686993</v>
      </c>
      <c r="E114" s="184">
        <v>3.8399999999999997E-2</v>
      </c>
      <c r="F114" s="253">
        <v>6</v>
      </c>
      <c r="G114" s="101">
        <v>2685.5993397603647</v>
      </c>
      <c r="H114" t="s">
        <v>116</v>
      </c>
      <c r="I114" s="184">
        <v>5.1700000000000003E-2</v>
      </c>
      <c r="J114" s="267">
        <v>6.5</v>
      </c>
      <c r="X114" s="149"/>
      <c r="Z114" s="149"/>
    </row>
    <row r="115" spans="2:26" x14ac:dyDescent="0.25">
      <c r="B115" t="s">
        <v>181</v>
      </c>
      <c r="C115" s="149">
        <v>1.9236585808481036E-2</v>
      </c>
      <c r="D115" s="149">
        <v>0.63135535838779411</v>
      </c>
      <c r="E115" s="184">
        <v>4.3299999999999998E-2</v>
      </c>
      <c r="F115" s="253">
        <v>7.5</v>
      </c>
      <c r="G115" s="101">
        <v>2779.8903880550847</v>
      </c>
      <c r="H115" t="s">
        <v>439</v>
      </c>
      <c r="I115" s="184">
        <v>5.0500000000000003E-2</v>
      </c>
      <c r="J115" s="267">
        <v>8.5</v>
      </c>
      <c r="X115" s="149"/>
      <c r="Z115" s="149"/>
    </row>
    <row r="116" spans="2:26" x14ac:dyDescent="0.25">
      <c r="B116" t="s">
        <v>293</v>
      </c>
      <c r="C116" s="149">
        <v>-3.4050179211469536E-2</v>
      </c>
      <c r="D116" s="149">
        <v>0.69606762917933129</v>
      </c>
      <c r="E116" s="184">
        <v>4.6100000000000002E-2</v>
      </c>
      <c r="F116" s="253">
        <v>9</v>
      </c>
      <c r="G116" s="101">
        <v>1975.5289003679541</v>
      </c>
      <c r="H116" t="s">
        <v>465</v>
      </c>
      <c r="I116" s="184">
        <v>5.9200000000000003E-2</v>
      </c>
      <c r="J116" s="267">
        <v>8.5</v>
      </c>
      <c r="X116" s="149"/>
      <c r="Z116" s="149"/>
    </row>
    <row r="117" spans="2:26" x14ac:dyDescent="0.25">
      <c r="B117" t="s">
        <v>128</v>
      </c>
      <c r="C117" s="149">
        <v>6.6273561837159586E-2</v>
      </c>
      <c r="D117" s="149">
        <v>0.71899456254478522</v>
      </c>
      <c r="E117" s="184">
        <v>3.49E-2</v>
      </c>
      <c r="F117" s="253">
        <v>7</v>
      </c>
      <c r="G117" s="101">
        <v>2891.5137397799408</v>
      </c>
      <c r="H117" t="s">
        <v>439</v>
      </c>
      <c r="I117" s="184">
        <v>5.67E-2</v>
      </c>
      <c r="J117" s="267">
        <v>6.5</v>
      </c>
      <c r="X117" s="149"/>
      <c r="Z117" s="149"/>
    </row>
    <row r="118" spans="2:26" x14ac:dyDescent="0.25">
      <c r="B118" t="s">
        <v>182</v>
      </c>
      <c r="C118" s="149">
        <v>1.5537600994406464E-2</v>
      </c>
      <c r="D118" s="149">
        <v>0.70763436187164996</v>
      </c>
      <c r="E118" s="184">
        <v>3.8399999999999997E-2</v>
      </c>
      <c r="F118" s="253">
        <v>7.5</v>
      </c>
      <c r="G118" s="101">
        <v>1953.0274649667685</v>
      </c>
      <c r="H118" t="s">
        <v>465</v>
      </c>
      <c r="I118" s="184">
        <v>5.7799999999999997E-2</v>
      </c>
      <c r="J118" s="267">
        <v>5</v>
      </c>
      <c r="X118" s="149"/>
      <c r="Z118" s="149"/>
    </row>
    <row r="119" spans="2:26" x14ac:dyDescent="0.25">
      <c r="B119" t="s">
        <v>252</v>
      </c>
      <c r="C119" s="149">
        <v>3.4034127604609263E-2</v>
      </c>
      <c r="D119" s="149">
        <v>0.8030711474216915</v>
      </c>
      <c r="E119" s="184">
        <v>5.0500000000000003E-2</v>
      </c>
      <c r="F119" s="253">
        <v>7</v>
      </c>
      <c r="G119" s="101">
        <v>2224.679533229837</v>
      </c>
      <c r="H119" t="s">
        <v>116</v>
      </c>
      <c r="I119" s="184">
        <v>6.2399999999999997E-2</v>
      </c>
      <c r="J119" s="267">
        <v>7.5</v>
      </c>
      <c r="X119" s="149"/>
      <c r="Z119" s="149"/>
    </row>
    <row r="120" spans="2:26" x14ac:dyDescent="0.25">
      <c r="B120" t="s">
        <v>253</v>
      </c>
      <c r="C120" s="149">
        <v>3.5867086823969462E-2</v>
      </c>
      <c r="D120" s="149">
        <v>0.63369526889826489</v>
      </c>
      <c r="E120" s="184">
        <v>3.9199999999999999E-2</v>
      </c>
      <c r="F120" s="253">
        <v>8.5</v>
      </c>
      <c r="G120" s="101">
        <v>2146.8314518592974</v>
      </c>
      <c r="H120" t="s">
        <v>465</v>
      </c>
      <c r="I120" s="184">
        <v>5.3100000000000001E-2</v>
      </c>
      <c r="J120" s="267">
        <v>8</v>
      </c>
      <c r="X120" s="149"/>
      <c r="Z120" s="149"/>
    </row>
    <row r="121" spans="2:26" x14ac:dyDescent="0.25">
      <c r="B121" t="s">
        <v>183</v>
      </c>
      <c r="C121" s="149">
        <v>9.1970729751403371E-2</v>
      </c>
      <c r="D121" s="149">
        <v>0.75359587160999886</v>
      </c>
      <c r="E121" s="184">
        <v>5.0700000000000002E-2</v>
      </c>
      <c r="F121" s="253">
        <v>6.5</v>
      </c>
      <c r="G121" s="101">
        <v>2186.9201265650681</v>
      </c>
      <c r="H121" t="s">
        <v>465</v>
      </c>
      <c r="I121" s="184">
        <v>6.13E-2</v>
      </c>
      <c r="J121" s="267">
        <v>6.5</v>
      </c>
      <c r="X121" s="149"/>
      <c r="Z121" s="149"/>
    </row>
    <row r="122" spans="2:26" x14ac:dyDescent="0.25">
      <c r="B122" t="s">
        <v>129</v>
      </c>
      <c r="C122" s="149">
        <v>3.2060416072955261E-2</v>
      </c>
      <c r="D122" s="149">
        <v>0.67069267751653094</v>
      </c>
      <c r="E122" s="184">
        <v>4.0300000000000002E-2</v>
      </c>
      <c r="F122" s="253">
        <v>7</v>
      </c>
      <c r="G122" s="101">
        <v>2846.3401890408595</v>
      </c>
      <c r="H122" t="s">
        <v>439</v>
      </c>
      <c r="I122" s="184">
        <v>5.3999999999999999E-2</v>
      </c>
      <c r="J122" s="267">
        <v>8</v>
      </c>
      <c r="X122" s="149"/>
      <c r="Z122" s="149"/>
    </row>
    <row r="123" spans="2:26" x14ac:dyDescent="0.25">
      <c r="B123" t="s">
        <v>405</v>
      </c>
      <c r="C123" s="149">
        <v>4.3539000726936027E-2</v>
      </c>
      <c r="D123" s="149">
        <v>0.82295977521321328</v>
      </c>
      <c r="E123" s="184">
        <v>3.8899999999999997E-2</v>
      </c>
      <c r="F123" s="253">
        <v>5</v>
      </c>
      <c r="G123" s="101">
        <v>3248.0447605617428</v>
      </c>
      <c r="H123" t="s">
        <v>439</v>
      </c>
      <c r="I123" s="184">
        <v>5.3800000000000001E-2</v>
      </c>
      <c r="J123" s="267">
        <v>7</v>
      </c>
      <c r="X123" s="149"/>
      <c r="Z123" s="149"/>
    </row>
    <row r="124" spans="2:26" x14ac:dyDescent="0.25">
      <c r="B124" t="s">
        <v>369</v>
      </c>
      <c r="C124" s="149">
        <v>3.9921844847549209E-2</v>
      </c>
      <c r="D124" s="149">
        <v>0.72630442942942941</v>
      </c>
      <c r="E124" s="184">
        <v>4.9700000000000001E-2</v>
      </c>
      <c r="F124" s="253">
        <v>9</v>
      </c>
      <c r="G124" s="101">
        <v>1904.7774468778459</v>
      </c>
      <c r="H124" t="s">
        <v>465</v>
      </c>
      <c r="I124" s="184">
        <v>7.3200000000000001E-2</v>
      </c>
      <c r="J124" s="267">
        <v>7.5</v>
      </c>
      <c r="X124" s="149"/>
      <c r="Z124" s="149"/>
    </row>
    <row r="125" spans="2:26" x14ac:dyDescent="0.25">
      <c r="B125" t="s">
        <v>255</v>
      </c>
      <c r="C125" s="149">
        <v>4.5280804428161327E-2</v>
      </c>
      <c r="D125" s="149">
        <v>0.70912601243171969</v>
      </c>
      <c r="E125" s="184">
        <v>3.6600000000000001E-2</v>
      </c>
      <c r="F125" s="253">
        <v>10</v>
      </c>
      <c r="G125" s="101">
        <v>1749.501986470133</v>
      </c>
      <c r="H125" t="s">
        <v>465</v>
      </c>
      <c r="I125" s="184">
        <v>5.74E-2</v>
      </c>
      <c r="J125" s="267">
        <v>8</v>
      </c>
      <c r="X125" s="149"/>
      <c r="Z125" s="149"/>
    </row>
    <row r="126" spans="2:26" x14ac:dyDescent="0.25">
      <c r="B126" t="s">
        <v>147</v>
      </c>
      <c r="C126" s="149">
        <v>0.11379413674274584</v>
      </c>
      <c r="D126" s="149">
        <v>0.72821547827085742</v>
      </c>
      <c r="E126" s="184">
        <v>4.41E-2</v>
      </c>
      <c r="F126" s="253">
        <v>6.5</v>
      </c>
      <c r="G126" s="101">
        <v>2267.5683819785272</v>
      </c>
      <c r="H126" t="s">
        <v>116</v>
      </c>
      <c r="I126" s="184">
        <v>5.2600000000000001E-2</v>
      </c>
      <c r="J126" s="267">
        <v>9.5</v>
      </c>
      <c r="X126" s="149"/>
      <c r="Z126" s="149"/>
    </row>
    <row r="127" spans="2:26" x14ac:dyDescent="0.25">
      <c r="B127" t="s">
        <v>370</v>
      </c>
      <c r="C127" s="149">
        <v>5.9049704624159708E-3</v>
      </c>
      <c r="D127" s="149">
        <v>0.67624760420585017</v>
      </c>
      <c r="E127" s="184">
        <v>4.4299999999999999E-2</v>
      </c>
      <c r="F127" s="253">
        <v>8</v>
      </c>
      <c r="G127" s="101">
        <v>2585.991926108899</v>
      </c>
      <c r="H127" t="s">
        <v>439</v>
      </c>
      <c r="I127" s="184">
        <v>6.0699999999999997E-2</v>
      </c>
      <c r="J127" s="267">
        <v>6</v>
      </c>
      <c r="X127" s="149"/>
      <c r="Z127" s="149"/>
    </row>
    <row r="128" spans="2:26" x14ac:dyDescent="0.25">
      <c r="B128" t="s">
        <v>295</v>
      </c>
      <c r="C128" s="149">
        <v>-4.5650832819247381E-2</v>
      </c>
      <c r="D128" s="149">
        <v>0.59183125599232977</v>
      </c>
      <c r="E128" s="184">
        <v>3.8399999999999997E-2</v>
      </c>
      <c r="F128" s="253">
        <v>8.5</v>
      </c>
      <c r="G128" s="101">
        <v>2011.789866146019</v>
      </c>
      <c r="H128" t="s">
        <v>465</v>
      </c>
      <c r="I128" s="184">
        <v>5.7500000000000002E-2</v>
      </c>
      <c r="J128" s="267">
        <v>9</v>
      </c>
      <c r="X128" s="149"/>
      <c r="Z128" s="149"/>
    </row>
    <row r="129" spans="2:26" x14ac:dyDescent="0.25">
      <c r="B129" t="s">
        <v>722</v>
      </c>
      <c r="C129" s="149">
        <v>6.8626772742995501E-2</v>
      </c>
      <c r="D129" s="149">
        <v>0.6760728400868008</v>
      </c>
      <c r="E129" s="184">
        <v>4.0300000000000002E-2</v>
      </c>
      <c r="F129" s="253">
        <v>6.5</v>
      </c>
      <c r="G129" s="101">
        <v>2885.9900091972713</v>
      </c>
      <c r="H129" t="s">
        <v>439</v>
      </c>
      <c r="I129" s="184">
        <v>5.04E-2</v>
      </c>
      <c r="J129" s="267">
        <v>8</v>
      </c>
      <c r="X129" s="149"/>
      <c r="Z129" s="149"/>
    </row>
    <row r="130" spans="2:26" x14ac:dyDescent="0.25">
      <c r="B130" t="s">
        <v>593</v>
      </c>
      <c r="C130" s="149">
        <v>0.11632606107893446</v>
      </c>
      <c r="D130" s="149">
        <v>0.71481777746075581</v>
      </c>
      <c r="E130" s="184">
        <v>0.03</v>
      </c>
      <c r="F130" s="253">
        <v>8</v>
      </c>
      <c r="G130" s="101">
        <v>2812.0651207801388</v>
      </c>
      <c r="H130" t="s">
        <v>116</v>
      </c>
      <c r="I130" s="184">
        <v>5.4899999999999997E-2</v>
      </c>
      <c r="J130" s="267">
        <v>5.5</v>
      </c>
      <c r="X130" s="149"/>
      <c r="Z130" s="149"/>
    </row>
    <row r="131" spans="2:26" x14ac:dyDescent="0.25">
      <c r="B131" t="s">
        <v>184</v>
      </c>
      <c r="C131" s="149">
        <v>7.8046502941451115E-2</v>
      </c>
      <c r="D131" s="149">
        <v>0.69452520878441082</v>
      </c>
      <c r="E131" s="184">
        <v>4.2799999999999998E-2</v>
      </c>
      <c r="F131" s="253">
        <v>8</v>
      </c>
      <c r="G131" s="101">
        <v>2179.5400994057759</v>
      </c>
      <c r="H131" t="s">
        <v>465</v>
      </c>
      <c r="I131" s="184">
        <v>5.8999999999999997E-2</v>
      </c>
      <c r="J131" s="267">
        <v>7</v>
      </c>
      <c r="X131" s="149"/>
      <c r="Z131" s="149"/>
    </row>
    <row r="132" spans="2:26" x14ac:dyDescent="0.25">
      <c r="B132" t="s">
        <v>371</v>
      </c>
      <c r="C132" s="149">
        <v>4.5949736499121666E-2</v>
      </c>
      <c r="D132" s="149">
        <v>0.63328605454010223</v>
      </c>
      <c r="E132" s="184">
        <v>3.6999999999999998E-2</v>
      </c>
      <c r="F132" s="253">
        <v>10</v>
      </c>
      <c r="G132" s="101">
        <v>2033.352761454513</v>
      </c>
      <c r="H132" t="s">
        <v>465</v>
      </c>
      <c r="I132" s="184">
        <v>5.0200000000000002E-2</v>
      </c>
      <c r="J132" s="267">
        <v>8.5</v>
      </c>
      <c r="X132" s="149"/>
      <c r="Z132" s="149"/>
    </row>
    <row r="133" spans="2:26" x14ac:dyDescent="0.25">
      <c r="B133" t="s">
        <v>296</v>
      </c>
      <c r="C133" s="149">
        <v>8.5250242988547845E-2</v>
      </c>
      <c r="D133" s="149">
        <v>0.74333903691029091</v>
      </c>
      <c r="E133" s="184">
        <v>4.5999999999999999E-2</v>
      </c>
      <c r="F133" s="253">
        <v>7</v>
      </c>
      <c r="G133" s="101">
        <v>1945.4064045287948</v>
      </c>
      <c r="H133" t="s">
        <v>116</v>
      </c>
      <c r="I133" s="184">
        <v>6.25E-2</v>
      </c>
      <c r="J133" s="267">
        <v>6</v>
      </c>
      <c r="X133" s="149"/>
      <c r="Z133" s="149"/>
    </row>
    <row r="134" spans="2:26" x14ac:dyDescent="0.25">
      <c r="B134" t="s">
        <v>372</v>
      </c>
      <c r="C134" s="149">
        <v>-3.1682111493862498E-2</v>
      </c>
      <c r="D134" s="149">
        <v>0.62706373072072941</v>
      </c>
      <c r="E134" s="184">
        <v>3.9E-2</v>
      </c>
      <c r="F134" s="253">
        <v>9</v>
      </c>
      <c r="G134" s="101">
        <v>1917.4544884456129</v>
      </c>
      <c r="H134" t="s">
        <v>465</v>
      </c>
      <c r="I134" s="184">
        <v>6.2100000000000002E-2</v>
      </c>
      <c r="J134" s="267">
        <v>8.5</v>
      </c>
      <c r="X134" s="149"/>
      <c r="Z134" s="149"/>
    </row>
    <row r="135" spans="2:26" x14ac:dyDescent="0.25">
      <c r="B135" t="s">
        <v>256</v>
      </c>
      <c r="C135" s="149">
        <v>3.7684322266337333E-2</v>
      </c>
      <c r="D135" s="149">
        <v>0.78423424785988682</v>
      </c>
      <c r="E135" s="184">
        <v>3.73E-2</v>
      </c>
      <c r="F135" s="253">
        <v>8.5</v>
      </c>
      <c r="G135" s="101">
        <v>2195.8408350267682</v>
      </c>
      <c r="H135" t="s">
        <v>439</v>
      </c>
      <c r="I135" s="184">
        <v>5.8999999999999997E-2</v>
      </c>
      <c r="J135" s="267">
        <v>6.5</v>
      </c>
      <c r="X135" s="149"/>
      <c r="Z135" s="149"/>
    </row>
    <row r="136" spans="2:26" x14ac:dyDescent="0.25">
      <c r="B136" t="s">
        <v>594</v>
      </c>
      <c r="C136" s="149">
        <v>3.3987542020961041E-2</v>
      </c>
      <c r="D136" s="149">
        <v>0.72459942733100779</v>
      </c>
      <c r="E136" s="184">
        <v>5.2499999999999998E-2</v>
      </c>
      <c r="F136" s="253">
        <v>8</v>
      </c>
      <c r="G136" s="101">
        <v>1987.7107987250051</v>
      </c>
      <c r="H136" t="s">
        <v>465</v>
      </c>
      <c r="I136" s="184">
        <v>6.9000000000000006E-2</v>
      </c>
      <c r="J136" s="267">
        <v>7.5</v>
      </c>
      <c r="X136" s="149"/>
      <c r="Z136" s="149"/>
    </row>
    <row r="137" spans="2:26" x14ac:dyDescent="0.25">
      <c r="B137" t="s">
        <v>148</v>
      </c>
      <c r="C137" s="149">
        <v>0.10751879033614561</v>
      </c>
      <c r="D137" s="149">
        <v>0.71517791187390278</v>
      </c>
      <c r="E137" s="184">
        <v>4.8000000000000001E-2</v>
      </c>
      <c r="F137" s="253">
        <v>6</v>
      </c>
      <c r="G137" s="101">
        <v>2243.2419053002577</v>
      </c>
      <c r="H137" t="s">
        <v>465</v>
      </c>
      <c r="I137" s="184">
        <v>6.6799999999999998E-2</v>
      </c>
      <c r="J137" s="267">
        <v>7.5</v>
      </c>
      <c r="X137" s="149"/>
      <c r="Z137" s="149"/>
    </row>
    <row r="138" spans="2:26" x14ac:dyDescent="0.25">
      <c r="B138" t="s">
        <v>257</v>
      </c>
      <c r="C138" s="149">
        <v>3.6668045257156362E-2</v>
      </c>
      <c r="D138" s="149">
        <v>0.76082111352341664</v>
      </c>
      <c r="E138" s="184">
        <v>4.4900000000000002E-2</v>
      </c>
      <c r="F138" s="253">
        <v>7</v>
      </c>
      <c r="G138" s="101">
        <v>2101.0553536109278</v>
      </c>
      <c r="H138" t="s">
        <v>465</v>
      </c>
      <c r="I138" s="184">
        <v>4.9099999999999998E-2</v>
      </c>
      <c r="J138" s="267">
        <v>8.5</v>
      </c>
      <c r="X138" s="149"/>
      <c r="Z138" s="149"/>
    </row>
    <row r="139" spans="2:26" x14ac:dyDescent="0.25">
      <c r="B139" t="s">
        <v>109</v>
      </c>
      <c r="C139" s="149">
        <v>0.11066873521445469</v>
      </c>
      <c r="D139" s="149">
        <v>0.74914789977794427</v>
      </c>
      <c r="E139" s="184">
        <v>3.6400000000000002E-2</v>
      </c>
      <c r="F139" s="253">
        <v>7.5</v>
      </c>
      <c r="G139" s="101">
        <v>2720.2492478425252</v>
      </c>
      <c r="H139" t="s">
        <v>439</v>
      </c>
      <c r="I139" s="184">
        <v>5.5100000000000003E-2</v>
      </c>
      <c r="J139" s="267">
        <v>8.5</v>
      </c>
      <c r="X139" s="149"/>
      <c r="Z139" s="149"/>
    </row>
    <row r="140" spans="2:26" x14ac:dyDescent="0.25">
      <c r="B140" t="s">
        <v>258</v>
      </c>
      <c r="C140" s="149">
        <v>7.1597223635734494E-2</v>
      </c>
      <c r="D140" s="149">
        <v>0.65578082560913242</v>
      </c>
      <c r="E140" s="184">
        <v>3.1099999999999999E-2</v>
      </c>
      <c r="F140" s="253">
        <v>9</v>
      </c>
      <c r="G140" s="101">
        <v>2379.9410859778777</v>
      </c>
      <c r="H140" t="s">
        <v>439</v>
      </c>
      <c r="I140" s="184">
        <v>5.0599999999999999E-2</v>
      </c>
      <c r="J140" s="267">
        <v>9</v>
      </c>
      <c r="X140" s="149"/>
      <c r="Z140" s="149"/>
    </row>
    <row r="141" spans="2:26" x14ac:dyDescent="0.25">
      <c r="B141" t="s">
        <v>406</v>
      </c>
      <c r="C141" s="149">
        <v>9.4049862298883902E-2</v>
      </c>
      <c r="D141" s="149">
        <v>0.62596778868049519</v>
      </c>
      <c r="E141" s="184">
        <v>3.8399999999999997E-2</v>
      </c>
      <c r="F141" s="253">
        <v>9</v>
      </c>
      <c r="G141" s="101">
        <v>2267.9703088766137</v>
      </c>
      <c r="H141" t="s">
        <v>465</v>
      </c>
      <c r="I141" s="184">
        <v>4.8500000000000001E-2</v>
      </c>
      <c r="J141" s="267">
        <v>8</v>
      </c>
      <c r="X141" s="149"/>
      <c r="Z141" s="149"/>
    </row>
    <row r="142" spans="2:26" x14ac:dyDescent="0.25">
      <c r="B142" t="s">
        <v>219</v>
      </c>
      <c r="C142" s="149">
        <v>4.3182032787837846E-2</v>
      </c>
      <c r="D142" s="149">
        <v>0.61106946273596052</v>
      </c>
      <c r="E142" s="184">
        <v>4.3499999999999997E-2</v>
      </c>
      <c r="F142" s="253">
        <v>8</v>
      </c>
      <c r="G142" s="101">
        <v>2085.6067273669996</v>
      </c>
      <c r="H142" t="s">
        <v>465</v>
      </c>
      <c r="I142" s="184">
        <v>5.7099999999999998E-2</v>
      </c>
      <c r="J142" s="267">
        <v>10</v>
      </c>
      <c r="X142" s="149"/>
      <c r="Z142" s="149"/>
    </row>
    <row r="143" spans="2:26" x14ac:dyDescent="0.25">
      <c r="B143" t="s">
        <v>259</v>
      </c>
      <c r="C143" s="149">
        <v>8.089659996301686E-2</v>
      </c>
      <c r="D143" s="149">
        <v>0.7401236380244014</v>
      </c>
      <c r="E143" s="184">
        <v>3.8899999999999997E-2</v>
      </c>
      <c r="F143" s="253">
        <v>9</v>
      </c>
      <c r="G143" s="101">
        <v>2098.6897898925217</v>
      </c>
      <c r="H143" t="s">
        <v>116</v>
      </c>
      <c r="I143" s="184">
        <v>4.7199999999999999E-2</v>
      </c>
      <c r="J143" s="267">
        <v>8.5</v>
      </c>
      <c r="X143" s="149"/>
      <c r="Z143" s="149"/>
    </row>
    <row r="144" spans="2:26" x14ac:dyDescent="0.25">
      <c r="B144" t="s">
        <v>330</v>
      </c>
      <c r="C144" s="149">
        <v>0.14041485482207597</v>
      </c>
      <c r="D144" s="149">
        <v>0.79005000862217623</v>
      </c>
      <c r="E144" s="184">
        <v>4.4400000000000002E-2</v>
      </c>
      <c r="F144" s="253">
        <v>9.5</v>
      </c>
      <c r="G144" s="101">
        <v>2246.8386399513233</v>
      </c>
      <c r="H144" t="s">
        <v>116</v>
      </c>
      <c r="I144" s="184">
        <v>3.2300000000000002E-2</v>
      </c>
      <c r="J144" s="267">
        <v>10</v>
      </c>
      <c r="X144" s="149"/>
      <c r="Z144" s="149"/>
    </row>
    <row r="145" spans="2:26" x14ac:dyDescent="0.25">
      <c r="B145" t="s">
        <v>220</v>
      </c>
      <c r="C145" s="149">
        <v>2.9165814651786002E-2</v>
      </c>
      <c r="D145" s="149">
        <v>0.75621436716077539</v>
      </c>
      <c r="E145" s="184">
        <v>4.3999999999999997E-2</v>
      </c>
      <c r="F145" s="253">
        <v>9</v>
      </c>
      <c r="G145" s="101">
        <v>2027.7706456907738</v>
      </c>
      <c r="H145" t="s">
        <v>465</v>
      </c>
      <c r="I145" s="184">
        <v>5.9400000000000001E-2</v>
      </c>
      <c r="J145" s="267">
        <v>7</v>
      </c>
      <c r="X145" s="149"/>
      <c r="Z145" s="149"/>
    </row>
    <row r="146" spans="2:26" x14ac:dyDescent="0.25">
      <c r="B146" t="s">
        <v>297</v>
      </c>
      <c r="C146" s="149">
        <v>0.11102031922427412</v>
      </c>
      <c r="D146" s="149">
        <v>0.67407944140702192</v>
      </c>
      <c r="E146" s="184">
        <v>4.4400000000000002E-2</v>
      </c>
      <c r="F146" s="253">
        <v>8.5</v>
      </c>
      <c r="G146" s="101">
        <v>1830.5929915696775</v>
      </c>
      <c r="H146" t="s">
        <v>465</v>
      </c>
      <c r="I146" s="184">
        <v>6.6100000000000006E-2</v>
      </c>
      <c r="J146" s="267">
        <v>8</v>
      </c>
      <c r="X146" s="149"/>
      <c r="Z146" s="149"/>
    </row>
    <row r="147" spans="2:26" x14ac:dyDescent="0.25">
      <c r="B147" t="s">
        <v>149</v>
      </c>
      <c r="C147" s="149">
        <v>8.2709166737594694E-2</v>
      </c>
      <c r="D147" s="149">
        <v>0.75099907286038559</v>
      </c>
      <c r="E147" s="184">
        <v>3.9300000000000002E-2</v>
      </c>
      <c r="F147" s="253">
        <v>6.5</v>
      </c>
      <c r="G147" s="101">
        <v>2430.5662056030505</v>
      </c>
      <c r="H147" t="s">
        <v>439</v>
      </c>
      <c r="I147" s="184">
        <v>5.5399999999999998E-2</v>
      </c>
      <c r="J147" s="267">
        <v>7.5</v>
      </c>
      <c r="X147" s="149"/>
      <c r="Z147" s="149"/>
    </row>
    <row r="148" spans="2:26" x14ac:dyDescent="0.25">
      <c r="B148" t="s">
        <v>331</v>
      </c>
      <c r="C148" s="149">
        <v>0.11978986659293564</v>
      </c>
      <c r="D148" s="149">
        <v>0.68723224010649886</v>
      </c>
      <c r="E148" s="184">
        <v>3.78E-2</v>
      </c>
      <c r="F148" s="253">
        <v>7</v>
      </c>
      <c r="G148" s="101">
        <v>2073.9226442729828</v>
      </c>
      <c r="H148" t="s">
        <v>465</v>
      </c>
      <c r="I148" s="184">
        <v>5.5E-2</v>
      </c>
      <c r="J148" s="267">
        <v>8</v>
      </c>
      <c r="X148" s="149"/>
      <c r="Z148" s="149"/>
    </row>
    <row r="149" spans="2:26" x14ac:dyDescent="0.25">
      <c r="B149" t="s">
        <v>298</v>
      </c>
      <c r="C149" s="149">
        <v>3.9425803699149248E-2</v>
      </c>
      <c r="D149" s="149">
        <v>0.64715934898655791</v>
      </c>
      <c r="E149" s="184">
        <v>3.9800000000000002E-2</v>
      </c>
      <c r="F149" s="253">
        <v>7.5</v>
      </c>
      <c r="G149" s="101">
        <v>2202.045956580374</v>
      </c>
      <c r="H149" t="s">
        <v>465</v>
      </c>
      <c r="I149" s="184">
        <v>5.62E-2</v>
      </c>
      <c r="J149" s="267">
        <v>6</v>
      </c>
      <c r="X149" s="149"/>
      <c r="Z149" s="149"/>
    </row>
    <row r="150" spans="2:26" x14ac:dyDescent="0.25">
      <c r="B150" t="s">
        <v>407</v>
      </c>
      <c r="C150" s="149">
        <v>4.6096471300923821E-2</v>
      </c>
      <c r="D150" s="149">
        <v>0.82242278059622653</v>
      </c>
      <c r="E150" s="184">
        <v>3.6400000000000002E-2</v>
      </c>
      <c r="F150" s="253">
        <v>7.5</v>
      </c>
      <c r="G150" s="101">
        <v>2834.725869952998</v>
      </c>
      <c r="H150" t="s">
        <v>439</v>
      </c>
      <c r="I150" s="184">
        <v>5.3999999999999999E-2</v>
      </c>
      <c r="J150" s="267">
        <v>5.5</v>
      </c>
      <c r="X150" s="149"/>
      <c r="Z150" s="149"/>
    </row>
    <row r="151" spans="2:26" x14ac:dyDescent="0.25">
      <c r="B151" t="s">
        <v>260</v>
      </c>
      <c r="C151" s="149">
        <v>3.2608695652173912E-2</v>
      </c>
      <c r="D151" s="149">
        <v>0.45182139268957089</v>
      </c>
      <c r="E151" s="184">
        <v>3.7199999999999997E-2</v>
      </c>
      <c r="F151" s="253">
        <v>7</v>
      </c>
      <c r="G151" s="101">
        <v>2503.3798694660209</v>
      </c>
      <c r="H151" t="s">
        <v>465</v>
      </c>
      <c r="I151" s="184">
        <v>5.2200000000000003E-2</v>
      </c>
      <c r="J151" s="267">
        <v>7</v>
      </c>
      <c r="X151" s="149"/>
      <c r="Z151" s="149"/>
    </row>
    <row r="152" spans="2:26" x14ac:dyDescent="0.25">
      <c r="B152" t="s">
        <v>299</v>
      </c>
      <c r="C152" s="149">
        <v>0.12709451027656601</v>
      </c>
      <c r="D152" s="149">
        <v>0.67211193042162976</v>
      </c>
      <c r="E152" s="184">
        <v>4.1700000000000001E-2</v>
      </c>
      <c r="F152" s="253">
        <v>8.5</v>
      </c>
      <c r="G152" s="101">
        <v>2241.1596215249069</v>
      </c>
      <c r="H152" t="s">
        <v>465</v>
      </c>
      <c r="I152" s="184">
        <v>5.5899999999999998E-2</v>
      </c>
      <c r="J152" s="267">
        <v>7.5</v>
      </c>
      <c r="X152" s="149"/>
      <c r="Z152" s="149"/>
    </row>
    <row r="153" spans="2:26" x14ac:dyDescent="0.25">
      <c r="B153" t="s">
        <v>474</v>
      </c>
      <c r="C153" s="149">
        <v>4.4414862183295281E-2</v>
      </c>
      <c r="D153" s="149">
        <v>0.7430703167592666</v>
      </c>
      <c r="E153" s="184">
        <v>4.5900000000000003E-2</v>
      </c>
      <c r="F153" s="253">
        <v>8</v>
      </c>
      <c r="G153" s="101">
        <v>2094.3392457855653</v>
      </c>
      <c r="H153" t="s">
        <v>465</v>
      </c>
      <c r="I153" s="184">
        <v>6.54E-2</v>
      </c>
      <c r="J153" s="267">
        <v>7.5</v>
      </c>
      <c r="X153" s="149"/>
      <c r="Z153" s="149"/>
    </row>
    <row r="154" spans="2:26" x14ac:dyDescent="0.25">
      <c r="B154" t="s">
        <v>373</v>
      </c>
      <c r="C154" s="149">
        <v>0.10448782764252935</v>
      </c>
      <c r="D154" s="149">
        <v>0.65383208207109511</v>
      </c>
      <c r="E154" s="184">
        <v>4.9399999999999999E-2</v>
      </c>
      <c r="F154" s="253">
        <v>7</v>
      </c>
      <c r="G154" s="101">
        <v>2201.0413702646242</v>
      </c>
      <c r="H154" t="s">
        <v>465</v>
      </c>
      <c r="I154" s="184">
        <v>6.5600000000000006E-2</v>
      </c>
      <c r="J154" s="267">
        <v>9</v>
      </c>
      <c r="X154" s="149"/>
      <c r="Z154" s="149"/>
    </row>
    <row r="155" spans="2:26" x14ac:dyDescent="0.25">
      <c r="B155" t="s">
        <v>408</v>
      </c>
      <c r="C155" s="149">
        <v>8.9911082883455062E-2</v>
      </c>
      <c r="D155" s="149">
        <v>0.81659654244661972</v>
      </c>
      <c r="E155" s="184">
        <v>4.3499999999999997E-2</v>
      </c>
      <c r="F155" s="253">
        <v>7</v>
      </c>
      <c r="G155" s="101">
        <v>2573.4223719949869</v>
      </c>
      <c r="H155" t="s">
        <v>116</v>
      </c>
      <c r="I155" s="184">
        <v>5.9700000000000003E-2</v>
      </c>
      <c r="J155" s="267">
        <v>5.5</v>
      </c>
      <c r="X155" s="149"/>
      <c r="Z155" s="149"/>
    </row>
    <row r="156" spans="2:26" x14ac:dyDescent="0.25">
      <c r="B156" t="s">
        <v>261</v>
      </c>
      <c r="C156" s="149">
        <v>3.1866943750175521E-2</v>
      </c>
      <c r="D156" s="149">
        <v>0.72391393897145029</v>
      </c>
      <c r="E156" s="184">
        <v>3.4299999999999997E-2</v>
      </c>
      <c r="F156" s="253">
        <v>9.5</v>
      </c>
      <c r="G156" s="101">
        <v>1878.3475635110235</v>
      </c>
      <c r="H156" t="s">
        <v>439</v>
      </c>
      <c r="I156" s="184">
        <v>5.8500000000000003E-2</v>
      </c>
      <c r="J156" s="267">
        <v>8.5</v>
      </c>
      <c r="X156" s="149"/>
      <c r="Z156" s="149"/>
    </row>
    <row r="157" spans="2:26" x14ac:dyDescent="0.25">
      <c r="B157" t="s">
        <v>975</v>
      </c>
      <c r="C157" s="149">
        <v>6.6695452884711195E-2</v>
      </c>
      <c r="D157" s="149">
        <v>0.73887588231794588</v>
      </c>
      <c r="E157" s="184">
        <v>3.8399999999999997E-2</v>
      </c>
      <c r="F157" s="253">
        <v>9</v>
      </c>
      <c r="G157" s="101">
        <v>2053.6379431239179</v>
      </c>
      <c r="H157" t="s">
        <v>465</v>
      </c>
      <c r="I157" s="184">
        <v>5.91E-2</v>
      </c>
      <c r="J157" s="267">
        <v>8</v>
      </c>
      <c r="X157" s="149"/>
      <c r="Z157" s="149"/>
    </row>
    <row r="158" spans="2:26" x14ac:dyDescent="0.25">
      <c r="B158" t="s">
        <v>300</v>
      </c>
      <c r="C158" s="149">
        <v>1.4462461986508307E-2</v>
      </c>
      <c r="D158" s="149">
        <v>0.52892396442592737</v>
      </c>
      <c r="E158" s="184">
        <v>4.9500000000000002E-2</v>
      </c>
      <c r="F158" s="253">
        <v>7</v>
      </c>
      <c r="G158" s="101">
        <v>1941.5556419401023</v>
      </c>
      <c r="H158" t="s">
        <v>465</v>
      </c>
      <c r="I158" s="184">
        <v>6.5100000000000005E-2</v>
      </c>
      <c r="J158" s="267">
        <v>8</v>
      </c>
      <c r="X158" s="149"/>
      <c r="Z158" s="149"/>
    </row>
    <row r="159" spans="2:26" x14ac:dyDescent="0.25">
      <c r="B159" t="s">
        <v>724</v>
      </c>
      <c r="C159" s="149">
        <v>0.15920750044224305</v>
      </c>
      <c r="D159" s="149">
        <v>0.64639013181763216</v>
      </c>
      <c r="E159" s="184">
        <v>3.2899999999999999E-2</v>
      </c>
      <c r="F159" s="253">
        <v>10</v>
      </c>
      <c r="G159" s="101">
        <v>2004.4652124338288</v>
      </c>
      <c r="H159" t="s">
        <v>465</v>
      </c>
      <c r="I159" s="184">
        <v>5.1799999999999999E-2</v>
      </c>
      <c r="J159" s="267">
        <v>8</v>
      </c>
      <c r="X159" s="149"/>
      <c r="Z159" s="149"/>
    </row>
    <row r="160" spans="2:26" x14ac:dyDescent="0.25">
      <c r="B160" t="s">
        <v>130</v>
      </c>
      <c r="C160" s="149">
        <v>2.3331553657234383E-2</v>
      </c>
      <c r="D160" s="149">
        <v>0.7657389642652398</v>
      </c>
      <c r="E160" s="184">
        <v>3.9399999999999998E-2</v>
      </c>
      <c r="F160" s="253">
        <v>7.5</v>
      </c>
      <c r="G160" s="101">
        <v>2892.7984543931584</v>
      </c>
      <c r="H160" t="s">
        <v>439</v>
      </c>
      <c r="I160" s="184">
        <v>5.8799999999999998E-2</v>
      </c>
      <c r="J160" s="267">
        <v>6.5</v>
      </c>
      <c r="X160" s="149"/>
      <c r="Z160" s="149"/>
    </row>
    <row r="161" spans="2:26" x14ac:dyDescent="0.25">
      <c r="B161" t="s">
        <v>301</v>
      </c>
      <c r="C161" s="149">
        <v>4.6728285405174375E-2</v>
      </c>
      <c r="D161" s="149">
        <v>0.67853963024153807</v>
      </c>
      <c r="E161" s="184">
        <v>3.2199999999999999E-2</v>
      </c>
      <c r="F161" s="253">
        <v>8.5</v>
      </c>
      <c r="G161" s="101">
        <v>2773.0374178080974</v>
      </c>
      <c r="H161" t="s">
        <v>439</v>
      </c>
      <c r="I161" s="184">
        <v>4.7600000000000003E-2</v>
      </c>
      <c r="J161" s="267">
        <v>7.5</v>
      </c>
      <c r="X161" s="149"/>
      <c r="Z161" s="149"/>
    </row>
    <row r="162" spans="2:26" x14ac:dyDescent="0.25">
      <c r="B162" t="s">
        <v>302</v>
      </c>
      <c r="C162" s="149">
        <v>4.7177382220994331E-2</v>
      </c>
      <c r="D162" s="149">
        <v>0.72332282183001884</v>
      </c>
      <c r="E162" s="184">
        <v>4.0399999999999998E-2</v>
      </c>
      <c r="F162" s="253">
        <v>7</v>
      </c>
      <c r="G162" s="101">
        <v>2121.1225919340432</v>
      </c>
      <c r="H162" t="s">
        <v>465</v>
      </c>
      <c r="I162" s="184">
        <v>5.9299999999999999E-2</v>
      </c>
      <c r="J162" s="267">
        <v>7.5</v>
      </c>
      <c r="X162" s="149"/>
      <c r="Z162" s="149"/>
    </row>
    <row r="163" spans="2:26" x14ac:dyDescent="0.25">
      <c r="B163" t="s">
        <v>303</v>
      </c>
      <c r="C163" s="149">
        <v>4.3859290900626442E-3</v>
      </c>
      <c r="D163" s="149">
        <v>0.64954831550292169</v>
      </c>
      <c r="E163" s="184">
        <v>4.1399999999999999E-2</v>
      </c>
      <c r="F163" s="253">
        <v>8.5</v>
      </c>
      <c r="G163" s="101">
        <v>2318.8258298902783</v>
      </c>
      <c r="H163" t="s">
        <v>116</v>
      </c>
      <c r="I163" s="184">
        <v>5.7299999999999997E-2</v>
      </c>
      <c r="J163" s="267">
        <v>8</v>
      </c>
      <c r="X163" s="149"/>
      <c r="Z163" s="149"/>
    </row>
    <row r="164" spans="2:26" x14ac:dyDescent="0.25">
      <c r="B164" t="s">
        <v>429</v>
      </c>
      <c r="C164" s="149">
        <v>5.3245433651868873E-2</v>
      </c>
      <c r="D164" s="149">
        <v>0.65185726619314721</v>
      </c>
      <c r="E164" s="184">
        <v>0.04</v>
      </c>
      <c r="F164" s="253">
        <v>6</v>
      </c>
      <c r="G164" s="101">
        <v>3087.8339123043875</v>
      </c>
      <c r="H164" t="s">
        <v>439</v>
      </c>
      <c r="I164" s="184">
        <v>5.3199999999999997E-2</v>
      </c>
      <c r="J164" s="267">
        <v>5.5</v>
      </c>
      <c r="X164" s="149"/>
      <c r="Z164" s="149"/>
    </row>
    <row r="165" spans="2:26" x14ac:dyDescent="0.25">
      <c r="B165" t="s">
        <v>409</v>
      </c>
      <c r="C165" s="149">
        <v>8.225506546284049E-2</v>
      </c>
      <c r="D165" s="149">
        <v>0.73855888015401894</v>
      </c>
      <c r="E165" s="184">
        <v>4.3700000000000003E-2</v>
      </c>
      <c r="F165" s="253">
        <v>8</v>
      </c>
      <c r="G165" s="101">
        <v>2036.6863302574761</v>
      </c>
      <c r="H165" t="s">
        <v>465</v>
      </c>
      <c r="I165" s="184">
        <v>6.08E-2</v>
      </c>
      <c r="J165" s="267">
        <v>8</v>
      </c>
      <c r="X165" s="149"/>
      <c r="Z165" s="149"/>
    </row>
    <row r="166" spans="2:26" x14ac:dyDescent="0.25">
      <c r="B166" t="s">
        <v>221</v>
      </c>
      <c r="C166" s="149">
        <v>8.210085585862939E-2</v>
      </c>
      <c r="D166" s="149">
        <v>0.70948257803226034</v>
      </c>
      <c r="E166" s="184">
        <v>4.6899999999999997E-2</v>
      </c>
      <c r="F166" s="253">
        <v>7.5</v>
      </c>
      <c r="G166" s="101">
        <v>1939.8299206638667</v>
      </c>
      <c r="H166" t="s">
        <v>465</v>
      </c>
      <c r="I166" s="184">
        <v>7.0699999999999999E-2</v>
      </c>
      <c r="J166" s="267">
        <v>8</v>
      </c>
      <c r="X166" s="149"/>
      <c r="Z166" s="149"/>
    </row>
    <row r="167" spans="2:26" x14ac:dyDescent="0.25">
      <c r="B167" t="s">
        <v>185</v>
      </c>
      <c r="C167" s="149">
        <v>5.6554255980824954E-2</v>
      </c>
      <c r="D167" s="149">
        <v>0.71613056325305813</v>
      </c>
      <c r="E167" s="184">
        <v>5.0500000000000003E-2</v>
      </c>
      <c r="F167" s="253">
        <v>7.5</v>
      </c>
      <c r="G167" s="101">
        <v>2117.0361147627609</v>
      </c>
      <c r="H167" t="s">
        <v>465</v>
      </c>
      <c r="I167" s="184">
        <v>6.9900000000000004E-2</v>
      </c>
      <c r="J167" s="267">
        <v>8</v>
      </c>
      <c r="X167" s="149"/>
      <c r="Z167" s="149"/>
    </row>
    <row r="168" spans="2:26" x14ac:dyDescent="0.25">
      <c r="B168" t="s">
        <v>304</v>
      </c>
      <c r="C168" s="149">
        <v>4.1973933058687268E-2</v>
      </c>
      <c r="D168" s="149">
        <v>0.64051557761235178</v>
      </c>
      <c r="E168" s="184">
        <v>1.5699999999999999E-2</v>
      </c>
      <c r="F168" s="253">
        <v>8.5</v>
      </c>
      <c r="G168" s="101">
        <v>2054.7319745650238</v>
      </c>
      <c r="H168" t="s">
        <v>465</v>
      </c>
      <c r="I168" s="184">
        <v>5.2499999999999998E-2</v>
      </c>
      <c r="J168" s="267">
        <v>5.5</v>
      </c>
      <c r="X168" s="149"/>
      <c r="Z168" s="149"/>
    </row>
    <row r="169" spans="2:26" x14ac:dyDescent="0.25">
      <c r="B169" t="s">
        <v>186</v>
      </c>
      <c r="C169" s="149">
        <v>2.3731771859692583E-2</v>
      </c>
      <c r="D169" s="149">
        <v>0.7472118580137419</v>
      </c>
      <c r="E169" s="184">
        <v>4.7800000000000002E-2</v>
      </c>
      <c r="F169" s="253">
        <v>8</v>
      </c>
      <c r="G169" s="101">
        <v>2038.714807000038</v>
      </c>
      <c r="H169" t="s">
        <v>465</v>
      </c>
      <c r="I169" s="184">
        <v>6.6799999999999998E-2</v>
      </c>
      <c r="J169" s="267">
        <v>7.5</v>
      </c>
      <c r="X169" s="149"/>
      <c r="Z169" s="149"/>
    </row>
    <row r="170" spans="2:26" x14ac:dyDescent="0.25">
      <c r="B170" t="s">
        <v>375</v>
      </c>
      <c r="C170" s="149">
        <v>6.9049642279542772E-2</v>
      </c>
      <c r="D170" s="149">
        <v>0.7189479163654241</v>
      </c>
      <c r="E170" s="184">
        <v>4.2500000000000003E-2</v>
      </c>
      <c r="F170" s="253">
        <v>8</v>
      </c>
      <c r="G170" s="101">
        <v>2059.8063427283964</v>
      </c>
      <c r="H170" t="s">
        <v>465</v>
      </c>
      <c r="I170" s="184">
        <v>5.3699999999999998E-2</v>
      </c>
      <c r="J170" s="267">
        <v>7</v>
      </c>
      <c r="X170" s="149"/>
      <c r="Z170" s="149"/>
    </row>
    <row r="171" spans="2:26" x14ac:dyDescent="0.25">
      <c r="B171" t="s">
        <v>222</v>
      </c>
      <c r="C171" s="149">
        <v>8.1161637476260817E-2</v>
      </c>
      <c r="D171" s="149">
        <v>0.73751775797494512</v>
      </c>
      <c r="E171" s="184">
        <v>5.4399999999999997E-2</v>
      </c>
      <c r="F171" s="253">
        <v>7.5</v>
      </c>
      <c r="G171" s="101">
        <v>2106.7390018090041</v>
      </c>
      <c r="H171" t="s">
        <v>465</v>
      </c>
      <c r="I171" s="184">
        <v>6.3899999999999998E-2</v>
      </c>
      <c r="J171" s="267">
        <v>7</v>
      </c>
      <c r="X171" s="149"/>
      <c r="Z171" s="149"/>
    </row>
    <row r="172" spans="2:26" x14ac:dyDescent="0.25">
      <c r="B172" t="s">
        <v>150</v>
      </c>
      <c r="C172" s="149">
        <v>7.4677922149576539E-2</v>
      </c>
      <c r="D172" s="149">
        <v>0.73782568130230741</v>
      </c>
      <c r="E172" s="184">
        <v>4.5699999999999998E-2</v>
      </c>
      <c r="F172" s="253">
        <v>7.5</v>
      </c>
      <c r="G172" s="101">
        <v>2228.9748965431772</v>
      </c>
      <c r="H172" t="s">
        <v>116</v>
      </c>
      <c r="I172" s="184">
        <v>5.9700000000000003E-2</v>
      </c>
      <c r="J172" s="267">
        <v>7</v>
      </c>
      <c r="X172" s="149"/>
      <c r="Z172" s="149"/>
    </row>
    <row r="173" spans="2:26" x14ac:dyDescent="0.25">
      <c r="B173" t="s">
        <v>187</v>
      </c>
      <c r="C173" s="149">
        <v>7.0140253032405175E-2</v>
      </c>
      <c r="D173" s="149">
        <v>0.72113553747619874</v>
      </c>
      <c r="E173" s="184">
        <v>4.0500000000000001E-2</v>
      </c>
      <c r="F173" s="253">
        <v>8</v>
      </c>
      <c r="G173" s="101">
        <v>1999.752493896046</v>
      </c>
      <c r="H173" t="s">
        <v>465</v>
      </c>
      <c r="I173" s="184">
        <v>5.16E-2</v>
      </c>
      <c r="J173" s="267">
        <v>7</v>
      </c>
      <c r="X173" s="149"/>
      <c r="Z173" s="149"/>
    </row>
    <row r="174" spans="2:26" x14ac:dyDescent="0.25">
      <c r="B174" t="s">
        <v>410</v>
      </c>
      <c r="C174" s="149">
        <v>2.6731886440863752E-2</v>
      </c>
      <c r="D174" s="149">
        <v>0.73230391198726719</v>
      </c>
      <c r="E174" s="184">
        <v>4.2999999999999997E-2</v>
      </c>
      <c r="F174" s="253">
        <v>8.5</v>
      </c>
      <c r="G174" s="101">
        <v>2102.7850607437331</v>
      </c>
      <c r="H174" t="s">
        <v>116</v>
      </c>
      <c r="I174" s="184">
        <v>5.8000000000000003E-2</v>
      </c>
      <c r="J174" s="267">
        <v>7.5</v>
      </c>
      <c r="X174" s="149"/>
      <c r="Z174" s="149"/>
    </row>
    <row r="175" spans="2:26" x14ac:dyDescent="0.25">
      <c r="B175" t="s">
        <v>774</v>
      </c>
      <c r="C175" s="149">
        <v>6.023654936905512E-2</v>
      </c>
      <c r="D175" s="149">
        <v>0.74788117902471607</v>
      </c>
      <c r="E175" s="184">
        <v>4.1399999999999999E-2</v>
      </c>
      <c r="F175" s="253">
        <v>9.5</v>
      </c>
      <c r="G175" s="101">
        <v>2245.7425294059035</v>
      </c>
      <c r="H175" t="s">
        <v>116</v>
      </c>
      <c r="I175" s="184">
        <v>5.9400000000000001E-2</v>
      </c>
      <c r="J175" s="267">
        <v>8</v>
      </c>
      <c r="X175" s="149"/>
      <c r="Z175" s="149"/>
    </row>
    <row r="176" spans="2:26" x14ac:dyDescent="0.25">
      <c r="B176" t="s">
        <v>305</v>
      </c>
      <c r="C176" s="149">
        <v>4.0661330840684698E-2</v>
      </c>
      <c r="D176" s="149">
        <v>0.78527478262333439</v>
      </c>
      <c r="E176" s="184">
        <v>4.0300000000000002E-2</v>
      </c>
      <c r="F176" s="253">
        <v>8.5</v>
      </c>
      <c r="G176" s="101">
        <v>2157.4122292118723</v>
      </c>
      <c r="H176" t="s">
        <v>116</v>
      </c>
      <c r="I176" s="184">
        <v>5.91E-2</v>
      </c>
      <c r="J176" s="267">
        <v>7.5</v>
      </c>
      <c r="X176" s="149"/>
      <c r="Z176" s="149"/>
    </row>
    <row r="177" spans="2:26" x14ac:dyDescent="0.25">
      <c r="B177" t="s">
        <v>411</v>
      </c>
      <c r="C177" s="149">
        <v>2.6450051609433683E-2</v>
      </c>
      <c r="D177" s="149">
        <v>0.71645426775218535</v>
      </c>
      <c r="E177" s="184">
        <v>3.0499999999999999E-2</v>
      </c>
      <c r="F177" s="253">
        <v>6.5</v>
      </c>
      <c r="G177" s="101">
        <v>2757.6436535723556</v>
      </c>
      <c r="H177" t="s">
        <v>439</v>
      </c>
      <c r="I177" s="184">
        <v>4.41E-2</v>
      </c>
      <c r="J177" s="267">
        <v>8</v>
      </c>
      <c r="X177" s="149"/>
      <c r="Z177" s="149"/>
    </row>
    <row r="178" spans="2:26" x14ac:dyDescent="0.25">
      <c r="B178" t="s">
        <v>264</v>
      </c>
      <c r="C178" s="149">
        <v>0.15976500541195532</v>
      </c>
      <c r="D178" s="149">
        <v>0.73055703861897137</v>
      </c>
      <c r="E178" s="184">
        <v>4.2799999999999998E-2</v>
      </c>
      <c r="F178" s="253">
        <v>7.5</v>
      </c>
      <c r="G178" s="101">
        <v>2187.5206716859466</v>
      </c>
      <c r="H178" t="s">
        <v>116</v>
      </c>
      <c r="I178" s="184">
        <v>6.5600000000000006E-2</v>
      </c>
      <c r="J178" s="267">
        <v>7.5</v>
      </c>
      <c r="X178" s="149"/>
      <c r="Z178" s="149"/>
    </row>
    <row r="179" spans="2:26" x14ac:dyDescent="0.25">
      <c r="B179" t="s">
        <v>412</v>
      </c>
      <c r="C179" s="149">
        <v>4.3238222097588333E-2</v>
      </c>
      <c r="D179" s="149">
        <v>0.6972734632012263</v>
      </c>
      <c r="E179" s="184">
        <v>3.9600000000000003E-2</v>
      </c>
      <c r="F179" s="253">
        <v>9</v>
      </c>
      <c r="G179" s="101">
        <v>2037.6817521035912</v>
      </c>
      <c r="H179" t="s">
        <v>116</v>
      </c>
      <c r="I179" s="184">
        <v>5.2299999999999999E-2</v>
      </c>
      <c r="J179" s="267">
        <v>9</v>
      </c>
      <c r="X179" s="149"/>
      <c r="Z179" s="149"/>
    </row>
    <row r="180" spans="2:26" x14ac:dyDescent="0.25">
      <c r="B180" t="s">
        <v>581</v>
      </c>
      <c r="C180" s="149">
        <v>6.2453141400509823E-2</v>
      </c>
      <c r="D180" s="149">
        <v>0.6914125948608707</v>
      </c>
      <c r="E180" s="184">
        <v>5.1799999999999999E-2</v>
      </c>
      <c r="F180" s="253">
        <v>7</v>
      </c>
      <c r="G180" s="101">
        <v>2363.3672321909416</v>
      </c>
      <c r="H180" t="s">
        <v>465</v>
      </c>
      <c r="I180" s="184">
        <v>6.3299999999999995E-2</v>
      </c>
      <c r="J180" s="267">
        <v>8</v>
      </c>
      <c r="X180" s="149"/>
      <c r="Z180" s="149"/>
    </row>
    <row r="181" spans="2:26" x14ac:dyDescent="0.25">
      <c r="B181" t="s">
        <v>110</v>
      </c>
      <c r="C181" s="149">
        <v>9.9214289200136641E-2</v>
      </c>
      <c r="D181" s="149">
        <v>0.63859189154623353</v>
      </c>
      <c r="E181" s="184">
        <v>2.87E-2</v>
      </c>
      <c r="F181" s="253">
        <v>7.5</v>
      </c>
      <c r="G181" s="101">
        <v>2535.3491693371161</v>
      </c>
      <c r="H181" t="s">
        <v>439</v>
      </c>
      <c r="I181" s="184">
        <v>4.4699999999999997E-2</v>
      </c>
      <c r="J181" s="267">
        <v>7.5</v>
      </c>
      <c r="X181" s="149"/>
      <c r="Z181" s="149"/>
    </row>
    <row r="182" spans="2:26" x14ac:dyDescent="0.25">
      <c r="B182" t="s">
        <v>725</v>
      </c>
      <c r="C182" s="149">
        <v>5.8423585186867466E-2</v>
      </c>
      <c r="D182" s="149">
        <v>0.69095531417703249</v>
      </c>
      <c r="E182" s="184">
        <v>0.03</v>
      </c>
      <c r="F182" s="253">
        <v>8</v>
      </c>
      <c r="G182" s="101">
        <v>2701.6822316984371</v>
      </c>
      <c r="H182" t="s">
        <v>439</v>
      </c>
      <c r="I182" s="184">
        <v>4.2999999999999997E-2</v>
      </c>
      <c r="J182" s="267">
        <v>9</v>
      </c>
      <c r="X182" s="149"/>
      <c r="Z182" s="149"/>
    </row>
    <row r="183" spans="2:26" x14ac:dyDescent="0.25">
      <c r="B183" t="s">
        <v>306</v>
      </c>
      <c r="C183" s="149">
        <v>4.3674814190483484E-3</v>
      </c>
      <c r="D183" s="149">
        <v>0.56907309179178278</v>
      </c>
      <c r="E183" s="184">
        <v>3.4299999999999997E-2</v>
      </c>
      <c r="F183" s="253">
        <v>5.5</v>
      </c>
      <c r="G183" s="101">
        <v>1984.256405859807</v>
      </c>
      <c r="H183" t="s">
        <v>465</v>
      </c>
      <c r="I183" s="184">
        <v>4.9099999999999998E-2</v>
      </c>
      <c r="J183" s="267">
        <v>4.5</v>
      </c>
      <c r="X183" s="149"/>
      <c r="Z183" s="149"/>
    </row>
    <row r="184" spans="2:26" x14ac:dyDescent="0.25">
      <c r="B184" t="s">
        <v>111</v>
      </c>
      <c r="C184" s="149">
        <v>8.3503721272593437E-2</v>
      </c>
      <c r="D184" s="149">
        <v>0.75564626123234913</v>
      </c>
      <c r="E184" s="184">
        <v>4.5600000000000002E-2</v>
      </c>
      <c r="F184" s="253">
        <v>7.5</v>
      </c>
      <c r="G184" s="101">
        <v>2205.7375916350657</v>
      </c>
      <c r="H184" t="s">
        <v>116</v>
      </c>
      <c r="I184" s="184">
        <v>7.3499999999999996E-2</v>
      </c>
      <c r="J184" s="267">
        <v>6.5</v>
      </c>
      <c r="X184" s="149"/>
      <c r="Z184" s="149"/>
    </row>
    <row r="185" spans="2:26" x14ac:dyDescent="0.25">
      <c r="B185" t="s">
        <v>595</v>
      </c>
      <c r="C185" s="149">
        <v>4.2913851939550107E-2</v>
      </c>
      <c r="D185" s="149">
        <v>0.74073969608292489</v>
      </c>
      <c r="E185" s="184">
        <v>3.6299999999999999E-2</v>
      </c>
      <c r="F185" s="253">
        <v>5.5</v>
      </c>
      <c r="G185" s="101">
        <v>2923.4287080640079</v>
      </c>
      <c r="H185" t="s">
        <v>439</v>
      </c>
      <c r="I185" s="184">
        <v>5.8400000000000001E-2</v>
      </c>
      <c r="J185" s="267">
        <v>6.5</v>
      </c>
      <c r="X185" s="149"/>
      <c r="Z185" s="149"/>
    </row>
    <row r="186" spans="2:26" x14ac:dyDescent="0.25">
      <c r="B186" t="s">
        <v>377</v>
      </c>
      <c r="C186" s="149">
        <v>-0.1081164353414126</v>
      </c>
      <c r="D186" s="149">
        <v>0.60459774679958167</v>
      </c>
      <c r="E186" s="184">
        <v>2.4899999999999999E-2</v>
      </c>
      <c r="F186" s="253">
        <v>7.5</v>
      </c>
      <c r="G186" s="101">
        <v>2254.6203317928512</v>
      </c>
      <c r="H186" t="s">
        <v>465</v>
      </c>
      <c r="I186" s="184">
        <v>4.9799999999999997E-2</v>
      </c>
      <c r="J186" s="267">
        <v>7.5</v>
      </c>
      <c r="X186" s="149"/>
      <c r="Z186" s="149"/>
    </row>
    <row r="187" spans="2:26" x14ac:dyDescent="0.25">
      <c r="B187" t="s">
        <v>596</v>
      </c>
      <c r="C187" s="149">
        <v>3.5143403778841661E-2</v>
      </c>
      <c r="D187" s="149">
        <v>0.71395137280846843</v>
      </c>
      <c r="E187" s="184">
        <v>4.0899999999999999E-2</v>
      </c>
      <c r="F187" s="253">
        <v>9.5</v>
      </c>
      <c r="G187" s="101">
        <v>1846.5587560593635</v>
      </c>
      <c r="H187" t="s">
        <v>465</v>
      </c>
      <c r="I187" s="184">
        <v>5.8200000000000002E-2</v>
      </c>
      <c r="J187" s="267">
        <v>7.5</v>
      </c>
      <c r="X187" s="149"/>
      <c r="Z187" s="149"/>
    </row>
    <row r="188" spans="2:26" x14ac:dyDescent="0.25">
      <c r="B188" t="s">
        <v>188</v>
      </c>
      <c r="C188" s="149">
        <v>9.7679317608868318E-2</v>
      </c>
      <c r="D188" s="149">
        <v>0.77146952227060683</v>
      </c>
      <c r="E188" s="184">
        <v>4.1099999999999998E-2</v>
      </c>
      <c r="F188" s="253">
        <v>8</v>
      </c>
      <c r="G188" s="101">
        <v>2129.1220779787977</v>
      </c>
      <c r="H188" t="s">
        <v>116</v>
      </c>
      <c r="I188" s="184">
        <v>6.0199999999999997E-2</v>
      </c>
      <c r="J188" s="267">
        <v>7</v>
      </c>
      <c r="X188" s="149"/>
      <c r="Z188" s="149"/>
    </row>
    <row r="189" spans="2:26" x14ac:dyDescent="0.25">
      <c r="B189" t="s">
        <v>436</v>
      </c>
      <c r="C189" s="149">
        <v>8.5501748562622257E-2</v>
      </c>
      <c r="D189" s="149">
        <v>0.70654652344715807</v>
      </c>
      <c r="E189" s="184">
        <v>3.61E-2</v>
      </c>
      <c r="F189" s="253">
        <v>7.5</v>
      </c>
      <c r="G189" s="101">
        <v>1772.4911605444988</v>
      </c>
      <c r="H189" t="s">
        <v>465</v>
      </c>
      <c r="I189" s="184">
        <v>5.3400000000000003E-2</v>
      </c>
      <c r="J189" s="267">
        <v>6.5</v>
      </c>
      <c r="X189" s="149"/>
      <c r="Z189" s="149"/>
    </row>
    <row r="190" spans="2:26" x14ac:dyDescent="0.25">
      <c r="B190" t="s">
        <v>413</v>
      </c>
      <c r="C190" s="149">
        <v>7.8994524639123945E-2</v>
      </c>
      <c r="D190" s="149">
        <v>0.80389098990214047</v>
      </c>
      <c r="E190" s="184">
        <v>7.8399999999999997E-2</v>
      </c>
      <c r="F190" s="253">
        <v>7</v>
      </c>
      <c r="G190" s="101">
        <v>1980.5375751587828</v>
      </c>
      <c r="H190" t="s">
        <v>465</v>
      </c>
      <c r="I190" s="184">
        <v>7.6300000000000007E-2</v>
      </c>
      <c r="J190" s="267">
        <v>7.5</v>
      </c>
      <c r="X190" s="149"/>
      <c r="Z190" s="149"/>
    </row>
    <row r="191" spans="2:26" x14ac:dyDescent="0.25">
      <c r="B191" t="s">
        <v>189</v>
      </c>
      <c r="C191" s="149">
        <v>0.12281539370029275</v>
      </c>
      <c r="D191" s="149">
        <v>0.70051865484356701</v>
      </c>
      <c r="E191" s="184">
        <v>4.9700000000000001E-2</v>
      </c>
      <c r="F191" s="253">
        <v>7</v>
      </c>
      <c r="G191" s="101">
        <v>2235.9212999082456</v>
      </c>
      <c r="H191" t="s">
        <v>465</v>
      </c>
      <c r="I191" s="184">
        <v>6.7799999999999999E-2</v>
      </c>
      <c r="J191" s="267">
        <v>6</v>
      </c>
      <c r="X191" s="149"/>
      <c r="Z191" s="149"/>
    </row>
    <row r="192" spans="2:26" x14ac:dyDescent="0.25">
      <c r="B192" t="s">
        <v>414</v>
      </c>
      <c r="C192" s="149">
        <v>5.7775899541173632E-2</v>
      </c>
      <c r="D192" s="149">
        <v>0.67481074814158082</v>
      </c>
      <c r="E192" s="184">
        <v>4.1599999999999998E-2</v>
      </c>
      <c r="F192" s="253">
        <v>8.5</v>
      </c>
      <c r="G192" s="101">
        <v>2051.9563715899535</v>
      </c>
      <c r="H192" t="s">
        <v>465</v>
      </c>
      <c r="I192" s="184">
        <v>6.8500000000000005E-2</v>
      </c>
      <c r="J192" s="267">
        <v>8</v>
      </c>
      <c r="X192" s="149"/>
      <c r="Z192" s="149"/>
    </row>
    <row r="193" spans="2:26" x14ac:dyDescent="0.25">
      <c r="B193" t="s">
        <v>223</v>
      </c>
      <c r="C193" s="149">
        <v>4.2776508243164334E-2</v>
      </c>
      <c r="D193" s="149">
        <v>0.62974057601500066</v>
      </c>
      <c r="E193" s="184">
        <v>3.3500000000000002E-2</v>
      </c>
      <c r="F193" s="253">
        <v>7</v>
      </c>
      <c r="G193" s="101">
        <v>2447.0134714369515</v>
      </c>
      <c r="H193" t="s">
        <v>116</v>
      </c>
      <c r="I193" s="184">
        <v>4.4699999999999997E-2</v>
      </c>
      <c r="J193" s="267">
        <v>8</v>
      </c>
      <c r="X193" s="149"/>
      <c r="Z193" s="149"/>
    </row>
    <row r="194" spans="2:26" x14ac:dyDescent="0.25">
      <c r="B194" t="s">
        <v>307</v>
      </c>
      <c r="C194" s="149">
        <v>7.4866494401378117E-2</v>
      </c>
      <c r="D194" s="149">
        <v>0.60094026324122862</v>
      </c>
      <c r="E194" s="184">
        <v>7.5899999999999995E-2</v>
      </c>
      <c r="F194" s="253">
        <v>6.5</v>
      </c>
      <c r="G194" s="101">
        <v>2590.9361959178577</v>
      </c>
      <c r="H194" t="s">
        <v>465</v>
      </c>
      <c r="I194" s="184">
        <v>5.2699999999999997E-2</v>
      </c>
      <c r="J194" s="267">
        <v>9.5</v>
      </c>
      <c r="X194" s="149"/>
      <c r="Z194" s="149"/>
    </row>
    <row r="195" spans="2:26" x14ac:dyDescent="0.25">
      <c r="B195" t="s">
        <v>190</v>
      </c>
      <c r="C195" s="149">
        <v>3.2783334204766992E-2</v>
      </c>
      <c r="D195" s="149">
        <v>0.55421008855619158</v>
      </c>
      <c r="E195" s="184">
        <v>3.9899999999999998E-2</v>
      </c>
      <c r="F195" s="253">
        <v>7.5</v>
      </c>
      <c r="G195" s="101">
        <v>2271.0172327173123</v>
      </c>
      <c r="H195" t="s">
        <v>465</v>
      </c>
      <c r="I195" s="184">
        <v>5.57E-2</v>
      </c>
      <c r="J195" s="267">
        <v>8</v>
      </c>
      <c r="X195" s="149"/>
      <c r="Z195" s="149"/>
    </row>
    <row r="196" spans="2:26" x14ac:dyDescent="0.25">
      <c r="B196" t="s">
        <v>191</v>
      </c>
      <c r="C196" s="149">
        <v>-4.4654441259504775E-2</v>
      </c>
      <c r="D196" s="149">
        <v>0.68887669845556587</v>
      </c>
      <c r="E196" s="184">
        <v>3.3099999999999997E-2</v>
      </c>
      <c r="F196" s="253">
        <v>8</v>
      </c>
      <c r="G196" s="101">
        <v>2835.9360189574804</v>
      </c>
      <c r="H196" t="s">
        <v>439</v>
      </c>
      <c r="I196" s="184">
        <v>4.9000000000000002E-2</v>
      </c>
      <c r="J196" s="267">
        <v>7</v>
      </c>
      <c r="X196" s="149"/>
      <c r="Z196" s="149"/>
    </row>
    <row r="197" spans="2:26" x14ac:dyDescent="0.25">
      <c r="B197" t="s">
        <v>475</v>
      </c>
      <c r="C197" s="149">
        <v>4.1250795589792479E-2</v>
      </c>
      <c r="D197" s="149">
        <v>0.70527448520505276</v>
      </c>
      <c r="E197" s="184">
        <v>4.4499999999999998E-2</v>
      </c>
      <c r="F197" s="253">
        <v>7</v>
      </c>
      <c r="G197" s="101">
        <v>2527.448452947996</v>
      </c>
      <c r="H197" t="s">
        <v>116</v>
      </c>
      <c r="I197" s="184">
        <v>6.2700000000000006E-2</v>
      </c>
      <c r="J197" s="267">
        <v>7.5</v>
      </c>
      <c r="X197" s="149"/>
      <c r="Z197" s="149"/>
    </row>
    <row r="198" spans="2:26" x14ac:dyDescent="0.25">
      <c r="B198" t="s">
        <v>597</v>
      </c>
      <c r="C198" s="149">
        <v>2.9288613200516827E-2</v>
      </c>
      <c r="D198" s="149">
        <v>0.8002030672601268</v>
      </c>
      <c r="E198" s="184">
        <v>4.07E-2</v>
      </c>
      <c r="F198" s="253">
        <v>5.5</v>
      </c>
      <c r="G198" s="101">
        <v>2544.036648172038</v>
      </c>
      <c r="H198" t="s">
        <v>116</v>
      </c>
      <c r="I198" s="184">
        <v>5.4199999999999998E-2</v>
      </c>
      <c r="J198" s="267">
        <v>6.5</v>
      </c>
      <c r="X198" s="149"/>
      <c r="Z198" s="149"/>
    </row>
    <row r="199" spans="2:26" x14ac:dyDescent="0.25">
      <c r="B199" t="s">
        <v>333</v>
      </c>
      <c r="C199" s="149">
        <v>0.13398982730068607</v>
      </c>
      <c r="D199" s="149">
        <v>0.60316909188472589</v>
      </c>
      <c r="E199" s="184">
        <v>3.4200000000000001E-2</v>
      </c>
      <c r="F199" s="253">
        <v>7.5</v>
      </c>
      <c r="G199" s="101">
        <v>2644.1111983770493</v>
      </c>
      <c r="H199" t="s">
        <v>116</v>
      </c>
      <c r="I199" s="184">
        <v>3.4099999999999998E-2</v>
      </c>
      <c r="J199" s="267">
        <v>10</v>
      </c>
      <c r="X199" s="149"/>
      <c r="Z199" s="149"/>
    </row>
    <row r="200" spans="2:26" x14ac:dyDescent="0.25">
      <c r="B200" t="s">
        <v>112</v>
      </c>
      <c r="C200" s="149">
        <v>5.1759783411272457E-2</v>
      </c>
      <c r="D200" s="149">
        <v>0.71657533439396615</v>
      </c>
      <c r="E200" s="184">
        <v>3.1600000000000003E-2</v>
      </c>
      <c r="F200" s="253">
        <v>10</v>
      </c>
      <c r="G200" s="101">
        <v>2028.606993635955</v>
      </c>
      <c r="H200" t="s">
        <v>116</v>
      </c>
      <c r="I200" s="184">
        <v>4.9500000000000002E-2</v>
      </c>
      <c r="J200" s="267">
        <v>7.5</v>
      </c>
      <c r="X200" s="149"/>
      <c r="Z200" s="149"/>
    </row>
    <row r="201" spans="2:26" x14ac:dyDescent="0.25">
      <c r="B201" t="s">
        <v>430</v>
      </c>
      <c r="C201" s="149">
        <v>0.10932493647110816</v>
      </c>
      <c r="D201" s="149">
        <v>0.74417768134973883</v>
      </c>
      <c r="E201" s="184">
        <v>3.7400000000000003E-2</v>
      </c>
      <c r="F201" s="253">
        <v>8.5</v>
      </c>
      <c r="G201" s="101">
        <v>2268.7572419822723</v>
      </c>
      <c r="H201" t="s">
        <v>116</v>
      </c>
      <c r="I201" s="184">
        <v>5.9700000000000003E-2</v>
      </c>
      <c r="J201" s="267">
        <v>9</v>
      </c>
      <c r="X201" s="149"/>
      <c r="Z201" s="149"/>
    </row>
    <row r="202" spans="2:26" x14ac:dyDescent="0.25">
      <c r="B202" t="s">
        <v>308</v>
      </c>
      <c r="C202" s="149">
        <v>6.4459213490198272E-2</v>
      </c>
      <c r="D202" s="149">
        <v>0.57115805668974495</v>
      </c>
      <c r="E202" s="184">
        <v>4.19E-2</v>
      </c>
      <c r="F202" s="253">
        <v>8.5</v>
      </c>
      <c r="G202" s="101">
        <v>2107.8418674182412</v>
      </c>
      <c r="H202" t="s">
        <v>116</v>
      </c>
      <c r="I202" s="184">
        <v>5.2299999999999999E-2</v>
      </c>
      <c r="J202" s="267">
        <v>8</v>
      </c>
      <c r="X202" s="149"/>
      <c r="Z202" s="149"/>
    </row>
    <row r="203" spans="2:26" x14ac:dyDescent="0.25">
      <c r="B203" t="s">
        <v>433</v>
      </c>
      <c r="C203" s="149">
        <v>0.12827114993015937</v>
      </c>
      <c r="D203" s="149">
        <v>0.65466095521170264</v>
      </c>
      <c r="E203" s="184">
        <v>3.7100000000000001E-2</v>
      </c>
      <c r="F203" s="253">
        <v>9</v>
      </c>
      <c r="G203" s="101">
        <v>1857.3406368345875</v>
      </c>
      <c r="H203" t="s">
        <v>465</v>
      </c>
      <c r="I203" s="184">
        <v>5.2699999999999997E-2</v>
      </c>
      <c r="J203" s="267">
        <v>8</v>
      </c>
      <c r="X203" s="149"/>
      <c r="Z203" s="149"/>
    </row>
    <row r="204" spans="2:26" x14ac:dyDescent="0.25">
      <c r="B204" t="s">
        <v>192</v>
      </c>
      <c r="C204" s="149">
        <v>0.11923887205254442</v>
      </c>
      <c r="D204" s="149">
        <v>0.76132248623443621</v>
      </c>
      <c r="E204" s="184">
        <v>4.3299999999999998E-2</v>
      </c>
      <c r="F204" s="253">
        <v>7</v>
      </c>
      <c r="G204" s="101">
        <v>2086.3348755542775</v>
      </c>
      <c r="H204" t="s">
        <v>465</v>
      </c>
      <c r="I204" s="184">
        <v>6.3100000000000003E-2</v>
      </c>
      <c r="J204" s="267">
        <v>6.5</v>
      </c>
      <c r="X204" s="149"/>
      <c r="Z204" s="149"/>
    </row>
    <row r="205" spans="2:26" x14ac:dyDescent="0.25">
      <c r="B205" t="s">
        <v>309</v>
      </c>
      <c r="C205" s="149">
        <v>1.4282059385675802E-2</v>
      </c>
      <c r="D205" s="149">
        <v>0.6575088905730776</v>
      </c>
      <c r="E205" s="184">
        <v>2.9700000000000001E-2</v>
      </c>
      <c r="F205" s="253">
        <v>8</v>
      </c>
      <c r="G205" s="101">
        <v>1834.7135913577424</v>
      </c>
      <c r="H205" t="s">
        <v>465</v>
      </c>
      <c r="I205" s="184">
        <v>5.1499999999999997E-2</v>
      </c>
      <c r="J205" s="267">
        <v>9</v>
      </c>
      <c r="X205" s="149"/>
      <c r="Z205" s="149"/>
    </row>
    <row r="206" spans="2:26" x14ac:dyDescent="0.25">
      <c r="B206" t="s">
        <v>378</v>
      </c>
      <c r="C206" s="149">
        <v>5.3185120140496527E-2</v>
      </c>
      <c r="D206" s="149">
        <v>0.6544732206439039</v>
      </c>
      <c r="E206" s="184">
        <v>3.8600000000000002E-2</v>
      </c>
      <c r="F206" s="253">
        <v>8</v>
      </c>
      <c r="G206" s="101">
        <v>1854.1033510066429</v>
      </c>
      <c r="H206" t="s">
        <v>465</v>
      </c>
      <c r="I206" s="184">
        <v>7.4300000000000005E-2</v>
      </c>
      <c r="J206" s="267">
        <v>7</v>
      </c>
      <c r="X206" s="149"/>
      <c r="Z206" s="149"/>
    </row>
    <row r="207" spans="2:26" x14ac:dyDescent="0.25">
      <c r="B207" t="s">
        <v>379</v>
      </c>
      <c r="C207" s="149">
        <v>-5.1136890951276104E-2</v>
      </c>
      <c r="D207" s="149">
        <v>0.7107353542433269</v>
      </c>
      <c r="E207" s="184">
        <v>4.3999999999999997E-2</v>
      </c>
      <c r="F207" s="253">
        <v>8.5</v>
      </c>
      <c r="G207" s="101">
        <v>1991.4387191134308</v>
      </c>
      <c r="H207" t="s">
        <v>465</v>
      </c>
      <c r="I207" s="184">
        <v>5.7500000000000002E-2</v>
      </c>
      <c r="J207" s="267">
        <v>9</v>
      </c>
      <c r="X207" s="149"/>
      <c r="Z207" s="149"/>
    </row>
    <row r="208" spans="2:26" x14ac:dyDescent="0.25">
      <c r="B208" t="s">
        <v>121</v>
      </c>
      <c r="C208" s="149">
        <v>2.9915400533973815E-2</v>
      </c>
      <c r="D208" s="149">
        <v>0.7905926228207395</v>
      </c>
      <c r="E208" s="184">
        <v>3.2500000000000001E-2</v>
      </c>
      <c r="F208" s="253">
        <v>8</v>
      </c>
      <c r="G208" s="101">
        <v>2859.3636967821744</v>
      </c>
      <c r="H208" t="s">
        <v>439</v>
      </c>
      <c r="I208" s="184">
        <v>5.6599999999999998E-2</v>
      </c>
      <c r="J208" s="267">
        <v>6</v>
      </c>
      <c r="X208" s="149"/>
      <c r="Z208" s="149"/>
    </row>
    <row r="209" spans="2:26" x14ac:dyDescent="0.25">
      <c r="B209" t="s">
        <v>193</v>
      </c>
      <c r="C209" s="149">
        <v>5.6225796842418824E-2</v>
      </c>
      <c r="D209" s="149">
        <v>0.56189016202667619</v>
      </c>
      <c r="E209" s="184">
        <v>3.1600000000000003E-2</v>
      </c>
      <c r="F209" s="253">
        <v>7.5</v>
      </c>
      <c r="G209" s="101">
        <v>2639.0805845365712</v>
      </c>
      <c r="H209" t="s">
        <v>465</v>
      </c>
      <c r="I209" s="184">
        <v>4.8899999999999999E-2</v>
      </c>
      <c r="J209" s="267">
        <v>6.5</v>
      </c>
      <c r="X209" s="149"/>
      <c r="Z209" s="149"/>
    </row>
    <row r="210" spans="2:26" x14ac:dyDescent="0.25">
      <c r="B210" t="s">
        <v>151</v>
      </c>
      <c r="C210" s="149">
        <v>4.4967505349486528E-2</v>
      </c>
      <c r="D210" s="149">
        <v>0.74297998119038022</v>
      </c>
      <c r="E210" s="184">
        <v>4.6600000000000003E-2</v>
      </c>
      <c r="F210" s="253">
        <v>6.5</v>
      </c>
      <c r="G210" s="101">
        <v>2530.6477421124187</v>
      </c>
      <c r="H210" t="s">
        <v>116</v>
      </c>
      <c r="I210" s="184">
        <v>5.8099999999999999E-2</v>
      </c>
      <c r="J210" s="267">
        <v>7.5</v>
      </c>
      <c r="X210" s="149"/>
      <c r="Z210" s="149"/>
    </row>
    <row r="211" spans="2:26" x14ac:dyDescent="0.25">
      <c r="B211" t="s">
        <v>152</v>
      </c>
      <c r="C211" s="149">
        <v>2.9757627801826114E-2</v>
      </c>
      <c r="D211" s="149">
        <v>0.68672992252295295</v>
      </c>
      <c r="E211" s="184">
        <v>4.9299999999999997E-2</v>
      </c>
      <c r="F211" s="253">
        <v>7.5</v>
      </c>
      <c r="G211" s="101">
        <v>2178.1748970801173</v>
      </c>
      <c r="H211" t="s">
        <v>465</v>
      </c>
      <c r="I211" s="184">
        <v>7.2900000000000006E-2</v>
      </c>
      <c r="J211" s="267">
        <v>7.5</v>
      </c>
      <c r="X211" s="149"/>
      <c r="Z211" s="149"/>
    </row>
    <row r="212" spans="2:26" x14ac:dyDescent="0.25">
      <c r="B212" t="s">
        <v>153</v>
      </c>
      <c r="C212" s="149">
        <v>7.9407035997492978E-2</v>
      </c>
      <c r="D212" s="149">
        <v>0.71715354842854162</v>
      </c>
      <c r="E212" s="184">
        <v>3.9100000000000003E-2</v>
      </c>
      <c r="F212" s="253">
        <v>7.5</v>
      </c>
      <c r="G212" s="101">
        <v>2380.7599805975447</v>
      </c>
      <c r="H212" t="s">
        <v>465</v>
      </c>
      <c r="I212" s="184">
        <v>5.0799999999999998E-2</v>
      </c>
      <c r="J212" s="267">
        <v>8</v>
      </c>
      <c r="X212" s="149"/>
      <c r="Z212" s="149"/>
    </row>
    <row r="213" spans="2:26" x14ac:dyDescent="0.25">
      <c r="B213" t="s">
        <v>194</v>
      </c>
      <c r="C213" s="149">
        <v>8.0310970342643243E-2</v>
      </c>
      <c r="D213" s="149">
        <v>0.76766267662676624</v>
      </c>
      <c r="E213" s="184">
        <v>4.8599999999999997E-2</v>
      </c>
      <c r="F213" s="253">
        <v>6.5</v>
      </c>
      <c r="G213" s="101">
        <v>2110.6596902550659</v>
      </c>
      <c r="H213" t="s">
        <v>116</v>
      </c>
      <c r="I213" s="184">
        <v>6.0999999999999999E-2</v>
      </c>
      <c r="J213" s="267">
        <v>7.5</v>
      </c>
      <c r="X213" s="149"/>
      <c r="Z213" s="149"/>
    </row>
    <row r="214" spans="2:26" x14ac:dyDescent="0.25">
      <c r="B214" t="s">
        <v>380</v>
      </c>
      <c r="C214" s="149">
        <v>5.2940826707171387E-2</v>
      </c>
      <c r="D214" s="149">
        <v>0.74157039050656071</v>
      </c>
      <c r="E214" s="184">
        <v>3.27E-2</v>
      </c>
      <c r="F214" s="253">
        <v>8</v>
      </c>
      <c r="G214" s="101">
        <v>2099.1093436801411</v>
      </c>
      <c r="H214" t="s">
        <v>116</v>
      </c>
      <c r="I214" s="184">
        <v>4.5999999999999999E-2</v>
      </c>
      <c r="J214" s="267">
        <v>9.5</v>
      </c>
      <c r="X214" s="149"/>
      <c r="Z214" s="149"/>
    </row>
    <row r="215" spans="2:26" x14ac:dyDescent="0.25">
      <c r="B215" t="s">
        <v>131</v>
      </c>
      <c r="C215" s="149">
        <v>6.4731644098851501E-2</v>
      </c>
      <c r="D215" s="149">
        <v>0.80673495874663947</v>
      </c>
      <c r="E215" s="184">
        <v>4.3200000000000002E-2</v>
      </c>
      <c r="F215" s="253">
        <v>7.5</v>
      </c>
      <c r="G215" s="101">
        <v>2512.8049740185074</v>
      </c>
      <c r="H215" t="s">
        <v>116</v>
      </c>
      <c r="I215" s="184">
        <v>8.0600000000000005E-2</v>
      </c>
      <c r="J215" s="267">
        <v>6</v>
      </c>
      <c r="X215" s="149"/>
      <c r="Z215" s="149"/>
    </row>
    <row r="216" spans="2:26" x14ac:dyDescent="0.25">
      <c r="B216" t="s">
        <v>265</v>
      </c>
      <c r="C216" s="149">
        <v>6.3726046036965647E-2</v>
      </c>
      <c r="D216" s="149">
        <v>0.60432374724761462</v>
      </c>
      <c r="E216" s="184">
        <v>2.2200000000000001E-2</v>
      </c>
      <c r="F216" s="253">
        <v>9</v>
      </c>
      <c r="G216" s="101">
        <v>2109.3231595131051</v>
      </c>
      <c r="H216" t="s">
        <v>465</v>
      </c>
      <c r="I216" s="184">
        <v>5.16E-2</v>
      </c>
      <c r="J216" s="267">
        <v>8</v>
      </c>
      <c r="X216" s="149"/>
      <c r="Z216" s="149"/>
    </row>
    <row r="217" spans="2:26" x14ac:dyDescent="0.25">
      <c r="B217" t="s">
        <v>266</v>
      </c>
      <c r="C217" s="149">
        <v>0.11416216216216216</v>
      </c>
      <c r="D217" s="149">
        <v>0.58491742753080878</v>
      </c>
      <c r="E217" s="184">
        <v>4.0800000000000003E-2</v>
      </c>
      <c r="F217" s="253">
        <v>7</v>
      </c>
      <c r="G217" s="101">
        <v>2544.6060295579823</v>
      </c>
      <c r="H217" t="s">
        <v>465</v>
      </c>
      <c r="I217" s="184">
        <v>4.2700000000000002E-2</v>
      </c>
      <c r="J217" s="267">
        <v>8.5</v>
      </c>
      <c r="X217" s="149"/>
      <c r="Z217" s="149"/>
    </row>
    <row r="218" spans="2:26" x14ac:dyDescent="0.25">
      <c r="B218" t="s">
        <v>132</v>
      </c>
      <c r="C218" s="149">
        <v>9.4260438996407112E-2</v>
      </c>
      <c r="D218" s="149">
        <v>0.80545826652038144</v>
      </c>
      <c r="E218" s="184">
        <v>4.2999999999999997E-2</v>
      </c>
      <c r="F218" s="253">
        <v>7</v>
      </c>
      <c r="G218" s="101">
        <v>2204.9897412244168</v>
      </c>
      <c r="H218" t="s">
        <v>116</v>
      </c>
      <c r="I218" s="184">
        <v>5.5500000000000001E-2</v>
      </c>
      <c r="J218" s="267">
        <v>8</v>
      </c>
      <c r="X218" s="149"/>
      <c r="Z218" s="149"/>
    </row>
    <row r="219" spans="2:26" x14ac:dyDescent="0.25">
      <c r="B219" t="s">
        <v>381</v>
      </c>
      <c r="C219" s="149">
        <v>0.10645274939700262</v>
      </c>
      <c r="D219" s="149">
        <v>0.75018289073345001</v>
      </c>
      <c r="E219" s="184">
        <v>4.6300000000000001E-2</v>
      </c>
      <c r="F219" s="253">
        <v>9</v>
      </c>
      <c r="G219" s="101">
        <v>2480.7795937661895</v>
      </c>
      <c r="H219" t="s">
        <v>439</v>
      </c>
      <c r="I219" s="184">
        <v>6.4000000000000001E-2</v>
      </c>
      <c r="J219" s="267">
        <v>9</v>
      </c>
      <c r="X219" s="149"/>
      <c r="Z219" s="149"/>
    </row>
    <row r="220" spans="2:26" x14ac:dyDescent="0.25">
      <c r="B220" t="s">
        <v>195</v>
      </c>
      <c r="C220" s="149">
        <v>3.3875663112051459E-2</v>
      </c>
      <c r="D220" s="149">
        <v>0.70300089900663487</v>
      </c>
      <c r="E220" s="184">
        <v>3.0499999999999999E-2</v>
      </c>
      <c r="F220" s="253">
        <v>8.5</v>
      </c>
      <c r="G220" s="101">
        <v>2484.0437114489173</v>
      </c>
      <c r="H220" t="s">
        <v>116</v>
      </c>
      <c r="I220" s="184">
        <v>4.5499999999999999E-2</v>
      </c>
      <c r="J220" s="267">
        <v>9.5</v>
      </c>
      <c r="X220" s="149"/>
      <c r="Z220" s="149"/>
    </row>
    <row r="221" spans="2:26" x14ac:dyDescent="0.25">
      <c r="B221" t="s">
        <v>267</v>
      </c>
      <c r="C221" s="149">
        <v>7.9223643581826209E-2</v>
      </c>
      <c r="D221" s="149">
        <v>0.57029604855691807</v>
      </c>
      <c r="E221" s="184">
        <v>3.5000000000000003E-2</v>
      </c>
      <c r="F221" s="253">
        <v>6</v>
      </c>
      <c r="G221" s="101">
        <v>2404.9594430945344</v>
      </c>
      <c r="H221" t="s">
        <v>465</v>
      </c>
      <c r="I221" s="184">
        <v>5.6899999999999999E-2</v>
      </c>
      <c r="J221" s="267">
        <v>6.5</v>
      </c>
      <c r="X221" s="149"/>
      <c r="Z221" s="149"/>
    </row>
    <row r="222" spans="2:26" x14ac:dyDescent="0.25">
      <c r="B222" t="s">
        <v>224</v>
      </c>
      <c r="C222" s="149">
        <v>9.7309673726388088E-2</v>
      </c>
      <c r="D222" s="149">
        <v>0.69406528189910977</v>
      </c>
      <c r="E222" s="184">
        <v>3.78E-2</v>
      </c>
      <c r="F222" s="253">
        <v>6</v>
      </c>
      <c r="G222" s="101">
        <v>2193.103974139286</v>
      </c>
      <c r="H222" t="s">
        <v>465</v>
      </c>
      <c r="I222" s="184">
        <v>5.2400000000000002E-2</v>
      </c>
      <c r="J222" s="267">
        <v>7</v>
      </c>
      <c r="X222" s="149"/>
      <c r="Z222" s="149"/>
    </row>
    <row r="223" spans="2:26" x14ac:dyDescent="0.25">
      <c r="B223" t="s">
        <v>196</v>
      </c>
      <c r="C223" s="149">
        <v>4.8670995606963773E-2</v>
      </c>
      <c r="D223" s="149">
        <v>0.74935134685355942</v>
      </c>
      <c r="E223" s="184">
        <v>4.1599999999999998E-2</v>
      </c>
      <c r="F223" s="253">
        <v>9.5</v>
      </c>
      <c r="G223" s="101">
        <v>2005.599186055126</v>
      </c>
      <c r="H223" t="s">
        <v>465</v>
      </c>
      <c r="I223" s="184">
        <v>6.3200000000000006E-2</v>
      </c>
      <c r="J223" s="267">
        <v>7.5</v>
      </c>
      <c r="X223" s="149"/>
      <c r="Z223" s="149"/>
    </row>
    <row r="224" spans="2:26" x14ac:dyDescent="0.25">
      <c r="B224" t="s">
        <v>310</v>
      </c>
      <c r="C224" s="149">
        <v>0.11468915845337377</v>
      </c>
      <c r="D224" s="149">
        <v>0.7225480596783419</v>
      </c>
      <c r="E224" s="184">
        <v>4.4400000000000002E-2</v>
      </c>
      <c r="F224" s="253">
        <v>7.5</v>
      </c>
      <c r="G224" s="101">
        <v>2295.8902491059503</v>
      </c>
      <c r="H224" t="s">
        <v>465</v>
      </c>
      <c r="I224" s="184">
        <v>5.79E-2</v>
      </c>
      <c r="J224" s="267">
        <v>8</v>
      </c>
      <c r="X224" s="149"/>
      <c r="Z224" s="149"/>
    </row>
    <row r="225" spans="2:26" x14ac:dyDescent="0.25">
      <c r="B225" t="s">
        <v>415</v>
      </c>
      <c r="C225" s="149">
        <v>7.3853517812678793E-2</v>
      </c>
      <c r="D225" s="149">
        <v>0.76856435643564358</v>
      </c>
      <c r="E225" s="184">
        <v>3.3700000000000001E-2</v>
      </c>
      <c r="F225" s="253">
        <v>8</v>
      </c>
      <c r="G225" s="101">
        <v>1811.0986511237434</v>
      </c>
      <c r="H225" t="s">
        <v>465</v>
      </c>
      <c r="I225" s="184">
        <v>4.7800000000000002E-2</v>
      </c>
      <c r="J225" s="267">
        <v>8</v>
      </c>
      <c r="X225" s="149"/>
      <c r="Z225" s="149"/>
    </row>
    <row r="226" spans="2:26" x14ac:dyDescent="0.25">
      <c r="B226" t="s">
        <v>122</v>
      </c>
      <c r="C226" s="149">
        <v>0.15457211672373961</v>
      </c>
      <c r="D226" s="149">
        <v>0.84338733986435566</v>
      </c>
      <c r="E226" s="184">
        <v>5.2600000000000001E-2</v>
      </c>
      <c r="F226" s="253">
        <v>6</v>
      </c>
      <c r="G226" s="101">
        <v>3023.609217147472</v>
      </c>
      <c r="H226" t="s">
        <v>439</v>
      </c>
      <c r="I226" s="184">
        <v>6.7599999999999993E-2</v>
      </c>
      <c r="J226" s="267">
        <v>5.5</v>
      </c>
      <c r="X226" s="149"/>
      <c r="Z226" s="149"/>
    </row>
    <row r="227" spans="2:26" x14ac:dyDescent="0.25">
      <c r="B227" t="s">
        <v>311</v>
      </c>
      <c r="C227" s="149">
        <v>0.10176967056901715</v>
      </c>
      <c r="D227" s="149">
        <v>0.60041352305787488</v>
      </c>
      <c r="E227" s="184">
        <v>4.8599999999999997E-2</v>
      </c>
      <c r="F227" s="253">
        <v>8.5</v>
      </c>
      <c r="G227" s="101">
        <v>1931.712190000369</v>
      </c>
      <c r="H227" t="s">
        <v>465</v>
      </c>
      <c r="I227" s="184">
        <v>5.57E-2</v>
      </c>
      <c r="J227" s="267">
        <v>8</v>
      </c>
      <c r="X227" s="149"/>
      <c r="Z227" s="149"/>
    </row>
    <row r="228" spans="2:26" x14ac:dyDescent="0.25">
      <c r="B228" t="s">
        <v>268</v>
      </c>
      <c r="C228" s="149">
        <v>7.8828945178195262E-2</v>
      </c>
      <c r="D228" s="149">
        <v>0.72486782228195668</v>
      </c>
      <c r="E228" s="184">
        <v>3.1699999999999999E-2</v>
      </c>
      <c r="F228" s="253">
        <v>10</v>
      </c>
      <c r="G228" s="101">
        <v>2098.9415631050115</v>
      </c>
      <c r="H228" t="s">
        <v>116</v>
      </c>
      <c r="I228" s="184">
        <v>4.3299999999999998E-2</v>
      </c>
      <c r="J228" s="267">
        <v>10</v>
      </c>
      <c r="X228" s="149"/>
      <c r="Z228" s="149"/>
    </row>
    <row r="229" spans="2:26" x14ac:dyDescent="0.25">
      <c r="B229" t="s">
        <v>197</v>
      </c>
      <c r="C229" s="149">
        <v>0.11060542977330481</v>
      </c>
      <c r="D229" s="149">
        <v>0.72852866009492512</v>
      </c>
      <c r="E229" s="184">
        <v>3.1899999999999998E-2</v>
      </c>
      <c r="F229" s="253">
        <v>8.5</v>
      </c>
      <c r="G229" s="101">
        <v>1825.9702872727644</v>
      </c>
      <c r="H229" t="s">
        <v>465</v>
      </c>
      <c r="I229" s="184">
        <v>4.4699999999999997E-2</v>
      </c>
      <c r="J229" s="267">
        <v>9.5</v>
      </c>
      <c r="X229" s="149"/>
      <c r="Z229" s="149"/>
    </row>
    <row r="230" spans="2:26" x14ac:dyDescent="0.25">
      <c r="B230" t="s">
        <v>154</v>
      </c>
      <c r="C230" s="149">
        <v>8.7582551268682654E-2</v>
      </c>
      <c r="D230" s="149">
        <v>0.7081890789428581</v>
      </c>
      <c r="E230" s="184">
        <v>5.4600000000000003E-2</v>
      </c>
      <c r="F230" s="253">
        <v>7.5</v>
      </c>
      <c r="G230" s="101">
        <v>2241.1921597257328</v>
      </c>
      <c r="H230" t="s">
        <v>465</v>
      </c>
      <c r="I230" s="184">
        <v>6.9099999999999995E-2</v>
      </c>
      <c r="J230" s="267">
        <v>7.5</v>
      </c>
      <c r="X230" s="149"/>
      <c r="Z230" s="149"/>
    </row>
    <row r="231" spans="2:26" x14ac:dyDescent="0.25">
      <c r="B231" t="s">
        <v>334</v>
      </c>
      <c r="C231" s="149">
        <v>8.2765293108755883E-2</v>
      </c>
      <c r="D231" s="149">
        <v>0.71422577171070112</v>
      </c>
      <c r="E231" s="184">
        <v>4.2099999999999999E-2</v>
      </c>
      <c r="F231" s="253">
        <v>10</v>
      </c>
      <c r="G231" s="101">
        <v>2157.0286564900298</v>
      </c>
      <c r="H231" t="s">
        <v>465</v>
      </c>
      <c r="I231" s="184">
        <v>6.6100000000000006E-2</v>
      </c>
      <c r="J231" s="267">
        <v>8</v>
      </c>
      <c r="X231" s="149"/>
      <c r="Z231" s="149"/>
    </row>
    <row r="232" spans="2:26" x14ac:dyDescent="0.25">
      <c r="B232" t="s">
        <v>198</v>
      </c>
      <c r="C232" s="149">
        <v>3.1593490942585199E-2</v>
      </c>
      <c r="D232" s="149">
        <v>0.6986930479091561</v>
      </c>
      <c r="E232" s="184">
        <v>3.7199999999999997E-2</v>
      </c>
      <c r="F232" s="253">
        <v>7</v>
      </c>
      <c r="G232" s="101">
        <v>2236.3302764318914</v>
      </c>
      <c r="H232" t="s">
        <v>116</v>
      </c>
      <c r="I232" s="184">
        <v>5.6500000000000002E-2</v>
      </c>
      <c r="J232" s="267">
        <v>7.5</v>
      </c>
      <c r="X232" s="149"/>
      <c r="Z232" s="149"/>
    </row>
    <row r="233" spans="2:26" x14ac:dyDescent="0.25">
      <c r="B233" t="s">
        <v>225</v>
      </c>
      <c r="C233" s="149">
        <v>5.7882228677053074E-2</v>
      </c>
      <c r="D233" s="149">
        <v>0.53715809842581452</v>
      </c>
      <c r="E233" s="184">
        <v>2.87E-2</v>
      </c>
      <c r="F233" s="253">
        <v>7</v>
      </c>
      <c r="G233" s="101">
        <v>2621.2905056781392</v>
      </c>
      <c r="H233" t="s">
        <v>465</v>
      </c>
      <c r="I233" s="184">
        <v>3.1800000000000002E-2</v>
      </c>
      <c r="J233" s="267">
        <v>6.5</v>
      </c>
      <c r="X233" s="149"/>
      <c r="Z233" s="149"/>
    </row>
    <row r="234" spans="2:26" x14ac:dyDescent="0.25">
      <c r="B234" t="s">
        <v>382</v>
      </c>
      <c r="C234" s="149">
        <v>0.10981556073775704</v>
      </c>
      <c r="D234" s="149">
        <v>0.69417487594416871</v>
      </c>
      <c r="E234" s="184">
        <v>5.0200000000000002E-2</v>
      </c>
      <c r="F234" s="253">
        <v>8</v>
      </c>
      <c r="G234" s="101">
        <v>2163.9467168078359</v>
      </c>
      <c r="H234" t="s">
        <v>465</v>
      </c>
      <c r="I234" s="184">
        <v>6.0299999999999999E-2</v>
      </c>
      <c r="J234" s="267">
        <v>7.5</v>
      </c>
      <c r="X234" s="149"/>
      <c r="Z234" s="149"/>
    </row>
    <row r="235" spans="2:26" x14ac:dyDescent="0.25">
      <c r="B235" t="s">
        <v>199</v>
      </c>
      <c r="C235" s="149">
        <v>3.3257146875769188E-2</v>
      </c>
      <c r="D235" s="149">
        <v>0.78345293372731106</v>
      </c>
      <c r="E235" s="184">
        <v>3.6799999999999999E-2</v>
      </c>
      <c r="F235" s="253">
        <v>8</v>
      </c>
      <c r="G235" s="101">
        <v>2453.4821088397844</v>
      </c>
      <c r="H235" t="s">
        <v>116</v>
      </c>
      <c r="I235" s="184">
        <v>6.1499999999999999E-2</v>
      </c>
      <c r="J235" s="267">
        <v>7.5</v>
      </c>
      <c r="X235" s="149"/>
      <c r="Z235" s="149"/>
    </row>
    <row r="236" spans="2:26" x14ac:dyDescent="0.25">
      <c r="B236" t="s">
        <v>226</v>
      </c>
      <c r="C236" s="149">
        <v>6.1507762860793617E-2</v>
      </c>
      <c r="D236" s="149">
        <v>0.73246365880416897</v>
      </c>
      <c r="E236" s="184">
        <v>3.73E-2</v>
      </c>
      <c r="F236" s="253">
        <v>8</v>
      </c>
      <c r="G236" s="101">
        <v>1953.141258745185</v>
      </c>
      <c r="H236" t="s">
        <v>465</v>
      </c>
      <c r="I236" s="184">
        <v>5.7700000000000001E-2</v>
      </c>
      <c r="J236" s="267">
        <v>8.5</v>
      </c>
      <c r="X236" s="149"/>
      <c r="Z236" s="149"/>
    </row>
    <row r="237" spans="2:26" x14ac:dyDescent="0.25">
      <c r="B237" t="s">
        <v>312</v>
      </c>
      <c r="C237" s="149">
        <v>9.4382775304569667E-3</v>
      </c>
      <c r="D237" s="149">
        <v>0.69809438913857913</v>
      </c>
      <c r="E237" s="184">
        <v>3.4599999999999999E-2</v>
      </c>
      <c r="F237" s="253">
        <v>9</v>
      </c>
      <c r="G237" s="101">
        <v>2435.3371243680544</v>
      </c>
      <c r="H237" t="s">
        <v>116</v>
      </c>
      <c r="I237" s="184">
        <v>5.6099999999999997E-2</v>
      </c>
      <c r="J237" s="267">
        <v>7</v>
      </c>
      <c r="X237" s="149"/>
      <c r="Z237" s="149"/>
    </row>
    <row r="238" spans="2:26" x14ac:dyDescent="0.25">
      <c r="B238" t="s">
        <v>155</v>
      </c>
      <c r="C238" s="149">
        <v>0.10727744220117361</v>
      </c>
      <c r="D238" s="149">
        <v>0.75857643784115969</v>
      </c>
      <c r="E238" s="184">
        <v>4.4200000000000003E-2</v>
      </c>
      <c r="F238" s="253">
        <v>7.5</v>
      </c>
      <c r="G238" s="101">
        <v>2207.2844434435551</v>
      </c>
      <c r="H238" t="s">
        <v>465</v>
      </c>
      <c r="I238" s="184">
        <v>6.54E-2</v>
      </c>
      <c r="J238" s="267">
        <v>6.5</v>
      </c>
      <c r="X238" s="149"/>
      <c r="Z238" s="149"/>
    </row>
    <row r="239" spans="2:26" x14ac:dyDescent="0.25">
      <c r="B239" t="s">
        <v>726</v>
      </c>
      <c r="C239" s="149">
        <v>-5.8667430056663535E-2</v>
      </c>
      <c r="D239" s="149">
        <v>0.66608287792073673</v>
      </c>
      <c r="E239" s="184">
        <v>2.3400000000000001E-2</v>
      </c>
      <c r="F239" s="253">
        <v>8</v>
      </c>
      <c r="G239" s="101">
        <v>2363.3449454971756</v>
      </c>
      <c r="H239" t="s">
        <v>116</v>
      </c>
      <c r="I239" s="184">
        <v>3.9E-2</v>
      </c>
      <c r="J239" s="267">
        <v>9</v>
      </c>
      <c r="X239" s="149"/>
      <c r="Z239" s="149"/>
    </row>
    <row r="240" spans="2:26" x14ac:dyDescent="0.25">
      <c r="B240" t="s">
        <v>416</v>
      </c>
      <c r="C240" s="149">
        <v>2.3699115896218089E-2</v>
      </c>
      <c r="D240" s="149">
        <v>0.72201767304860087</v>
      </c>
      <c r="E240" s="184">
        <v>4.0899999999999999E-2</v>
      </c>
      <c r="F240" s="253">
        <v>8</v>
      </c>
      <c r="G240" s="101">
        <v>2240.7171950633783</v>
      </c>
      <c r="H240" t="s">
        <v>116</v>
      </c>
      <c r="I240" s="184">
        <v>4.8599999999999997E-2</v>
      </c>
      <c r="J240" s="267">
        <v>7.5</v>
      </c>
      <c r="X240" s="149"/>
      <c r="Z240" s="149"/>
    </row>
    <row r="241" spans="2:26" x14ac:dyDescent="0.25">
      <c r="B241" t="s">
        <v>417</v>
      </c>
      <c r="C241" s="149">
        <v>8.4079634044198187E-2</v>
      </c>
      <c r="D241" s="149">
        <v>0.76802422817881844</v>
      </c>
      <c r="E241" s="184">
        <v>3.3500000000000002E-2</v>
      </c>
      <c r="F241" s="253">
        <v>8.5</v>
      </c>
      <c r="G241" s="101">
        <v>2668.0375827614362</v>
      </c>
      <c r="H241" t="s">
        <v>439</v>
      </c>
      <c r="I241" s="184">
        <v>5.2999999999999999E-2</v>
      </c>
      <c r="J241" s="267">
        <v>7</v>
      </c>
      <c r="X241" s="149"/>
      <c r="Z241" s="149"/>
    </row>
    <row r="242" spans="2:26" x14ac:dyDescent="0.25">
      <c r="B242" t="s">
        <v>383</v>
      </c>
      <c r="C242" s="149">
        <v>4.0757296870891401E-3</v>
      </c>
      <c r="D242" s="149">
        <v>0.74212414606575905</v>
      </c>
      <c r="E242" s="184">
        <v>4.2500000000000003E-2</v>
      </c>
      <c r="F242" s="253">
        <v>8</v>
      </c>
      <c r="G242" s="101">
        <v>2716.3063683411956</v>
      </c>
      <c r="H242" t="s">
        <v>439</v>
      </c>
      <c r="I242" s="184">
        <v>4.8800000000000003E-2</v>
      </c>
      <c r="J242" s="267">
        <v>7</v>
      </c>
      <c r="X242" s="149"/>
      <c r="Z242" s="149"/>
    </row>
    <row r="243" spans="2:26" x14ac:dyDescent="0.25">
      <c r="B243" t="s">
        <v>314</v>
      </c>
      <c r="C243" s="149">
        <v>9.8485490751371405E-2</v>
      </c>
      <c r="D243" s="149">
        <v>0.68849410800649569</v>
      </c>
      <c r="E243" s="184">
        <v>3.2199999999999999E-2</v>
      </c>
      <c r="F243" s="253">
        <v>6</v>
      </c>
      <c r="G243" s="101">
        <v>3897.1326703624941</v>
      </c>
      <c r="H243" t="s">
        <v>439</v>
      </c>
      <c r="I243" s="184">
        <v>4.8599999999999997E-2</v>
      </c>
      <c r="J243" s="267">
        <v>6</v>
      </c>
      <c r="X243" s="149"/>
      <c r="Z243" s="149"/>
    </row>
    <row r="244" spans="2:26" x14ac:dyDescent="0.25">
      <c r="B244" t="s">
        <v>200</v>
      </c>
      <c r="C244" s="149">
        <v>-1.9715224534501644E-2</v>
      </c>
      <c r="D244" s="149">
        <v>0.85196437925615509</v>
      </c>
      <c r="E244" s="184">
        <v>0.11890000000000001</v>
      </c>
      <c r="F244" s="253">
        <v>5</v>
      </c>
      <c r="G244" s="101">
        <v>2395.5379836771058</v>
      </c>
      <c r="H244" t="s">
        <v>465</v>
      </c>
      <c r="I244" s="184">
        <v>0.13020000000000001</v>
      </c>
      <c r="J244" s="267">
        <v>6</v>
      </c>
      <c r="X244" s="149"/>
      <c r="Z244" s="149"/>
    </row>
    <row r="245" spans="2:26" x14ac:dyDescent="0.25">
      <c r="B245" t="s">
        <v>384</v>
      </c>
      <c r="C245" s="149">
        <v>3.852759331348752E-2</v>
      </c>
      <c r="D245" s="149">
        <v>0.78239263553787453</v>
      </c>
      <c r="E245" s="184">
        <v>4.3499999999999997E-2</v>
      </c>
      <c r="F245" s="253">
        <v>7</v>
      </c>
      <c r="G245" s="101">
        <v>1951.5402393485028</v>
      </c>
      <c r="H245" t="s">
        <v>116</v>
      </c>
      <c r="I245" s="184">
        <v>5.9900000000000002E-2</v>
      </c>
      <c r="J245" s="267">
        <v>6.5</v>
      </c>
      <c r="X245" s="149"/>
      <c r="Z245" s="149"/>
    </row>
    <row r="246" spans="2:26" x14ac:dyDescent="0.25">
      <c r="B246" t="s">
        <v>269</v>
      </c>
      <c r="C246" s="149">
        <v>6.173685130176481E-2</v>
      </c>
      <c r="D246" s="149">
        <v>0.66525669897842621</v>
      </c>
      <c r="E246" s="184">
        <v>3.3799999999999997E-2</v>
      </c>
      <c r="F246" s="253">
        <v>8.5</v>
      </c>
      <c r="G246" s="101">
        <v>2109.0546112281645</v>
      </c>
      <c r="H246" t="s">
        <v>116</v>
      </c>
      <c r="I246" s="184">
        <v>4.8500000000000001E-2</v>
      </c>
      <c r="J246" s="267">
        <v>9.5</v>
      </c>
      <c r="X246" s="149"/>
      <c r="Z246" s="149"/>
    </row>
    <row r="247" spans="2:26" x14ac:dyDescent="0.25">
      <c r="B247" t="s">
        <v>201</v>
      </c>
      <c r="C247" s="149">
        <v>-2.8303275671696725E-2</v>
      </c>
      <c r="D247" s="149">
        <v>0.66785891352078763</v>
      </c>
      <c r="E247" s="184">
        <v>5.0700000000000002E-2</v>
      </c>
      <c r="F247" s="253">
        <v>7.5</v>
      </c>
      <c r="G247" s="101">
        <v>1985.995499313753</v>
      </c>
      <c r="H247" t="s">
        <v>465</v>
      </c>
      <c r="I247" s="184">
        <v>7.2900000000000006E-2</v>
      </c>
      <c r="J247" s="267">
        <v>8.5</v>
      </c>
      <c r="X247" s="149"/>
      <c r="Z247" s="149"/>
    </row>
    <row r="248" spans="2:26" x14ac:dyDescent="0.25">
      <c r="B248" t="s">
        <v>315</v>
      </c>
      <c r="C248" s="149">
        <v>4.6986254206050924E-2</v>
      </c>
      <c r="D248" s="149">
        <v>0.66220494217658765</v>
      </c>
      <c r="E248" s="184">
        <v>2.8500000000000001E-2</v>
      </c>
      <c r="F248" s="253">
        <v>6.5</v>
      </c>
      <c r="G248" s="101">
        <v>2822.6058138844323</v>
      </c>
      <c r="H248" t="s">
        <v>116</v>
      </c>
      <c r="I248" s="184">
        <v>4.4400000000000002E-2</v>
      </c>
      <c r="J248" s="267">
        <v>6</v>
      </c>
      <c r="X248" s="149"/>
      <c r="Z248" s="149"/>
    </row>
    <row r="249" spans="2:26" x14ac:dyDescent="0.25">
      <c r="B249" t="s">
        <v>133</v>
      </c>
      <c r="C249" s="149">
        <v>7.4058219178082196E-2</v>
      </c>
      <c r="D249" s="149">
        <v>0.54886386487029959</v>
      </c>
      <c r="E249" s="184">
        <v>2.0500000000000001E-2</v>
      </c>
      <c r="F249" s="253">
        <v>7</v>
      </c>
      <c r="G249" s="101">
        <v>5558.3953832421303</v>
      </c>
      <c r="H249" t="s">
        <v>439</v>
      </c>
      <c r="I249" s="184">
        <v>2.87E-2</v>
      </c>
      <c r="J249" s="267">
        <v>7.5</v>
      </c>
      <c r="X249" s="149"/>
      <c r="Z249" s="149"/>
    </row>
    <row r="250" spans="2:26" x14ac:dyDescent="0.25">
      <c r="B250" t="s">
        <v>335</v>
      </c>
      <c r="C250" s="149">
        <v>9.2977100338479085E-2</v>
      </c>
      <c r="D250" s="149">
        <v>0.58908227045897343</v>
      </c>
      <c r="E250" s="184">
        <v>3.4500000000000003E-2</v>
      </c>
      <c r="F250" s="253">
        <v>7.5</v>
      </c>
      <c r="G250" s="101">
        <v>2563.588087211835</v>
      </c>
      <c r="H250" t="s">
        <v>116</v>
      </c>
      <c r="I250" s="184">
        <v>3.4000000000000002E-2</v>
      </c>
      <c r="J250" s="267">
        <v>9</v>
      </c>
      <c r="X250" s="149"/>
      <c r="Z250" s="149"/>
    </row>
    <row r="251" spans="2:26" x14ac:dyDescent="0.25">
      <c r="B251" t="s">
        <v>441</v>
      </c>
      <c r="C251" s="149">
        <v>1.4311152324840431E-2</v>
      </c>
      <c r="D251" s="149">
        <v>0.7479049111930256</v>
      </c>
      <c r="E251" s="184">
        <v>4.3799999999999999E-2</v>
      </c>
      <c r="F251" s="253">
        <v>7</v>
      </c>
      <c r="G251" s="101">
        <v>3520.6484358226712</v>
      </c>
      <c r="H251" t="s">
        <v>439</v>
      </c>
      <c r="I251" s="184">
        <v>5.4800000000000001E-2</v>
      </c>
      <c r="J251" s="267">
        <v>6.5</v>
      </c>
      <c r="X251" s="149"/>
      <c r="Z251" s="149"/>
    </row>
    <row r="252" spans="2:26" x14ac:dyDescent="0.25">
      <c r="B252" t="s">
        <v>476</v>
      </c>
      <c r="C252" s="149">
        <v>9.561206147399498E-2</v>
      </c>
      <c r="D252" s="149">
        <v>0.57559445561989075</v>
      </c>
      <c r="E252" s="184">
        <v>3.8300000000000001E-2</v>
      </c>
      <c r="F252" s="253">
        <v>7</v>
      </c>
      <c r="G252" s="101">
        <v>3107.4341812419357</v>
      </c>
      <c r="H252" t="s">
        <v>439</v>
      </c>
      <c r="I252" s="184">
        <v>4.5999999999999999E-2</v>
      </c>
      <c r="J252" s="267">
        <v>8.5</v>
      </c>
      <c r="X252" s="149"/>
      <c r="Z252" s="149"/>
    </row>
    <row r="253" spans="2:26" x14ac:dyDescent="0.25">
      <c r="B253" t="s">
        <v>418</v>
      </c>
      <c r="C253" s="149">
        <v>3.9366751186528832E-2</v>
      </c>
      <c r="D253" s="149">
        <v>0.79557234746768246</v>
      </c>
      <c r="E253" s="184">
        <v>4.5199999999999997E-2</v>
      </c>
      <c r="F253" s="253">
        <v>8.5</v>
      </c>
      <c r="G253" s="101">
        <v>2224.7533133076713</v>
      </c>
      <c r="H253" t="s">
        <v>116</v>
      </c>
      <c r="I253" s="184">
        <v>6.3500000000000001E-2</v>
      </c>
      <c r="J253" s="267">
        <v>5.5</v>
      </c>
      <c r="X253" s="149"/>
      <c r="Z253" s="149"/>
    </row>
    <row r="254" spans="2:26" x14ac:dyDescent="0.25">
      <c r="B254" t="s">
        <v>385</v>
      </c>
      <c r="C254" s="149">
        <v>6.7364541475774878E-2</v>
      </c>
      <c r="D254" s="149">
        <v>0.67792157713349244</v>
      </c>
      <c r="E254" s="184">
        <v>3.7600000000000001E-2</v>
      </c>
      <c r="F254" s="253">
        <v>10</v>
      </c>
      <c r="G254" s="101">
        <v>1847.4946026489279</v>
      </c>
      <c r="H254" t="s">
        <v>465</v>
      </c>
      <c r="I254" s="184">
        <v>5.67E-2</v>
      </c>
      <c r="J254" s="267">
        <v>9</v>
      </c>
      <c r="X254" s="149"/>
      <c r="Z254" s="149"/>
    </row>
    <row r="255" spans="2:26" x14ac:dyDescent="0.25">
      <c r="B255" t="s">
        <v>419</v>
      </c>
      <c r="C255" s="149">
        <v>6.720177243839201E-2</v>
      </c>
      <c r="D255" s="149">
        <v>0.67910165688230539</v>
      </c>
      <c r="E255" s="184">
        <v>2.8899999999999999E-2</v>
      </c>
      <c r="F255" s="253">
        <v>6</v>
      </c>
      <c r="G255" s="101">
        <v>3087.9968009614076</v>
      </c>
      <c r="H255" t="s">
        <v>439</v>
      </c>
      <c r="I255" s="184">
        <v>4.2999999999999997E-2</v>
      </c>
      <c r="J255" s="267">
        <v>8</v>
      </c>
      <c r="X255" s="149"/>
      <c r="Z255" s="149"/>
    </row>
    <row r="256" spans="2:26" x14ac:dyDescent="0.25">
      <c r="B256" t="s">
        <v>316</v>
      </c>
      <c r="C256" s="149">
        <v>6.3119451623777953E-2</v>
      </c>
      <c r="D256" s="149">
        <v>0.74523736533239904</v>
      </c>
      <c r="E256" s="184">
        <v>4.4499999999999998E-2</v>
      </c>
      <c r="F256" s="253">
        <v>8</v>
      </c>
      <c r="G256" s="101">
        <v>2538.9751896103712</v>
      </c>
      <c r="H256" t="s">
        <v>116</v>
      </c>
      <c r="I256" s="184">
        <v>6.8000000000000005E-2</v>
      </c>
      <c r="J256" s="267">
        <v>7</v>
      </c>
      <c r="X256" s="149"/>
      <c r="Z256" s="149"/>
    </row>
    <row r="257" spans="2:26" x14ac:dyDescent="0.25">
      <c r="B257" t="s">
        <v>336</v>
      </c>
      <c r="C257" s="149">
        <v>0.15004134997834048</v>
      </c>
      <c r="D257" s="149">
        <v>0.57356198989506413</v>
      </c>
      <c r="E257" s="184">
        <v>4.7999999999999996E-3</v>
      </c>
      <c r="F257" s="253">
        <v>9.5</v>
      </c>
      <c r="G257" s="101">
        <v>2508.6469759986617</v>
      </c>
      <c r="H257" t="s">
        <v>116</v>
      </c>
      <c r="I257" s="184">
        <v>3.49E-2</v>
      </c>
      <c r="J257" s="267">
        <v>7</v>
      </c>
      <c r="X257" s="149"/>
      <c r="Z257" s="149"/>
    </row>
    <row r="258" spans="2:26" x14ac:dyDescent="0.25">
      <c r="B258" t="s">
        <v>134</v>
      </c>
      <c r="C258" s="149">
        <v>-1.3629950619772246E-2</v>
      </c>
      <c r="D258" s="149">
        <v>0.77398363310139595</v>
      </c>
      <c r="E258" s="184">
        <v>4.7E-2</v>
      </c>
      <c r="F258" s="253">
        <v>7</v>
      </c>
      <c r="G258" s="101">
        <v>2842.4853999543889</v>
      </c>
      <c r="H258" t="s">
        <v>439</v>
      </c>
      <c r="I258" s="184">
        <v>5.7000000000000002E-2</v>
      </c>
      <c r="J258" s="267">
        <v>5</v>
      </c>
      <c r="X258" s="149"/>
      <c r="Z258" s="149"/>
    </row>
    <row r="259" spans="2:26" x14ac:dyDescent="0.25">
      <c r="B259" t="s">
        <v>227</v>
      </c>
      <c r="C259" s="149">
        <v>6.685611401548841E-2</v>
      </c>
      <c r="D259" s="149">
        <v>0.66418125809547457</v>
      </c>
      <c r="E259" s="184">
        <v>4.4299999999999999E-2</v>
      </c>
      <c r="F259" s="253">
        <v>8.5</v>
      </c>
      <c r="G259" s="101">
        <v>2161.2656471856185</v>
      </c>
      <c r="H259" t="s">
        <v>116</v>
      </c>
      <c r="I259" s="184">
        <v>5.6500000000000002E-2</v>
      </c>
      <c r="J259" s="267">
        <v>7</v>
      </c>
      <c r="X259" s="149"/>
      <c r="Z259" s="149"/>
    </row>
    <row r="260" spans="2:26" x14ac:dyDescent="0.25">
      <c r="B260" t="s">
        <v>386</v>
      </c>
      <c r="C260" s="149">
        <v>4.0302911429107469E-2</v>
      </c>
      <c r="D260" s="149">
        <v>0.6741530524505589</v>
      </c>
      <c r="E260" s="184">
        <v>5.2299999999999999E-2</v>
      </c>
      <c r="F260" s="253">
        <v>8</v>
      </c>
      <c r="G260" s="101">
        <v>2123.1681202055065</v>
      </c>
      <c r="H260" t="s">
        <v>465</v>
      </c>
      <c r="I260" s="184">
        <v>6.9699999999999998E-2</v>
      </c>
      <c r="J260" s="267">
        <v>7</v>
      </c>
      <c r="X260" s="149"/>
      <c r="Z260" s="149"/>
    </row>
    <row r="261" spans="2:26" x14ac:dyDescent="0.25">
      <c r="B261" t="s">
        <v>387</v>
      </c>
      <c r="C261" s="149">
        <v>-4.8877904539135424E-2</v>
      </c>
      <c r="D261" s="149">
        <v>0.67658185748732025</v>
      </c>
      <c r="E261" s="184">
        <v>4.2900000000000001E-2</v>
      </c>
      <c r="F261" s="253">
        <v>7</v>
      </c>
      <c r="G261" s="101">
        <v>1830.0918077739773</v>
      </c>
      <c r="H261" t="s">
        <v>465</v>
      </c>
      <c r="I261" s="184">
        <v>5.4899999999999997E-2</v>
      </c>
      <c r="J261" s="267">
        <v>6</v>
      </c>
      <c r="X261" s="149"/>
      <c r="Z261" s="149"/>
    </row>
    <row r="262" spans="2:26" x14ac:dyDescent="0.25">
      <c r="B262" t="s">
        <v>123</v>
      </c>
      <c r="C262" s="149">
        <v>4.6966866311335786E-2</v>
      </c>
      <c r="D262" s="149">
        <v>0.82256707618074243</v>
      </c>
      <c r="E262" s="184">
        <v>4.3799999999999999E-2</v>
      </c>
      <c r="F262" s="253">
        <v>8</v>
      </c>
      <c r="G262" s="101">
        <v>2900.0014660089691</v>
      </c>
      <c r="H262" t="s">
        <v>439</v>
      </c>
      <c r="I262" s="184">
        <v>6.5000000000000002E-2</v>
      </c>
      <c r="J262" s="267">
        <v>5.5</v>
      </c>
      <c r="X262" s="149"/>
      <c r="Z262" s="149"/>
    </row>
    <row r="263" spans="2:26" x14ac:dyDescent="0.25">
      <c r="B263" t="s">
        <v>156</v>
      </c>
      <c r="C263" s="149">
        <v>0.11765683883839503</v>
      </c>
      <c r="D263" s="149">
        <v>0.70684573122874339</v>
      </c>
      <c r="E263" s="184">
        <v>5.9700000000000003E-2</v>
      </c>
      <c r="F263" s="253">
        <v>6</v>
      </c>
      <c r="G263" s="101">
        <v>2318.5581426620074</v>
      </c>
      <c r="H263" t="s">
        <v>465</v>
      </c>
      <c r="I263" s="184">
        <v>7.9600000000000004E-2</v>
      </c>
      <c r="J263" s="267">
        <v>8</v>
      </c>
      <c r="X263" s="149"/>
      <c r="Z263" s="149"/>
    </row>
    <row r="264" spans="2:26" x14ac:dyDescent="0.25">
      <c r="B264" t="s">
        <v>270</v>
      </c>
      <c r="C264" s="149">
        <v>6.4180704441041347E-2</v>
      </c>
      <c r="D264" s="149">
        <v>0.75257121154576534</v>
      </c>
      <c r="E264" s="184">
        <v>4.3900000000000002E-2</v>
      </c>
      <c r="F264" s="253">
        <v>6.5</v>
      </c>
      <c r="G264" s="101">
        <v>2243.8737123090009</v>
      </c>
      <c r="H264" t="s">
        <v>116</v>
      </c>
      <c r="I264" s="184">
        <v>6.3899999999999998E-2</v>
      </c>
      <c r="J264" s="267">
        <v>7</v>
      </c>
      <c r="X264" s="149"/>
      <c r="Z264" s="149"/>
    </row>
    <row r="265" spans="2:26" x14ac:dyDescent="0.25">
      <c r="B265" t="s">
        <v>388</v>
      </c>
      <c r="C265" s="149">
        <v>-2.7061402321868318E-4</v>
      </c>
      <c r="D265" s="149">
        <v>0.76544670098520184</v>
      </c>
      <c r="E265" s="184">
        <v>4.87E-2</v>
      </c>
      <c r="F265" s="253">
        <v>7</v>
      </c>
      <c r="G265" s="101">
        <v>2127.9660305896932</v>
      </c>
      <c r="H265" t="s">
        <v>116</v>
      </c>
      <c r="I265" s="184">
        <v>5.79E-2</v>
      </c>
      <c r="J265" s="267">
        <v>6</v>
      </c>
      <c r="X265" s="149"/>
      <c r="Z265" s="149"/>
    </row>
    <row r="266" spans="2:26" x14ac:dyDescent="0.25">
      <c r="B266" t="s">
        <v>157</v>
      </c>
      <c r="C266" s="149">
        <v>3.3022222501935268E-2</v>
      </c>
      <c r="D266" s="149">
        <v>0.77963505029630165</v>
      </c>
      <c r="E266" s="184">
        <v>4.1200000000000001E-2</v>
      </c>
      <c r="F266" s="253">
        <v>8</v>
      </c>
      <c r="G266" s="101">
        <v>2405.7624994431462</v>
      </c>
      <c r="H266" t="s">
        <v>116</v>
      </c>
      <c r="I266" s="184">
        <v>5.6800000000000003E-2</v>
      </c>
      <c r="J266" s="267">
        <v>7.5</v>
      </c>
      <c r="X266" s="149"/>
      <c r="Z266" s="149"/>
    </row>
    <row r="267" spans="2:26" x14ac:dyDescent="0.25">
      <c r="B267" t="s">
        <v>727</v>
      </c>
      <c r="C267" s="149">
        <v>4.6770428015564205E-2</v>
      </c>
      <c r="D267" s="149">
        <v>0.70729287447553701</v>
      </c>
      <c r="E267" s="184">
        <v>3.5900000000000001E-2</v>
      </c>
      <c r="F267" s="253">
        <v>8.5</v>
      </c>
      <c r="G267" s="101">
        <v>2064.7463338863226</v>
      </c>
      <c r="H267" t="s">
        <v>116</v>
      </c>
      <c r="I267" s="184">
        <v>5.8999999999999997E-2</v>
      </c>
      <c r="J267" s="267">
        <v>7.5</v>
      </c>
      <c r="X267" s="149"/>
      <c r="Z267" s="149"/>
    </row>
    <row r="268" spans="2:26" x14ac:dyDescent="0.25">
      <c r="B268" t="s">
        <v>228</v>
      </c>
      <c r="C268" s="149">
        <v>3.8147949770874247E-3</v>
      </c>
      <c r="D268" s="149">
        <v>0.7095114097718046</v>
      </c>
      <c r="E268" s="184">
        <v>3.95E-2</v>
      </c>
      <c r="F268" s="253">
        <v>8</v>
      </c>
      <c r="G268" s="101">
        <v>1857.4634405590714</v>
      </c>
      <c r="H268" t="s">
        <v>465</v>
      </c>
      <c r="I268" s="184">
        <v>5.16E-2</v>
      </c>
      <c r="J268" s="267">
        <v>5.5</v>
      </c>
      <c r="X268" s="149"/>
      <c r="Z268" s="149"/>
    </row>
    <row r="269" spans="2:26" x14ac:dyDescent="0.25">
      <c r="B269" t="s">
        <v>438</v>
      </c>
      <c r="C269" s="149">
        <v>2.851744718685326E-2</v>
      </c>
      <c r="D269" s="149">
        <v>0.78002971658725873</v>
      </c>
      <c r="E269" s="184">
        <v>3.5200000000000002E-2</v>
      </c>
      <c r="F269" s="253">
        <v>8</v>
      </c>
      <c r="G269" s="101">
        <v>2446.3597678309957</v>
      </c>
      <c r="H269" t="s">
        <v>116</v>
      </c>
      <c r="I269" s="184">
        <v>5.3199999999999997E-2</v>
      </c>
      <c r="J269" s="267">
        <v>8</v>
      </c>
      <c r="X269" s="149"/>
      <c r="Z269" s="149"/>
    </row>
    <row r="270" spans="2:26" x14ac:dyDescent="0.25">
      <c r="B270" t="s">
        <v>337</v>
      </c>
      <c r="C270" s="149">
        <v>0.12785507508164148</v>
      </c>
      <c r="D270" s="149">
        <v>0.67112418849289623</v>
      </c>
      <c r="E270" s="184">
        <v>2.4500000000000001E-2</v>
      </c>
      <c r="F270" s="253">
        <v>7.5</v>
      </c>
      <c r="G270" s="101">
        <v>2602.3732224361752</v>
      </c>
      <c r="H270" t="s">
        <v>116</v>
      </c>
      <c r="I270" s="184">
        <v>3.6999999999999998E-2</v>
      </c>
      <c r="J270" s="267">
        <v>8</v>
      </c>
      <c r="X270" s="149"/>
      <c r="Z270" s="149"/>
    </row>
    <row r="271" spans="2:26" x14ac:dyDescent="0.25">
      <c r="B271" t="s">
        <v>135</v>
      </c>
      <c r="C271" s="149">
        <v>3.1190209739720587E-2</v>
      </c>
      <c r="D271" s="149">
        <v>0.55908337000304642</v>
      </c>
      <c r="E271" s="184">
        <v>2.9600000000000001E-2</v>
      </c>
      <c r="F271" s="253">
        <v>5.5</v>
      </c>
      <c r="G271" s="101">
        <v>3443.6840086881757</v>
      </c>
      <c r="H271" t="s">
        <v>439</v>
      </c>
      <c r="I271" s="184">
        <v>4.1399999999999999E-2</v>
      </c>
      <c r="J271" s="267">
        <v>7.5</v>
      </c>
      <c r="X271" s="149"/>
      <c r="Z271" s="149"/>
    </row>
    <row r="272" spans="2:26" x14ac:dyDescent="0.25">
      <c r="B272" t="s">
        <v>271</v>
      </c>
      <c r="C272" s="149">
        <v>5.9551220628405531E-2</v>
      </c>
      <c r="D272" s="149">
        <v>0.56050631396253514</v>
      </c>
      <c r="E272" s="184">
        <v>2.7099999999999999E-2</v>
      </c>
      <c r="F272" s="253">
        <v>7</v>
      </c>
      <c r="G272" s="101">
        <v>2674.5716012316079</v>
      </c>
      <c r="H272" t="s">
        <v>439</v>
      </c>
      <c r="I272" s="184">
        <v>3.4700000000000002E-2</v>
      </c>
      <c r="J272" s="267">
        <v>8</v>
      </c>
      <c r="X272" s="149"/>
      <c r="Z272" s="149"/>
    </row>
    <row r="273" spans="2:26" x14ac:dyDescent="0.25">
      <c r="B273" t="s">
        <v>317</v>
      </c>
      <c r="C273" s="149">
        <v>3.668532146476887E-3</v>
      </c>
      <c r="D273" s="149">
        <v>0.72361572217043868</v>
      </c>
      <c r="E273" s="184">
        <v>4.58E-2</v>
      </c>
      <c r="F273" s="253">
        <v>8</v>
      </c>
      <c r="G273" s="101">
        <v>1831.5096159666946</v>
      </c>
      <c r="H273" t="s">
        <v>465</v>
      </c>
      <c r="I273" s="184">
        <v>5.8599999999999999E-2</v>
      </c>
      <c r="J273" s="267">
        <v>6.5</v>
      </c>
      <c r="X273" s="149"/>
      <c r="Z273" s="149"/>
    </row>
    <row r="274" spans="2:26" x14ac:dyDescent="0.25">
      <c r="B274" t="s">
        <v>338</v>
      </c>
      <c r="C274" s="149">
        <v>0.20635317658829413</v>
      </c>
      <c r="D274" s="149">
        <v>0.73663282571912014</v>
      </c>
      <c r="E274" s="184">
        <v>4.6399999999999997E-2</v>
      </c>
      <c r="F274" s="253">
        <v>7.5</v>
      </c>
      <c r="G274" s="101">
        <v>2186.1814592296332</v>
      </c>
      <c r="H274" t="s">
        <v>465</v>
      </c>
      <c r="I274" s="184">
        <v>6.8000000000000005E-2</v>
      </c>
      <c r="J274" s="267">
        <v>8</v>
      </c>
      <c r="X274" s="149"/>
      <c r="Z274" s="149"/>
    </row>
    <row r="275" spans="2:26" x14ac:dyDescent="0.25">
      <c r="B275" t="s">
        <v>202</v>
      </c>
      <c r="C275" s="149">
        <v>6.6431057046878669E-2</v>
      </c>
      <c r="D275" s="149">
        <v>0.78272297488004516</v>
      </c>
      <c r="E275" s="184">
        <v>3.2800000000000003E-2</v>
      </c>
      <c r="F275" s="253">
        <v>8.5</v>
      </c>
      <c r="G275" s="101">
        <v>2701.5844163185725</v>
      </c>
      <c r="H275" t="s">
        <v>439</v>
      </c>
      <c r="I275" s="184">
        <v>4.8599999999999997E-2</v>
      </c>
      <c r="J275" s="267">
        <v>7.5</v>
      </c>
      <c r="X275" s="149"/>
      <c r="Z275" s="149"/>
    </row>
    <row r="276" spans="2:26" x14ac:dyDescent="0.25">
      <c r="B276" t="s">
        <v>389</v>
      </c>
      <c r="C276" s="149">
        <v>3.5933265515350442E-2</v>
      </c>
      <c r="D276" s="149">
        <v>0.74965083115877107</v>
      </c>
      <c r="E276" s="184">
        <v>4.9200000000000001E-2</v>
      </c>
      <c r="F276" s="253">
        <v>8</v>
      </c>
      <c r="G276" s="101">
        <v>2846.8001547961308</v>
      </c>
      <c r="H276" t="s">
        <v>439</v>
      </c>
      <c r="I276" s="184">
        <v>6.1400000000000003E-2</v>
      </c>
      <c r="J276" s="267">
        <v>7.5</v>
      </c>
      <c r="X276" s="149"/>
      <c r="Z276" s="149"/>
    </row>
    <row r="277" spans="2:26" x14ac:dyDescent="0.25">
      <c r="B277" t="s">
        <v>158</v>
      </c>
      <c r="C277" s="149">
        <v>1.862184029708832E-2</v>
      </c>
      <c r="D277" s="149">
        <v>0.71197172992753099</v>
      </c>
      <c r="E277" s="184">
        <v>6.5600000000000006E-2</v>
      </c>
      <c r="F277" s="253">
        <v>7.5</v>
      </c>
      <c r="G277" s="101">
        <v>2152.8298028849304</v>
      </c>
      <c r="H277" t="s">
        <v>465</v>
      </c>
      <c r="I277" s="184">
        <v>7.3400000000000007E-2</v>
      </c>
      <c r="J277" s="267">
        <v>6.5</v>
      </c>
      <c r="X277" s="149"/>
      <c r="Z277" s="149"/>
    </row>
    <row r="278" spans="2:26" x14ac:dyDescent="0.25">
      <c r="B278" t="s">
        <v>159</v>
      </c>
      <c r="C278" s="149">
        <v>8.8230595836069653E-2</v>
      </c>
      <c r="D278" s="149">
        <v>0.72961369511379459</v>
      </c>
      <c r="E278" s="184">
        <v>4.82E-2</v>
      </c>
      <c r="F278" s="253">
        <v>8</v>
      </c>
      <c r="G278" s="101">
        <v>2362.9752423740374</v>
      </c>
      <c r="H278" t="s">
        <v>116</v>
      </c>
      <c r="I278" s="184">
        <v>5.1799999999999999E-2</v>
      </c>
      <c r="J278" s="267">
        <v>7</v>
      </c>
      <c r="X278" s="149"/>
      <c r="Z278" s="149"/>
    </row>
    <row r="279" spans="2:26" x14ac:dyDescent="0.25">
      <c r="B279" t="s">
        <v>113</v>
      </c>
      <c r="C279" s="149">
        <v>0.1115878107457899</v>
      </c>
      <c r="D279" s="149">
        <v>0.71852121464226293</v>
      </c>
      <c r="E279" s="184">
        <v>4.5999999999999999E-2</v>
      </c>
      <c r="F279" s="253">
        <v>8.5</v>
      </c>
      <c r="G279" s="101">
        <v>1997.7558957651386</v>
      </c>
      <c r="H279" t="s">
        <v>465</v>
      </c>
      <c r="I279" s="184">
        <v>6.7299999999999999E-2</v>
      </c>
      <c r="J279" s="267">
        <v>8</v>
      </c>
      <c r="X279" s="149"/>
      <c r="Z279" s="149"/>
    </row>
    <row r="280" spans="2:26" x14ac:dyDescent="0.25">
      <c r="B280" t="s">
        <v>136</v>
      </c>
      <c r="C280" s="149">
        <v>8.2626995364354014E-2</v>
      </c>
      <c r="D280" s="149">
        <v>0.80110778443113773</v>
      </c>
      <c r="E280" s="184">
        <v>4.7600000000000003E-2</v>
      </c>
      <c r="F280" s="253">
        <v>6</v>
      </c>
      <c r="G280" s="101">
        <v>2320.5699264008495</v>
      </c>
      <c r="H280" t="s">
        <v>116</v>
      </c>
      <c r="I280" s="184">
        <v>5.9700000000000003E-2</v>
      </c>
      <c r="J280" s="267">
        <v>6</v>
      </c>
      <c r="X280" s="149"/>
      <c r="Z280" s="149"/>
    </row>
    <row r="281" spans="2:26" x14ac:dyDescent="0.25">
      <c r="B281" t="s">
        <v>272</v>
      </c>
      <c r="C281" s="149">
        <v>5.3390717692218218E-2</v>
      </c>
      <c r="D281" s="149">
        <v>0.71665951315224719</v>
      </c>
      <c r="E281" s="184">
        <v>3.9300000000000002E-2</v>
      </c>
      <c r="F281" s="253">
        <v>7.5</v>
      </c>
      <c r="G281" s="101">
        <v>1777.9627377431964</v>
      </c>
      <c r="H281" t="s">
        <v>465</v>
      </c>
      <c r="I281" s="184">
        <v>5.5399999999999998E-2</v>
      </c>
      <c r="J281" s="267">
        <v>6</v>
      </c>
      <c r="X281" s="149"/>
      <c r="Z281" s="149"/>
    </row>
    <row r="282" spans="2:26" x14ac:dyDescent="0.25">
      <c r="B282" t="s">
        <v>273</v>
      </c>
      <c r="C282" s="149">
        <v>2.9806505641748943E-2</v>
      </c>
      <c r="D282" s="149">
        <v>0.73013636813894367</v>
      </c>
      <c r="E282" s="184">
        <v>4.2099999999999999E-2</v>
      </c>
      <c r="F282" s="253">
        <v>8</v>
      </c>
      <c r="G282" s="101">
        <v>2087.3465148649238</v>
      </c>
      <c r="H282" t="s">
        <v>465</v>
      </c>
      <c r="I282" s="184">
        <v>4.8599999999999997E-2</v>
      </c>
      <c r="J282" s="267">
        <v>9</v>
      </c>
      <c r="X282" s="149"/>
      <c r="Z282" s="149"/>
    </row>
    <row r="283" spans="2:26" x14ac:dyDescent="0.25">
      <c r="B283" t="s">
        <v>431</v>
      </c>
      <c r="C283" s="149">
        <v>1.8704419785119594E-2</v>
      </c>
      <c r="D283" s="149">
        <v>0.51455994990124765</v>
      </c>
      <c r="E283" s="184">
        <v>3.8399999999999997E-2</v>
      </c>
      <c r="F283" s="253">
        <v>6</v>
      </c>
      <c r="G283" s="101">
        <v>2393.2178633191834</v>
      </c>
      <c r="H283" t="s">
        <v>465</v>
      </c>
      <c r="I283" s="184">
        <v>5.2200000000000003E-2</v>
      </c>
      <c r="J283" s="267">
        <v>4.5</v>
      </c>
      <c r="X283" s="149"/>
      <c r="Z283" s="149"/>
    </row>
    <row r="284" spans="2:26" x14ac:dyDescent="0.25">
      <c r="B284" t="s">
        <v>728</v>
      </c>
      <c r="C284" s="149">
        <v>-1.2399616520977709E-2</v>
      </c>
      <c r="D284" s="149">
        <v>0.64049919361658125</v>
      </c>
      <c r="E284" s="184">
        <v>4.19E-2</v>
      </c>
      <c r="F284" s="253">
        <v>6</v>
      </c>
      <c r="G284" s="101">
        <v>2932.2593899685326</v>
      </c>
      <c r="H284" t="s">
        <v>439</v>
      </c>
      <c r="I284" s="184">
        <v>5.0099999999999999E-2</v>
      </c>
      <c r="J284" s="267">
        <v>6</v>
      </c>
      <c r="X284" s="149"/>
      <c r="Z284" s="149"/>
    </row>
    <row r="285" spans="2:26" x14ac:dyDescent="0.25">
      <c r="B285" t="s">
        <v>230</v>
      </c>
      <c r="C285" s="149">
        <v>0.10931956347576698</v>
      </c>
      <c r="D285" s="149">
        <v>0.6765821765596316</v>
      </c>
      <c r="E285" s="184">
        <v>3.3099999999999997E-2</v>
      </c>
      <c r="F285" s="253">
        <v>9</v>
      </c>
      <c r="G285" s="101">
        <v>1939.6494405928352</v>
      </c>
      <c r="H285" t="s">
        <v>465</v>
      </c>
      <c r="I285" s="184">
        <v>5.1799999999999999E-2</v>
      </c>
      <c r="J285" s="267">
        <v>9</v>
      </c>
      <c r="X285" s="149"/>
      <c r="Z285" s="149"/>
    </row>
    <row r="286" spans="2:26" x14ac:dyDescent="0.25">
      <c r="B286" t="s">
        <v>421</v>
      </c>
      <c r="C286" s="149">
        <v>0.11410842431849939</v>
      </c>
      <c r="D286" s="149">
        <v>0.75458787688290341</v>
      </c>
      <c r="E286" s="184">
        <v>3.2599999999999997E-2</v>
      </c>
      <c r="F286" s="253">
        <v>7</v>
      </c>
      <c r="G286" s="101">
        <v>2382.1872004746383</v>
      </c>
      <c r="H286" t="s">
        <v>439</v>
      </c>
      <c r="I286" s="184">
        <v>4.5100000000000001E-2</v>
      </c>
      <c r="J286" s="267">
        <v>7</v>
      </c>
      <c r="X286" s="149"/>
      <c r="Z286" s="149"/>
    </row>
    <row r="287" spans="2:26" x14ac:dyDescent="0.25">
      <c r="B287" t="s">
        <v>422</v>
      </c>
      <c r="C287" s="149">
        <v>0.22715678531197803</v>
      </c>
      <c r="D287" s="149">
        <v>0.64460672447892897</v>
      </c>
      <c r="E287" s="184">
        <v>2.6200000000000001E-2</v>
      </c>
      <c r="F287" s="253">
        <v>8</v>
      </c>
      <c r="G287" s="101">
        <v>2383.9133227825027</v>
      </c>
      <c r="H287" t="s">
        <v>116</v>
      </c>
      <c r="I287" s="184">
        <v>4.6300000000000001E-2</v>
      </c>
      <c r="J287" s="267">
        <v>7</v>
      </c>
      <c r="X287" s="149"/>
      <c r="Z287" s="149"/>
    </row>
    <row r="288" spans="2:26" x14ac:dyDescent="0.25">
      <c r="B288" t="s">
        <v>391</v>
      </c>
      <c r="C288" s="149">
        <v>5.2133416483936511E-2</v>
      </c>
      <c r="D288" s="149">
        <v>0.72508218913169598</v>
      </c>
      <c r="E288" s="184">
        <v>3.4299999999999997E-2</v>
      </c>
      <c r="F288" s="253">
        <v>9.5</v>
      </c>
      <c r="G288" s="101">
        <v>2266.2354375458112</v>
      </c>
      <c r="H288" t="s">
        <v>116</v>
      </c>
      <c r="I288" s="184">
        <v>5.0500000000000003E-2</v>
      </c>
      <c r="J288" s="267">
        <v>8</v>
      </c>
      <c r="X288" s="149"/>
      <c r="Z288" s="149"/>
    </row>
    <row r="289" spans="2:26" x14ac:dyDescent="0.25">
      <c r="B289" t="s">
        <v>124</v>
      </c>
      <c r="C289" s="149">
        <v>8.4339458899834047E-2</v>
      </c>
      <c r="D289" s="149">
        <v>0.74746059544658494</v>
      </c>
      <c r="E289" s="184">
        <v>4.2099999999999999E-2</v>
      </c>
      <c r="F289" s="253">
        <v>6.5</v>
      </c>
      <c r="G289" s="101">
        <v>3250.005626727745</v>
      </c>
      <c r="H289" t="s">
        <v>439</v>
      </c>
      <c r="I289" s="184">
        <v>5.7000000000000002E-2</v>
      </c>
      <c r="J289" s="267">
        <v>8.5</v>
      </c>
      <c r="X289" s="149"/>
      <c r="Z289" s="149"/>
    </row>
    <row r="290" spans="2:26" x14ac:dyDescent="0.25">
      <c r="B290" t="s">
        <v>231</v>
      </c>
      <c r="C290" s="149">
        <v>7.0200890686684433E-2</v>
      </c>
      <c r="D290" s="149">
        <v>0.72611155953219186</v>
      </c>
      <c r="E290" s="184">
        <v>3.6299999999999999E-2</v>
      </c>
      <c r="F290" s="253">
        <v>7.5</v>
      </c>
      <c r="G290" s="101">
        <v>2399.5626561238928</v>
      </c>
      <c r="H290" t="s">
        <v>439</v>
      </c>
      <c r="I290" s="184">
        <v>5.3400000000000003E-2</v>
      </c>
      <c r="J290" s="267">
        <v>8</v>
      </c>
      <c r="X290" s="149"/>
      <c r="Z290" s="149"/>
    </row>
    <row r="291" spans="2:26" x14ac:dyDescent="0.25">
      <c r="B291" t="s">
        <v>339</v>
      </c>
      <c r="C291" s="149">
        <v>0.14000990771995714</v>
      </c>
      <c r="D291" s="149">
        <v>0.46050818309169389</v>
      </c>
      <c r="E291" s="184">
        <v>2.8500000000000001E-2</v>
      </c>
      <c r="F291" s="253">
        <v>10</v>
      </c>
      <c r="G291" s="101">
        <v>1994.447822834921</v>
      </c>
      <c r="H291" t="s">
        <v>465</v>
      </c>
      <c r="I291" s="184">
        <v>4.3400000000000001E-2</v>
      </c>
      <c r="J291" s="267">
        <v>8</v>
      </c>
      <c r="X291" s="149"/>
      <c r="Z291" s="149"/>
    </row>
    <row r="292" spans="2:26" x14ac:dyDescent="0.25">
      <c r="B292" t="s">
        <v>392</v>
      </c>
      <c r="C292" s="149">
        <v>4.7189087158730471E-2</v>
      </c>
      <c r="D292" s="149">
        <v>0.57271834414098954</v>
      </c>
      <c r="E292" s="184">
        <v>3.4200000000000001E-2</v>
      </c>
      <c r="F292" s="253">
        <v>10</v>
      </c>
      <c r="G292" s="101">
        <v>2181.9713027087146</v>
      </c>
      <c r="H292" t="s">
        <v>465</v>
      </c>
      <c r="I292" s="184">
        <v>4.5499999999999999E-2</v>
      </c>
      <c r="J292" s="267">
        <v>7.5</v>
      </c>
      <c r="X292" s="149"/>
      <c r="Z292" s="149"/>
    </row>
    <row r="293" spans="2:26" x14ac:dyDescent="0.25">
      <c r="B293" t="s">
        <v>274</v>
      </c>
      <c r="C293" s="149">
        <v>6.7100506767647672E-2</v>
      </c>
      <c r="D293" s="149">
        <v>0.70152264360555039</v>
      </c>
      <c r="E293" s="184">
        <v>3.9399999999999998E-2</v>
      </c>
      <c r="F293" s="253">
        <v>7</v>
      </c>
      <c r="G293" s="101">
        <v>2447.8678203975569</v>
      </c>
      <c r="H293" t="s">
        <v>116</v>
      </c>
      <c r="I293" s="184">
        <v>5.4899999999999997E-2</v>
      </c>
      <c r="J293" s="267">
        <v>6</v>
      </c>
      <c r="X293" s="149"/>
      <c r="Z293" s="149"/>
    </row>
    <row r="294" spans="2:26" x14ac:dyDescent="0.25">
      <c r="B294" t="s">
        <v>423</v>
      </c>
      <c r="C294" s="149">
        <v>6.8410989809379957E-2</v>
      </c>
      <c r="D294" s="149">
        <v>0.6878007093262124</v>
      </c>
      <c r="E294" s="184">
        <v>5.1900000000000002E-2</v>
      </c>
      <c r="F294" s="253">
        <v>6</v>
      </c>
      <c r="G294" s="101">
        <v>2999.0188351758534</v>
      </c>
      <c r="H294" t="s">
        <v>439</v>
      </c>
      <c r="I294" s="184">
        <v>7.1099999999999997E-2</v>
      </c>
      <c r="J294" s="267">
        <v>7</v>
      </c>
      <c r="X294" s="149"/>
      <c r="Z294" s="149"/>
    </row>
    <row r="295" spans="2:26" x14ac:dyDescent="0.25">
      <c r="B295" t="s">
        <v>424</v>
      </c>
      <c r="C295" s="149">
        <v>0.10318953006332203</v>
      </c>
      <c r="D295" s="149">
        <v>0.75005987872981461</v>
      </c>
      <c r="E295" s="184">
        <v>5.1900000000000002E-2</v>
      </c>
      <c r="F295" s="253">
        <v>6.5</v>
      </c>
      <c r="G295" s="101">
        <v>2583.0791645387549</v>
      </c>
      <c r="H295" t="s">
        <v>439</v>
      </c>
      <c r="I295" s="184">
        <v>5.5399999999999998E-2</v>
      </c>
      <c r="J295" s="267">
        <v>5</v>
      </c>
      <c r="X295" s="149"/>
      <c r="Z295" s="149"/>
    </row>
    <row r="296" spans="2:26" x14ac:dyDescent="0.25">
      <c r="B296" t="s">
        <v>598</v>
      </c>
      <c r="C296" s="149">
        <v>1.4103331226967449E-2</v>
      </c>
      <c r="D296" s="149">
        <v>0</v>
      </c>
      <c r="E296" s="184">
        <v>4.4200000000000003E-2</v>
      </c>
      <c r="F296" s="253">
        <v>7</v>
      </c>
      <c r="G296" s="101">
        <v>1717.1047458652961</v>
      </c>
      <c r="H296" t="s">
        <v>116</v>
      </c>
      <c r="I296" s="184">
        <v>4.1000000000000002E-2</v>
      </c>
      <c r="J296" s="267">
        <v>8.5</v>
      </c>
      <c r="X296" s="149"/>
      <c r="Z296" s="149"/>
    </row>
    <row r="297" spans="2:26" x14ac:dyDescent="0.25">
      <c r="B297" t="s">
        <v>318</v>
      </c>
      <c r="C297" s="149">
        <v>7.211377352404158E-2</v>
      </c>
      <c r="D297" s="149">
        <v>0.7003837535223002</v>
      </c>
      <c r="E297" s="184">
        <v>4.4200000000000003E-2</v>
      </c>
      <c r="F297" s="253">
        <v>6</v>
      </c>
      <c r="G297" s="101">
        <v>3212.1037589686734</v>
      </c>
      <c r="H297" t="s">
        <v>116</v>
      </c>
      <c r="I297" s="184">
        <v>6.54E-2</v>
      </c>
      <c r="J297" s="267">
        <v>5.5</v>
      </c>
      <c r="X297" s="149"/>
      <c r="Z297" s="149"/>
    </row>
    <row r="298" spans="2:26" x14ac:dyDescent="0.25">
      <c r="B298" t="s">
        <v>137</v>
      </c>
      <c r="C298" s="149">
        <v>-0.24619470834610277</v>
      </c>
      <c r="D298" s="149">
        <v>0.4678396871945259</v>
      </c>
      <c r="E298" s="184">
        <v>7.4000000000000003E-3</v>
      </c>
      <c r="F298" s="253">
        <v>3.5</v>
      </c>
      <c r="G298" s="101">
        <v>4915.2612513710956</v>
      </c>
      <c r="H298" t="s">
        <v>439</v>
      </c>
      <c r="I298" s="184">
        <v>8.5000000000000006E-3</v>
      </c>
      <c r="J298" s="267">
        <v>6</v>
      </c>
      <c r="X298" s="149"/>
      <c r="Z298" s="149"/>
    </row>
    <row r="299" spans="2:26" x14ac:dyDescent="0.25">
      <c r="B299" t="s">
        <v>340</v>
      </c>
      <c r="C299" s="149">
        <v>0.13448227411888247</v>
      </c>
      <c r="D299" s="149">
        <v>0.67014675242322674</v>
      </c>
      <c r="E299" s="184">
        <v>2.5899999999999999E-2</v>
      </c>
      <c r="F299" s="253">
        <v>7</v>
      </c>
      <c r="G299" s="101">
        <v>2954.9786254242945</v>
      </c>
      <c r="H299" t="s">
        <v>439</v>
      </c>
      <c r="I299" s="184">
        <v>5.8500000000000003E-2</v>
      </c>
      <c r="J299" s="267">
        <v>8</v>
      </c>
      <c r="X299" s="149"/>
      <c r="Z299" s="149"/>
    </row>
    <row r="300" spans="2:26" x14ac:dyDescent="0.25">
      <c r="B300" t="s">
        <v>425</v>
      </c>
      <c r="C300" s="149">
        <v>5.9127819548872182E-2</v>
      </c>
      <c r="D300" s="149">
        <v>0.75469587234293112</v>
      </c>
      <c r="E300" s="184">
        <v>4.9500000000000002E-2</v>
      </c>
      <c r="F300" s="253">
        <v>6.5</v>
      </c>
      <c r="G300" s="101">
        <v>2000.1984904764636</v>
      </c>
      <c r="H300" t="s">
        <v>465</v>
      </c>
      <c r="I300" s="184">
        <v>6.4299999999999996E-2</v>
      </c>
      <c r="J300" s="267">
        <v>8</v>
      </c>
      <c r="X300" s="149"/>
      <c r="Z300" s="149"/>
    </row>
    <row r="301" spans="2:26" x14ac:dyDescent="0.25">
      <c r="B301" t="s">
        <v>827</v>
      </c>
      <c r="C301" s="149">
        <v>-6.0999999999999999E-2</v>
      </c>
      <c r="D301" s="149">
        <v>0.59242003835055657</v>
      </c>
      <c r="E301" s="219">
        <v>3.0300000000000001E-2</v>
      </c>
      <c r="F301" s="258">
        <v>7.5</v>
      </c>
      <c r="G301" s="101">
        <v>2544.2034976012183</v>
      </c>
      <c r="H301" t="s">
        <v>465</v>
      </c>
      <c r="I301" s="184">
        <v>5.0999999999999997E-2</v>
      </c>
      <c r="J301" s="267">
        <v>7</v>
      </c>
      <c r="X301" s="149"/>
      <c r="Z301" s="149"/>
    </row>
    <row r="302" spans="2:26" x14ac:dyDescent="0.25">
      <c r="B302" t="s">
        <v>319</v>
      </c>
      <c r="C302" s="149">
        <v>5.7636887608069162E-2</v>
      </c>
      <c r="D302" s="149">
        <v>0.59242003835055657</v>
      </c>
      <c r="E302" s="184">
        <v>4.2099999999999999E-2</v>
      </c>
      <c r="F302" s="253">
        <v>7</v>
      </c>
      <c r="G302" s="101">
        <v>2166.6516583161924</v>
      </c>
      <c r="H302" t="s">
        <v>465</v>
      </c>
      <c r="I302" s="184">
        <v>6.4799999999999996E-2</v>
      </c>
      <c r="J302" s="267">
        <v>7</v>
      </c>
      <c r="X302" s="149"/>
      <c r="Z302" s="149"/>
    </row>
    <row r="303" spans="2:26" x14ac:dyDescent="0.25">
      <c r="B303" t="s">
        <v>203</v>
      </c>
      <c r="C303" s="149">
        <v>8.0106634606588872E-2</v>
      </c>
      <c r="D303" s="149">
        <v>0.59556759174140972</v>
      </c>
      <c r="E303" s="184">
        <v>4.4900000000000002E-2</v>
      </c>
      <c r="F303" s="253">
        <v>8</v>
      </c>
      <c r="G303" s="101">
        <v>2129.2189726632973</v>
      </c>
      <c r="H303" t="s">
        <v>465</v>
      </c>
      <c r="I303" s="184">
        <v>5.3999999999999999E-2</v>
      </c>
      <c r="J303" s="267">
        <v>8</v>
      </c>
      <c r="X303" s="149"/>
      <c r="Z303" s="149"/>
    </row>
    <row r="304" spans="2:26" x14ac:dyDescent="0.25">
      <c r="B304" t="s">
        <v>393</v>
      </c>
      <c r="C304" s="149">
        <v>9.8610794807560923E-2</v>
      </c>
      <c r="D304" s="149">
        <v>0.66598609567622047</v>
      </c>
      <c r="E304" s="184">
        <v>4.2999999999999997E-2</v>
      </c>
      <c r="F304" s="253">
        <v>7.5</v>
      </c>
      <c r="G304" s="101">
        <v>2083.9547640882743</v>
      </c>
      <c r="H304" t="s">
        <v>116</v>
      </c>
      <c r="I304" s="184">
        <v>3.0700000000000002E-2</v>
      </c>
      <c r="J304" s="267">
        <v>8</v>
      </c>
      <c r="X304" s="149"/>
      <c r="Z304" s="149"/>
    </row>
    <row r="305" spans="2:26" x14ac:dyDescent="0.25">
      <c r="B305" t="s">
        <v>599</v>
      </c>
      <c r="C305" s="149">
        <v>4.4741109138568616E-2</v>
      </c>
      <c r="D305" s="149">
        <v>0.74459332167092795</v>
      </c>
      <c r="E305" s="184">
        <v>3.9300000000000002E-2</v>
      </c>
      <c r="F305" s="253">
        <v>8</v>
      </c>
      <c r="G305" s="101">
        <v>2266.6491047324762</v>
      </c>
      <c r="H305" t="s">
        <v>116</v>
      </c>
      <c r="I305" s="184">
        <v>5.6099999999999997E-2</v>
      </c>
      <c r="J305" s="267">
        <v>8</v>
      </c>
      <c r="X305" s="149"/>
      <c r="Z305" s="149"/>
    </row>
    <row r="306" spans="2:26" x14ac:dyDescent="0.25">
      <c r="B306" t="s">
        <v>394</v>
      </c>
      <c r="C306" s="149">
        <v>2.5930971843778385E-2</v>
      </c>
      <c r="D306" s="149">
        <v>0.81592927267519078</v>
      </c>
      <c r="E306" s="184">
        <v>4.0800000000000003E-2</v>
      </c>
      <c r="F306" s="253">
        <v>7</v>
      </c>
      <c r="G306" s="101">
        <v>1770.6293765683042</v>
      </c>
      <c r="H306" t="s">
        <v>465</v>
      </c>
      <c r="I306" s="184">
        <v>5.6300000000000003E-2</v>
      </c>
      <c r="J306" s="267">
        <v>5</v>
      </c>
      <c r="X306" s="149"/>
      <c r="Z306" s="149"/>
    </row>
    <row r="307" spans="2:26" x14ac:dyDescent="0.25">
      <c r="B307" t="s">
        <v>395</v>
      </c>
      <c r="C307" s="149">
        <v>6.9236732930502864E-2</v>
      </c>
      <c r="D307" s="149">
        <v>0.71823941313771256</v>
      </c>
      <c r="E307" s="184">
        <v>3.6999999999999998E-2</v>
      </c>
      <c r="F307" s="253">
        <v>6.5</v>
      </c>
      <c r="G307" s="101">
        <v>2724.4133747670799</v>
      </c>
      <c r="H307" t="s">
        <v>116</v>
      </c>
      <c r="I307" s="184">
        <v>4.8500000000000001E-2</v>
      </c>
      <c r="J307" s="267">
        <v>6</v>
      </c>
      <c r="X307" s="149"/>
      <c r="Z307" s="149"/>
    </row>
    <row r="308" spans="2:26" x14ac:dyDescent="0.25">
      <c r="B308" t="s">
        <v>320</v>
      </c>
      <c r="C308" s="149">
        <v>0.13422354017028756</v>
      </c>
      <c r="D308" s="149">
        <v>0.64295644864043455</v>
      </c>
      <c r="E308" s="184">
        <v>2.7199999999999998E-2</v>
      </c>
      <c r="F308" s="253">
        <v>8</v>
      </c>
      <c r="G308" s="101">
        <v>1882.3507036690905</v>
      </c>
      <c r="H308" t="s">
        <v>465</v>
      </c>
      <c r="I308" s="184">
        <v>4.99E-2</v>
      </c>
      <c r="J308" s="267">
        <v>8</v>
      </c>
      <c r="X308" s="149"/>
      <c r="Z308" s="149"/>
    </row>
    <row r="309" spans="2:26" x14ac:dyDescent="0.25">
      <c r="B309" t="s">
        <v>204</v>
      </c>
      <c r="C309" s="149">
        <v>7.7593987243369508E-2</v>
      </c>
      <c r="D309" s="149">
        <v>0.63315945298181309</v>
      </c>
      <c r="E309" s="184">
        <v>4.19E-2</v>
      </c>
      <c r="F309" s="253">
        <v>7</v>
      </c>
      <c r="G309" s="101">
        <v>2182.3221288114146</v>
      </c>
      <c r="H309" t="s">
        <v>116</v>
      </c>
      <c r="I309" s="184">
        <v>5.62E-2</v>
      </c>
      <c r="J309" s="267">
        <v>7</v>
      </c>
      <c r="X309" s="149"/>
      <c r="Z309" s="149"/>
    </row>
    <row r="310" spans="2:26" x14ac:dyDescent="0.25">
      <c r="B310" t="s">
        <v>321</v>
      </c>
      <c r="C310" s="149">
        <v>6.1110356662263431E-3</v>
      </c>
      <c r="D310" s="149">
        <v>0.69863757259946802</v>
      </c>
      <c r="E310" s="184">
        <v>4.7300000000000002E-2</v>
      </c>
      <c r="F310" s="253">
        <v>7</v>
      </c>
      <c r="G310" s="101">
        <v>2223.0300857240636</v>
      </c>
      <c r="H310" t="s">
        <v>465</v>
      </c>
      <c r="I310" s="184">
        <v>5.7599999999999998E-2</v>
      </c>
      <c r="J310" s="267">
        <v>6.5</v>
      </c>
      <c r="X310" s="149"/>
      <c r="Z310" s="149"/>
    </row>
    <row r="311" spans="2:26" x14ac:dyDescent="0.25">
      <c r="B311" t="s">
        <v>275</v>
      </c>
      <c r="C311" s="149">
        <v>2.8333231415234719E-2</v>
      </c>
      <c r="D311" s="149">
        <v>0.61929908227001496</v>
      </c>
      <c r="E311" s="184">
        <v>2.9700000000000001E-2</v>
      </c>
      <c r="F311" s="253">
        <v>9</v>
      </c>
      <c r="G311" s="101">
        <v>1988.3706082843082</v>
      </c>
      <c r="H311" t="s">
        <v>465</v>
      </c>
      <c r="I311" s="184">
        <v>5.5800000000000002E-2</v>
      </c>
      <c r="J311" s="267">
        <v>7.5</v>
      </c>
      <c r="X311" s="149"/>
      <c r="Z311" s="149"/>
    </row>
    <row r="312" spans="2:26" x14ac:dyDescent="0.25">
      <c r="B312" t="s">
        <v>426</v>
      </c>
      <c r="C312" s="149">
        <v>4.2187664179888618E-2</v>
      </c>
      <c r="D312" s="149">
        <v>0.67602240558935134</v>
      </c>
      <c r="E312" s="184">
        <v>3.9699999999999999E-2</v>
      </c>
      <c r="F312" s="253">
        <v>8</v>
      </c>
      <c r="G312" s="101">
        <v>2593.2824747914738</v>
      </c>
      <c r="H312" t="s">
        <v>439</v>
      </c>
      <c r="I312" s="184">
        <v>5.0900000000000001E-2</v>
      </c>
      <c r="J312" s="267">
        <v>9</v>
      </c>
      <c r="X312" s="149"/>
      <c r="Z312" s="149"/>
    </row>
    <row r="313" spans="2:26" x14ac:dyDescent="0.25">
      <c r="B313" t="s">
        <v>828</v>
      </c>
      <c r="C313" s="149">
        <v>1.203868413800015E-2</v>
      </c>
      <c r="D313" s="149">
        <v>0.63503315944715466</v>
      </c>
      <c r="E313" s="184">
        <v>4.7199999999999999E-2</v>
      </c>
      <c r="F313" s="253">
        <v>7.5</v>
      </c>
      <c r="G313" s="101">
        <v>2045.4712637557825</v>
      </c>
      <c r="H313" t="s">
        <v>465</v>
      </c>
      <c r="I313" s="184">
        <v>6.0600000000000001E-2</v>
      </c>
      <c r="J313" s="267">
        <v>6.5</v>
      </c>
      <c r="X313" s="149"/>
      <c r="Z313" s="149"/>
    </row>
    <row r="314" spans="2:26" x14ac:dyDescent="0.25">
      <c r="B314" t="s">
        <v>205</v>
      </c>
      <c r="C314" s="149">
        <v>6.7635479598686474E-2</v>
      </c>
      <c r="D314" s="149">
        <v>0.72992727675440217</v>
      </c>
      <c r="E314" s="184">
        <v>4.2999999999999997E-2</v>
      </c>
      <c r="F314" s="253">
        <v>9.5</v>
      </c>
      <c r="G314" s="101">
        <v>1982.6675408290689</v>
      </c>
      <c r="H314" t="s">
        <v>465</v>
      </c>
      <c r="I314" s="184">
        <v>5.8700000000000002E-2</v>
      </c>
      <c r="J314" s="267">
        <v>7.5</v>
      </c>
      <c r="X314" s="149"/>
      <c r="Z314" s="149"/>
    </row>
    <row r="315" spans="2:26" x14ac:dyDescent="0.25">
      <c r="B315" t="s">
        <v>601</v>
      </c>
      <c r="C315" s="149">
        <v>8.0059027987247733E-2</v>
      </c>
      <c r="D315" s="149">
        <v>0.75418912297893193</v>
      </c>
      <c r="E315" s="184">
        <v>3.9699999999999999E-2</v>
      </c>
      <c r="F315" s="253">
        <v>7.5</v>
      </c>
      <c r="G315" s="101">
        <v>2205.9958894615997</v>
      </c>
      <c r="H315" t="s">
        <v>116</v>
      </c>
      <c r="I315" s="184">
        <v>6.1699999999999998E-2</v>
      </c>
      <c r="J315" s="267">
        <v>7.5</v>
      </c>
      <c r="X315" s="149"/>
      <c r="Z315" s="149"/>
    </row>
    <row r="316" spans="2:26" x14ac:dyDescent="0.25">
      <c r="B316" t="s">
        <v>114</v>
      </c>
      <c r="C316" s="149">
        <v>-1.793808158623893E-2</v>
      </c>
      <c r="D316" s="149">
        <v>0.73980718395272893</v>
      </c>
      <c r="E316" s="184">
        <v>4.4299999999999999E-2</v>
      </c>
      <c r="F316" s="253">
        <v>6.5</v>
      </c>
      <c r="G316" s="101">
        <v>2300.6164508142756</v>
      </c>
      <c r="H316" t="s">
        <v>116</v>
      </c>
      <c r="I316" s="184">
        <v>5.62E-2</v>
      </c>
      <c r="J316" s="267">
        <v>7.5</v>
      </c>
      <c r="X316" s="149"/>
      <c r="Z316" s="149"/>
    </row>
    <row r="317" spans="2:26" x14ac:dyDescent="0.25">
      <c r="B317" t="s">
        <v>206</v>
      </c>
      <c r="C317" s="149">
        <v>4.4505157292470947E-2</v>
      </c>
      <c r="D317" s="149">
        <v>0.80754859565892778</v>
      </c>
      <c r="E317" s="184">
        <v>3.6600000000000001E-2</v>
      </c>
      <c r="F317" s="253">
        <v>7.5</v>
      </c>
      <c r="G317" s="101">
        <v>2140.9944939731236</v>
      </c>
      <c r="H317" t="s">
        <v>116</v>
      </c>
      <c r="I317" s="184">
        <v>5.7200000000000001E-2</v>
      </c>
      <c r="J317" s="267">
        <v>7</v>
      </c>
      <c r="X317" s="149"/>
      <c r="Z317" s="149"/>
    </row>
    <row r="318" spans="2:26" x14ac:dyDescent="0.25">
      <c r="B318" t="s">
        <v>602</v>
      </c>
      <c r="C318" s="149">
        <v>9.5150377580863421E-2</v>
      </c>
      <c r="D318" s="149">
        <v>0.79905297671554354</v>
      </c>
      <c r="E318" s="184">
        <v>4.5999999999999999E-2</v>
      </c>
      <c r="F318" s="253">
        <v>7.5</v>
      </c>
      <c r="G318" s="101">
        <v>2722.8665391028699</v>
      </c>
      <c r="H318" t="s">
        <v>116</v>
      </c>
      <c r="I318" s="184">
        <v>8.2100000000000006E-2</v>
      </c>
      <c r="J318" s="267">
        <v>4.5</v>
      </c>
      <c r="X318" s="149"/>
      <c r="Z318" s="149"/>
    </row>
    <row r="319" spans="2:26" x14ac:dyDescent="0.25">
      <c r="B319" t="s">
        <v>322</v>
      </c>
      <c r="C319" s="149">
        <v>3.3025156346531109E-2</v>
      </c>
      <c r="D319" s="149">
        <v>0.59688338881133896</v>
      </c>
      <c r="E319" s="184">
        <v>3.2800000000000003E-2</v>
      </c>
      <c r="F319" s="253">
        <v>7</v>
      </c>
      <c r="G319" s="101">
        <v>1965.5012640755131</v>
      </c>
      <c r="H319" t="s">
        <v>465</v>
      </c>
      <c r="I319" s="184">
        <v>4.8599999999999997E-2</v>
      </c>
      <c r="J319" s="267">
        <v>7</v>
      </c>
      <c r="X319" s="149"/>
      <c r="Z319" s="149"/>
    </row>
    <row r="320" spans="2:26" x14ac:dyDescent="0.25">
      <c r="B320" t="s">
        <v>138</v>
      </c>
      <c r="C320" s="149">
        <v>8.1160219822190155E-3</v>
      </c>
      <c r="D320" s="149">
        <v>0.70015689575998774</v>
      </c>
      <c r="E320" s="184">
        <v>3.7900000000000003E-2</v>
      </c>
      <c r="F320" s="253">
        <v>7</v>
      </c>
      <c r="G320" s="101">
        <v>2770.5470700473279</v>
      </c>
      <c r="H320" t="s">
        <v>116</v>
      </c>
      <c r="I320" s="184">
        <v>5.33E-2</v>
      </c>
      <c r="J320" s="267">
        <v>6.5</v>
      </c>
      <c r="X320" s="149"/>
      <c r="Z320" s="149"/>
    </row>
    <row r="321" spans="2:26" x14ac:dyDescent="0.25">
      <c r="B321" t="s">
        <v>160</v>
      </c>
      <c r="C321" s="149">
        <v>0.15181934174724446</v>
      </c>
      <c r="D321" s="149">
        <v>0.61313460879279924</v>
      </c>
      <c r="E321" s="184">
        <v>4.7399999999999998E-2</v>
      </c>
      <c r="F321" s="253">
        <v>9</v>
      </c>
      <c r="G321" s="101">
        <v>2046.5313972924903</v>
      </c>
      <c r="H321" t="s">
        <v>465</v>
      </c>
      <c r="I321" s="184">
        <v>5.7700000000000001E-2</v>
      </c>
      <c r="J321" s="267">
        <v>8.5</v>
      </c>
      <c r="X321" s="149"/>
      <c r="Z321" s="149"/>
    </row>
    <row r="322" spans="2:26" x14ac:dyDescent="0.25">
      <c r="B322" t="s">
        <v>207</v>
      </c>
      <c r="C322" s="149">
        <v>6.0740740740740741E-2</v>
      </c>
      <c r="D322" s="149">
        <v>0.7847826086956522</v>
      </c>
      <c r="E322" s="184">
        <v>3.09E-2</v>
      </c>
      <c r="F322" s="253">
        <v>8.5</v>
      </c>
      <c r="G322" s="101">
        <v>2016.4936835286678</v>
      </c>
      <c r="H322" t="s">
        <v>116</v>
      </c>
      <c r="I322" s="184">
        <v>6.4299999999999996E-2</v>
      </c>
      <c r="J322" s="267">
        <v>7</v>
      </c>
      <c r="X322" s="149"/>
      <c r="Z322" s="149"/>
    </row>
    <row r="323" spans="2:26" x14ac:dyDescent="0.25">
      <c r="B323" t="s">
        <v>277</v>
      </c>
      <c r="C323" s="149">
        <v>2.2237308341888268E-2</v>
      </c>
      <c r="D323" s="149">
        <v>0.62254154765956815</v>
      </c>
      <c r="E323" s="184">
        <v>3.78E-2</v>
      </c>
      <c r="F323" s="253">
        <v>7.5</v>
      </c>
      <c r="G323" s="101">
        <v>1919.2260468108673</v>
      </c>
      <c r="H323" t="s">
        <v>465</v>
      </c>
      <c r="I323" s="184">
        <v>5.2999999999999999E-2</v>
      </c>
      <c r="J323" s="267">
        <v>8</v>
      </c>
      <c r="X323" s="149"/>
      <c r="Z323" s="149"/>
    </row>
    <row r="324" spans="2:26" x14ac:dyDescent="0.25">
      <c r="B324" t="s">
        <v>232</v>
      </c>
      <c r="C324" s="149">
        <v>-2.2164922893836467E-2</v>
      </c>
      <c r="D324" s="149">
        <v>0.72925403287520274</v>
      </c>
      <c r="E324" s="184">
        <v>4.1599999999999998E-2</v>
      </c>
      <c r="F324" s="253">
        <v>8.5</v>
      </c>
      <c r="G324" s="101">
        <v>1923.9080351377668</v>
      </c>
      <c r="H324" t="s">
        <v>465</v>
      </c>
      <c r="I324" s="184">
        <v>6.0100000000000001E-2</v>
      </c>
      <c r="J324" s="267">
        <v>6.5</v>
      </c>
      <c r="X324" s="149"/>
      <c r="Z324" s="149"/>
    </row>
    <row r="325" spans="2:26" x14ac:dyDescent="0.25">
      <c r="B325" t="s">
        <v>208</v>
      </c>
      <c r="C325" s="149">
        <v>2.1861394081712809E-2</v>
      </c>
      <c r="D325" s="149">
        <v>0.6987212702172545</v>
      </c>
      <c r="E325" s="184">
        <v>4.1799999999999997E-2</v>
      </c>
      <c r="F325" s="253">
        <v>7</v>
      </c>
      <c r="G325" s="101">
        <v>2712.383781133914</v>
      </c>
      <c r="H325" t="s">
        <v>116</v>
      </c>
      <c r="I325" s="184">
        <v>5.2400000000000002E-2</v>
      </c>
      <c r="J325" s="267">
        <v>6.5</v>
      </c>
      <c r="X325" s="149"/>
      <c r="Z325" s="149"/>
    </row>
    <row r="326" spans="2:26" x14ac:dyDescent="0.25">
      <c r="B326" t="s">
        <v>396</v>
      </c>
      <c r="C326" s="149">
        <v>7.7242416317991627E-2</v>
      </c>
      <c r="D326" s="149">
        <v>0.73318256258285897</v>
      </c>
      <c r="E326" s="184">
        <v>4.3099999999999999E-2</v>
      </c>
      <c r="F326" s="253">
        <v>8</v>
      </c>
      <c r="G326" s="101">
        <v>1972.9712204979432</v>
      </c>
      <c r="H326" t="s">
        <v>465</v>
      </c>
      <c r="I326" s="184">
        <v>6.2899999999999998E-2</v>
      </c>
      <c r="J326" s="267">
        <v>8.5</v>
      </c>
      <c r="X326" s="149"/>
      <c r="Z326" s="149"/>
    </row>
    <row r="327" spans="2:26" x14ac:dyDescent="0.25">
      <c r="B327" t="s">
        <v>233</v>
      </c>
      <c r="C327" s="149">
        <v>7.982422987753629E-2</v>
      </c>
      <c r="D327" s="149">
        <v>0.64133922625174067</v>
      </c>
      <c r="E327" s="184">
        <v>2.8299999999999999E-2</v>
      </c>
      <c r="F327" s="253">
        <v>8</v>
      </c>
      <c r="G327" s="101">
        <v>2229.3976242206591</v>
      </c>
      <c r="H327" t="s">
        <v>465</v>
      </c>
      <c r="I327" s="184">
        <v>4.5400000000000003E-2</v>
      </c>
      <c r="J327" s="267">
        <v>7</v>
      </c>
      <c r="X327" s="149"/>
      <c r="Z327" s="149"/>
    </row>
    <row r="328" spans="2:26" x14ac:dyDescent="0.25">
      <c r="B328" t="s">
        <v>278</v>
      </c>
      <c r="C328" s="149">
        <v>-5.5520074935070461E-2</v>
      </c>
      <c r="D328" s="149">
        <v>0.71469338315301079</v>
      </c>
      <c r="E328" s="184">
        <v>3.2399999999999998E-2</v>
      </c>
      <c r="F328" s="253">
        <v>9.5</v>
      </c>
      <c r="G328" s="101">
        <v>1990.9341785571351</v>
      </c>
      <c r="H328" t="s">
        <v>465</v>
      </c>
      <c r="I328" s="184">
        <v>6.2600000000000003E-2</v>
      </c>
      <c r="J328" s="267">
        <v>8</v>
      </c>
      <c r="X328" s="149"/>
      <c r="Z328" s="149"/>
    </row>
    <row r="329" spans="2:26" x14ac:dyDescent="0.25">
      <c r="B329" t="s">
        <v>234</v>
      </c>
      <c r="C329" s="149">
        <v>0.10577515345893247</v>
      </c>
      <c r="D329" s="149">
        <v>0.62720436547547742</v>
      </c>
      <c r="E329" s="184">
        <v>4.53E-2</v>
      </c>
      <c r="F329" s="253">
        <v>10</v>
      </c>
      <c r="G329" s="101">
        <v>1694.5683099856772</v>
      </c>
      <c r="H329" t="s">
        <v>465</v>
      </c>
      <c r="I329" s="184">
        <v>6.6699999999999995E-2</v>
      </c>
      <c r="J329" s="267">
        <v>8</v>
      </c>
      <c r="X329" s="149"/>
      <c r="Z329" s="149"/>
    </row>
    <row r="330" spans="2:26" x14ac:dyDescent="0.25">
      <c r="B330" t="s">
        <v>279</v>
      </c>
      <c r="C330" s="149">
        <v>8.0052797937254047E-2</v>
      </c>
      <c r="D330" s="149">
        <v>0.71736433706920866</v>
      </c>
      <c r="E330" s="184">
        <v>3.1300000000000001E-2</v>
      </c>
      <c r="F330" s="253">
        <v>9</v>
      </c>
      <c r="G330" s="101">
        <v>2440.270422275923</v>
      </c>
      <c r="H330" t="s">
        <v>439</v>
      </c>
      <c r="I330" s="184">
        <v>4.9099999999999998E-2</v>
      </c>
      <c r="J330" s="267">
        <v>7</v>
      </c>
      <c r="X330" s="149"/>
      <c r="Z330" s="149"/>
    </row>
    <row r="331" spans="2:26" x14ac:dyDescent="0.25">
      <c r="B331" t="s">
        <v>209</v>
      </c>
      <c r="C331" s="149">
        <v>-9.7473836953654039E-2</v>
      </c>
      <c r="D331" s="149">
        <v>0.68165016915173537</v>
      </c>
      <c r="E331" s="184">
        <v>3.3599999999999998E-2</v>
      </c>
      <c r="F331" s="253">
        <v>9</v>
      </c>
      <c r="G331" s="101">
        <v>2259.6687304602751</v>
      </c>
      <c r="H331" t="s">
        <v>465</v>
      </c>
      <c r="I331" s="184">
        <v>4.9599999999999998E-2</v>
      </c>
      <c r="J331" s="267">
        <v>7</v>
      </c>
      <c r="X331" s="149"/>
      <c r="Z331" s="149"/>
    </row>
    <row r="332" spans="2:26" x14ac:dyDescent="0.25">
      <c r="B332" t="s">
        <v>280</v>
      </c>
      <c r="C332" s="149">
        <v>5.669976204151965E-2</v>
      </c>
      <c r="D332" s="149">
        <v>0.56217623718725895</v>
      </c>
      <c r="E332" s="184">
        <v>1.8700000000000001E-2</v>
      </c>
      <c r="F332" s="253">
        <v>10</v>
      </c>
      <c r="G332" s="101">
        <v>2185.9102644226691</v>
      </c>
      <c r="H332" t="s">
        <v>116</v>
      </c>
      <c r="I332" s="184">
        <v>3.6900000000000002E-2</v>
      </c>
      <c r="J332" s="267">
        <v>8</v>
      </c>
      <c r="X332" s="149"/>
      <c r="Z332" s="149"/>
    </row>
    <row r="333" spans="2:26" x14ac:dyDescent="0.25">
      <c r="B333" t="s">
        <v>432</v>
      </c>
      <c r="C333" s="149">
        <v>4.6451497860199711E-2</v>
      </c>
      <c r="D333" s="149">
        <v>0.54045020786092213</v>
      </c>
      <c r="E333" s="184">
        <v>4.19E-2</v>
      </c>
      <c r="F333" s="253">
        <v>6.5</v>
      </c>
      <c r="G333" s="101">
        <v>2510.036753763658</v>
      </c>
      <c r="H333" t="s">
        <v>465</v>
      </c>
      <c r="I333" s="184">
        <v>5.8400000000000001E-2</v>
      </c>
      <c r="J333" s="267">
        <v>6</v>
      </c>
      <c r="X333" s="149"/>
      <c r="Z333" s="149"/>
    </row>
    <row r="334" spans="2:26" x14ac:dyDescent="0.25">
      <c r="B334" t="s">
        <v>235</v>
      </c>
      <c r="C334" s="149">
        <v>9.3521027324072664E-2</v>
      </c>
      <c r="D334" s="149">
        <v>0.7537416532350909</v>
      </c>
      <c r="E334" s="184">
        <v>3.5999999999999997E-2</v>
      </c>
      <c r="F334" s="253">
        <v>9.5</v>
      </c>
      <c r="G334" s="101">
        <v>2103.317962104763</v>
      </c>
      <c r="H334" t="s">
        <v>116</v>
      </c>
      <c r="I334" s="184">
        <v>5.4899999999999997E-2</v>
      </c>
      <c r="J334" s="267">
        <v>7.5</v>
      </c>
      <c r="X334" s="149"/>
      <c r="Z334" s="149"/>
    </row>
    <row r="335" spans="2:26" x14ac:dyDescent="0.25">
      <c r="B335" t="s">
        <v>210</v>
      </c>
      <c r="C335" s="149">
        <v>4.4195110428723282E-2</v>
      </c>
      <c r="D335" s="149">
        <v>0.69291958533552456</v>
      </c>
      <c r="E335" s="184">
        <v>4.4600000000000001E-2</v>
      </c>
      <c r="F335" s="253">
        <v>5.5</v>
      </c>
      <c r="G335" s="101">
        <v>2665.1112876924944</v>
      </c>
      <c r="H335" t="s">
        <v>116</v>
      </c>
      <c r="I335" s="184">
        <v>5.6500000000000002E-2</v>
      </c>
      <c r="J335" s="267">
        <v>4</v>
      </c>
      <c r="X335" s="149"/>
      <c r="Z335" s="149"/>
    </row>
    <row r="336" spans="2:26" x14ac:dyDescent="0.25">
      <c r="B336" t="s">
        <v>324</v>
      </c>
      <c r="C336" s="149">
        <v>5.7166774442151139E-2</v>
      </c>
      <c r="D336" s="149">
        <v>0.72821079747155071</v>
      </c>
      <c r="E336" s="184">
        <v>4.82E-2</v>
      </c>
      <c r="F336" s="253">
        <v>7.5</v>
      </c>
      <c r="G336" s="101">
        <v>2798.608114149079</v>
      </c>
      <c r="H336" t="s">
        <v>439</v>
      </c>
      <c r="I336" s="184">
        <v>7.46E-2</v>
      </c>
      <c r="J336" s="267">
        <v>6</v>
      </c>
      <c r="X336" s="149"/>
      <c r="Z336" s="149"/>
    </row>
    <row r="337" spans="2:26" x14ac:dyDescent="0.25">
      <c r="B337" t="s">
        <v>325</v>
      </c>
      <c r="C337" s="149">
        <v>-0.13992749870533402</v>
      </c>
      <c r="D337" s="149">
        <v>0.64715063520871141</v>
      </c>
      <c r="E337" s="184">
        <v>3.8300000000000001E-2</v>
      </c>
      <c r="F337" s="253">
        <v>6.5</v>
      </c>
      <c r="G337" s="101">
        <v>2233.3613509934426</v>
      </c>
      <c r="H337" t="s">
        <v>465</v>
      </c>
      <c r="I337" s="184">
        <v>5.2299999999999999E-2</v>
      </c>
      <c r="J337" s="267">
        <v>7.5</v>
      </c>
      <c r="X337" s="149"/>
      <c r="Z337" s="149"/>
    </row>
    <row r="338" spans="2:26" x14ac:dyDescent="0.25">
      <c r="B338" t="s">
        <v>326</v>
      </c>
      <c r="C338" s="149">
        <v>6.4960320725221954E-2</v>
      </c>
      <c r="D338" s="149">
        <v>0.6161345406799148</v>
      </c>
      <c r="E338" s="184">
        <v>3.1699999999999999E-2</v>
      </c>
      <c r="F338" s="253">
        <v>8.5</v>
      </c>
      <c r="G338" s="101">
        <v>1851.3137514079572</v>
      </c>
      <c r="H338" t="s">
        <v>465</v>
      </c>
      <c r="I338" s="184">
        <v>4.4499999999999998E-2</v>
      </c>
      <c r="J338" s="267">
        <v>9.5</v>
      </c>
      <c r="X338" s="149"/>
      <c r="Z338" s="149"/>
    </row>
    <row r="339" spans="2:26" x14ac:dyDescent="0.25">
      <c r="B339" t="s">
        <v>397</v>
      </c>
      <c r="C339" s="149">
        <v>0.10548757023012391</v>
      </c>
      <c r="D339" s="149">
        <v>0.71262693024094215</v>
      </c>
      <c r="E339" s="184">
        <v>4.5499999999999999E-2</v>
      </c>
      <c r="F339" s="253">
        <v>10</v>
      </c>
      <c r="G339" s="101">
        <v>1995.4257246964662</v>
      </c>
      <c r="H339" t="s">
        <v>465</v>
      </c>
      <c r="I339" s="184">
        <v>5.8000000000000003E-2</v>
      </c>
      <c r="J339" s="267">
        <v>9</v>
      </c>
      <c r="X339" s="149"/>
      <c r="Z339" s="149"/>
    </row>
    <row r="340" spans="2:26" x14ac:dyDescent="0.25">
      <c r="B340" t="s">
        <v>211</v>
      </c>
      <c r="C340" s="149">
        <v>7.5357396576388957E-2</v>
      </c>
      <c r="D340" s="149">
        <v>0.74811352547290066</v>
      </c>
      <c r="E340" s="184">
        <v>3.2399999999999998E-2</v>
      </c>
      <c r="F340" s="253">
        <v>8.5</v>
      </c>
      <c r="G340" s="101">
        <v>2730.4830335760312</v>
      </c>
      <c r="H340" t="s">
        <v>439</v>
      </c>
      <c r="I340" s="184">
        <v>5.4100000000000002E-2</v>
      </c>
      <c r="J340" s="267">
        <v>8</v>
      </c>
      <c r="X340" s="149"/>
      <c r="Z340" s="149"/>
    </row>
    <row r="341" spans="2:26" x14ac:dyDescent="0.25">
      <c r="B341" t="s">
        <v>161</v>
      </c>
      <c r="C341" s="149">
        <v>7.0610031226188169E-2</v>
      </c>
      <c r="D341" s="149">
        <v>0.61611215903466177</v>
      </c>
      <c r="E341" s="184">
        <v>3.9100000000000003E-2</v>
      </c>
      <c r="F341" s="253">
        <v>7.5</v>
      </c>
      <c r="G341" s="101">
        <v>2282.3995542601951</v>
      </c>
      <c r="H341" t="s">
        <v>465</v>
      </c>
      <c r="I341" s="184">
        <v>5.3600000000000002E-2</v>
      </c>
      <c r="J341" s="267">
        <v>8</v>
      </c>
      <c r="X341" s="149"/>
      <c r="Z341" s="149"/>
    </row>
    <row r="342" spans="2:26" x14ac:dyDescent="0.25">
      <c r="B342" t="s">
        <v>327</v>
      </c>
      <c r="C342" s="149">
        <v>1.0630712002186753E-2</v>
      </c>
      <c r="D342" s="149">
        <v>0.7349696651330867</v>
      </c>
      <c r="E342" s="184">
        <v>3.9300000000000002E-2</v>
      </c>
      <c r="F342" s="253">
        <v>5.5</v>
      </c>
      <c r="G342" s="101">
        <v>2459.2286743800996</v>
      </c>
      <c r="H342" t="s">
        <v>116</v>
      </c>
      <c r="I342" s="184">
        <v>5.0200000000000002E-2</v>
      </c>
      <c r="J342" s="267">
        <v>6.5</v>
      </c>
      <c r="X342" s="149"/>
      <c r="Z342" s="149"/>
    </row>
    <row r="343" spans="2:26" x14ac:dyDescent="0.25">
      <c r="B343" t="s">
        <v>162</v>
      </c>
      <c r="C343" s="149">
        <v>8.4171171761446367E-2</v>
      </c>
      <c r="D343" s="149">
        <v>0.64186780780424391</v>
      </c>
      <c r="E343" s="184">
        <v>4.7800000000000002E-2</v>
      </c>
      <c r="F343" s="253">
        <v>8.5</v>
      </c>
      <c r="G343" s="101">
        <v>2787.5806019553811</v>
      </c>
      <c r="H343" t="s">
        <v>439</v>
      </c>
      <c r="I343" s="184">
        <v>5.6899999999999999E-2</v>
      </c>
      <c r="J343" s="267">
        <v>8.5</v>
      </c>
      <c r="X343" s="149"/>
      <c r="Z343" s="149"/>
    </row>
    <row r="344" spans="2:26" x14ac:dyDescent="0.25">
      <c r="B344" t="s">
        <v>440</v>
      </c>
      <c r="C344" s="149">
        <v>0.05</v>
      </c>
      <c r="D344" s="149">
        <v>0.68892626680344449</v>
      </c>
      <c r="E344" s="184">
        <v>3.9199999999999999E-2</v>
      </c>
      <c r="F344" s="253">
        <v>6.5</v>
      </c>
      <c r="G344" s="101">
        <v>2625.6037623610509</v>
      </c>
      <c r="H344" t="s">
        <v>116</v>
      </c>
      <c r="I344" s="184">
        <v>4.9000000000000002E-2</v>
      </c>
      <c r="J344" s="267">
        <v>6.5</v>
      </c>
      <c r="X344" s="149"/>
      <c r="Z344" s="149"/>
    </row>
    <row r="345" spans="2:26" x14ac:dyDescent="0.25">
      <c r="K345" t="s">
        <v>889</v>
      </c>
      <c r="L345" t="s">
        <v>890</v>
      </c>
    </row>
    <row r="346" spans="2:26" x14ac:dyDescent="0.25">
      <c r="I346" s="267">
        <f>COUNTIF(I2:I343,"&gt;6%")</f>
        <v>105</v>
      </c>
      <c r="J346" s="267">
        <f>COUNTIF(J2:J343,"&lt;10")</f>
        <v>335</v>
      </c>
      <c r="K346" s="268">
        <f>SUM(342,-J346)</f>
        <v>7</v>
      </c>
      <c r="L346" s="269">
        <v>10</v>
      </c>
      <c r="X346" s="149"/>
    </row>
    <row r="347" spans="2:26" x14ac:dyDescent="0.25">
      <c r="J347" s="267">
        <f>COUNTIF(J2:J343,"&lt;9,5")</f>
        <v>323</v>
      </c>
      <c r="K347" s="268">
        <f t="shared" ref="K347:K359" si="0">SUM(J346,-J347)</f>
        <v>12</v>
      </c>
      <c r="L347" s="269">
        <v>9.5</v>
      </c>
    </row>
    <row r="348" spans="2:26" x14ac:dyDescent="0.25">
      <c r="J348" s="267">
        <f>COUNTIF(J2:J343,"&lt;9")</f>
        <v>302</v>
      </c>
      <c r="K348" s="268">
        <f t="shared" si="0"/>
        <v>21</v>
      </c>
      <c r="L348" s="269">
        <v>9</v>
      </c>
    </row>
    <row r="349" spans="2:26" x14ac:dyDescent="0.25">
      <c r="J349" s="267">
        <f>COUNTIF(J2:J343,"&lt;8,5")</f>
        <v>282</v>
      </c>
      <c r="K349" s="268">
        <f t="shared" si="0"/>
        <v>20</v>
      </c>
      <c r="L349" s="269">
        <v>8.5</v>
      </c>
    </row>
    <row r="350" spans="2:26" x14ac:dyDescent="0.25">
      <c r="J350" s="267">
        <f>COUNTIF(J2:J343,"&lt;8")</f>
        <v>207</v>
      </c>
      <c r="K350" s="268">
        <f t="shared" si="0"/>
        <v>75</v>
      </c>
      <c r="L350" s="269">
        <v>8</v>
      </c>
    </row>
    <row r="351" spans="2:26" x14ac:dyDescent="0.25">
      <c r="J351" s="267">
        <f>COUNTIF(J2:J343,"&lt;7,5")</f>
        <v>144</v>
      </c>
      <c r="K351" s="268">
        <f t="shared" si="0"/>
        <v>63</v>
      </c>
      <c r="L351" s="269">
        <v>7.5</v>
      </c>
    </row>
    <row r="352" spans="2:26" x14ac:dyDescent="0.25">
      <c r="J352" s="267">
        <f>COUNTIF(J2:J343,"&lt;7")</f>
        <v>92</v>
      </c>
      <c r="K352" s="268">
        <f t="shared" si="0"/>
        <v>52</v>
      </c>
      <c r="L352" s="269">
        <v>7</v>
      </c>
    </row>
    <row r="353" spans="10:12" x14ac:dyDescent="0.25">
      <c r="J353" s="267">
        <f>COUNTIF(J2:J343,"&lt;6,5")</f>
        <v>58</v>
      </c>
      <c r="K353" s="268">
        <f t="shared" si="0"/>
        <v>34</v>
      </c>
      <c r="L353" s="269">
        <v>6.5</v>
      </c>
    </row>
    <row r="354" spans="10:12" x14ac:dyDescent="0.25">
      <c r="J354" s="267">
        <f>COUNTIF(J2:J343,"&lt;6")</f>
        <v>25</v>
      </c>
      <c r="K354" s="268">
        <f t="shared" si="0"/>
        <v>33</v>
      </c>
      <c r="L354" s="269">
        <v>6</v>
      </c>
    </row>
    <row r="355" spans="10:12" x14ac:dyDescent="0.25">
      <c r="J355" s="267">
        <f>COUNTIF(J2:J343,"&lt;5,5")</f>
        <v>11</v>
      </c>
      <c r="K355" s="268">
        <f t="shared" si="0"/>
        <v>14</v>
      </c>
      <c r="L355" s="269">
        <v>5.5</v>
      </c>
    </row>
    <row r="356" spans="10:12" x14ac:dyDescent="0.25">
      <c r="J356" s="267">
        <f>COUNTIF(J2:J343,"&lt;5")</f>
        <v>4</v>
      </c>
      <c r="K356" s="268">
        <f t="shared" si="0"/>
        <v>7</v>
      </c>
      <c r="L356" s="269">
        <v>5</v>
      </c>
    </row>
    <row r="357" spans="10:12" x14ac:dyDescent="0.25">
      <c r="J357" s="267">
        <f>COUNTIF(J2:J343,"&lt;4,5")</f>
        <v>1</v>
      </c>
      <c r="K357" s="268">
        <f t="shared" si="0"/>
        <v>3</v>
      </c>
      <c r="L357" s="269">
        <v>4.5</v>
      </c>
    </row>
    <row r="358" spans="10:12" x14ac:dyDescent="0.25">
      <c r="J358" s="267">
        <f>COUNTIF(J2:J343,"&lt;4")</f>
        <v>0</v>
      </c>
      <c r="K358" s="268">
        <f t="shared" si="0"/>
        <v>1</v>
      </c>
      <c r="L358" s="269">
        <v>4</v>
      </c>
    </row>
    <row r="359" spans="10:12" x14ac:dyDescent="0.25">
      <c r="J359" s="267">
        <f>COUNTIF(J2:J343,"&lt;3,5")</f>
        <v>0</v>
      </c>
      <c r="K359" s="268">
        <f t="shared" si="0"/>
        <v>0</v>
      </c>
      <c r="L359" s="269">
        <v>3.5</v>
      </c>
    </row>
    <row r="360" spans="10:12" x14ac:dyDescent="0.25">
      <c r="K360" s="267">
        <f>SUM(K346:K359)</f>
        <v>342</v>
      </c>
    </row>
  </sheetData>
  <sheetProtection algorithmName="SHA-512" hashValue="K1Nuss+2hQhQik+B8Bf8gF2eDdxBgsIlbA2FAwsQTVMI0QrOPI9EAhOvIoj+6+yoyHXGS+S90dnMYVy4b3mWEg==" saltValue="F0R+oO5HmybhyTO8kl/HbQ==" spinCount="100000" sheet="1" objects="1" scenarios="1"/>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5"/>
  <dimension ref="A1:AJ1153"/>
  <sheetViews>
    <sheetView showGridLines="0" zoomScale="75" zoomScaleNormal="75" workbookViewId="0">
      <selection activeCell="C3" sqref="C3"/>
    </sheetView>
  </sheetViews>
  <sheetFormatPr defaultColWidth="9.08984375" defaultRowHeight="12.5" x14ac:dyDescent="0.25"/>
  <cols>
    <col min="1" max="1" width="4.36328125" style="5" customWidth="1"/>
    <col min="2" max="2" width="44.1796875" style="5" customWidth="1"/>
    <col min="3" max="3" width="16.81640625" style="5" customWidth="1"/>
    <col min="4" max="4" width="16.1796875" style="5" bestFit="1" customWidth="1"/>
    <col min="5" max="5" width="10.36328125" style="5" bestFit="1" customWidth="1"/>
    <col min="6" max="6" width="17.36328125" style="5" bestFit="1" customWidth="1"/>
    <col min="7" max="7" width="16.81640625" style="5" customWidth="1"/>
    <col min="8" max="9" width="16.81640625" style="3" customWidth="1"/>
    <col min="10" max="10" width="16.81640625" style="5" customWidth="1"/>
    <col min="11" max="11" width="17.36328125" style="5" hidden="1" customWidth="1"/>
    <col min="12" max="13" width="17.36328125" style="3" hidden="1" customWidth="1"/>
    <col min="14" max="14" width="17.36328125" style="5" customWidth="1"/>
    <col min="15" max="15" width="16.81640625" style="5" customWidth="1"/>
    <col min="16" max="16" width="17" style="3" hidden="1" customWidth="1"/>
    <col min="17" max="17" width="16.453125" style="3" customWidth="1"/>
    <col min="18" max="18" width="15.08984375" style="3" customWidth="1"/>
    <col min="19" max="19" width="17.36328125" style="3" customWidth="1"/>
    <col min="20" max="20" width="12.453125" style="63" customWidth="1"/>
    <col min="21" max="21" width="17.6328125" style="63" customWidth="1"/>
    <col min="22" max="22" width="16.453125" style="63" customWidth="1"/>
    <col min="23" max="23" width="17.36328125" style="63" customWidth="1"/>
    <col min="24" max="24" width="16.36328125" style="3" customWidth="1"/>
    <col min="25" max="25" width="11" style="3" customWidth="1"/>
    <col min="26" max="26" width="14.90625" style="3" customWidth="1"/>
    <col min="27" max="27" width="20.08984375" style="5" customWidth="1"/>
    <col min="28" max="28" width="19.36328125" style="3" customWidth="1"/>
    <col min="29" max="29" width="31.54296875" style="140" hidden="1" customWidth="1"/>
    <col min="30" max="30" width="25" style="5" customWidth="1"/>
    <col min="31" max="31" width="15" style="5" bestFit="1" customWidth="1"/>
    <col min="32" max="32" width="13.453125" style="5" bestFit="1" customWidth="1"/>
    <col min="33" max="33" width="12.6328125" style="5" customWidth="1"/>
    <col min="34" max="34" width="9.08984375" style="5" customWidth="1"/>
    <col min="35" max="35" width="17.08984375" style="5" customWidth="1"/>
    <col min="36" max="36" width="11.6328125" style="5" customWidth="1"/>
    <col min="37" max="16384" width="9.08984375" style="5"/>
  </cols>
  <sheetData>
    <row r="1" spans="1:36" ht="13.25" x14ac:dyDescent="0.25">
      <c r="A1" s="296"/>
      <c r="B1" s="296"/>
      <c r="J1" s="62"/>
      <c r="K1" s="62"/>
      <c r="L1" s="63"/>
      <c r="M1" s="63"/>
      <c r="N1" s="62"/>
      <c r="O1" s="62"/>
      <c r="P1" s="63"/>
      <c r="Q1" s="63"/>
      <c r="R1" s="63"/>
      <c r="S1" s="63"/>
      <c r="X1" s="63"/>
      <c r="Y1" s="63"/>
      <c r="Z1" s="63"/>
      <c r="AA1" s="62"/>
    </row>
    <row r="2" spans="1:36" ht="13.25" x14ac:dyDescent="0.25">
      <c r="A2" s="38" t="str">
        <f>'Financiele conditie'!B2</f>
        <v>Zwijndrecht</v>
      </c>
      <c r="C2" s="1">
        <f>'Financiele conditie'!C1</f>
        <v>2025</v>
      </c>
      <c r="E2" s="295" t="s">
        <v>706</v>
      </c>
      <c r="F2" s="295"/>
      <c r="H2" s="5"/>
      <c r="I2" s="5"/>
      <c r="J2" s="1"/>
      <c r="K2" s="63"/>
      <c r="L2" s="63"/>
      <c r="M2" s="63"/>
      <c r="N2" s="63"/>
      <c r="O2" s="63"/>
      <c r="P2" s="63"/>
      <c r="Q2" s="63"/>
      <c r="R2" s="63"/>
      <c r="S2" s="63"/>
      <c r="X2" s="63"/>
      <c r="Y2" s="63"/>
      <c r="Z2" s="63"/>
      <c r="AA2" s="63"/>
      <c r="AC2" s="141" t="s">
        <v>96</v>
      </c>
      <c r="AE2" s="1"/>
    </row>
    <row r="3" spans="1:36" ht="13.25" x14ac:dyDescent="0.25">
      <c r="A3" s="1" t="s">
        <v>716</v>
      </c>
      <c r="C3" s="203" t="s">
        <v>960</v>
      </c>
      <c r="D3" s="202" t="s">
        <v>467</v>
      </c>
      <c r="E3" s="135" t="s">
        <v>19</v>
      </c>
      <c r="F3" s="135" t="s">
        <v>50</v>
      </c>
      <c r="G3" s="135" t="s">
        <v>18</v>
      </c>
      <c r="H3" s="135" t="s">
        <v>95</v>
      </c>
      <c r="I3" s="135" t="s">
        <v>480</v>
      </c>
      <c r="J3" s="135" t="s">
        <v>443</v>
      </c>
      <c r="K3" s="63"/>
      <c r="L3" s="63"/>
      <c r="M3" s="63"/>
      <c r="N3" s="42" t="s">
        <v>468</v>
      </c>
      <c r="O3" s="134" t="s">
        <v>492</v>
      </c>
      <c r="P3" s="64" t="s">
        <v>510</v>
      </c>
      <c r="Q3" s="64" t="s">
        <v>51</v>
      </c>
      <c r="R3" s="135" t="s">
        <v>459</v>
      </c>
      <c r="S3" s="135" t="s">
        <v>94</v>
      </c>
      <c r="T3" s="135" t="s">
        <v>73</v>
      </c>
      <c r="Z3" s="135"/>
      <c r="AA3" s="134"/>
      <c r="AB3" s="42"/>
      <c r="AC3" s="140">
        <f>IF(G2="Handmatig",#REF!,0%)</f>
        <v>0</v>
      </c>
    </row>
    <row r="4" spans="1:36" ht="13.25" x14ac:dyDescent="0.25">
      <c r="A4" s="5">
        <v>1</v>
      </c>
      <c r="B4" s="5" t="s">
        <v>543</v>
      </c>
      <c r="C4" s="246">
        <f>IF($C$3="Handmatig",D4,2.3%)</f>
        <v>2.3E-2</v>
      </c>
      <c r="D4" s="249">
        <v>0</v>
      </c>
      <c r="E4" s="65">
        <f>SUM(C2,-1)</f>
        <v>2024</v>
      </c>
      <c r="F4" s="66">
        <f>$N$4/Balansprognose!$F$35*-1</f>
        <v>0.97367541848596217</v>
      </c>
      <c r="G4" s="110">
        <f>Balansprognose!F35</f>
        <v>173602000</v>
      </c>
      <c r="H4" s="110" t="s">
        <v>663</v>
      </c>
      <c r="I4" s="155" t="s">
        <v>483</v>
      </c>
      <c r="J4" s="155" t="s">
        <v>662</v>
      </c>
      <c r="K4" s="63" t="s">
        <v>58</v>
      </c>
      <c r="L4" s="63" t="s">
        <v>59</v>
      </c>
      <c r="M4" s="63" t="s">
        <v>60</v>
      </c>
      <c r="N4" s="16">
        <f>SUM('Investeringen &amp; financiering'!P29)</f>
        <v>-169032000</v>
      </c>
      <c r="O4" s="73">
        <f t="shared" ref="O4:O14" si="0">N4/T4</f>
        <v>-3783.1692032229184</v>
      </c>
      <c r="P4" s="16">
        <f t="shared" ref="P4:P14" si="1">SUM(N4,-Q4)</f>
        <v>-175992000</v>
      </c>
      <c r="Q4" s="110">
        <f>SUM(Balansprognose!B15)</f>
        <v>6960000</v>
      </c>
      <c r="R4" s="64"/>
      <c r="S4" s="15"/>
      <c r="T4" s="72">
        <f>C10</f>
        <v>44680</v>
      </c>
      <c r="Z4" s="15"/>
      <c r="AA4" s="73"/>
      <c r="AB4" s="90"/>
      <c r="AC4" s="140">
        <f>IF(G2="Handmatig",#REF!,0%)</f>
        <v>0</v>
      </c>
      <c r="AE4" s="90"/>
    </row>
    <row r="5" spans="1:36" ht="13.25" x14ac:dyDescent="0.25">
      <c r="A5" s="5">
        <v>2</v>
      </c>
      <c r="B5" s="5" t="s">
        <v>567</v>
      </c>
      <c r="C5" s="245">
        <f>IF($C$3="Handmatig",D5,2.6%)</f>
        <v>2.6000000000000002E-2</v>
      </c>
      <c r="D5" s="215">
        <v>0</v>
      </c>
      <c r="E5" s="65">
        <f>SUM(C2)</f>
        <v>2025</v>
      </c>
      <c r="F5" s="66">
        <f>$N$5/$G$5*-1</f>
        <v>0.938320575124441</v>
      </c>
      <c r="G5" s="110">
        <f>SUM(R5,'Inkomsten &amp; uitgaven'!I30,'Investeringen &amp; financiering'!E7,Balansprognose!C39,Balansprognose!C40,Balansprognose!C44)</f>
        <v>192121000</v>
      </c>
      <c r="H5" s="110">
        <f>SUM('Inkomsten &amp; uitgaven'!J30,-'Inkomsten &amp; uitgaven'!K30,'Inkomsten &amp; uitgaven'!G86,'Inkomsten &amp; uitgaven'!G85)</f>
        <v>165172578.75343183</v>
      </c>
      <c r="I5" s="110">
        <f>SUM('Investeringen &amp; financiering'!E7,Balansprognose!C44,-Balansprognose!C45)</f>
        <v>918000</v>
      </c>
      <c r="J5" s="110">
        <f>-SUM('Investeringen &amp; financiering'!C6,'Investeringen &amp; financiering'!F6,'Investeringen &amp; financiering'!G6,'Investeringen &amp; financiering'!H6)</f>
        <v>16778134.797887191</v>
      </c>
      <c r="K5" s="67">
        <f>'Inkomsten &amp; uitgaven'!N30</f>
        <v>8159239.018766393</v>
      </c>
      <c r="L5" s="67">
        <f>'Investeringen &amp; financiering'!T6</f>
        <v>-16145617.22424916</v>
      </c>
      <c r="M5" s="67">
        <f>'Investeringen &amp; financiering'!R30</f>
        <v>-3252709.0079999999</v>
      </c>
      <c r="N5" s="16">
        <f t="shared" ref="N5:N14" si="2">SUM(N4,K5,L5,M5)</f>
        <v>-180271087.21348274</v>
      </c>
      <c r="O5" s="73">
        <f t="shared" si="0"/>
        <v>-4011.9678163237995</v>
      </c>
      <c r="P5" s="16">
        <f t="shared" si="1"/>
        <v>-187231087.21348274</v>
      </c>
      <c r="Q5" s="19">
        <f>SUM('Investeringen &amp; financiering'!C29,'Investeringen &amp; financiering'!D29,-'Investeringen &amp; financiering'!C30,-'Investeringen &amp; financiering'!D30,Balansprognose!C41,Balansprognose!C42)</f>
        <v>6960000</v>
      </c>
      <c r="R5" s="110">
        <f>'Investeringen &amp; financiering'!T30</f>
        <v>198451.68</v>
      </c>
      <c r="S5" s="15">
        <f>SUM('Investeringen &amp; financiering'!S6,'Investeringen &amp; financiering'!S30,'Inkomsten &amp; uitgaven'!M30)</f>
        <v>-3592373.6621637428</v>
      </c>
      <c r="T5" s="72">
        <f>SUM(T4,T4*C12)</f>
        <v>44933.333333333336</v>
      </c>
      <c r="Z5" s="15"/>
      <c r="AA5" s="73"/>
      <c r="AB5" s="90"/>
      <c r="AC5" s="140">
        <f>IF(G2="Handmatig",#REF!,0%)</f>
        <v>0</v>
      </c>
      <c r="AE5" s="113"/>
      <c r="AF5" s="90"/>
    </row>
    <row r="6" spans="1:36" ht="13.25" x14ac:dyDescent="0.25">
      <c r="A6" s="5">
        <v>3</v>
      </c>
      <c r="B6" s="5" t="s">
        <v>544</v>
      </c>
      <c r="C6" s="245">
        <f>IF($C$3="Handmatig",D6,1.4%)</f>
        <v>1.3999999999999999E-2</v>
      </c>
      <c r="D6" s="215">
        <v>0</v>
      </c>
      <c r="E6" s="65">
        <f>SUM(C2,1)</f>
        <v>2026</v>
      </c>
      <c r="F6" s="66">
        <f>$N$6/$G$6*-1</f>
        <v>1.2909476639084583</v>
      </c>
      <c r="G6" s="110">
        <f>SUM(R6,'Inkomsten &amp; uitgaven'!I31,'Investeringen &amp; financiering'!E9)</f>
        <v>164506094.82611999</v>
      </c>
      <c r="H6" s="110">
        <f>SUM('Inkomsten &amp; uitgaven'!J31,-'Inkomsten &amp; uitgaven'!K31,-'Investeringen &amp; financiering'!E8,-S6)</f>
        <v>178337245.19160071</v>
      </c>
      <c r="I6" s="15">
        <f>SUM('Investeringen &amp; financiering'!E9,'Investeringen &amp; financiering'!E8)</f>
        <v>-1411180</v>
      </c>
      <c r="J6" s="110">
        <f>-SUM('Investeringen &amp; financiering'!C8,'Investeringen &amp; financiering'!F8,'Investeringen &amp; financiering'!G8,'Investeringen &amp; financiering'!H8)*SUM(1,-G21)</f>
        <v>17480319.635519464</v>
      </c>
      <c r="K6" s="67">
        <f>'Inkomsten &amp; uitgaven'!N31</f>
        <v>-7943678.9125915924</v>
      </c>
      <c r="L6" s="67">
        <f>'Investeringen &amp; financiering'!T8</f>
        <v>-19860017.598120581</v>
      </c>
      <c r="M6" s="67">
        <f>'Investeringen &amp; financiering'!R32</f>
        <v>-4293975.0902880002</v>
      </c>
      <c r="N6" s="16">
        <f t="shared" si="2"/>
        <v>-212368758.81448293</v>
      </c>
      <c r="O6" s="73">
        <f t="shared" si="0"/>
        <v>-4699.6608501483606</v>
      </c>
      <c r="P6" s="16">
        <f t="shared" si="1"/>
        <v>-218444560.41448292</v>
      </c>
      <c r="Q6" s="110">
        <f>SUM(Q5,-'Investeringen &amp; financiering'!C32,-'Investeringen &amp; financiering'!D32,-'Investeringen &amp; financiering'!N32)</f>
        <v>6075801.5999999996</v>
      </c>
      <c r="R6" s="110">
        <f>'Investeringen &amp; financiering'!T32</f>
        <v>182986.03245714289</v>
      </c>
      <c r="S6" s="15">
        <f>SUM('Investeringen &amp; financiering'!S8,'Investeringen &amp; financiering'!S32,'Inkomsten &amp; uitgaven'!M31)</f>
        <v>-4531019.5853291508</v>
      </c>
      <c r="T6" s="72">
        <f>SUM(T5,T5*C12)</f>
        <v>45188.103053814782</v>
      </c>
      <c r="Z6" s="15"/>
      <c r="AA6" s="73"/>
      <c r="AB6" s="90"/>
      <c r="AC6" s="140">
        <f>IF(G2="Handmatig",#REF!,0%)</f>
        <v>0</v>
      </c>
      <c r="AE6" s="113"/>
      <c r="AF6" s="90"/>
      <c r="AG6" s="90"/>
      <c r="AJ6" s="127"/>
    </row>
    <row r="7" spans="1:36" ht="13.25" x14ac:dyDescent="0.25">
      <c r="A7" s="5">
        <v>4</v>
      </c>
      <c r="B7" s="5" t="s">
        <v>569</v>
      </c>
      <c r="C7" s="245">
        <f>IF($C$3="Handmatig",D7,3.9%)</f>
        <v>3.9E-2</v>
      </c>
      <c r="D7" s="215">
        <v>0</v>
      </c>
      <c r="E7" s="65">
        <f>SUM(C2,2)</f>
        <v>2027</v>
      </c>
      <c r="F7" s="66">
        <f>$N$7/$G$7*-1</f>
        <v>1.3967839535735336</v>
      </c>
      <c r="G7" s="110">
        <f>SUM(R7,'Inkomsten &amp; uitgaven'!I32,'Investeringen &amp; financiering'!E11)</f>
        <v>171625607.97446194</v>
      </c>
      <c r="H7" s="110">
        <f>SUM('Inkomsten &amp; uitgaven'!J32,-'Inkomsten &amp; uitgaven'!K32,-'Investeringen &amp; financiering'!E10,-S7)</f>
        <v>181398785.27111816</v>
      </c>
      <c r="I7" s="15">
        <f>SUM('Investeringen &amp; financiering'!E10,'Investeringen &amp; financiering'!E11)</f>
        <v>-1411180</v>
      </c>
      <c r="J7" s="110">
        <f>-SUM('Investeringen &amp; financiering'!C10,'Investeringen &amp; financiering'!F10,'Investeringen &amp; financiering'!G10,'Investeringen &amp; financiering'!H10)*SUM(1,-G21)</f>
        <v>17581959.129891135</v>
      </c>
      <c r="K7" s="67">
        <f>'Inkomsten &amp; uitgaven'!N32</f>
        <v>-2676355.7400830286</v>
      </c>
      <c r="L7" s="67">
        <f>'Investeringen &amp; financiering'!T10</f>
        <v>-20825484.271474544</v>
      </c>
      <c r="M7" s="67">
        <f>'Investeringen &amp; financiering'!R34</f>
        <v>-3853296.4149898081</v>
      </c>
      <c r="N7" s="16">
        <f t="shared" si="2"/>
        <v>-239723895.24103031</v>
      </c>
      <c r="O7" s="73">
        <f t="shared" si="0"/>
        <v>-5275.1126973368091</v>
      </c>
      <c r="P7" s="16">
        <f t="shared" si="1"/>
        <v>-245799696.8410303</v>
      </c>
      <c r="Q7" s="110">
        <f>SUM(Q6,-'Investeringen &amp; financiering'!C34,-'Investeringen &amp; financiering'!D34,-'Investeringen &amp; financiering'!N34)</f>
        <v>6075801.5999999996</v>
      </c>
      <c r="R7" s="110">
        <f>'Investeringen &amp; financiering'!T34</f>
        <v>192050.55360000001</v>
      </c>
      <c r="S7" s="15">
        <f>SUM('Investeringen &amp; financiering'!S10,'Investeringen &amp; financiering'!S34,'Inkomsten &amp; uitgaven'!M32)</f>
        <v>-5969104.0483575528</v>
      </c>
      <c r="T7" s="72">
        <f>SUM(T6,T6*C12)</f>
        <v>45444.317305686607</v>
      </c>
      <c r="Z7" s="15"/>
      <c r="AA7" s="73"/>
      <c r="AB7" s="90"/>
      <c r="AC7" s="140">
        <f>IF(G2="Handmatig",#REF!,0%)</f>
        <v>0</v>
      </c>
      <c r="AE7" s="113"/>
      <c r="AF7" s="90"/>
      <c r="AG7" s="90"/>
    </row>
    <row r="8" spans="1:36" ht="13.25" x14ac:dyDescent="0.25">
      <c r="A8" s="5">
        <v>5</v>
      </c>
      <c r="B8" s="5" t="s">
        <v>590</v>
      </c>
      <c r="C8" s="245">
        <f>IF($C$3="Handmatig",D8,2.2%)</f>
        <v>2.2000000000000002E-2</v>
      </c>
      <c r="D8" s="215">
        <v>0</v>
      </c>
      <c r="E8" s="65">
        <f>SUM(C2,3)</f>
        <v>2028</v>
      </c>
      <c r="F8" s="66">
        <f>$N$8/$G$8*-1</f>
        <v>1.4608576626274057</v>
      </c>
      <c r="G8" s="110">
        <f>SUM(R8,'Inkomsten &amp; uitgaven'!I33,'Investeringen &amp; financiering'!E13)</f>
        <v>179461077.81219167</v>
      </c>
      <c r="H8" s="110">
        <f>SUM('Inkomsten &amp; uitgaven'!J33,-'Inkomsten &amp; uitgaven'!K33,-'Investeringen &amp; financiering'!E12,-S8)</f>
        <v>184219993.07820705</v>
      </c>
      <c r="I8" s="15">
        <f>SUM('Investeringen &amp; financiering'!E12,'Investeringen &amp; financiering'!E13)</f>
        <v>-1009016</v>
      </c>
      <c r="J8" s="110">
        <f>-SUM('Investeringen &amp; financiering'!C12,'Investeringen &amp; financiering'!F12,'Investeringen &amp; financiering'!G12,'Investeringen &amp; financiering'!H12)*SUM(1,-G21)</f>
        <v>17684280.158267632</v>
      </c>
      <c r="K8" s="67">
        <f>'Inkomsten &amp; uitgaven'!N33</f>
        <v>3370577.5701835304</v>
      </c>
      <c r="L8" s="67">
        <f>'Investeringen &amp; financiering'!T12</f>
        <v>-21523450.428387199</v>
      </c>
      <c r="M8" s="67">
        <f>'Investeringen &amp; financiering'!R36</f>
        <v>-4290322.5660793399</v>
      </c>
      <c r="N8" s="16">
        <f t="shared" si="2"/>
        <v>-262167090.6653133</v>
      </c>
      <c r="O8" s="73">
        <f t="shared" si="0"/>
        <v>-5736.44875160628</v>
      </c>
      <c r="P8" s="16">
        <f t="shared" si="1"/>
        <v>-268242892.2653133</v>
      </c>
      <c r="Q8" s="110">
        <f>SUM(Q7,-'Investeringen &amp; financiering'!C36,-'Investeringen &amp; financiering'!D36,-'Investeringen &amp; financiering'!N36)</f>
        <v>6075801.5999999996</v>
      </c>
      <c r="R8" s="110">
        <f>'Investeringen &amp; financiering'!T36</f>
        <v>202884.64426666667</v>
      </c>
      <c r="S8" s="15">
        <f>SUM('Investeringen &amp; financiering'!S12,'Investeringen &amp; financiering'!S36,'Inkomsten &amp; uitgaven'!M33)</f>
        <v>-7390763.5933322776</v>
      </c>
      <c r="T8" s="72">
        <f>SUM(T7,T7*C12)</f>
        <v>45701.984279368509</v>
      </c>
      <c r="Z8" s="15"/>
      <c r="AA8" s="73"/>
      <c r="AB8" s="90"/>
      <c r="AC8" s="140">
        <f>IF(G2="Handmatig",#REF!,0%)</f>
        <v>0</v>
      </c>
      <c r="AE8" s="113"/>
      <c r="AF8" s="90"/>
      <c r="AG8" s="90"/>
    </row>
    <row r="9" spans="1:36" ht="13.25" x14ac:dyDescent="0.25">
      <c r="A9" s="5">
        <v>6</v>
      </c>
      <c r="B9" s="5" t="s">
        <v>823</v>
      </c>
      <c r="C9" s="245">
        <f>IF($C$3="Handmatig",D9,3.6%)</f>
        <v>3.6000000000000004E-2</v>
      </c>
      <c r="D9" s="215">
        <v>0</v>
      </c>
      <c r="E9" s="65">
        <f>SUM(C2,4)</f>
        <v>2029</v>
      </c>
      <c r="F9" s="66">
        <f>$N$9/$G$9*-1</f>
        <v>1.4867175471929388</v>
      </c>
      <c r="G9" s="110">
        <f>SUM(R9,'Inkomsten &amp; uitgaven'!I34,'Investeringen &amp; financiering'!E15)</f>
        <v>187622102.84026274</v>
      </c>
      <c r="H9" s="110">
        <f>SUM('Inkomsten &amp; uitgaven'!J34,-'Inkomsten &amp; uitgaven'!K34,-'Investeringen &amp; financiering'!E14,-S9)</f>
        <v>186608793.74072284</v>
      </c>
      <c r="I9" s="15">
        <f>SUM('Investeringen &amp; financiering'!E14,'Investeringen &amp; financiering'!E15)</f>
        <v>-606852</v>
      </c>
      <c r="J9" s="110">
        <f>-SUM('Investeringen &amp; financiering'!C14,'Investeringen &amp; financiering'!F14,'Investeringen &amp; financiering'!G14,'Investeringen &amp; financiering'!H14)*SUM(1,-G21)</f>
        <v>17787290.968083389</v>
      </c>
      <c r="K9" s="67">
        <f>'Inkomsten &amp; uitgaven'!N34</f>
        <v>10307907.411379639</v>
      </c>
      <c r="L9" s="67">
        <f>'Investeringen &amp; financiering'!T14</f>
        <v>-22314364.803701006</v>
      </c>
      <c r="M9" s="67">
        <f>'Investeringen &amp; financiering'!R38</f>
        <v>-4767524.4762221118</v>
      </c>
      <c r="N9" s="16">
        <f t="shared" si="2"/>
        <v>-278941072.53385675</v>
      </c>
      <c r="O9" s="73">
        <f t="shared" si="0"/>
        <v>-6069.0670680230114</v>
      </c>
      <c r="P9" s="16">
        <f t="shared" si="1"/>
        <v>-285016874.13385677</v>
      </c>
      <c r="Q9" s="110">
        <f>SUM(Q8,-'Investeringen &amp; financiering'!C38,-'Investeringen &amp; financiering'!D38,-'Investeringen &amp; financiering'!N38)</f>
        <v>6075801.5999999996</v>
      </c>
      <c r="R9" s="110">
        <f>'Investeringen &amp; financiering'!T38</f>
        <v>213670.76014545449</v>
      </c>
      <c r="S9" s="15">
        <f>SUM('Investeringen &amp; financiering'!S14,'Investeringen &amp; financiering'!S38,'Inkomsten &amp; uitgaven'!M34)</f>
        <v>-8628691.084383959</v>
      </c>
      <c r="T9" s="72">
        <f>SUM(T8,T8*C12)</f>
        <v>45961.112211719446</v>
      </c>
      <c r="Z9" s="15"/>
      <c r="AA9" s="73"/>
      <c r="AB9" s="90"/>
      <c r="AC9" s="140">
        <f>IF(G2="Handmatig",#REF!,0%)</f>
        <v>0</v>
      </c>
      <c r="AE9" s="113"/>
      <c r="AF9" s="90"/>
      <c r="AG9" s="90"/>
    </row>
    <row r="10" spans="1:36" ht="13.25" x14ac:dyDescent="0.25">
      <c r="A10" s="5">
        <v>7</v>
      </c>
      <c r="B10" s="5" t="s">
        <v>979</v>
      </c>
      <c r="C10" s="247">
        <f>VLOOKUP($A$2,'Data macro'!$B$2:$F$344,5,0)</f>
        <v>44680</v>
      </c>
      <c r="D10" s="34"/>
      <c r="E10" s="65">
        <f>SUM(C2,5)</f>
        <v>2030</v>
      </c>
      <c r="F10" s="66">
        <f>$N$10/$G$10*-1</f>
        <v>1.4744364016437548</v>
      </c>
      <c r="G10" s="110">
        <f>SUM(R10,'Inkomsten &amp; uitgaven'!I35,'Investeringen &amp; financiering'!E17)</f>
        <v>196124826.93197179</v>
      </c>
      <c r="H10" s="110">
        <f>SUM('Inkomsten &amp; uitgaven'!J35,-'Inkomsten &amp; uitgaven'!K35,-'Investeringen &amp; financiering'!E16,-S10)</f>
        <v>188466338.45660993</v>
      </c>
      <c r="I10" s="15">
        <f>SUM('Investeringen &amp; financiering'!E16,'Investeringen &amp; financiering'!E17)</f>
        <v>-204688</v>
      </c>
      <c r="J10" s="110">
        <f>-SUM('Investeringen &amp; financiering'!C16,'Investeringen &amp; financiering'!F16,'Investeringen &amp; financiering'!G16,'Investeringen &amp; financiering'!H16)*SUM(1,-G21)</f>
        <v>17891000.036085751</v>
      </c>
      <c r="K10" s="67">
        <f>'Inkomsten &amp; uitgaven'!N35</f>
        <v>18229775.238438994</v>
      </c>
      <c r="L10" s="67">
        <f>'Investeringen &amp; financiering'!T16</f>
        <v>-23146331.875926182</v>
      </c>
      <c r="M10" s="67">
        <f>'Investeringen &amp; financiering'!R40</f>
        <v>-5315954.9232367137</v>
      </c>
      <c r="N10" s="16">
        <f t="shared" si="2"/>
        <v>-289173584.09458065</v>
      </c>
      <c r="O10" s="73">
        <f t="shared" si="0"/>
        <v>-6256.228684183734</v>
      </c>
      <c r="P10" s="16">
        <f t="shared" si="1"/>
        <v>-295249385.69458067</v>
      </c>
      <c r="Q10" s="110">
        <f>SUM(Q9,-'Investeringen &amp; financiering'!C40,-'Investeringen &amp; financiering'!D40,-'Investeringen &amp; financiering'!N40)</f>
        <v>6075801.5999999996</v>
      </c>
      <c r="R10" s="110">
        <f>'Investeringen &amp; financiering'!T40</f>
        <v>226385.62559999997</v>
      </c>
      <c r="S10" s="15">
        <f>SUM('Investeringen &amp; financiering'!S16,'Investeringen &amp; financiering'!S40,'Inkomsten &amp; uitgaven'!M35)</f>
        <v>-9610642.6940350831</v>
      </c>
      <c r="T10" s="72">
        <f>SUM(T9,T9*C12)</f>
        <v>46221.709386300965</v>
      </c>
      <c r="Z10" s="15"/>
      <c r="AA10" s="73"/>
      <c r="AB10" s="90"/>
      <c r="AC10" s="140">
        <f>IF(G2="Handmatig",#REF!,0%)</f>
        <v>0</v>
      </c>
      <c r="AE10" s="113"/>
      <c r="AF10" s="90"/>
      <c r="AG10" s="90"/>
    </row>
    <row r="11" spans="1:36" ht="13.25" x14ac:dyDescent="0.25">
      <c r="A11" s="5">
        <v>8</v>
      </c>
      <c r="B11" s="5" t="s">
        <v>977</v>
      </c>
      <c r="C11" s="245">
        <f>'Data macro'!C344</f>
        <v>4.0219373970243714E-3</v>
      </c>
      <c r="D11" s="34"/>
      <c r="E11" s="65">
        <f>SUM(C2,6)</f>
        <v>2031</v>
      </c>
      <c r="F11" s="91">
        <f>$N$11/$G$11*-1</f>
        <v>1.4668706793876347</v>
      </c>
      <c r="G11" s="110">
        <f>SUM(R11,'Inkomsten &amp; uitgaven'!I36,'Investeringen &amp; financiering'!E19)</f>
        <v>204574695.92359507</v>
      </c>
      <c r="H11" s="110">
        <f>SUM('Inkomsten &amp; uitgaven'!J36,-'Inkomsten &amp; uitgaven'!K36,-'Investeringen &amp; financiering'!E18,-S11)</f>
        <v>197490318.94673911</v>
      </c>
      <c r="I11" s="15">
        <f>SUM('Investeringen &amp; financiering'!E18,'Investeringen &amp; financiering'!E19)</f>
        <v>197476</v>
      </c>
      <c r="J11" s="110">
        <f>-SUM('Investeringen &amp; financiering'!C18,'Investeringen &amp; financiering'!F18,'Investeringen &amp; financiering'!G18,'Investeringen &amp; financiering'!H18)*SUM(1,-G21)</f>
        <v>17995416.077238027</v>
      </c>
      <c r="K11" s="67">
        <f>'Inkomsten &amp; uitgaven'!N36</f>
        <v>19070440.575739805</v>
      </c>
      <c r="L11" s="67">
        <f>'Investeringen &amp; financiering'!T18</f>
        <v>-24021454.269800074</v>
      </c>
      <c r="M11" s="67">
        <f>'Investeringen &amp; financiering'!R42</f>
        <v>-5960025.4063217863</v>
      </c>
      <c r="N11" s="16">
        <f t="shared" si="2"/>
        <v>-300084623.19496268</v>
      </c>
      <c r="O11" s="73">
        <f t="shared" si="0"/>
        <v>-6455.6840366570059</v>
      </c>
      <c r="P11" s="16">
        <f t="shared" si="1"/>
        <v>-306160424.7949627</v>
      </c>
      <c r="Q11" s="110">
        <f>SUM(Q10,-'Investeringen &amp; financiering'!C42,-'Investeringen &amp; financiering'!D42,-'Investeringen &amp; financiering'!N42)</f>
        <v>6075801.5999999996</v>
      </c>
      <c r="R11" s="110">
        <f>'Investeringen &amp; financiering'!T42</f>
        <v>241869.92426666658</v>
      </c>
      <c r="S11" s="15">
        <f>SUM('Investeringen &amp; financiering'!S18,'Investeringen &amp; financiering'!S42,'Inkomsten &amp; uitgaven'!M36)</f>
        <v>-10515563.68100814</v>
      </c>
      <c r="T11" s="72">
        <f>SUM(T10,T10*C12)</f>
        <v>46483.784133641973</v>
      </c>
      <c r="Z11" s="15"/>
      <c r="AA11" s="73"/>
      <c r="AB11" s="90"/>
      <c r="AE11" s="113"/>
      <c r="AF11" s="90"/>
      <c r="AG11" s="90"/>
    </row>
    <row r="12" spans="1:36" ht="13.25" x14ac:dyDescent="0.25">
      <c r="A12" s="5">
        <v>9</v>
      </c>
      <c r="B12" s="5" t="s">
        <v>978</v>
      </c>
      <c r="C12" s="245">
        <f>IF(C3="Handmatig",D12,VLOOKUP($A$2,'Data macro'!$B$2:$F$344,2,0))</f>
        <v>5.6699492688749627E-3</v>
      </c>
      <c r="D12" s="215">
        <v>0</v>
      </c>
      <c r="E12" s="65">
        <f>SUM(C2,7)</f>
        <v>2032</v>
      </c>
      <c r="F12" s="66">
        <f>$N$12/$G$12*-1</f>
        <v>1.4659836495043952</v>
      </c>
      <c r="G12" s="110">
        <f>SUM(R12,'Inkomsten &amp; uitgaven'!I37,'Investeringen &amp; financiering'!E21)</f>
        <v>212962047.1528179</v>
      </c>
      <c r="H12" s="110">
        <f>SUM('Inkomsten &amp; uitgaven'!J37,-'Inkomsten &amp; uitgaven'!K37,-'Investeringen &amp; financiering'!E20,-S12)</f>
        <v>206975754.99488077</v>
      </c>
      <c r="I12" s="15">
        <f>SUM('Investeringen &amp; financiering'!E20,'Investeringen &amp; financiering'!E21)</f>
        <v>197476</v>
      </c>
      <c r="J12" s="110">
        <f>-SUM('Investeringen &amp; financiering'!C20,'Investeringen &amp; financiering'!F20,'Investeringen &amp; financiering'!G20,'Investeringen &amp; financiering'!H20)*SUM(1,-G21)</f>
        <v>18100548.053989634</v>
      </c>
      <c r="K12" s="67">
        <f>'Inkomsten &amp; uitgaven'!N37</f>
        <v>19911095.696210369</v>
      </c>
      <c r="L12" s="67">
        <f>'Investeringen &amp; financiering'!T20</f>
        <v>-25354361.279718652</v>
      </c>
      <c r="M12" s="67">
        <f>'Investeringen &amp; financiering'!R44</f>
        <v>-6670990.3125441968</v>
      </c>
      <c r="N12" s="16">
        <f t="shared" si="2"/>
        <v>-312198879.0910151</v>
      </c>
      <c r="O12" s="73">
        <f t="shared" si="0"/>
        <v>-6678.4301914108028</v>
      </c>
      <c r="P12" s="16">
        <f t="shared" si="1"/>
        <v>-318274680.69101512</v>
      </c>
      <c r="Q12" s="110">
        <f>SUM(Q11,-'Investeringen &amp; financiering'!C44,-'Investeringen &amp; financiering'!D44,-'Investeringen &amp; financiering'!N44)</f>
        <v>6075801.5999999996</v>
      </c>
      <c r="R12" s="110">
        <f>'Investeringen &amp; financiering'!T44</f>
        <v>258737.32959999994</v>
      </c>
      <c r="S12" s="15">
        <f>SUM('Investeringen &amp; financiering'!S20,'Investeringen &amp; financiering'!S44,'Inkomsten &amp; uitgaven'!M37)</f>
        <v>-11501859.299807178</v>
      </c>
      <c r="T12" s="72">
        <f>SUM(T11,T11*C12)</f>
        <v>46747.344831505055</v>
      </c>
      <c r="Z12" s="15"/>
      <c r="AA12" s="73"/>
      <c r="AB12" s="90"/>
      <c r="AC12" s="140">
        <f>IF(G2="Handmatig",#REF!,0%)</f>
        <v>0</v>
      </c>
      <c r="AE12" s="113"/>
      <c r="AF12" s="90"/>
      <c r="AG12" s="90"/>
    </row>
    <row r="13" spans="1:36" x14ac:dyDescent="0.25">
      <c r="A13" s="5">
        <v>10</v>
      </c>
      <c r="B13" s="5" t="s">
        <v>976</v>
      </c>
      <c r="C13" s="245">
        <f>IF($C$3="Handmatig",D13,3.8%)</f>
        <v>3.7999999999999999E-2</v>
      </c>
      <c r="D13" s="215">
        <v>0</v>
      </c>
      <c r="E13" s="65">
        <f>SUM(C2,8)</f>
        <v>2033</v>
      </c>
      <c r="F13" s="66">
        <f>$N$13/$G$13*-1</f>
        <v>1.4686609661176597</v>
      </c>
      <c r="G13" s="110">
        <f>SUM(R13,'Inkomsten &amp; uitgaven'!I38,'Investeringen &amp; financiering'!E23)</f>
        <v>221701028.88041738</v>
      </c>
      <c r="H13" s="110">
        <f>SUM('Inkomsten &amp; uitgaven'!J38,-'Inkomsten &amp; uitgaven'!K38,-'Investeringen &amp; financiering'!E22,-S13)</f>
        <v>216899391.86826658</v>
      </c>
      <c r="I13" s="15">
        <f>SUM('Investeringen &amp; financiering'!E22,'Investeringen &amp; financiering'!E23)</f>
        <v>197476</v>
      </c>
      <c r="J13" s="110">
        <f>-SUM('Investeringen &amp; financiering'!C22,'Investeringen &amp; financiering'!F22,'Investeringen &amp; financiering'!G22,'Investeringen &amp; financiering'!H22)*SUM(1,-G21)</f>
        <v>18206405.185928702</v>
      </c>
      <c r="K13" s="67">
        <f>'Inkomsten &amp; uitgaven'!N38</f>
        <v>20748097.779993873</v>
      </c>
      <c r="L13" s="67">
        <f>'Investeringen &amp; financiering'!T22</f>
        <v>-26755990.193787817</v>
      </c>
      <c r="M13" s="67">
        <f>'Investeringen &amp; financiering'!R46</f>
        <v>-7396875.7599839512</v>
      </c>
      <c r="N13" s="16">
        <f t="shared" si="2"/>
        <v>-325603647.26479298</v>
      </c>
      <c r="O13" s="73">
        <f t="shared" si="0"/>
        <v>-6925.9099284802696</v>
      </c>
      <c r="P13" s="16">
        <f t="shared" si="1"/>
        <v>-331679448.864793</v>
      </c>
      <c r="Q13" s="110">
        <f>SUM(Q12,-'Investeringen &amp; financiering'!C46,-'Investeringen &amp; financiering'!D46,-'Investeringen &amp; financiering'!N46)</f>
        <v>6075801.5999999996</v>
      </c>
      <c r="R13" s="110">
        <f>'Investeringen &amp; financiering'!T46</f>
        <v>274725.80845714279</v>
      </c>
      <c r="S13" s="15">
        <f>SUM('Investeringen &amp; financiering'!S22,'Investeringen &amp; financiering'!S46,'Inkomsten &amp; uitgaven'!M38)</f>
        <v>-12528476.794052593</v>
      </c>
      <c r="T13" s="72">
        <f>SUM(T12,T12*C12)</f>
        <v>47012.399905154292</v>
      </c>
      <c r="Z13" s="15"/>
      <c r="AA13" s="73"/>
      <c r="AB13" s="90"/>
      <c r="AC13" s="140">
        <f>IF(G2="Handmatig",#REF!,0%)</f>
        <v>0</v>
      </c>
      <c r="AE13" s="113"/>
      <c r="AF13" s="90"/>
      <c r="AG13" s="90"/>
    </row>
    <row r="14" spans="1:36" x14ac:dyDescent="0.25">
      <c r="A14" s="5">
        <v>11</v>
      </c>
      <c r="B14" s="5" t="s">
        <v>528</v>
      </c>
      <c r="C14" s="245">
        <f>IF($C$3="Handmatig",D14,2.2%)</f>
        <v>2.2000000000000002E-2</v>
      </c>
      <c r="D14" s="215">
        <v>0</v>
      </c>
      <c r="E14" s="65">
        <f>SUM(C2,9)</f>
        <v>2034</v>
      </c>
      <c r="F14" s="66">
        <f>$N$14/$G$14*-1</f>
        <v>1.4748643799872136</v>
      </c>
      <c r="G14" s="110">
        <f>SUM(R14,'Inkomsten &amp; uitgaven'!I39,'Investeringen &amp; financiering'!E25)</f>
        <v>230807080.21527141</v>
      </c>
      <c r="H14" s="110">
        <f>SUM('Inkomsten &amp; uitgaven'!J39,-'Inkomsten &amp; uitgaven'!K39,-'Investeringen &amp; financiering'!E24,-S14)</f>
        <v>227299577.24900091</v>
      </c>
      <c r="I14" s="15">
        <f>SUM('Investeringen &amp; financiering'!E24,'Investeringen &amp; financiering'!E25)</f>
        <v>197476</v>
      </c>
      <c r="J14" s="110">
        <f>-SUM('Investeringen &amp; financiering'!C24,'Investeringen &amp; financiering'!F24,'Investeringen &amp; financiering'!G24,'Investeringen &amp; financiering'!H24)*SUM(1,-G21)</f>
        <v>18312996.959832929</v>
      </c>
      <c r="K14" s="67">
        <f>'Inkomsten &amp; uitgaven'!N39</f>
        <v>21577378.673990503</v>
      </c>
      <c r="L14" s="67">
        <f>'Investeringen &amp; financiering'!T24</f>
        <v>-28229855.557809781</v>
      </c>
      <c r="M14" s="67">
        <f>'Investeringen &amp; financiering'!R48</f>
        <v>-8153017.1097431332</v>
      </c>
      <c r="N14" s="16">
        <f t="shared" si="2"/>
        <v>-340409141.25835538</v>
      </c>
      <c r="O14" s="73">
        <f t="shared" si="0"/>
        <v>-7200.0136403061324</v>
      </c>
      <c r="P14" s="16">
        <f t="shared" si="1"/>
        <v>-346484942.8583554</v>
      </c>
      <c r="Q14" s="110">
        <f>SUM(Q13,-'Investeringen &amp; financiering'!C48,-'Investeringen &amp; financiering'!D48,-'Investeringen &amp; financiering'!N48)</f>
        <v>6075801.5999999996</v>
      </c>
      <c r="R14" s="110">
        <f>'Investeringen &amp; financiering'!T48</f>
        <v>290428.14293333323</v>
      </c>
      <c r="S14" s="15">
        <f>SUM('Investeringen &amp; financiering'!S24,'Investeringen &amp; financiering'!S48,'Inkomsten &amp; uitgaven'!M39)</f>
        <v>-13615132.196561143</v>
      </c>
      <c r="T14" s="72">
        <f>SUM(T13,T13*C12)</f>
        <v>47278.957827624581</v>
      </c>
      <c r="Z14" s="15"/>
      <c r="AA14" s="73"/>
      <c r="AB14" s="90"/>
      <c r="AC14" s="140">
        <f>IF(G2="Handmatig",#REF!,0%)</f>
        <v>0</v>
      </c>
      <c r="AE14" s="113"/>
      <c r="AF14" s="90"/>
      <c r="AG14" s="90"/>
    </row>
    <row r="15" spans="1:36" x14ac:dyDescent="0.25">
      <c r="A15" s="5">
        <v>12</v>
      </c>
      <c r="B15" s="5" t="s">
        <v>83</v>
      </c>
      <c r="C15" s="245">
        <f>IF($C$3="Handmatig",D15,2.4%)</f>
        <v>2.4E-2</v>
      </c>
      <c r="D15" s="215">
        <v>0</v>
      </c>
      <c r="H15" s="5"/>
      <c r="I15" s="5"/>
      <c r="J15" s="3"/>
      <c r="K15" s="3"/>
      <c r="N15" s="3"/>
      <c r="O15" s="3"/>
      <c r="X15" s="18"/>
      <c r="AA15" s="3"/>
    </row>
    <row r="16" spans="1:36" ht="13" x14ac:dyDescent="0.3">
      <c r="A16" s="5">
        <v>13</v>
      </c>
      <c r="B16" s="5" t="s">
        <v>477</v>
      </c>
      <c r="C16" s="245">
        <f>IF($C$3="Handmatig",D16,3.6%)</f>
        <v>3.6000000000000004E-2</v>
      </c>
      <c r="D16" s="215">
        <v>0</v>
      </c>
      <c r="E16" s="5" t="s">
        <v>714</v>
      </c>
      <c r="F16" s="198">
        <f>SUM(F14,-F10)</f>
        <v>4.2797834345886798E-4</v>
      </c>
      <c r="H16" s="5"/>
      <c r="I16" s="5"/>
      <c r="J16" s="1"/>
      <c r="K16" s="186"/>
      <c r="O16" s="62"/>
      <c r="P16" s="67"/>
      <c r="Q16" s="63"/>
      <c r="R16" s="63"/>
      <c r="S16" s="63"/>
      <c r="X16" s="63"/>
      <c r="Y16" s="63"/>
      <c r="Z16" s="63"/>
      <c r="AA16" s="62"/>
    </row>
    <row r="17" spans="1:29" ht="13" x14ac:dyDescent="0.3">
      <c r="A17" s="5">
        <v>14</v>
      </c>
      <c r="B17" s="5" t="s">
        <v>529</v>
      </c>
      <c r="C17" s="245">
        <f>IF($C$3="Handmatig",D17,4.1%)</f>
        <v>4.0999999999999995E-2</v>
      </c>
      <c r="D17" s="215">
        <v>0</v>
      </c>
      <c r="E17" s="189" t="s">
        <v>960</v>
      </c>
      <c r="H17" s="5"/>
      <c r="I17" s="5"/>
      <c r="J17" s="1"/>
      <c r="K17" s="160"/>
      <c r="L17" s="1"/>
      <c r="M17" s="1"/>
      <c r="O17" s="62"/>
      <c r="P17" s="63"/>
      <c r="Q17" s="63"/>
      <c r="R17" s="63"/>
      <c r="S17" s="63"/>
      <c r="X17" s="63"/>
      <c r="Y17" s="64"/>
      <c r="Z17" s="161"/>
      <c r="AA17" s="64"/>
      <c r="AB17" s="1"/>
    </row>
    <row r="18" spans="1:29" x14ac:dyDescent="0.25">
      <c r="A18" s="5">
        <v>15</v>
      </c>
      <c r="B18" s="5" t="s">
        <v>664</v>
      </c>
      <c r="C18" s="248" t="str">
        <f>VLOOKUP($A$2,'Data macro'!$B$2:$F$344,3,0)</f>
        <v>Midden</v>
      </c>
      <c r="D18" s="250"/>
      <c r="E18" s="189" t="s">
        <v>467</v>
      </c>
      <c r="H18" s="5"/>
      <c r="I18" s="5"/>
      <c r="K18" s="3"/>
      <c r="L18" s="5"/>
      <c r="M18" s="5"/>
      <c r="O18" s="62"/>
      <c r="P18" s="63"/>
      <c r="Q18" s="63"/>
      <c r="R18" s="63"/>
      <c r="S18" s="63"/>
      <c r="X18" s="63"/>
      <c r="Y18" s="16"/>
      <c r="Z18" s="162"/>
      <c r="AA18" s="16"/>
      <c r="AB18" s="8"/>
    </row>
    <row r="19" spans="1:29" ht="13" x14ac:dyDescent="0.3">
      <c r="A19" s="163"/>
      <c r="C19" s="58"/>
      <c r="H19" s="5"/>
      <c r="I19" s="5"/>
      <c r="K19" s="6"/>
      <c r="L19" s="4"/>
      <c r="M19" s="4"/>
      <c r="O19" s="62"/>
      <c r="P19" s="63"/>
      <c r="Q19" s="63"/>
      <c r="R19" s="63"/>
      <c r="S19" s="63"/>
      <c r="X19" s="63"/>
      <c r="Y19" s="16"/>
      <c r="Z19" s="162"/>
      <c r="AA19" s="16"/>
      <c r="AB19" s="8"/>
      <c r="AC19" s="142">
        <f>IF(G2="Handmatig",I19,0%)</f>
        <v>0</v>
      </c>
    </row>
    <row r="20" spans="1:29" ht="13" x14ac:dyDescent="0.3">
      <c r="A20" s="295" t="s">
        <v>96</v>
      </c>
      <c r="B20" s="295"/>
      <c r="C20" s="185" t="s">
        <v>834</v>
      </c>
      <c r="D20" s="54" t="s">
        <v>78</v>
      </c>
      <c r="E20" s="89" t="s">
        <v>467</v>
      </c>
      <c r="G20" s="94"/>
      <c r="K20" s="6"/>
      <c r="L20" s="4"/>
      <c r="M20" s="4"/>
      <c r="O20" s="62"/>
      <c r="P20" s="63"/>
      <c r="Q20" s="63"/>
      <c r="R20" s="63"/>
      <c r="S20" s="63"/>
      <c r="X20" s="63"/>
      <c r="Y20" s="16"/>
      <c r="Z20" s="162"/>
      <c r="AA20" s="16"/>
      <c r="AB20" s="8"/>
    </row>
    <row r="21" spans="1:29" x14ac:dyDescent="0.25">
      <c r="A21" s="5">
        <v>16</v>
      </c>
      <c r="B21" s="5" t="s">
        <v>980</v>
      </c>
      <c r="C21" s="34">
        <f>IF($C$20="Handmatig",E21,20%)</f>
        <v>0.2</v>
      </c>
      <c r="D21" s="31"/>
      <c r="E21" s="288">
        <v>7.4999999999999997E-2</v>
      </c>
      <c r="G21" s="14"/>
      <c r="I21" s="4"/>
      <c r="K21" s="6"/>
      <c r="L21" s="4"/>
      <c r="M21" s="4"/>
      <c r="N21" s="191">
        <f>IF(SUM(I39,-K23,-L23,-M23)&lt;0,0.5,0)</f>
        <v>0.5</v>
      </c>
      <c r="O21" s="62"/>
      <c r="P21" s="63"/>
      <c r="Q21" s="63"/>
      <c r="R21" s="63"/>
      <c r="S21" s="63"/>
      <c r="X21" s="63"/>
      <c r="Y21" s="16"/>
      <c r="Z21" s="162"/>
      <c r="AA21" s="16"/>
      <c r="AB21" s="8"/>
      <c r="AC21" s="142"/>
    </row>
    <row r="22" spans="1:29" x14ac:dyDescent="0.25">
      <c r="A22" s="5">
        <v>17</v>
      </c>
      <c r="B22" s="5" t="s">
        <v>981</v>
      </c>
      <c r="C22" s="34">
        <f>IF($C$20="Handmatig",E22,11%)</f>
        <v>0.11</v>
      </c>
      <c r="D22" s="31"/>
      <c r="E22" s="33">
        <v>0</v>
      </c>
      <c r="G22" s="28"/>
      <c r="K22" s="6"/>
      <c r="O22" s="62"/>
      <c r="P22" s="63"/>
      <c r="Q22" s="63"/>
      <c r="R22" s="63"/>
      <c r="S22" s="63"/>
      <c r="V22" s="162"/>
      <c r="W22" s="162"/>
      <c r="X22" s="162"/>
      <c r="Y22" s="16"/>
      <c r="Z22" s="162"/>
      <c r="AA22" s="16"/>
      <c r="AB22" s="8"/>
    </row>
    <row r="23" spans="1:29" x14ac:dyDescent="0.25">
      <c r="A23" s="5">
        <v>18</v>
      </c>
      <c r="B23" s="5" t="s">
        <v>982</v>
      </c>
      <c r="C23" s="34">
        <f>IF($C$20="Handmatig",E23,1%)</f>
        <v>0.01</v>
      </c>
      <c r="D23" s="31"/>
      <c r="E23" s="33">
        <v>0</v>
      </c>
      <c r="H23" s="5"/>
      <c r="I23" s="5"/>
      <c r="J23" s="62"/>
      <c r="K23" s="156">
        <f>IF(Macrogegevens!$C$18="Hoog",1858,0)</f>
        <v>0</v>
      </c>
      <c r="L23" s="151">
        <f>IF(Macrogegevens!$C$18="Midden",1532,0)</f>
        <v>1532</v>
      </c>
      <c r="M23" s="151">
        <f>IF(Macrogegevens!$C$18="Laag",1369,0)</f>
        <v>0</v>
      </c>
      <c r="O23" s="62"/>
      <c r="P23" s="63"/>
      <c r="Q23" s="63"/>
      <c r="R23" s="63"/>
      <c r="S23" s="63"/>
      <c r="V23" s="162"/>
      <c r="W23" s="162"/>
      <c r="X23" s="162"/>
      <c r="Y23" s="65"/>
      <c r="Z23" s="162"/>
      <c r="AA23" s="16"/>
      <c r="AB23" s="8"/>
    </row>
    <row r="24" spans="1:29" x14ac:dyDescent="0.25">
      <c r="A24" s="5">
        <v>19</v>
      </c>
      <c r="B24" s="5" t="s">
        <v>983</v>
      </c>
      <c r="C24" s="34">
        <f>IF($C$20="Handmatig",E24,1%)</f>
        <v>0.01</v>
      </c>
      <c r="D24" s="31"/>
      <c r="E24" s="33">
        <v>0</v>
      </c>
      <c r="H24" s="5"/>
      <c r="I24" s="5"/>
      <c r="J24" s="62"/>
      <c r="K24" s="156">
        <f>IF(Macrogegevens!$C$18="Hoog",2490,0)</f>
        <v>0</v>
      </c>
      <c r="L24" s="189"/>
      <c r="M24" s="189"/>
      <c r="N24" s="191"/>
      <c r="O24" s="63"/>
      <c r="P24" s="63"/>
      <c r="Q24" s="63"/>
      <c r="R24" s="63"/>
      <c r="S24" s="63"/>
      <c r="X24" s="63"/>
      <c r="Y24" s="63"/>
      <c r="Z24" s="63"/>
      <c r="AA24" s="16"/>
      <c r="AB24" s="8"/>
    </row>
    <row r="25" spans="1:29" x14ac:dyDescent="0.25">
      <c r="A25" s="5">
        <v>20</v>
      </c>
      <c r="B25" s="5" t="s">
        <v>984</v>
      </c>
      <c r="C25" s="83">
        <f>IF($C$20="Handmatig",E25,20%)</f>
        <v>0.2</v>
      </c>
      <c r="D25" s="31"/>
      <c r="E25" s="92">
        <v>0</v>
      </c>
      <c r="H25" s="5"/>
      <c r="I25" s="5"/>
      <c r="J25" s="62"/>
      <c r="K25" s="188">
        <f>SUM(20.001%,-G25)</f>
        <v>0.20001000000000002</v>
      </c>
      <c r="L25" s="188"/>
      <c r="M25" s="188"/>
      <c r="N25" s="190"/>
      <c r="O25" s="63"/>
      <c r="P25" s="63"/>
      <c r="Q25" s="63"/>
      <c r="R25" s="63"/>
      <c r="S25" s="63"/>
      <c r="X25" s="63"/>
      <c r="Y25" s="63"/>
      <c r="Z25" s="63"/>
      <c r="AA25" s="16"/>
      <c r="AB25" s="8"/>
    </row>
    <row r="26" spans="1:29" x14ac:dyDescent="0.25">
      <c r="A26" s="5">
        <v>21</v>
      </c>
      <c r="B26" s="5" t="s">
        <v>985</v>
      </c>
      <c r="C26" s="83">
        <f>IF($C$20="Handmatig",E26,20%)</f>
        <v>0.2</v>
      </c>
      <c r="D26" s="31"/>
      <c r="E26" s="92">
        <v>0</v>
      </c>
      <c r="H26" s="5"/>
      <c r="I26" s="5"/>
      <c r="J26" s="62"/>
      <c r="K26" s="192">
        <f>SUM($G$38,-20%)</f>
        <v>-0.2</v>
      </c>
      <c r="L26" s="192"/>
      <c r="M26" s="192"/>
      <c r="N26" s="191"/>
      <c r="O26" s="63"/>
      <c r="P26" s="63"/>
      <c r="Q26" s="63"/>
      <c r="R26" s="63"/>
      <c r="S26" s="63"/>
      <c r="X26" s="63"/>
      <c r="Y26" s="63"/>
      <c r="Z26" s="63"/>
      <c r="AA26" s="16"/>
      <c r="AB26" s="8"/>
    </row>
    <row r="27" spans="1:29" x14ac:dyDescent="0.25">
      <c r="A27" s="5">
        <v>22</v>
      </c>
      <c r="B27" s="5" t="s">
        <v>986</v>
      </c>
      <c r="C27" s="83">
        <f>IF($C$20="Handmatig",E27,12%)</f>
        <v>0.12</v>
      </c>
      <c r="D27" s="32"/>
      <c r="E27" s="92">
        <v>0.1</v>
      </c>
      <c r="H27" s="5"/>
      <c r="I27" s="5"/>
      <c r="J27" s="62"/>
      <c r="K27" s="189">
        <f>IF(SUM(N29,N31,N38)&gt;0,1,0)</f>
        <v>0</v>
      </c>
      <c r="L27" s="189"/>
      <c r="M27" s="189"/>
      <c r="N27" s="191"/>
      <c r="O27" s="63"/>
      <c r="P27" s="63"/>
      <c r="Q27" s="63"/>
      <c r="R27" s="63"/>
      <c r="S27" s="63"/>
      <c r="X27" s="63"/>
      <c r="Y27" s="63"/>
      <c r="Z27" s="63"/>
      <c r="AA27" s="16"/>
      <c r="AB27" s="8"/>
    </row>
    <row r="28" spans="1:29" x14ac:dyDescent="0.25">
      <c r="A28" s="5">
        <v>23</v>
      </c>
      <c r="B28" s="5" t="s">
        <v>987</v>
      </c>
      <c r="C28" s="83">
        <f>IF($C$20="Handmatig",E28,12%)</f>
        <v>0.12</v>
      </c>
      <c r="D28" s="32"/>
      <c r="E28" s="92">
        <v>0.1</v>
      </c>
      <c r="H28" s="5"/>
      <c r="I28" s="5"/>
      <c r="J28" s="62"/>
      <c r="K28" s="192">
        <f>SUM(100%,-$G$28)</f>
        <v>1</v>
      </c>
      <c r="L28" s="192"/>
      <c r="M28" s="192"/>
      <c r="N28" s="190"/>
      <c r="O28" s="63"/>
      <c r="P28" s="63"/>
      <c r="Q28" s="63"/>
      <c r="R28" s="63"/>
      <c r="S28" s="63"/>
      <c r="X28" s="63"/>
      <c r="Y28" s="63"/>
      <c r="Z28" s="63"/>
      <c r="AA28" s="16"/>
      <c r="AB28" s="8"/>
    </row>
    <row r="29" spans="1:29" x14ac:dyDescent="0.25">
      <c r="A29" s="5">
        <v>24</v>
      </c>
      <c r="B29" s="5" t="s">
        <v>464</v>
      </c>
      <c r="C29" s="128"/>
      <c r="D29" s="32"/>
      <c r="E29" s="88"/>
      <c r="H29" s="5"/>
      <c r="I29" s="5"/>
      <c r="J29" s="62"/>
      <c r="K29" s="192">
        <f>SUM(130%,-$G$28)</f>
        <v>1.3</v>
      </c>
      <c r="L29" s="192"/>
      <c r="M29" s="192"/>
      <c r="N29" s="190"/>
      <c r="O29" s="63"/>
      <c r="P29" s="63"/>
      <c r="Q29" s="63"/>
      <c r="R29" s="63"/>
      <c r="S29" s="63"/>
      <c r="X29" s="63"/>
      <c r="Y29" s="63"/>
      <c r="Z29" s="63"/>
      <c r="AA29" s="62"/>
    </row>
    <row r="30" spans="1:29" x14ac:dyDescent="0.25">
      <c r="A30" s="5">
        <v>25</v>
      </c>
      <c r="B30" s="5" t="s">
        <v>988</v>
      </c>
      <c r="C30" s="34">
        <f>IF($C$20="Handmatig",E30,0.5%)</f>
        <v>5.0000000000000001E-3</v>
      </c>
      <c r="D30" s="32"/>
      <c r="E30" s="33">
        <v>5.0000000000000001E-3</v>
      </c>
      <c r="H30" s="5"/>
      <c r="I30" s="5"/>
      <c r="J30" s="62"/>
      <c r="K30" s="192">
        <f>SUM(90%,-0.12*$G$29,0.7*$G$30,-$G$28)</f>
        <v>0.9</v>
      </c>
      <c r="L30" s="192"/>
      <c r="M30" s="192"/>
      <c r="N30" s="190"/>
      <c r="O30" s="63"/>
      <c r="P30" s="63"/>
      <c r="Q30" s="63"/>
      <c r="R30" s="63"/>
      <c r="S30" s="63"/>
      <c r="X30" s="63"/>
      <c r="Y30" s="63"/>
      <c r="Z30" s="63"/>
      <c r="AA30" s="62"/>
    </row>
    <row r="31" spans="1:29" x14ac:dyDescent="0.25">
      <c r="A31" s="5">
        <v>26</v>
      </c>
      <c r="B31" s="5" t="s">
        <v>989</v>
      </c>
      <c r="C31" s="34">
        <f>IF($C$20="Handmatig",E31,1%)</f>
        <v>0.01</v>
      </c>
      <c r="D31" s="32"/>
      <c r="E31" s="33">
        <v>0.01</v>
      </c>
      <c r="H31" s="5"/>
      <c r="I31" s="5"/>
      <c r="J31" s="62"/>
      <c r="K31" s="192">
        <f>SUM(120%,-0.12*$G$29,0.7*$G$30,-$G$28)</f>
        <v>1.2</v>
      </c>
      <c r="L31" s="192"/>
      <c r="M31" s="192"/>
      <c r="N31" s="190"/>
      <c r="O31" s="63"/>
      <c r="P31" s="63"/>
      <c r="Q31" s="63"/>
      <c r="R31" s="63"/>
      <c r="S31" s="63"/>
      <c r="X31" s="63"/>
      <c r="Y31" s="63"/>
      <c r="Z31" s="63"/>
      <c r="AA31" s="62"/>
    </row>
    <row r="32" spans="1:29" x14ac:dyDescent="0.25">
      <c r="A32" s="5">
        <v>27</v>
      </c>
      <c r="B32" s="5" t="s">
        <v>990</v>
      </c>
      <c r="C32" s="34">
        <f>IF($C$20="Handmatig",E32,1.5%)</f>
        <v>1.4999999999999999E-2</v>
      </c>
      <c r="D32" s="32"/>
      <c r="E32" s="33">
        <v>1.4999999999999999E-2</v>
      </c>
      <c r="H32" s="5"/>
      <c r="I32" s="5"/>
      <c r="J32" s="62"/>
      <c r="K32" s="157">
        <f>IF(K33&lt;0,1,0)</f>
        <v>0</v>
      </c>
      <c r="L32" s="157"/>
      <c r="M32" s="157"/>
      <c r="N32" s="190"/>
      <c r="O32" s="63"/>
      <c r="P32" s="63"/>
      <c r="Q32" s="63"/>
      <c r="R32" s="63"/>
      <c r="S32" s="63"/>
      <c r="X32" s="63"/>
      <c r="Y32" s="63"/>
      <c r="Z32" s="63"/>
      <c r="AA32" s="62"/>
    </row>
    <row r="33" spans="1:29" x14ac:dyDescent="0.25">
      <c r="A33" s="5">
        <v>28</v>
      </c>
      <c r="B33" s="5" t="s">
        <v>444</v>
      </c>
      <c r="C33" s="35">
        <f>'Inkomsten &amp; uitgaven'!M13</f>
        <v>1633533.8222111333</v>
      </c>
      <c r="D33" s="32"/>
      <c r="E33" s="34"/>
      <c r="H33" s="5"/>
      <c r="I33" s="5"/>
      <c r="J33" s="62"/>
      <c r="K33" s="193">
        <f>G33</f>
        <v>0</v>
      </c>
      <c r="L33" s="193"/>
      <c r="M33" s="193"/>
      <c r="N33" s="190"/>
      <c r="O33" s="63"/>
      <c r="P33" s="63"/>
      <c r="Q33" s="63"/>
      <c r="R33" s="63"/>
      <c r="S33" s="63"/>
      <c r="X33" s="63"/>
      <c r="Y33" s="63"/>
      <c r="Z33" s="63"/>
      <c r="AA33" s="62"/>
    </row>
    <row r="34" spans="1:29" x14ac:dyDescent="0.25">
      <c r="A34" s="5">
        <v>29</v>
      </c>
      <c r="B34" s="5" t="s">
        <v>573</v>
      </c>
      <c r="C34" s="35">
        <f>'Inkomsten &amp; uitgaven'!M14</f>
        <v>118776689.75343183</v>
      </c>
      <c r="D34" s="32"/>
      <c r="E34" s="34"/>
      <c r="H34" s="5"/>
      <c r="I34" s="5"/>
      <c r="J34" s="62"/>
      <c r="K34" s="189"/>
      <c r="L34" s="189"/>
      <c r="M34" s="193"/>
      <c r="N34" s="190"/>
      <c r="O34" s="63"/>
      <c r="P34" s="63"/>
      <c r="Q34" s="63"/>
      <c r="R34" s="63"/>
      <c r="S34" s="63"/>
      <c r="X34" s="63"/>
      <c r="Y34" s="63"/>
      <c r="Z34" s="63"/>
      <c r="AA34" s="62"/>
    </row>
    <row r="35" spans="1:29" x14ac:dyDescent="0.25">
      <c r="A35" s="5">
        <v>30</v>
      </c>
      <c r="B35" s="5" t="s">
        <v>991</v>
      </c>
      <c r="C35" s="215">
        <f>VLOOKUP('Financiele conditie'!B2,'Kengetallen 2024'!B2:I344,8)</f>
        <v>5.0200000000000002E-2</v>
      </c>
      <c r="D35" s="118">
        <f>C35*SUM(C33,C34)</f>
        <v>6044593.2234972771</v>
      </c>
      <c r="E35" s="88"/>
      <c r="H35" s="5"/>
      <c r="I35" s="5"/>
      <c r="J35" s="62"/>
      <c r="K35" s="193">
        <f>G35</f>
        <v>0</v>
      </c>
      <c r="L35" s="193"/>
      <c r="M35" s="193"/>
      <c r="N35" s="190"/>
      <c r="O35" s="63"/>
      <c r="P35" s="63"/>
      <c r="Q35" s="63"/>
      <c r="R35" s="63"/>
      <c r="S35" s="63"/>
      <c r="X35" s="63"/>
      <c r="Y35" s="63"/>
      <c r="Z35" s="63"/>
      <c r="AA35" s="62"/>
    </row>
    <row r="36" spans="1:29" x14ac:dyDescent="0.25">
      <c r="A36" s="5">
        <v>31</v>
      </c>
      <c r="B36" s="5" t="s">
        <v>574</v>
      </c>
      <c r="C36" s="68">
        <v>1</v>
      </c>
      <c r="D36" s="118">
        <f>D35*C36*5</f>
        <v>30222966.117486387</v>
      </c>
      <c r="E36" s="88"/>
      <c r="H36" s="5"/>
      <c r="I36" s="5"/>
      <c r="J36" s="62"/>
      <c r="K36" s="157">
        <f>IF($H$37&lt;1%,1,0)</f>
        <v>1</v>
      </c>
      <c r="L36" s="157"/>
      <c r="M36" s="191"/>
      <c r="N36" s="191"/>
      <c r="O36" s="63"/>
      <c r="P36" s="63"/>
      <c r="Q36" s="63"/>
      <c r="R36" s="63"/>
      <c r="S36" s="63"/>
      <c r="X36" s="63"/>
      <c r="Y36" s="63"/>
      <c r="Z36" s="63"/>
      <c r="AA36" s="62"/>
    </row>
    <row r="37" spans="1:29" x14ac:dyDescent="0.25">
      <c r="A37" s="5">
        <v>32</v>
      </c>
      <c r="B37" s="5" t="s">
        <v>992</v>
      </c>
      <c r="C37" s="207">
        <f>E37</f>
        <v>0</v>
      </c>
      <c r="D37" s="93"/>
      <c r="E37" s="206">
        <v>0</v>
      </c>
      <c r="H37" s="5"/>
      <c r="I37" s="5"/>
      <c r="J37" s="62"/>
      <c r="K37" s="157">
        <f>IF($H$37&lt;0%,1,0)</f>
        <v>0</v>
      </c>
      <c r="L37" s="157"/>
      <c r="M37" s="157"/>
      <c r="N37" s="191"/>
      <c r="O37" s="63"/>
      <c r="P37" s="63"/>
      <c r="Q37" s="63"/>
      <c r="R37" s="63"/>
      <c r="S37" s="63"/>
      <c r="X37" s="63"/>
      <c r="Y37" s="63"/>
      <c r="Z37" s="63"/>
      <c r="AA37" s="62"/>
    </row>
    <row r="38" spans="1:29" x14ac:dyDescent="0.25">
      <c r="H38" s="5"/>
      <c r="I38" s="5"/>
      <c r="J38" s="62"/>
      <c r="K38" s="192">
        <f>G38</f>
        <v>0</v>
      </c>
      <c r="L38" s="192"/>
      <c r="M38" s="192"/>
      <c r="N38" s="191"/>
      <c r="O38" s="63"/>
      <c r="P38" s="63"/>
      <c r="Q38" s="63"/>
      <c r="R38" s="63"/>
      <c r="S38" s="63"/>
      <c r="X38" s="63"/>
      <c r="Y38" s="63"/>
      <c r="Z38" s="63"/>
      <c r="AA38" s="62"/>
    </row>
    <row r="39" spans="1:29" x14ac:dyDescent="0.25">
      <c r="H39" s="5"/>
      <c r="I39" s="5"/>
      <c r="J39" s="62"/>
      <c r="K39" s="151">
        <f>IF(Macrogegevens!$C$18="Hoog",1809,0)</f>
        <v>0</v>
      </c>
      <c r="L39" s="151"/>
      <c r="M39" s="151"/>
      <c r="N39" s="190"/>
      <c r="O39" s="63"/>
      <c r="P39" s="63"/>
      <c r="Q39" s="63"/>
      <c r="R39" s="63"/>
      <c r="S39" s="63"/>
      <c r="X39" s="63"/>
      <c r="Y39" s="63"/>
      <c r="Z39" s="63"/>
      <c r="AA39" s="62"/>
    </row>
    <row r="40" spans="1:29" x14ac:dyDescent="0.25">
      <c r="H40" s="5"/>
      <c r="I40" s="5"/>
      <c r="J40" s="62"/>
      <c r="K40" s="151">
        <f>IF(Macrogegevens!$C$18="Hoog",2549,0)</f>
        <v>0</v>
      </c>
      <c r="L40" s="151"/>
      <c r="M40" s="151"/>
      <c r="N40" s="190"/>
      <c r="O40" s="63"/>
      <c r="P40" s="63"/>
      <c r="Q40" s="63"/>
      <c r="R40" s="63"/>
      <c r="S40" s="63"/>
      <c r="X40" s="63"/>
      <c r="Y40" s="63"/>
      <c r="Z40" s="63"/>
      <c r="AA40" s="62"/>
    </row>
    <row r="41" spans="1:29" x14ac:dyDescent="0.25">
      <c r="H41" s="5"/>
      <c r="I41" s="5"/>
      <c r="J41" s="62"/>
      <c r="K41" s="189"/>
      <c r="L41" s="189"/>
      <c r="M41" s="193"/>
      <c r="N41" s="190"/>
      <c r="O41" s="63"/>
      <c r="P41" s="63"/>
      <c r="Q41" s="63"/>
      <c r="R41" s="63"/>
      <c r="S41" s="63"/>
      <c r="X41" s="63"/>
      <c r="Y41" s="63"/>
      <c r="Z41" s="63"/>
      <c r="AA41" s="62"/>
    </row>
    <row r="42" spans="1:29" x14ac:dyDescent="0.25">
      <c r="H42" s="5"/>
      <c r="I42" s="5"/>
      <c r="J42" s="62"/>
      <c r="K42" s="192"/>
      <c r="L42" s="192"/>
      <c r="M42" s="193"/>
      <c r="N42" s="190"/>
      <c r="O42" s="63"/>
      <c r="P42" s="63"/>
      <c r="Q42" s="63"/>
      <c r="R42" s="63"/>
      <c r="S42" s="63"/>
      <c r="X42" s="63"/>
      <c r="Y42" s="63"/>
      <c r="Z42" s="63"/>
      <c r="AA42" s="62"/>
    </row>
    <row r="43" spans="1:29" x14ac:dyDescent="0.25">
      <c r="H43" s="5"/>
      <c r="I43" s="5"/>
      <c r="J43" s="62"/>
      <c r="K43" s="62"/>
      <c r="L43" s="62"/>
      <c r="M43" s="62"/>
      <c r="N43" s="62"/>
      <c r="O43" s="63"/>
      <c r="P43" s="63"/>
      <c r="Q43" s="63"/>
      <c r="R43" s="63"/>
      <c r="S43" s="63"/>
      <c r="V43" s="162"/>
      <c r="W43" s="162"/>
      <c r="X43" s="162"/>
      <c r="Y43" s="65"/>
      <c r="Z43" s="63"/>
      <c r="AA43" s="62"/>
    </row>
    <row r="44" spans="1:29" x14ac:dyDescent="0.25">
      <c r="J44" s="62"/>
      <c r="K44" s="62"/>
      <c r="L44" s="63"/>
      <c r="M44" s="63"/>
      <c r="N44" s="62"/>
      <c r="O44" s="63"/>
      <c r="P44" s="63"/>
      <c r="Q44" s="63"/>
      <c r="R44" s="63"/>
      <c r="S44" s="63"/>
      <c r="V44" s="162"/>
      <c r="W44" s="162"/>
      <c r="X44" s="162"/>
      <c r="Y44" s="63"/>
      <c r="Z44" s="63"/>
      <c r="AA44" s="62"/>
    </row>
    <row r="45" spans="1:29" ht="13" x14ac:dyDescent="0.3">
      <c r="O45" s="62"/>
      <c r="P45" s="62"/>
      <c r="Q45" s="161"/>
      <c r="R45" s="62"/>
      <c r="S45" s="62"/>
      <c r="T45" s="62"/>
      <c r="U45" s="62"/>
      <c r="V45" s="62"/>
      <c r="W45" s="62"/>
      <c r="X45" s="62"/>
      <c r="Y45" s="62"/>
      <c r="Z45" s="62"/>
      <c r="AA45" s="62"/>
      <c r="AC45" s="140" t="s">
        <v>104</v>
      </c>
    </row>
    <row r="46" spans="1:29" x14ac:dyDescent="0.25">
      <c r="O46" s="62"/>
      <c r="P46" s="62"/>
      <c r="Q46" s="62"/>
      <c r="R46" s="62"/>
      <c r="S46" s="62"/>
      <c r="T46" s="62"/>
      <c r="U46" s="62"/>
      <c r="V46" s="62"/>
      <c r="W46" s="62"/>
      <c r="X46" s="62"/>
      <c r="Y46" s="62"/>
      <c r="Z46" s="62"/>
      <c r="AA46" s="62"/>
      <c r="AC46" s="140" t="s">
        <v>236</v>
      </c>
    </row>
    <row r="47" spans="1:29" x14ac:dyDescent="0.25">
      <c r="O47" s="62"/>
      <c r="P47" s="62"/>
      <c r="Q47" s="62"/>
      <c r="R47" s="62"/>
      <c r="S47" s="62"/>
      <c r="T47" s="62"/>
      <c r="U47" s="62"/>
      <c r="V47" s="62"/>
      <c r="W47" s="62"/>
      <c r="X47" s="62"/>
      <c r="Y47" s="62"/>
      <c r="Z47" s="62"/>
      <c r="AA47" s="62"/>
      <c r="AC47" s="140" t="s">
        <v>163</v>
      </c>
    </row>
    <row r="48" spans="1:29" x14ac:dyDescent="0.25">
      <c r="O48" s="62"/>
      <c r="P48" s="62"/>
      <c r="Q48" s="62"/>
      <c r="R48" s="62"/>
      <c r="S48" s="62"/>
      <c r="T48" s="62"/>
      <c r="U48" s="62"/>
      <c r="V48" s="62"/>
      <c r="W48" s="62"/>
      <c r="X48" s="62"/>
      <c r="Y48" s="62"/>
      <c r="Z48" s="62"/>
      <c r="AA48" s="62"/>
      <c r="AC48" s="140" t="s">
        <v>125</v>
      </c>
    </row>
    <row r="49" spans="7:29" x14ac:dyDescent="0.25">
      <c r="O49" s="62"/>
      <c r="P49" s="62"/>
      <c r="Q49" s="62"/>
      <c r="R49" s="62"/>
      <c r="S49" s="62"/>
      <c r="T49" s="62"/>
      <c r="U49" s="62"/>
      <c r="V49" s="62"/>
      <c r="W49" s="62"/>
      <c r="X49" s="62"/>
      <c r="Y49" s="199"/>
      <c r="Z49" s="201"/>
      <c r="AA49" s="62"/>
      <c r="AC49" s="140" t="s">
        <v>281</v>
      </c>
    </row>
    <row r="50" spans="7:29" x14ac:dyDescent="0.25">
      <c r="O50" s="62"/>
      <c r="P50" s="62"/>
      <c r="Q50" s="63"/>
      <c r="R50" s="63"/>
      <c r="S50" s="63"/>
      <c r="X50" s="63"/>
      <c r="Y50" s="200"/>
      <c r="Z50" s="63"/>
      <c r="AA50" s="200"/>
      <c r="AC50" s="140" t="s">
        <v>282</v>
      </c>
    </row>
    <row r="51" spans="7:29" x14ac:dyDescent="0.25">
      <c r="O51" s="62"/>
      <c r="P51" s="62"/>
      <c r="Q51" s="63"/>
      <c r="R51" s="63"/>
      <c r="S51" s="63"/>
      <c r="X51" s="63"/>
      <c r="Y51" s="63"/>
      <c r="Z51" s="63"/>
      <c r="AA51" s="62"/>
      <c r="AC51" s="140" t="s">
        <v>237</v>
      </c>
    </row>
    <row r="52" spans="7:29" x14ac:dyDescent="0.25">
      <c r="O52" s="62"/>
      <c r="P52" s="62"/>
      <c r="Q52" s="63"/>
      <c r="R52" s="63"/>
      <c r="S52" s="63"/>
      <c r="X52" s="63"/>
      <c r="Y52" s="63"/>
      <c r="Z52" s="63"/>
      <c r="AA52" s="62"/>
      <c r="AC52" s="140" t="s">
        <v>139</v>
      </c>
    </row>
    <row r="53" spans="7:29" x14ac:dyDescent="0.25">
      <c r="O53" s="62"/>
      <c r="P53" s="62"/>
      <c r="Q53" s="63"/>
      <c r="R53" s="63"/>
      <c r="S53" s="63"/>
      <c r="X53" s="63"/>
      <c r="Y53" s="63"/>
      <c r="Z53" s="63"/>
      <c r="AA53" s="62"/>
      <c r="AC53" s="140" t="s">
        <v>427</v>
      </c>
    </row>
    <row r="54" spans="7:29" x14ac:dyDescent="0.25">
      <c r="O54" s="62"/>
      <c r="P54" s="62"/>
      <c r="Q54" s="63"/>
      <c r="R54" s="63"/>
      <c r="S54" s="63"/>
      <c r="X54" s="63"/>
      <c r="Y54" s="63"/>
      <c r="Z54" s="63"/>
      <c r="AA54" s="62"/>
      <c r="AC54" s="140" t="s">
        <v>283</v>
      </c>
    </row>
    <row r="55" spans="7:29" x14ac:dyDescent="0.25">
      <c r="O55" s="62"/>
      <c r="P55" s="62"/>
      <c r="Q55" s="63"/>
      <c r="R55" s="63"/>
      <c r="S55" s="63"/>
      <c r="X55" s="63"/>
      <c r="Y55" s="63"/>
      <c r="Z55" s="63"/>
      <c r="AA55" s="62"/>
      <c r="AC55" s="140" t="s">
        <v>341</v>
      </c>
    </row>
    <row r="56" spans="7:29" x14ac:dyDescent="0.25">
      <c r="O56" s="62"/>
      <c r="P56" s="62"/>
      <c r="Q56" s="63"/>
      <c r="R56" s="63"/>
      <c r="S56" s="63"/>
      <c r="X56" s="63"/>
      <c r="Y56" s="63"/>
      <c r="Z56" s="63"/>
      <c r="AA56" s="62"/>
      <c r="AC56" s="140" t="s">
        <v>591</v>
      </c>
    </row>
    <row r="57" spans="7:29" x14ac:dyDescent="0.25">
      <c r="G57" s="3"/>
      <c r="J57" s="3"/>
      <c r="K57" s="3"/>
      <c r="N57" s="3"/>
      <c r="O57" s="63"/>
      <c r="P57" s="63"/>
      <c r="Q57" s="63"/>
      <c r="R57" s="63"/>
      <c r="S57" s="63"/>
      <c r="X57" s="63"/>
      <c r="Y57" s="63"/>
      <c r="Z57" s="63"/>
      <c r="AA57" s="62"/>
      <c r="AC57" s="140" t="s">
        <v>126</v>
      </c>
    </row>
    <row r="58" spans="7:29" x14ac:dyDescent="0.25">
      <c r="G58" s="3"/>
      <c r="J58" s="3"/>
      <c r="K58" s="3"/>
      <c r="N58" s="3"/>
      <c r="O58" s="63"/>
      <c r="P58" s="63"/>
      <c r="Q58" s="63"/>
      <c r="R58" s="63"/>
      <c r="S58" s="63"/>
      <c r="X58" s="63"/>
      <c r="Y58" s="63"/>
      <c r="Z58" s="63"/>
      <c r="AA58" s="62"/>
      <c r="AC58" s="140" t="s">
        <v>212</v>
      </c>
    </row>
    <row r="59" spans="7:29" x14ac:dyDescent="0.25">
      <c r="G59" s="3"/>
      <c r="J59" s="3"/>
      <c r="K59" s="3"/>
      <c r="N59" s="3"/>
      <c r="O59" s="63"/>
      <c r="P59" s="63"/>
      <c r="Q59" s="63"/>
      <c r="R59" s="63"/>
      <c r="S59" s="63"/>
      <c r="X59" s="63"/>
      <c r="Y59" s="63"/>
      <c r="Z59" s="63"/>
      <c r="AA59" s="62"/>
      <c r="AC59" s="140" t="s">
        <v>238</v>
      </c>
    </row>
    <row r="60" spans="7:29" x14ac:dyDescent="0.25">
      <c r="G60" s="3"/>
      <c r="J60" s="3"/>
      <c r="K60" s="3"/>
      <c r="N60" s="3"/>
      <c r="O60" s="63"/>
      <c r="P60" s="63"/>
      <c r="Q60" s="63"/>
      <c r="R60" s="63"/>
      <c r="S60" s="63"/>
      <c r="X60" s="63"/>
      <c r="Y60" s="63"/>
      <c r="Z60" s="63"/>
      <c r="AA60" s="62"/>
      <c r="AC60" s="140" t="s">
        <v>239</v>
      </c>
    </row>
    <row r="61" spans="7:29" x14ac:dyDescent="0.25">
      <c r="G61" s="3"/>
      <c r="J61" s="3"/>
      <c r="K61" s="3"/>
      <c r="N61" s="3"/>
      <c r="O61" s="63"/>
      <c r="P61" s="63"/>
      <c r="Q61" s="63"/>
      <c r="R61" s="63"/>
      <c r="S61" s="63"/>
      <c r="X61" s="63"/>
      <c r="Y61" s="63"/>
      <c r="Z61" s="63"/>
      <c r="AA61" s="62"/>
      <c r="AC61" s="140" t="s">
        <v>164</v>
      </c>
    </row>
    <row r="62" spans="7:29" x14ac:dyDescent="0.25">
      <c r="G62" s="3"/>
      <c r="J62" s="3"/>
      <c r="K62" s="3"/>
      <c r="N62" s="3"/>
      <c r="O62" s="63"/>
      <c r="P62" s="63"/>
      <c r="Q62" s="63"/>
      <c r="R62" s="63"/>
      <c r="S62" s="63"/>
      <c r="X62" s="63"/>
      <c r="Y62" s="63"/>
      <c r="Z62" s="63"/>
      <c r="AA62" s="62"/>
      <c r="AC62" s="140" t="s">
        <v>117</v>
      </c>
    </row>
    <row r="63" spans="7:29" x14ac:dyDescent="0.25">
      <c r="G63" s="3"/>
      <c r="J63" s="3"/>
      <c r="K63" s="3"/>
      <c r="N63" s="3"/>
      <c r="O63" s="63"/>
      <c r="P63" s="63"/>
      <c r="Q63" s="63"/>
      <c r="R63" s="63"/>
      <c r="S63" s="63"/>
      <c r="X63" s="63"/>
      <c r="Y63" s="63"/>
      <c r="Z63" s="63"/>
      <c r="AA63" s="62"/>
      <c r="AC63" s="140" t="s">
        <v>165</v>
      </c>
    </row>
    <row r="64" spans="7:29" x14ac:dyDescent="0.25">
      <c r="G64" s="3"/>
      <c r="J64" s="3"/>
      <c r="K64" s="3"/>
      <c r="N64" s="3"/>
      <c r="O64" s="63"/>
      <c r="P64" s="63"/>
      <c r="Q64" s="63"/>
      <c r="R64" s="63"/>
      <c r="S64" s="63"/>
      <c r="X64" s="63"/>
      <c r="Y64" s="63"/>
      <c r="Z64" s="63"/>
      <c r="AA64" s="62"/>
      <c r="AC64" s="140" t="s">
        <v>105</v>
      </c>
    </row>
    <row r="65" spans="7:29" x14ac:dyDescent="0.25">
      <c r="G65" s="3"/>
      <c r="J65" s="3"/>
      <c r="K65" s="3"/>
      <c r="N65" s="3"/>
      <c r="O65" s="63"/>
      <c r="P65" s="63"/>
      <c r="Q65" s="63"/>
      <c r="R65" s="63"/>
      <c r="S65" s="63"/>
      <c r="X65" s="63"/>
      <c r="Y65" s="63"/>
      <c r="Z65" s="63"/>
      <c r="AA65" s="62"/>
      <c r="AC65" s="140" t="s">
        <v>342</v>
      </c>
    </row>
    <row r="66" spans="7:29" x14ac:dyDescent="0.25">
      <c r="G66" s="3"/>
      <c r="J66" s="3"/>
      <c r="K66" s="3"/>
      <c r="N66" s="3"/>
      <c r="O66" s="63"/>
      <c r="P66" s="63"/>
      <c r="Q66" s="63"/>
      <c r="R66" s="63"/>
      <c r="S66" s="63"/>
      <c r="X66" s="63"/>
      <c r="Y66" s="63"/>
      <c r="Z66" s="63"/>
      <c r="AA66" s="62"/>
      <c r="AC66" s="140" t="s">
        <v>343</v>
      </c>
    </row>
    <row r="67" spans="7:29" x14ac:dyDescent="0.25">
      <c r="G67" s="3"/>
      <c r="J67" s="3"/>
      <c r="K67" s="3"/>
      <c r="N67" s="3"/>
      <c r="O67" s="63"/>
      <c r="P67" s="63"/>
      <c r="Q67" s="63"/>
      <c r="R67" s="63"/>
      <c r="S67" s="63"/>
      <c r="X67" s="63"/>
      <c r="Y67" s="63"/>
      <c r="Z67" s="63"/>
      <c r="AA67" s="62"/>
      <c r="AC67" s="140" t="s">
        <v>213</v>
      </c>
    </row>
    <row r="68" spans="7:29" x14ac:dyDescent="0.25">
      <c r="G68" s="3"/>
      <c r="J68" s="3"/>
      <c r="K68" s="3"/>
      <c r="N68" s="3"/>
      <c r="O68" s="63"/>
      <c r="P68" s="63"/>
      <c r="Q68" s="63"/>
      <c r="R68" s="63"/>
      <c r="S68" s="63"/>
      <c r="X68" s="63"/>
      <c r="Y68" s="63"/>
      <c r="Z68" s="63"/>
      <c r="AA68" s="62"/>
      <c r="AC68" s="140" t="s">
        <v>284</v>
      </c>
    </row>
    <row r="69" spans="7:29" x14ac:dyDescent="0.25">
      <c r="G69" s="3"/>
      <c r="J69" s="3"/>
      <c r="K69" s="3"/>
      <c r="N69" s="3"/>
      <c r="O69" s="63"/>
      <c r="P69" s="63"/>
      <c r="Q69" s="63"/>
      <c r="R69" s="63"/>
      <c r="S69" s="63"/>
      <c r="X69" s="63"/>
      <c r="Y69" s="63"/>
      <c r="Z69" s="63"/>
      <c r="AA69" s="62"/>
      <c r="AC69" s="140" t="s">
        <v>166</v>
      </c>
    </row>
    <row r="70" spans="7:29" x14ac:dyDescent="0.25">
      <c r="G70" s="3"/>
      <c r="J70" s="3"/>
      <c r="K70" s="3"/>
      <c r="N70" s="3"/>
      <c r="O70" s="63"/>
      <c r="P70" s="63"/>
      <c r="Q70" s="63"/>
      <c r="R70" s="63"/>
      <c r="S70" s="63"/>
      <c r="X70" s="63"/>
      <c r="Y70" s="63"/>
      <c r="Z70" s="63"/>
      <c r="AA70" s="62"/>
      <c r="AC70" s="140" t="s">
        <v>398</v>
      </c>
    </row>
    <row r="71" spans="7:29" x14ac:dyDescent="0.25">
      <c r="G71" s="3"/>
      <c r="J71" s="3"/>
      <c r="K71" s="3"/>
      <c r="N71" s="3"/>
      <c r="O71" s="63"/>
      <c r="P71" s="63"/>
      <c r="Q71" s="63"/>
      <c r="R71" s="63"/>
      <c r="S71" s="63"/>
      <c r="X71" s="63"/>
      <c r="Y71" s="63"/>
      <c r="Z71" s="63"/>
      <c r="AA71" s="62"/>
      <c r="AC71" s="140" t="s">
        <v>592</v>
      </c>
    </row>
    <row r="72" spans="7:29" x14ac:dyDescent="0.25">
      <c r="G72" s="3"/>
      <c r="J72" s="3"/>
      <c r="K72" s="3"/>
      <c r="N72" s="3"/>
      <c r="O72" s="63"/>
      <c r="P72" s="63"/>
      <c r="Q72" s="63"/>
      <c r="R72" s="63"/>
      <c r="S72" s="63"/>
      <c r="X72" s="63"/>
      <c r="Y72" s="63"/>
      <c r="Z72" s="63"/>
      <c r="AA72" s="62"/>
      <c r="AC72" s="140" t="s">
        <v>240</v>
      </c>
    </row>
    <row r="73" spans="7:29" x14ac:dyDescent="0.25">
      <c r="G73" s="3"/>
      <c r="J73" s="3"/>
      <c r="K73" s="3"/>
      <c r="N73" s="3"/>
      <c r="O73" s="63"/>
      <c r="P73" s="63"/>
      <c r="Q73" s="63"/>
      <c r="R73" s="63"/>
      <c r="S73" s="63"/>
      <c r="X73" s="63"/>
      <c r="Y73" s="63"/>
      <c r="Z73" s="63"/>
      <c r="AA73" s="62"/>
      <c r="AC73" s="140" t="s">
        <v>399</v>
      </c>
    </row>
    <row r="74" spans="7:29" x14ac:dyDescent="0.25">
      <c r="G74" s="3"/>
      <c r="J74" s="3"/>
      <c r="K74" s="3"/>
      <c r="N74" s="3"/>
      <c r="O74" s="63"/>
      <c r="P74" s="63"/>
      <c r="Q74" s="63"/>
      <c r="R74" s="63"/>
      <c r="S74" s="63"/>
      <c r="X74" s="63"/>
      <c r="Y74" s="63"/>
      <c r="Z74" s="63"/>
      <c r="AA74" s="62"/>
      <c r="AC74" s="140" t="s">
        <v>523</v>
      </c>
    </row>
    <row r="75" spans="7:29" x14ac:dyDescent="0.25">
      <c r="G75" s="3"/>
      <c r="J75" s="3"/>
      <c r="K75" s="3"/>
      <c r="N75" s="3"/>
      <c r="O75" s="63"/>
      <c r="P75" s="63"/>
      <c r="Q75" s="63"/>
      <c r="R75" s="63"/>
      <c r="S75" s="63"/>
      <c r="X75" s="63"/>
      <c r="Y75" s="63"/>
      <c r="Z75" s="63"/>
      <c r="AA75" s="62"/>
      <c r="AC75" s="140" t="s">
        <v>344</v>
      </c>
    </row>
    <row r="76" spans="7:29" x14ac:dyDescent="0.25">
      <c r="G76" s="3"/>
      <c r="J76" s="3"/>
      <c r="K76" s="3"/>
      <c r="N76" s="3"/>
      <c r="O76" s="63"/>
      <c r="P76" s="63"/>
      <c r="Q76" s="63"/>
      <c r="R76" s="63"/>
      <c r="S76" s="63"/>
      <c r="X76" s="63"/>
      <c r="Y76" s="63"/>
      <c r="Z76" s="63"/>
      <c r="AA76" s="62"/>
      <c r="AC76" s="140" t="s">
        <v>434</v>
      </c>
    </row>
    <row r="77" spans="7:29" x14ac:dyDescent="0.25">
      <c r="G77" s="3"/>
      <c r="J77" s="3"/>
      <c r="K77" s="3"/>
      <c r="N77" s="3"/>
      <c r="O77" s="63"/>
      <c r="P77" s="63"/>
      <c r="Q77" s="63"/>
      <c r="R77" s="63"/>
      <c r="S77" s="63"/>
      <c r="X77" s="63"/>
      <c r="Y77" s="63"/>
      <c r="Z77" s="63"/>
      <c r="AA77" s="62"/>
      <c r="AC77" s="140" t="s">
        <v>435</v>
      </c>
    </row>
    <row r="78" spans="7:29" x14ac:dyDescent="0.25">
      <c r="G78" s="3"/>
      <c r="J78" s="3"/>
      <c r="K78" s="3"/>
      <c r="N78" s="3"/>
      <c r="O78" s="63"/>
      <c r="P78" s="63"/>
      <c r="Q78" s="63"/>
      <c r="R78" s="63"/>
      <c r="S78" s="63"/>
      <c r="X78" s="63"/>
      <c r="Y78" s="63"/>
      <c r="Z78" s="63"/>
      <c r="AA78" s="62"/>
      <c r="AC78" s="140" t="s">
        <v>345</v>
      </c>
    </row>
    <row r="79" spans="7:29" x14ac:dyDescent="0.25">
      <c r="G79" s="3"/>
      <c r="J79" s="3"/>
      <c r="K79" s="3"/>
      <c r="N79" s="3"/>
      <c r="O79" s="63"/>
      <c r="P79" s="63"/>
      <c r="Q79" s="63"/>
      <c r="R79" s="63"/>
      <c r="S79" s="63"/>
      <c r="X79" s="63"/>
      <c r="Y79" s="63"/>
      <c r="Z79" s="63"/>
      <c r="AA79" s="62"/>
      <c r="AC79" s="140" t="s">
        <v>167</v>
      </c>
    </row>
    <row r="80" spans="7:29" x14ac:dyDescent="0.25">
      <c r="G80" s="3"/>
      <c r="J80" s="3"/>
      <c r="K80" s="3"/>
      <c r="N80" s="3"/>
      <c r="O80" s="63"/>
      <c r="P80" s="63"/>
      <c r="Q80" s="63"/>
      <c r="R80" s="63"/>
      <c r="S80" s="63"/>
      <c r="X80" s="63"/>
      <c r="Y80" s="63"/>
      <c r="Z80" s="63"/>
      <c r="AA80" s="62"/>
      <c r="AC80" s="140" t="s">
        <v>346</v>
      </c>
    </row>
    <row r="81" spans="15:29" x14ac:dyDescent="0.25">
      <c r="O81" s="62"/>
      <c r="P81" s="62"/>
      <c r="Q81" s="63"/>
      <c r="R81" s="63"/>
      <c r="S81" s="63"/>
      <c r="X81" s="63"/>
      <c r="Y81" s="63"/>
      <c r="Z81" s="63"/>
      <c r="AA81" s="62"/>
      <c r="AC81" s="140" t="s">
        <v>347</v>
      </c>
    </row>
    <row r="82" spans="15:29" x14ac:dyDescent="0.25">
      <c r="O82" s="62"/>
      <c r="P82" s="62"/>
      <c r="Q82" s="63"/>
      <c r="R82" s="63"/>
      <c r="S82" s="63"/>
      <c r="X82" s="63"/>
      <c r="Y82" s="63"/>
      <c r="Z82" s="63"/>
      <c r="AA82" s="62"/>
      <c r="AC82" s="140" t="s">
        <v>168</v>
      </c>
    </row>
    <row r="83" spans="15:29" x14ac:dyDescent="0.25">
      <c r="O83" s="62"/>
      <c r="P83" s="62"/>
      <c r="Q83" s="63"/>
      <c r="R83" s="63"/>
      <c r="S83" s="63"/>
      <c r="X83" s="63"/>
      <c r="Y83" s="63"/>
      <c r="Z83" s="63"/>
      <c r="AA83" s="62"/>
      <c r="AC83" s="140" t="s">
        <v>241</v>
      </c>
    </row>
    <row r="84" spans="15:29" x14ac:dyDescent="0.25">
      <c r="O84" s="62"/>
      <c r="P84" s="62"/>
      <c r="Q84" s="63"/>
      <c r="R84" s="63"/>
      <c r="S84" s="63"/>
      <c r="X84" s="63"/>
      <c r="Y84" s="63"/>
      <c r="Z84" s="63"/>
      <c r="AA84" s="62"/>
      <c r="AC84" s="140" t="s">
        <v>348</v>
      </c>
    </row>
    <row r="85" spans="15:29" x14ac:dyDescent="0.25">
      <c r="O85" s="62"/>
      <c r="P85" s="62"/>
      <c r="Q85" s="63"/>
      <c r="R85" s="63"/>
      <c r="S85" s="63"/>
      <c r="X85" s="63"/>
      <c r="Y85" s="63"/>
      <c r="Z85" s="63"/>
      <c r="AA85" s="62"/>
      <c r="AC85" s="140" t="s">
        <v>242</v>
      </c>
    </row>
    <row r="86" spans="15:29" x14ac:dyDescent="0.25">
      <c r="O86" s="62"/>
      <c r="P86" s="62"/>
      <c r="Q86" s="63"/>
      <c r="R86" s="63"/>
      <c r="S86" s="63"/>
      <c r="X86" s="63"/>
      <c r="Y86" s="63"/>
      <c r="Z86" s="63"/>
      <c r="AA86" s="62"/>
      <c r="AC86" s="140" t="s">
        <v>243</v>
      </c>
    </row>
    <row r="87" spans="15:29" x14ac:dyDescent="0.25">
      <c r="O87" s="62"/>
      <c r="P87" s="62"/>
      <c r="Q87" s="63"/>
      <c r="R87" s="63"/>
      <c r="S87" s="63"/>
      <c r="X87" s="63"/>
      <c r="Y87" s="63"/>
      <c r="Z87" s="63"/>
      <c r="AA87" s="62"/>
      <c r="AC87" s="140" t="s">
        <v>285</v>
      </c>
    </row>
    <row r="88" spans="15:29" x14ac:dyDescent="0.25">
      <c r="O88" s="62"/>
      <c r="P88" s="62"/>
      <c r="Q88" s="63"/>
      <c r="R88" s="63"/>
      <c r="S88" s="63"/>
      <c r="X88" s="63"/>
      <c r="Y88" s="63"/>
      <c r="Z88" s="63"/>
      <c r="AA88" s="62"/>
      <c r="AC88" s="140" t="s">
        <v>349</v>
      </c>
    </row>
    <row r="89" spans="15:29" x14ac:dyDescent="0.25">
      <c r="O89" s="62"/>
      <c r="P89" s="62"/>
      <c r="Q89" s="63"/>
      <c r="R89" s="63"/>
      <c r="S89" s="63"/>
      <c r="X89" s="63"/>
      <c r="Y89" s="63"/>
      <c r="Z89" s="63"/>
      <c r="AA89" s="62"/>
      <c r="AC89" s="140" t="s">
        <v>106</v>
      </c>
    </row>
    <row r="90" spans="15:29" x14ac:dyDescent="0.25">
      <c r="O90" s="62"/>
      <c r="P90" s="62"/>
      <c r="Q90" s="63"/>
      <c r="R90" s="63"/>
      <c r="S90" s="63"/>
      <c r="X90" s="63"/>
      <c r="Y90" s="63"/>
      <c r="Z90" s="63"/>
      <c r="AA90" s="62"/>
      <c r="AC90" s="140" t="s">
        <v>140</v>
      </c>
    </row>
    <row r="91" spans="15:29" x14ac:dyDescent="0.25">
      <c r="O91" s="62"/>
      <c r="P91" s="62"/>
      <c r="Q91" s="63"/>
      <c r="R91" s="63"/>
      <c r="S91" s="63"/>
      <c r="X91" s="63"/>
      <c r="Y91" s="63"/>
      <c r="Z91" s="63"/>
      <c r="AA91" s="62"/>
      <c r="AC91" s="140" t="s">
        <v>328</v>
      </c>
    </row>
    <row r="92" spans="15:29" x14ac:dyDescent="0.25">
      <c r="O92" s="62"/>
      <c r="P92" s="62"/>
      <c r="Q92" s="63"/>
      <c r="R92" s="63"/>
      <c r="S92" s="63"/>
      <c r="X92" s="63"/>
      <c r="Y92" s="63"/>
      <c r="Z92" s="63"/>
      <c r="AA92" s="62"/>
      <c r="AC92" s="140" t="s">
        <v>350</v>
      </c>
    </row>
    <row r="93" spans="15:29" x14ac:dyDescent="0.25">
      <c r="O93" s="62"/>
      <c r="P93" s="62"/>
      <c r="Q93" s="63"/>
      <c r="R93" s="63"/>
      <c r="S93" s="63"/>
      <c r="X93" s="63"/>
      <c r="Y93" s="63"/>
      <c r="Z93" s="63"/>
      <c r="AA93" s="62"/>
      <c r="AC93" s="140" t="s">
        <v>351</v>
      </c>
    </row>
    <row r="94" spans="15:29" x14ac:dyDescent="0.25">
      <c r="O94" s="62"/>
      <c r="P94" s="62"/>
      <c r="Q94" s="63"/>
      <c r="R94" s="63"/>
      <c r="S94" s="63"/>
      <c r="X94" s="63"/>
      <c r="Y94" s="63"/>
      <c r="Z94" s="63"/>
      <c r="AA94" s="62"/>
      <c r="AC94" s="140" t="s">
        <v>352</v>
      </c>
    </row>
    <row r="95" spans="15:29" x14ac:dyDescent="0.25">
      <c r="O95" s="62"/>
      <c r="P95" s="62"/>
      <c r="Q95" s="63"/>
      <c r="R95" s="63"/>
      <c r="S95" s="63"/>
      <c r="X95" s="63"/>
      <c r="Y95" s="63"/>
      <c r="Z95" s="63"/>
      <c r="AA95" s="62"/>
      <c r="AC95" s="140" t="s">
        <v>286</v>
      </c>
    </row>
    <row r="96" spans="15:29" x14ac:dyDescent="0.25">
      <c r="O96" s="62"/>
      <c r="P96" s="62"/>
      <c r="Q96" s="63"/>
      <c r="R96" s="63"/>
      <c r="S96" s="63"/>
      <c r="X96" s="63"/>
      <c r="Y96" s="63"/>
      <c r="Z96" s="63"/>
      <c r="AA96" s="62"/>
      <c r="AC96" s="140" t="s">
        <v>169</v>
      </c>
    </row>
    <row r="97" spans="15:29" x14ac:dyDescent="0.25">
      <c r="O97" s="62"/>
      <c r="P97" s="62"/>
      <c r="Q97" s="63"/>
      <c r="R97" s="63"/>
      <c r="S97" s="63"/>
      <c r="X97" s="63"/>
      <c r="Y97" s="63"/>
      <c r="Z97" s="63"/>
      <c r="AA97" s="62"/>
      <c r="AC97" s="140" t="s">
        <v>170</v>
      </c>
    </row>
    <row r="98" spans="15:29" x14ac:dyDescent="0.25">
      <c r="O98" s="62"/>
      <c r="P98" s="62"/>
      <c r="Q98" s="63"/>
      <c r="R98" s="63"/>
      <c r="S98" s="63"/>
      <c r="X98" s="63"/>
      <c r="Y98" s="63"/>
      <c r="Z98" s="63"/>
      <c r="AA98" s="62"/>
      <c r="AC98" s="140" t="s">
        <v>400</v>
      </c>
    </row>
    <row r="99" spans="15:29" x14ac:dyDescent="0.25">
      <c r="O99" s="62"/>
      <c r="P99" s="62"/>
      <c r="Q99" s="63"/>
      <c r="R99" s="63"/>
      <c r="S99" s="63"/>
      <c r="X99" s="63"/>
      <c r="Y99" s="63"/>
      <c r="Z99" s="63"/>
      <c r="AA99" s="62"/>
      <c r="AC99" s="140" t="s">
        <v>214</v>
      </c>
    </row>
    <row r="100" spans="15:29" x14ac:dyDescent="0.25">
      <c r="O100" s="62"/>
      <c r="P100" s="62"/>
      <c r="Q100" s="63"/>
      <c r="R100" s="63"/>
      <c r="S100" s="63"/>
      <c r="X100" s="63"/>
      <c r="Y100" s="63"/>
      <c r="Z100" s="63"/>
      <c r="AA100" s="62"/>
      <c r="AC100" s="140" t="s">
        <v>215</v>
      </c>
    </row>
    <row r="101" spans="15:29" x14ac:dyDescent="0.25">
      <c r="O101" s="62"/>
      <c r="P101" s="62"/>
      <c r="Q101" s="63"/>
      <c r="R101" s="63"/>
      <c r="S101" s="63"/>
      <c r="X101" s="63"/>
      <c r="Y101" s="63"/>
      <c r="Z101" s="63"/>
      <c r="AA101" s="62"/>
      <c r="AC101" s="140" t="s">
        <v>171</v>
      </c>
    </row>
    <row r="102" spans="15:29" x14ac:dyDescent="0.25">
      <c r="O102" s="62"/>
      <c r="P102" s="62"/>
      <c r="Q102" s="63"/>
      <c r="R102" s="63"/>
      <c r="S102" s="63"/>
      <c r="X102" s="63"/>
      <c r="Y102" s="63"/>
      <c r="Z102" s="63"/>
      <c r="AA102" s="62"/>
      <c r="AC102" s="140" t="s">
        <v>287</v>
      </c>
    </row>
    <row r="103" spans="15:29" x14ac:dyDescent="0.25">
      <c r="O103" s="62"/>
      <c r="P103" s="62"/>
      <c r="Q103" s="63"/>
      <c r="R103" s="63"/>
      <c r="S103" s="63"/>
      <c r="X103" s="63"/>
      <c r="Y103" s="63"/>
      <c r="Z103" s="63"/>
      <c r="AA103" s="62"/>
      <c r="AC103" s="140" t="s">
        <v>244</v>
      </c>
    </row>
    <row r="104" spans="15:29" x14ac:dyDescent="0.25">
      <c r="O104" s="62"/>
      <c r="P104" s="62"/>
      <c r="Q104" s="63"/>
      <c r="R104" s="63"/>
      <c r="S104" s="63"/>
      <c r="X104" s="63"/>
      <c r="Y104" s="63"/>
      <c r="Z104" s="63"/>
      <c r="AA104" s="62"/>
      <c r="AC104" s="140" t="s">
        <v>107</v>
      </c>
    </row>
    <row r="105" spans="15:29" x14ac:dyDescent="0.25">
      <c r="O105" s="62"/>
      <c r="P105" s="62"/>
      <c r="Q105" s="63"/>
      <c r="R105" s="63"/>
      <c r="S105" s="63"/>
      <c r="X105" s="63"/>
      <c r="Y105" s="63"/>
      <c r="Z105" s="63"/>
      <c r="AA105" s="62"/>
      <c r="AC105" s="140" t="s">
        <v>353</v>
      </c>
    </row>
    <row r="106" spans="15:29" x14ac:dyDescent="0.25">
      <c r="O106" s="62"/>
      <c r="P106" s="62"/>
      <c r="Q106" s="63"/>
      <c r="R106" s="63"/>
      <c r="S106" s="63"/>
      <c r="X106" s="63"/>
      <c r="Y106" s="63"/>
      <c r="Z106" s="63"/>
      <c r="AA106" s="62"/>
      <c r="AC106" s="140" t="s">
        <v>354</v>
      </c>
    </row>
    <row r="107" spans="15:29" x14ac:dyDescent="0.25">
      <c r="O107" s="62"/>
      <c r="P107" s="62"/>
      <c r="Q107" s="63"/>
      <c r="R107" s="63"/>
      <c r="S107" s="63"/>
      <c r="X107" s="63"/>
      <c r="Y107" s="63"/>
      <c r="Z107" s="63"/>
      <c r="AA107" s="62"/>
      <c r="AC107" s="140" t="s">
        <v>172</v>
      </c>
    </row>
    <row r="108" spans="15:29" x14ac:dyDescent="0.25">
      <c r="O108" s="62"/>
      <c r="P108" s="62"/>
      <c r="Q108" s="63"/>
      <c r="R108" s="63"/>
      <c r="S108" s="63"/>
      <c r="X108" s="63"/>
      <c r="Y108" s="63"/>
      <c r="Z108" s="63"/>
      <c r="AA108" s="62"/>
      <c r="AC108" s="140" t="s">
        <v>141</v>
      </c>
    </row>
    <row r="109" spans="15:29" x14ac:dyDescent="0.25">
      <c r="O109" s="62"/>
      <c r="P109" s="62"/>
      <c r="Q109" s="63"/>
      <c r="R109" s="63"/>
      <c r="S109" s="63"/>
      <c r="X109" s="63"/>
      <c r="Y109" s="63"/>
      <c r="Z109" s="63"/>
      <c r="AA109" s="62"/>
      <c r="AC109" s="140" t="s">
        <v>127</v>
      </c>
    </row>
    <row r="110" spans="15:29" x14ac:dyDescent="0.25">
      <c r="O110" s="62"/>
      <c r="P110" s="62"/>
      <c r="Q110" s="63"/>
      <c r="R110" s="63"/>
      <c r="S110" s="63"/>
      <c r="X110" s="63"/>
      <c r="Y110" s="63"/>
      <c r="Z110" s="63"/>
      <c r="AA110" s="62"/>
      <c r="AC110" s="140" t="s">
        <v>216</v>
      </c>
    </row>
    <row r="111" spans="15:29" x14ac:dyDescent="0.25">
      <c r="O111" s="62"/>
      <c r="P111" s="62"/>
      <c r="Q111" s="63"/>
      <c r="R111" s="63"/>
      <c r="S111" s="63"/>
      <c r="X111" s="63"/>
      <c r="Y111" s="63"/>
      <c r="Z111" s="63"/>
      <c r="AA111" s="62"/>
      <c r="AC111" s="140" t="s">
        <v>525</v>
      </c>
    </row>
    <row r="112" spans="15:29" x14ac:dyDescent="0.25">
      <c r="O112" s="62"/>
      <c r="P112" s="62"/>
      <c r="Q112" s="63"/>
      <c r="R112" s="63"/>
      <c r="S112" s="63"/>
      <c r="X112" s="63"/>
      <c r="Y112" s="63"/>
      <c r="Z112" s="63"/>
      <c r="AA112" s="62"/>
      <c r="AC112" s="140" t="s">
        <v>217</v>
      </c>
    </row>
    <row r="113" spans="15:29" x14ac:dyDescent="0.25">
      <c r="O113" s="62"/>
      <c r="P113" s="62"/>
      <c r="Q113" s="63"/>
      <c r="R113" s="63"/>
      <c r="S113" s="63"/>
      <c r="X113" s="63"/>
      <c r="Y113" s="63"/>
      <c r="Z113" s="63"/>
      <c r="AA113" s="62"/>
      <c r="AC113" s="140" t="s">
        <v>115</v>
      </c>
    </row>
    <row r="114" spans="15:29" x14ac:dyDescent="0.25">
      <c r="O114" s="62"/>
      <c r="P114" s="62"/>
      <c r="Q114" s="63"/>
      <c r="R114" s="63"/>
      <c r="S114" s="63"/>
      <c r="X114" s="63"/>
      <c r="Y114" s="63"/>
      <c r="Z114" s="63"/>
      <c r="AA114" s="62"/>
      <c r="AC114" s="140" t="s">
        <v>288</v>
      </c>
    </row>
    <row r="115" spans="15:29" x14ac:dyDescent="0.25">
      <c r="O115" s="62"/>
      <c r="P115" s="62"/>
      <c r="Q115" s="63"/>
      <c r="R115" s="63"/>
      <c r="S115" s="63"/>
      <c r="X115" s="63"/>
      <c r="Y115" s="63"/>
      <c r="Z115" s="63"/>
      <c r="AA115" s="62"/>
      <c r="AC115" s="140" t="s">
        <v>118</v>
      </c>
    </row>
    <row r="116" spans="15:29" x14ac:dyDescent="0.25">
      <c r="O116" s="62"/>
      <c r="P116" s="62"/>
      <c r="Q116" s="63"/>
      <c r="R116" s="63"/>
      <c r="S116" s="63"/>
      <c r="X116" s="63"/>
      <c r="Y116" s="63"/>
      <c r="Z116" s="63"/>
      <c r="AA116" s="62"/>
      <c r="AC116" s="140" t="s">
        <v>245</v>
      </c>
    </row>
    <row r="117" spans="15:29" x14ac:dyDescent="0.25">
      <c r="O117" s="62"/>
      <c r="P117" s="62"/>
      <c r="Q117" s="63"/>
      <c r="R117" s="63"/>
      <c r="S117" s="63"/>
      <c r="X117" s="63"/>
      <c r="Y117" s="63"/>
      <c r="Z117" s="63"/>
      <c r="AA117" s="62"/>
      <c r="AC117" s="140" t="s">
        <v>355</v>
      </c>
    </row>
    <row r="118" spans="15:29" x14ac:dyDescent="0.25">
      <c r="O118" s="62"/>
      <c r="P118" s="62"/>
      <c r="Q118" s="63"/>
      <c r="R118" s="63"/>
      <c r="S118" s="63"/>
      <c r="X118" s="63"/>
      <c r="Y118" s="63"/>
      <c r="Z118" s="63"/>
      <c r="AA118" s="62"/>
      <c r="AC118" s="140" t="s">
        <v>142</v>
      </c>
    </row>
    <row r="119" spans="15:29" x14ac:dyDescent="0.25">
      <c r="O119" s="62"/>
      <c r="P119" s="62"/>
      <c r="Q119" s="63"/>
      <c r="R119" s="63"/>
      <c r="S119" s="63"/>
      <c r="X119" s="63"/>
      <c r="Y119" s="63"/>
      <c r="Z119" s="63"/>
      <c r="AA119" s="62"/>
      <c r="AC119" s="140" t="s">
        <v>246</v>
      </c>
    </row>
    <row r="120" spans="15:29" x14ac:dyDescent="0.25">
      <c r="O120" s="62"/>
      <c r="P120" s="62"/>
      <c r="Q120" s="63"/>
      <c r="R120" s="63"/>
      <c r="S120" s="63"/>
      <c r="X120" s="63"/>
      <c r="Y120" s="63"/>
      <c r="Z120" s="63"/>
      <c r="AA120" s="62"/>
      <c r="AC120" s="140" t="s">
        <v>143</v>
      </c>
    </row>
    <row r="121" spans="15:29" x14ac:dyDescent="0.25">
      <c r="O121" s="62"/>
      <c r="P121" s="62"/>
      <c r="Q121" s="63"/>
      <c r="R121" s="63"/>
      <c r="S121" s="63"/>
      <c r="X121" s="63"/>
      <c r="Y121" s="63"/>
      <c r="Z121" s="63"/>
      <c r="AA121" s="62"/>
      <c r="AC121" s="140" t="s">
        <v>173</v>
      </c>
    </row>
    <row r="122" spans="15:29" x14ac:dyDescent="0.25">
      <c r="O122" s="62"/>
      <c r="P122" s="62"/>
      <c r="Q122" s="63"/>
      <c r="R122" s="63"/>
      <c r="S122" s="63"/>
      <c r="X122" s="63"/>
      <c r="Y122" s="63"/>
      <c r="Z122" s="63"/>
      <c r="AA122" s="62"/>
      <c r="AC122" s="140" t="s">
        <v>174</v>
      </c>
    </row>
    <row r="123" spans="15:29" x14ac:dyDescent="0.25">
      <c r="O123" s="62"/>
      <c r="P123" s="62"/>
      <c r="Q123" s="63"/>
      <c r="R123" s="63"/>
      <c r="S123" s="63"/>
      <c r="X123" s="63"/>
      <c r="Y123" s="63"/>
      <c r="Z123" s="63"/>
      <c r="AA123" s="62"/>
      <c r="AC123" s="140" t="s">
        <v>356</v>
      </c>
    </row>
    <row r="124" spans="15:29" x14ac:dyDescent="0.25">
      <c r="O124" s="62"/>
      <c r="P124" s="62"/>
      <c r="Q124" s="63"/>
      <c r="R124" s="63"/>
      <c r="S124" s="63"/>
      <c r="X124" s="63"/>
      <c r="Y124" s="63"/>
      <c r="Z124" s="63"/>
      <c r="AA124" s="62"/>
      <c r="AC124" s="140" t="s">
        <v>289</v>
      </c>
    </row>
    <row r="125" spans="15:29" x14ac:dyDescent="0.25">
      <c r="O125" s="62"/>
      <c r="P125" s="62"/>
      <c r="Q125" s="63"/>
      <c r="R125" s="63"/>
      <c r="S125" s="63"/>
      <c r="X125" s="63"/>
      <c r="Y125" s="63"/>
      <c r="Z125" s="63"/>
      <c r="AA125" s="62"/>
      <c r="AC125" s="140" t="s">
        <v>247</v>
      </c>
    </row>
    <row r="126" spans="15:29" x14ac:dyDescent="0.25">
      <c r="O126" s="62"/>
      <c r="P126" s="62"/>
      <c r="Q126" s="63"/>
      <c r="R126" s="63"/>
      <c r="S126" s="63"/>
      <c r="X126" s="63"/>
      <c r="Y126" s="63"/>
      <c r="Z126" s="63"/>
      <c r="AA126" s="62"/>
      <c r="AC126" s="140" t="s">
        <v>357</v>
      </c>
    </row>
    <row r="127" spans="15:29" x14ac:dyDescent="0.25">
      <c r="O127" s="62"/>
      <c r="P127" s="62"/>
      <c r="Q127" s="63"/>
      <c r="R127" s="63"/>
      <c r="S127" s="63"/>
      <c r="X127" s="63"/>
      <c r="Y127" s="63"/>
      <c r="Z127" s="63"/>
      <c r="AA127" s="62"/>
      <c r="AC127" s="140" t="s">
        <v>428</v>
      </c>
    </row>
    <row r="128" spans="15:29" x14ac:dyDescent="0.25">
      <c r="O128" s="62"/>
      <c r="P128" s="62"/>
      <c r="Q128" s="63"/>
      <c r="R128" s="63"/>
      <c r="S128" s="63"/>
      <c r="X128" s="63"/>
      <c r="Y128" s="63"/>
      <c r="Z128" s="63"/>
      <c r="AA128" s="62"/>
      <c r="AC128" s="140" t="s">
        <v>175</v>
      </c>
    </row>
    <row r="129" spans="15:29" x14ac:dyDescent="0.25">
      <c r="O129" s="62"/>
      <c r="P129" s="62"/>
      <c r="Q129" s="63"/>
      <c r="R129" s="63"/>
      <c r="S129" s="63"/>
      <c r="X129" s="63"/>
      <c r="Y129" s="63"/>
      <c r="Z129" s="63"/>
      <c r="AA129" s="62"/>
      <c r="AC129" s="140" t="s">
        <v>176</v>
      </c>
    </row>
    <row r="130" spans="15:29" x14ac:dyDescent="0.25">
      <c r="O130" s="62"/>
      <c r="P130" s="62"/>
      <c r="Q130" s="63"/>
      <c r="R130" s="63"/>
      <c r="S130" s="63"/>
      <c r="X130" s="63"/>
      <c r="Y130" s="63"/>
      <c r="Z130" s="63"/>
      <c r="AA130" s="62"/>
      <c r="AC130" s="140" t="s">
        <v>401</v>
      </c>
    </row>
    <row r="131" spans="15:29" x14ac:dyDescent="0.25">
      <c r="O131" s="62"/>
      <c r="P131" s="62"/>
      <c r="Q131" s="63"/>
      <c r="R131" s="63"/>
      <c r="S131" s="63"/>
      <c r="X131" s="63"/>
      <c r="Y131" s="63"/>
      <c r="Z131" s="63"/>
      <c r="AA131" s="62"/>
      <c r="AC131" s="140" t="s">
        <v>248</v>
      </c>
    </row>
    <row r="132" spans="15:29" x14ac:dyDescent="0.25">
      <c r="O132" s="62"/>
      <c r="P132" s="62"/>
      <c r="Q132" s="63"/>
      <c r="R132" s="63"/>
      <c r="S132" s="63"/>
      <c r="X132" s="63"/>
      <c r="Y132" s="63"/>
      <c r="Z132" s="63"/>
      <c r="AA132" s="62"/>
      <c r="AC132" s="140" t="s">
        <v>177</v>
      </c>
    </row>
    <row r="133" spans="15:29" x14ac:dyDescent="0.25">
      <c r="O133" s="62"/>
      <c r="P133" s="62"/>
      <c r="Q133" s="63"/>
      <c r="R133" s="63"/>
      <c r="S133" s="63"/>
      <c r="X133" s="63"/>
      <c r="Y133" s="63"/>
      <c r="Z133" s="63"/>
      <c r="AA133" s="62"/>
      <c r="AC133" s="140" t="s">
        <v>218</v>
      </c>
    </row>
    <row r="134" spans="15:29" x14ac:dyDescent="0.25">
      <c r="O134" s="62"/>
      <c r="P134" s="62"/>
      <c r="Q134" s="63"/>
      <c r="R134" s="63"/>
      <c r="S134" s="63"/>
      <c r="X134" s="63"/>
      <c r="Y134" s="63"/>
      <c r="Z134" s="63"/>
      <c r="AA134" s="62"/>
      <c r="AC134" s="140" t="s">
        <v>358</v>
      </c>
    </row>
    <row r="135" spans="15:29" x14ac:dyDescent="0.25">
      <c r="O135" s="62"/>
      <c r="P135" s="62"/>
      <c r="Q135" s="63"/>
      <c r="R135" s="63"/>
      <c r="S135" s="63"/>
      <c r="X135" s="63"/>
      <c r="Y135" s="63"/>
      <c r="Z135" s="63"/>
      <c r="AA135" s="62"/>
      <c r="AC135" s="140" t="s">
        <v>402</v>
      </c>
    </row>
    <row r="136" spans="15:29" x14ac:dyDescent="0.25">
      <c r="O136" s="62"/>
      <c r="P136" s="62"/>
      <c r="Q136" s="63"/>
      <c r="R136" s="63"/>
      <c r="S136" s="63"/>
      <c r="X136" s="63"/>
      <c r="Y136" s="63"/>
      <c r="Z136" s="63"/>
      <c r="AA136" s="62"/>
      <c r="AC136" s="140" t="s">
        <v>359</v>
      </c>
    </row>
    <row r="137" spans="15:29" x14ac:dyDescent="0.25">
      <c r="O137" s="62"/>
      <c r="P137" s="62"/>
      <c r="Q137" s="63"/>
      <c r="R137" s="63"/>
      <c r="S137" s="63"/>
      <c r="X137" s="63"/>
      <c r="Y137" s="63"/>
      <c r="Z137" s="63"/>
      <c r="AA137" s="62"/>
      <c r="AC137" s="140" t="s">
        <v>178</v>
      </c>
    </row>
    <row r="138" spans="15:29" x14ac:dyDescent="0.25">
      <c r="O138" s="62"/>
      <c r="P138" s="62"/>
      <c r="Q138" s="63"/>
      <c r="R138" s="63"/>
      <c r="S138" s="63"/>
      <c r="X138" s="63"/>
      <c r="Y138" s="63"/>
      <c r="Z138" s="63"/>
      <c r="AA138" s="62"/>
      <c r="AC138" s="140" t="s">
        <v>108</v>
      </c>
    </row>
    <row r="139" spans="15:29" x14ac:dyDescent="0.25">
      <c r="O139" s="62"/>
      <c r="P139" s="62"/>
      <c r="Q139" s="63"/>
      <c r="R139" s="63"/>
      <c r="S139" s="63"/>
      <c r="X139" s="63"/>
      <c r="Y139" s="63"/>
      <c r="Z139" s="63"/>
      <c r="AA139" s="62"/>
      <c r="AC139" s="140" t="s">
        <v>249</v>
      </c>
    </row>
    <row r="140" spans="15:29" x14ac:dyDescent="0.25">
      <c r="O140" s="62"/>
      <c r="P140" s="62"/>
      <c r="Q140" s="63"/>
      <c r="R140" s="63"/>
      <c r="S140" s="63"/>
      <c r="X140" s="63"/>
      <c r="Y140" s="63"/>
      <c r="Z140" s="63"/>
      <c r="AA140" s="62"/>
      <c r="AC140" s="140" t="s">
        <v>144</v>
      </c>
    </row>
    <row r="141" spans="15:29" x14ac:dyDescent="0.25">
      <c r="O141" s="62"/>
      <c r="P141" s="62"/>
      <c r="Q141" s="63"/>
      <c r="R141" s="63"/>
      <c r="S141" s="63"/>
      <c r="X141" s="63"/>
      <c r="Y141" s="63"/>
      <c r="Z141" s="63"/>
      <c r="AA141" s="62"/>
      <c r="AC141" s="140" t="s">
        <v>179</v>
      </c>
    </row>
    <row r="142" spans="15:29" x14ac:dyDescent="0.25">
      <c r="O142" s="62"/>
      <c r="P142" s="62"/>
      <c r="Q142" s="63"/>
      <c r="R142" s="63"/>
      <c r="S142" s="63"/>
      <c r="X142" s="63"/>
      <c r="Y142" s="63"/>
      <c r="Z142" s="63"/>
      <c r="AA142" s="62"/>
      <c r="AC142" s="140" t="s">
        <v>180</v>
      </c>
    </row>
    <row r="143" spans="15:29" x14ac:dyDescent="0.25">
      <c r="O143" s="62"/>
      <c r="P143" s="62"/>
      <c r="Q143" s="63"/>
      <c r="R143" s="63"/>
      <c r="S143" s="63"/>
      <c r="X143" s="63"/>
      <c r="Y143" s="63"/>
      <c r="Z143" s="63"/>
      <c r="AA143" s="62"/>
      <c r="AC143" s="140" t="s">
        <v>360</v>
      </c>
    </row>
    <row r="144" spans="15:29" x14ac:dyDescent="0.25">
      <c r="O144" s="62"/>
      <c r="P144" s="62"/>
      <c r="Q144" s="63"/>
      <c r="R144" s="63"/>
      <c r="S144" s="63"/>
      <c r="X144" s="63"/>
      <c r="Y144" s="63"/>
      <c r="Z144" s="63"/>
      <c r="AA144" s="62"/>
      <c r="AC144" s="140" t="s">
        <v>361</v>
      </c>
    </row>
    <row r="145" spans="15:29" x14ac:dyDescent="0.25">
      <c r="O145" s="62"/>
      <c r="P145" s="62"/>
      <c r="Q145" s="63"/>
      <c r="R145" s="63"/>
      <c r="S145" s="63"/>
      <c r="X145" s="63"/>
      <c r="Y145" s="63"/>
      <c r="Z145" s="63"/>
      <c r="AA145" s="62"/>
      <c r="AC145" s="140" t="s">
        <v>362</v>
      </c>
    </row>
    <row r="146" spans="15:29" x14ac:dyDescent="0.25">
      <c r="O146" s="62"/>
      <c r="P146" s="62"/>
      <c r="Q146" s="63"/>
      <c r="R146" s="63"/>
      <c r="S146" s="63"/>
      <c r="X146" s="63"/>
      <c r="Y146" s="63"/>
      <c r="Z146" s="63"/>
      <c r="AA146" s="62"/>
      <c r="AC146" s="140" t="s">
        <v>363</v>
      </c>
    </row>
    <row r="147" spans="15:29" x14ac:dyDescent="0.25">
      <c r="O147" s="62"/>
      <c r="P147" s="62"/>
      <c r="Q147" s="63"/>
      <c r="R147" s="63"/>
      <c r="S147" s="63"/>
      <c r="X147" s="63"/>
      <c r="Y147" s="63"/>
      <c r="Z147" s="63"/>
      <c r="AA147" s="62"/>
      <c r="AC147" s="140" t="s">
        <v>403</v>
      </c>
    </row>
    <row r="148" spans="15:29" x14ac:dyDescent="0.25">
      <c r="O148" s="62"/>
      <c r="P148" s="62"/>
      <c r="Q148" s="63"/>
      <c r="R148" s="63"/>
      <c r="S148" s="63"/>
      <c r="X148" s="63"/>
      <c r="Y148" s="63"/>
      <c r="Z148" s="63"/>
      <c r="AA148" s="62"/>
      <c r="AC148" s="140" t="s">
        <v>364</v>
      </c>
    </row>
    <row r="149" spans="15:29" x14ac:dyDescent="0.25">
      <c r="O149" s="62"/>
      <c r="P149" s="62"/>
      <c r="Q149" s="63"/>
      <c r="R149" s="63"/>
      <c r="S149" s="63"/>
      <c r="X149" s="63"/>
      <c r="Y149" s="63"/>
      <c r="Z149" s="63"/>
      <c r="AA149" s="62"/>
      <c r="AC149" s="140" t="s">
        <v>290</v>
      </c>
    </row>
    <row r="150" spans="15:29" x14ac:dyDescent="0.25">
      <c r="O150" s="62"/>
      <c r="P150" s="62"/>
      <c r="Q150" s="63"/>
      <c r="R150" s="63"/>
      <c r="S150" s="63"/>
      <c r="X150" s="63"/>
      <c r="Y150" s="63"/>
      <c r="Z150" s="63"/>
      <c r="AA150" s="62"/>
      <c r="AC150" s="140" t="s">
        <v>329</v>
      </c>
    </row>
    <row r="151" spans="15:29" x14ac:dyDescent="0.25">
      <c r="O151" s="62"/>
      <c r="P151" s="62"/>
      <c r="Q151" s="63"/>
      <c r="R151" s="63"/>
      <c r="S151" s="63"/>
      <c r="X151" s="63"/>
      <c r="Y151" s="63"/>
      <c r="Z151" s="63"/>
      <c r="AA151" s="62"/>
      <c r="AC151" s="140" t="s">
        <v>365</v>
      </c>
    </row>
    <row r="152" spans="15:29" x14ac:dyDescent="0.25">
      <c r="O152" s="62"/>
      <c r="P152" s="62"/>
      <c r="Q152" s="63"/>
      <c r="R152" s="63"/>
      <c r="S152" s="63"/>
      <c r="X152" s="63"/>
      <c r="Y152" s="63"/>
      <c r="Z152" s="63"/>
      <c r="AA152" s="62"/>
      <c r="AC152" s="140" t="s">
        <v>486</v>
      </c>
    </row>
    <row r="153" spans="15:29" x14ac:dyDescent="0.25">
      <c r="O153" s="62"/>
      <c r="P153" s="62"/>
      <c r="Q153" s="63"/>
      <c r="R153" s="63"/>
      <c r="S153" s="63"/>
      <c r="X153" s="63"/>
      <c r="Y153" s="63"/>
      <c r="Z153" s="63"/>
      <c r="AA153" s="62"/>
      <c r="AC153" s="140" t="s">
        <v>291</v>
      </c>
    </row>
    <row r="154" spans="15:29" x14ac:dyDescent="0.25">
      <c r="O154" s="62"/>
      <c r="P154" s="62"/>
      <c r="Q154" s="63"/>
      <c r="R154" s="63"/>
      <c r="S154" s="63"/>
      <c r="X154" s="63"/>
      <c r="Y154" s="63"/>
      <c r="Z154" s="63"/>
      <c r="AA154" s="62"/>
      <c r="AC154" s="140" t="s">
        <v>292</v>
      </c>
    </row>
    <row r="155" spans="15:29" x14ac:dyDescent="0.25">
      <c r="O155" s="62"/>
      <c r="P155" s="62"/>
      <c r="Q155" s="63"/>
      <c r="R155" s="63"/>
      <c r="S155" s="63"/>
      <c r="X155" s="63"/>
      <c r="Y155" s="63"/>
      <c r="Z155" s="63"/>
      <c r="AA155" s="62"/>
      <c r="AC155" s="140" t="s">
        <v>366</v>
      </c>
    </row>
    <row r="156" spans="15:29" x14ac:dyDescent="0.25">
      <c r="O156" s="62"/>
      <c r="P156" s="62"/>
      <c r="Q156" s="63"/>
      <c r="R156" s="63"/>
      <c r="S156" s="63"/>
      <c r="X156" s="63"/>
      <c r="Y156" s="63"/>
      <c r="Z156" s="63"/>
      <c r="AA156" s="62"/>
      <c r="AC156" s="140" t="s">
        <v>119</v>
      </c>
    </row>
    <row r="157" spans="15:29" x14ac:dyDescent="0.25">
      <c r="O157" s="62"/>
      <c r="P157" s="62"/>
      <c r="Q157" s="63"/>
      <c r="R157" s="63"/>
      <c r="S157" s="63"/>
      <c r="X157" s="63"/>
      <c r="Y157" s="63"/>
      <c r="Z157" s="63"/>
      <c r="AA157" s="62"/>
      <c r="AC157" s="140" t="s">
        <v>404</v>
      </c>
    </row>
    <row r="158" spans="15:29" x14ac:dyDescent="0.25">
      <c r="O158" s="62"/>
      <c r="P158" s="62"/>
      <c r="Q158" s="63"/>
      <c r="R158" s="63"/>
      <c r="S158" s="63"/>
      <c r="X158" s="63"/>
      <c r="Y158" s="63"/>
      <c r="Z158" s="63"/>
      <c r="AA158" s="62"/>
      <c r="AC158" s="140" t="s">
        <v>145</v>
      </c>
    </row>
    <row r="159" spans="15:29" x14ac:dyDescent="0.25">
      <c r="O159" s="62"/>
      <c r="P159" s="62"/>
      <c r="Q159" s="63"/>
      <c r="R159" s="63"/>
      <c r="S159" s="63"/>
      <c r="X159" s="63"/>
      <c r="Y159" s="63"/>
      <c r="Z159" s="63"/>
      <c r="AA159" s="62"/>
      <c r="AC159" s="140" t="s">
        <v>367</v>
      </c>
    </row>
    <row r="160" spans="15:29" x14ac:dyDescent="0.25">
      <c r="O160" s="62"/>
      <c r="P160" s="62"/>
      <c r="Q160" s="63"/>
      <c r="R160" s="63"/>
      <c r="S160" s="63"/>
      <c r="X160" s="63"/>
      <c r="Y160" s="63"/>
      <c r="Z160" s="63"/>
      <c r="AA160" s="62"/>
      <c r="AC160" s="140" t="s">
        <v>250</v>
      </c>
    </row>
    <row r="161" spans="15:29" x14ac:dyDescent="0.25">
      <c r="O161" s="62"/>
      <c r="P161" s="62"/>
      <c r="Q161" s="63"/>
      <c r="R161" s="63"/>
      <c r="S161" s="63"/>
      <c r="X161" s="63"/>
      <c r="Y161" s="63"/>
      <c r="Z161" s="63"/>
      <c r="AA161" s="62"/>
      <c r="AC161" s="140" t="s">
        <v>251</v>
      </c>
    </row>
    <row r="162" spans="15:29" x14ac:dyDescent="0.25">
      <c r="O162" s="62"/>
      <c r="P162" s="62"/>
      <c r="Q162" s="63"/>
      <c r="R162" s="63"/>
      <c r="S162" s="63"/>
      <c r="X162" s="63"/>
      <c r="Y162" s="63"/>
      <c r="Z162" s="63"/>
      <c r="AA162" s="62"/>
      <c r="AC162" s="140" t="s">
        <v>368</v>
      </c>
    </row>
    <row r="163" spans="15:29" x14ac:dyDescent="0.25">
      <c r="O163" s="62"/>
      <c r="P163" s="62"/>
      <c r="Q163" s="63"/>
      <c r="R163" s="63"/>
      <c r="S163" s="63"/>
      <c r="X163" s="63"/>
      <c r="Y163" s="63"/>
      <c r="Z163" s="63"/>
      <c r="AA163" s="62"/>
      <c r="AC163" s="140" t="s">
        <v>146</v>
      </c>
    </row>
    <row r="164" spans="15:29" x14ac:dyDescent="0.25">
      <c r="O164" s="62"/>
      <c r="P164" s="62"/>
      <c r="Q164" s="63"/>
      <c r="R164" s="63"/>
      <c r="S164" s="63"/>
      <c r="X164" s="63"/>
      <c r="Y164" s="63"/>
      <c r="Z164" s="63"/>
      <c r="AA164" s="62"/>
      <c r="AC164" s="140" t="s">
        <v>181</v>
      </c>
    </row>
    <row r="165" spans="15:29" x14ac:dyDescent="0.25">
      <c r="O165" s="62"/>
      <c r="P165" s="62"/>
      <c r="Q165" s="63"/>
      <c r="R165" s="63"/>
      <c r="S165" s="63"/>
      <c r="X165" s="63"/>
      <c r="Y165" s="63"/>
      <c r="Z165" s="63"/>
      <c r="AA165" s="62"/>
      <c r="AC165" s="140" t="s">
        <v>293</v>
      </c>
    </row>
    <row r="166" spans="15:29" x14ac:dyDescent="0.25">
      <c r="O166" s="62"/>
      <c r="P166" s="62"/>
      <c r="Q166" s="63"/>
      <c r="R166" s="63"/>
      <c r="S166" s="63"/>
      <c r="X166" s="63"/>
      <c r="Y166" s="63"/>
      <c r="Z166" s="63"/>
      <c r="AA166" s="62"/>
      <c r="AC166" s="140" t="s">
        <v>128</v>
      </c>
    </row>
    <row r="167" spans="15:29" x14ac:dyDescent="0.25">
      <c r="O167" s="62"/>
      <c r="P167" s="62"/>
      <c r="Q167" s="63"/>
      <c r="R167" s="63"/>
      <c r="S167" s="63"/>
      <c r="X167" s="63"/>
      <c r="Y167" s="63"/>
      <c r="Z167" s="63"/>
      <c r="AA167" s="62"/>
      <c r="AC167" s="140" t="s">
        <v>182</v>
      </c>
    </row>
    <row r="168" spans="15:29" x14ac:dyDescent="0.25">
      <c r="O168" s="62"/>
      <c r="P168" s="62"/>
      <c r="Q168" s="63"/>
      <c r="R168" s="63"/>
      <c r="S168" s="63"/>
      <c r="X168" s="63"/>
      <c r="Y168" s="63"/>
      <c r="Z168" s="63"/>
      <c r="AA168" s="62"/>
      <c r="AC168" s="140" t="s">
        <v>252</v>
      </c>
    </row>
    <row r="169" spans="15:29" x14ac:dyDescent="0.25">
      <c r="O169" s="62"/>
      <c r="P169" s="62"/>
      <c r="Q169" s="63"/>
      <c r="R169" s="63"/>
      <c r="S169" s="63"/>
      <c r="X169" s="63"/>
      <c r="Y169" s="63"/>
      <c r="Z169" s="63"/>
      <c r="AA169" s="62"/>
      <c r="AC169" s="140" t="s">
        <v>253</v>
      </c>
    </row>
    <row r="170" spans="15:29" x14ac:dyDescent="0.25">
      <c r="O170" s="62"/>
      <c r="P170" s="62"/>
      <c r="Q170" s="63"/>
      <c r="R170" s="63"/>
      <c r="S170" s="63"/>
      <c r="X170" s="63"/>
      <c r="Y170" s="63"/>
      <c r="Z170" s="63"/>
      <c r="AA170" s="62"/>
      <c r="AC170" s="140" t="s">
        <v>183</v>
      </c>
    </row>
    <row r="171" spans="15:29" x14ac:dyDescent="0.25">
      <c r="O171" s="62"/>
      <c r="P171" s="62"/>
      <c r="Q171" s="63"/>
      <c r="R171" s="63"/>
      <c r="S171" s="63"/>
      <c r="X171" s="63"/>
      <c r="Y171" s="63"/>
      <c r="Z171" s="63"/>
      <c r="AA171" s="62"/>
      <c r="AC171" s="140" t="s">
        <v>129</v>
      </c>
    </row>
    <row r="172" spans="15:29" x14ac:dyDescent="0.25">
      <c r="O172" s="62"/>
      <c r="P172" s="62"/>
      <c r="Q172" s="63"/>
      <c r="R172" s="63"/>
      <c r="S172" s="63"/>
      <c r="X172" s="63"/>
      <c r="Y172" s="63"/>
      <c r="Z172" s="63"/>
      <c r="AA172" s="62"/>
      <c r="AC172" s="140" t="s">
        <v>254</v>
      </c>
    </row>
    <row r="173" spans="15:29" x14ac:dyDescent="0.25">
      <c r="O173" s="62"/>
      <c r="P173" s="62"/>
      <c r="Q173" s="63"/>
      <c r="R173" s="63"/>
      <c r="S173" s="63"/>
      <c r="X173" s="63"/>
      <c r="Y173" s="63"/>
      <c r="Z173" s="63"/>
      <c r="AA173" s="62"/>
      <c r="AC173" s="140" t="s">
        <v>405</v>
      </c>
    </row>
    <row r="174" spans="15:29" x14ac:dyDescent="0.25">
      <c r="O174" s="62"/>
      <c r="P174" s="62"/>
      <c r="Q174" s="63"/>
      <c r="R174" s="63"/>
      <c r="S174" s="63"/>
      <c r="X174" s="63"/>
      <c r="Y174" s="63"/>
      <c r="Z174" s="63"/>
      <c r="AA174" s="62"/>
      <c r="AC174" s="140" t="s">
        <v>369</v>
      </c>
    </row>
    <row r="175" spans="15:29" x14ac:dyDescent="0.25">
      <c r="O175" s="62"/>
      <c r="P175" s="62"/>
      <c r="Q175" s="63"/>
      <c r="R175" s="63"/>
      <c r="S175" s="63"/>
      <c r="X175" s="63"/>
      <c r="Y175" s="63"/>
      <c r="Z175" s="63"/>
      <c r="AA175" s="62"/>
      <c r="AC175" s="140" t="s">
        <v>255</v>
      </c>
    </row>
    <row r="176" spans="15:29" x14ac:dyDescent="0.25">
      <c r="O176" s="62"/>
      <c r="P176" s="62"/>
      <c r="Q176" s="63"/>
      <c r="R176" s="63"/>
      <c r="S176" s="63"/>
      <c r="X176" s="63"/>
      <c r="Y176" s="63"/>
      <c r="Z176" s="63"/>
      <c r="AA176" s="62"/>
      <c r="AC176" s="140" t="s">
        <v>147</v>
      </c>
    </row>
    <row r="177" spans="15:29" x14ac:dyDescent="0.25">
      <c r="O177" s="62"/>
      <c r="P177" s="62"/>
      <c r="Q177" s="63"/>
      <c r="R177" s="63"/>
      <c r="S177" s="63"/>
      <c r="X177" s="63"/>
      <c r="Y177" s="63"/>
      <c r="Z177" s="63"/>
      <c r="AA177" s="62"/>
      <c r="AC177" s="140" t="s">
        <v>294</v>
      </c>
    </row>
    <row r="178" spans="15:29" x14ac:dyDescent="0.25">
      <c r="O178" s="62"/>
      <c r="P178" s="62"/>
      <c r="Q178" s="63"/>
      <c r="R178" s="63"/>
      <c r="S178" s="63"/>
      <c r="X178" s="63"/>
      <c r="Y178" s="63"/>
      <c r="Z178" s="63"/>
      <c r="AA178" s="62"/>
      <c r="AC178" s="140" t="s">
        <v>370</v>
      </c>
    </row>
    <row r="179" spans="15:29" x14ac:dyDescent="0.25">
      <c r="O179" s="62"/>
      <c r="P179" s="62"/>
      <c r="Q179" s="63"/>
      <c r="R179" s="63"/>
      <c r="S179" s="63"/>
      <c r="X179" s="63"/>
      <c r="Y179" s="63"/>
      <c r="Z179" s="63"/>
      <c r="AA179" s="62"/>
      <c r="AC179" s="140" t="s">
        <v>295</v>
      </c>
    </row>
    <row r="180" spans="15:29" x14ac:dyDescent="0.25">
      <c r="O180" s="62"/>
      <c r="P180" s="62"/>
      <c r="Q180" s="63"/>
      <c r="R180" s="63"/>
      <c r="S180" s="63"/>
      <c r="X180" s="63"/>
      <c r="Y180" s="63"/>
      <c r="Z180" s="63"/>
      <c r="AA180" s="62"/>
      <c r="AC180" s="140" t="s">
        <v>442</v>
      </c>
    </row>
    <row r="181" spans="15:29" x14ac:dyDescent="0.25">
      <c r="O181" s="62"/>
      <c r="P181" s="62"/>
      <c r="Q181" s="63"/>
      <c r="R181" s="63"/>
      <c r="S181" s="63"/>
      <c r="X181" s="63"/>
      <c r="Y181" s="63"/>
      <c r="Z181" s="63"/>
      <c r="AA181" s="62"/>
      <c r="AC181" s="140" t="s">
        <v>593</v>
      </c>
    </row>
    <row r="182" spans="15:29" x14ac:dyDescent="0.25">
      <c r="O182" s="62"/>
      <c r="P182" s="62"/>
      <c r="Q182" s="63"/>
      <c r="R182" s="63"/>
      <c r="S182" s="63"/>
      <c r="X182" s="63"/>
      <c r="Y182" s="63"/>
      <c r="Z182" s="63"/>
      <c r="AA182" s="62"/>
      <c r="AC182" s="140" t="s">
        <v>184</v>
      </c>
    </row>
    <row r="183" spans="15:29" x14ac:dyDescent="0.25">
      <c r="O183" s="62"/>
      <c r="P183" s="62"/>
      <c r="Q183" s="63"/>
      <c r="R183" s="63"/>
      <c r="S183" s="63"/>
      <c r="X183" s="63"/>
      <c r="Y183" s="63"/>
      <c r="Z183" s="63"/>
      <c r="AA183" s="62"/>
      <c r="AC183" s="140" t="s">
        <v>371</v>
      </c>
    </row>
    <row r="184" spans="15:29" x14ac:dyDescent="0.25">
      <c r="O184" s="62"/>
      <c r="P184" s="62"/>
      <c r="Q184" s="63"/>
      <c r="R184" s="63"/>
      <c r="S184" s="63"/>
      <c r="X184" s="63"/>
      <c r="Y184" s="63"/>
      <c r="Z184" s="63"/>
      <c r="AA184" s="62"/>
      <c r="AC184" s="140" t="s">
        <v>296</v>
      </c>
    </row>
    <row r="185" spans="15:29" x14ac:dyDescent="0.25">
      <c r="O185" s="62"/>
      <c r="P185" s="62"/>
      <c r="Q185" s="63"/>
      <c r="R185" s="63"/>
      <c r="S185" s="63"/>
      <c r="X185" s="63"/>
      <c r="Y185" s="63"/>
      <c r="Z185" s="63"/>
      <c r="AA185" s="62"/>
      <c r="AC185" s="140" t="s">
        <v>372</v>
      </c>
    </row>
    <row r="186" spans="15:29" x14ac:dyDescent="0.25">
      <c r="O186" s="62"/>
      <c r="P186" s="62"/>
      <c r="Q186" s="63"/>
      <c r="R186" s="63"/>
      <c r="S186" s="63"/>
      <c r="X186" s="63"/>
      <c r="Y186" s="63"/>
      <c r="Z186" s="63"/>
      <c r="AA186" s="62"/>
      <c r="AC186" s="140" t="s">
        <v>256</v>
      </c>
    </row>
    <row r="187" spans="15:29" x14ac:dyDescent="0.25">
      <c r="O187" s="62"/>
      <c r="P187" s="62"/>
      <c r="Q187" s="63"/>
      <c r="R187" s="63"/>
      <c r="S187" s="63"/>
      <c r="X187" s="63"/>
      <c r="Y187" s="63"/>
      <c r="Z187" s="63"/>
      <c r="AA187" s="62"/>
      <c r="AC187" s="140" t="s">
        <v>594</v>
      </c>
    </row>
    <row r="188" spans="15:29" x14ac:dyDescent="0.25">
      <c r="O188" s="62"/>
      <c r="P188" s="62"/>
      <c r="Q188" s="63"/>
      <c r="R188" s="63"/>
      <c r="S188" s="63"/>
      <c r="X188" s="63"/>
      <c r="Y188" s="63"/>
      <c r="Z188" s="63"/>
      <c r="AA188" s="62"/>
      <c r="AC188" s="140" t="s">
        <v>148</v>
      </c>
    </row>
    <row r="189" spans="15:29" x14ac:dyDescent="0.25">
      <c r="O189" s="62"/>
      <c r="P189" s="62"/>
      <c r="Q189" s="63"/>
      <c r="R189" s="63"/>
      <c r="S189" s="63"/>
      <c r="X189" s="63"/>
      <c r="Y189" s="63"/>
      <c r="Z189" s="63"/>
      <c r="AA189" s="62"/>
      <c r="AC189" s="140" t="s">
        <v>257</v>
      </c>
    </row>
    <row r="190" spans="15:29" x14ac:dyDescent="0.25">
      <c r="O190" s="62"/>
      <c r="P190" s="62"/>
      <c r="Q190" s="63"/>
      <c r="R190" s="63"/>
      <c r="S190" s="63"/>
      <c r="X190" s="63"/>
      <c r="Y190" s="63"/>
      <c r="Z190" s="63"/>
      <c r="AA190" s="62"/>
      <c r="AC190" s="140" t="s">
        <v>109</v>
      </c>
    </row>
    <row r="191" spans="15:29" x14ac:dyDescent="0.25">
      <c r="O191" s="62"/>
      <c r="P191" s="62"/>
      <c r="Q191" s="63"/>
      <c r="R191" s="63"/>
      <c r="S191" s="63"/>
      <c r="X191" s="63"/>
      <c r="Y191" s="63"/>
      <c r="Z191" s="63"/>
      <c r="AA191" s="62"/>
      <c r="AC191" s="140" t="s">
        <v>258</v>
      </c>
    </row>
    <row r="192" spans="15:29" x14ac:dyDescent="0.25">
      <c r="O192" s="62"/>
      <c r="P192" s="62"/>
      <c r="Q192" s="63"/>
      <c r="R192" s="63"/>
      <c r="S192" s="63"/>
      <c r="X192" s="63"/>
      <c r="Y192" s="63"/>
      <c r="Z192" s="63"/>
      <c r="AA192" s="62"/>
      <c r="AC192" s="140" t="s">
        <v>406</v>
      </c>
    </row>
    <row r="193" spans="15:29" x14ac:dyDescent="0.25">
      <c r="O193" s="62"/>
      <c r="P193" s="62"/>
      <c r="Q193" s="63"/>
      <c r="R193" s="63"/>
      <c r="S193" s="63"/>
      <c r="X193" s="63"/>
      <c r="Y193" s="63"/>
      <c r="Z193" s="63"/>
      <c r="AA193" s="62"/>
      <c r="AC193" s="140" t="s">
        <v>219</v>
      </c>
    </row>
    <row r="194" spans="15:29" x14ac:dyDescent="0.25">
      <c r="O194" s="62"/>
      <c r="P194" s="62"/>
      <c r="Q194" s="63"/>
      <c r="R194" s="63"/>
      <c r="S194" s="63"/>
      <c r="X194" s="63"/>
      <c r="Y194" s="63"/>
      <c r="Z194" s="63"/>
      <c r="AA194" s="62"/>
      <c r="AC194" s="140" t="s">
        <v>259</v>
      </c>
    </row>
    <row r="195" spans="15:29" x14ac:dyDescent="0.25">
      <c r="O195" s="62"/>
      <c r="P195" s="62"/>
      <c r="Q195" s="63"/>
      <c r="R195" s="63"/>
      <c r="S195" s="63"/>
      <c r="X195" s="63"/>
      <c r="Y195" s="63"/>
      <c r="Z195" s="63"/>
      <c r="AA195" s="62"/>
      <c r="AC195" s="140" t="s">
        <v>330</v>
      </c>
    </row>
    <row r="196" spans="15:29" x14ac:dyDescent="0.25">
      <c r="O196" s="62"/>
      <c r="P196" s="62"/>
      <c r="Q196" s="63"/>
      <c r="R196" s="63"/>
      <c r="S196" s="63"/>
      <c r="X196" s="63"/>
      <c r="Y196" s="63"/>
      <c r="Z196" s="63"/>
      <c r="AA196" s="62"/>
      <c r="AC196" s="140" t="s">
        <v>220</v>
      </c>
    </row>
    <row r="197" spans="15:29" x14ac:dyDescent="0.25">
      <c r="O197" s="62"/>
      <c r="P197" s="62"/>
      <c r="Q197" s="63"/>
      <c r="R197" s="63"/>
      <c r="S197" s="63"/>
      <c r="X197" s="63"/>
      <c r="Y197" s="63"/>
      <c r="Z197" s="63"/>
      <c r="AA197" s="62"/>
      <c r="AC197" s="140" t="s">
        <v>297</v>
      </c>
    </row>
    <row r="198" spans="15:29" x14ac:dyDescent="0.25">
      <c r="O198" s="62"/>
      <c r="P198" s="62"/>
      <c r="Q198" s="63"/>
      <c r="R198" s="63"/>
      <c r="S198" s="63"/>
      <c r="X198" s="63"/>
      <c r="Y198" s="63"/>
      <c r="Z198" s="63"/>
      <c r="AA198" s="62"/>
      <c r="AC198" s="140" t="s">
        <v>149</v>
      </c>
    </row>
    <row r="199" spans="15:29" x14ac:dyDescent="0.25">
      <c r="O199" s="62"/>
      <c r="P199" s="62"/>
      <c r="Q199" s="63"/>
      <c r="R199" s="63"/>
      <c r="S199" s="63"/>
      <c r="X199" s="63"/>
      <c r="Y199" s="63"/>
      <c r="Z199" s="63"/>
      <c r="AA199" s="62"/>
      <c r="AC199" s="140" t="s">
        <v>331</v>
      </c>
    </row>
    <row r="200" spans="15:29" x14ac:dyDescent="0.25">
      <c r="O200" s="62"/>
      <c r="P200" s="62"/>
      <c r="Q200" s="63"/>
      <c r="R200" s="63"/>
      <c r="S200" s="63"/>
      <c r="X200" s="63"/>
      <c r="Y200" s="63"/>
      <c r="Z200" s="63"/>
      <c r="AA200" s="62"/>
      <c r="AC200" s="140" t="s">
        <v>298</v>
      </c>
    </row>
    <row r="201" spans="15:29" x14ac:dyDescent="0.25">
      <c r="O201" s="62"/>
      <c r="P201" s="62"/>
      <c r="Q201" s="63"/>
      <c r="R201" s="63"/>
      <c r="S201" s="63"/>
      <c r="X201" s="63"/>
      <c r="Y201" s="63"/>
      <c r="Z201" s="63"/>
      <c r="AA201" s="62"/>
      <c r="AC201" s="140" t="s">
        <v>407</v>
      </c>
    </row>
    <row r="202" spans="15:29" x14ac:dyDescent="0.25">
      <c r="O202" s="62"/>
      <c r="P202" s="62"/>
      <c r="Q202" s="63"/>
      <c r="R202" s="63"/>
      <c r="S202" s="63"/>
      <c r="X202" s="63"/>
      <c r="Y202" s="63"/>
      <c r="Z202" s="63"/>
      <c r="AA202" s="62"/>
      <c r="AC202" s="140" t="s">
        <v>260</v>
      </c>
    </row>
    <row r="203" spans="15:29" x14ac:dyDescent="0.25">
      <c r="O203" s="62"/>
      <c r="P203" s="62"/>
      <c r="Q203" s="63"/>
      <c r="R203" s="63"/>
      <c r="S203" s="63"/>
      <c r="X203" s="63"/>
      <c r="Y203" s="63"/>
      <c r="Z203" s="63"/>
      <c r="AA203" s="62"/>
      <c r="AC203" s="140" t="s">
        <v>299</v>
      </c>
    </row>
    <row r="204" spans="15:29" x14ac:dyDescent="0.25">
      <c r="O204" s="62"/>
      <c r="P204" s="62"/>
      <c r="Q204" s="63"/>
      <c r="R204" s="63"/>
      <c r="S204" s="63"/>
      <c r="X204" s="63"/>
      <c r="Y204" s="63"/>
      <c r="Z204" s="63"/>
      <c r="AA204" s="62"/>
      <c r="AC204" s="140" t="s">
        <v>474</v>
      </c>
    </row>
    <row r="205" spans="15:29" x14ac:dyDescent="0.25">
      <c r="O205" s="62"/>
      <c r="P205" s="62"/>
      <c r="Q205" s="63"/>
      <c r="R205" s="63"/>
      <c r="S205" s="63"/>
      <c r="X205" s="63"/>
      <c r="Y205" s="63"/>
      <c r="Z205" s="63"/>
      <c r="AA205" s="62"/>
      <c r="AC205" s="140" t="s">
        <v>373</v>
      </c>
    </row>
    <row r="206" spans="15:29" x14ac:dyDescent="0.25">
      <c r="O206" s="62"/>
      <c r="P206" s="62"/>
      <c r="Q206" s="63"/>
      <c r="R206" s="63"/>
      <c r="S206" s="63"/>
      <c r="X206" s="63"/>
      <c r="Y206" s="63"/>
      <c r="Z206" s="63"/>
      <c r="AA206" s="62"/>
      <c r="AC206" s="140" t="s">
        <v>374</v>
      </c>
    </row>
    <row r="207" spans="15:29" x14ac:dyDescent="0.25">
      <c r="O207" s="62"/>
      <c r="P207" s="62"/>
      <c r="Q207" s="63"/>
      <c r="R207" s="63"/>
      <c r="S207" s="63"/>
      <c r="X207" s="63"/>
      <c r="Y207" s="63"/>
      <c r="Z207" s="63"/>
      <c r="AA207" s="62"/>
      <c r="AC207" s="140" t="s">
        <v>408</v>
      </c>
    </row>
    <row r="208" spans="15:29" x14ac:dyDescent="0.25">
      <c r="O208" s="62"/>
      <c r="P208" s="62"/>
      <c r="Q208" s="63"/>
      <c r="R208" s="63"/>
      <c r="S208" s="63"/>
      <c r="X208" s="63"/>
      <c r="Y208" s="63"/>
      <c r="Z208" s="63"/>
      <c r="AA208" s="62"/>
      <c r="AC208" s="140" t="s">
        <v>261</v>
      </c>
    </row>
    <row r="209" spans="15:29" x14ac:dyDescent="0.25">
      <c r="O209" s="62"/>
      <c r="P209" s="62"/>
      <c r="Q209" s="63"/>
      <c r="R209" s="63"/>
      <c r="S209" s="63"/>
      <c r="X209" s="63"/>
      <c r="Y209" s="63"/>
      <c r="Z209" s="63"/>
      <c r="AA209" s="62"/>
      <c r="AC209" s="140" t="s">
        <v>262</v>
      </c>
    </row>
    <row r="210" spans="15:29" x14ac:dyDescent="0.25">
      <c r="O210" s="62"/>
      <c r="P210" s="62"/>
      <c r="Q210" s="63"/>
      <c r="R210" s="63"/>
      <c r="S210" s="63"/>
      <c r="X210" s="63"/>
      <c r="Y210" s="63"/>
      <c r="Z210" s="63"/>
      <c r="AA210" s="62"/>
      <c r="AC210" s="140" t="s">
        <v>300</v>
      </c>
    </row>
    <row r="211" spans="15:29" x14ac:dyDescent="0.25">
      <c r="O211" s="62"/>
      <c r="P211" s="62"/>
      <c r="Q211" s="63"/>
      <c r="R211" s="63"/>
      <c r="S211" s="63"/>
      <c r="X211" s="63"/>
      <c r="Y211" s="63"/>
      <c r="Z211" s="63"/>
      <c r="AA211" s="62"/>
      <c r="AC211" s="140" t="s">
        <v>263</v>
      </c>
    </row>
    <row r="212" spans="15:29" x14ac:dyDescent="0.25">
      <c r="O212" s="62"/>
      <c r="P212" s="62"/>
      <c r="Q212" s="63"/>
      <c r="R212" s="63"/>
      <c r="S212" s="63"/>
      <c r="X212" s="63"/>
      <c r="Y212" s="63"/>
      <c r="Z212" s="63"/>
      <c r="AA212" s="62"/>
      <c r="AC212" s="140" t="s">
        <v>130</v>
      </c>
    </row>
    <row r="213" spans="15:29" x14ac:dyDescent="0.25">
      <c r="O213" s="62"/>
      <c r="P213" s="62"/>
      <c r="Q213" s="63"/>
      <c r="R213" s="63"/>
      <c r="S213" s="63"/>
      <c r="X213" s="63"/>
      <c r="Y213" s="63"/>
      <c r="Z213" s="63"/>
      <c r="AA213" s="62"/>
      <c r="AC213" s="140" t="s">
        <v>301</v>
      </c>
    </row>
    <row r="214" spans="15:29" x14ac:dyDescent="0.25">
      <c r="O214" s="62"/>
      <c r="P214" s="62"/>
      <c r="Q214" s="63"/>
      <c r="R214" s="63"/>
      <c r="S214" s="63"/>
      <c r="X214" s="63"/>
      <c r="Y214" s="63"/>
      <c r="Z214" s="63"/>
      <c r="AA214" s="62"/>
      <c r="AC214" s="140" t="s">
        <v>302</v>
      </c>
    </row>
    <row r="215" spans="15:29" x14ac:dyDescent="0.25">
      <c r="O215" s="62"/>
      <c r="P215" s="62"/>
      <c r="Q215" s="63"/>
      <c r="R215" s="63"/>
      <c r="S215" s="63"/>
      <c r="X215" s="63"/>
      <c r="Y215" s="63"/>
      <c r="Z215" s="63"/>
      <c r="AA215" s="62"/>
      <c r="AC215" s="140" t="s">
        <v>303</v>
      </c>
    </row>
    <row r="216" spans="15:29" x14ac:dyDescent="0.25">
      <c r="O216" s="62"/>
      <c r="P216" s="62"/>
      <c r="Q216" s="63"/>
      <c r="R216" s="63"/>
      <c r="S216" s="63"/>
      <c r="X216" s="63"/>
      <c r="Y216" s="63"/>
      <c r="Z216" s="63"/>
      <c r="AA216" s="62"/>
      <c r="AC216" s="140" t="s">
        <v>429</v>
      </c>
    </row>
    <row r="217" spans="15:29" x14ac:dyDescent="0.25">
      <c r="O217" s="62"/>
      <c r="P217" s="62"/>
      <c r="Q217" s="63"/>
      <c r="R217" s="63"/>
      <c r="S217" s="63"/>
      <c r="X217" s="63"/>
      <c r="Y217" s="63"/>
      <c r="Z217" s="63"/>
      <c r="AA217" s="62"/>
      <c r="AC217" s="140" t="s">
        <v>409</v>
      </c>
    </row>
    <row r="218" spans="15:29" x14ac:dyDescent="0.25">
      <c r="O218" s="62"/>
      <c r="P218" s="62"/>
      <c r="Q218" s="63"/>
      <c r="R218" s="63"/>
      <c r="S218" s="63"/>
      <c r="X218" s="63"/>
      <c r="Y218" s="63"/>
      <c r="Z218" s="63"/>
      <c r="AA218" s="62"/>
      <c r="AC218" s="140" t="s">
        <v>221</v>
      </c>
    </row>
    <row r="219" spans="15:29" x14ac:dyDescent="0.25">
      <c r="O219" s="62"/>
      <c r="P219" s="62"/>
      <c r="Q219" s="63"/>
      <c r="R219" s="63"/>
      <c r="S219" s="63"/>
      <c r="X219" s="63"/>
      <c r="Y219" s="63"/>
      <c r="Z219" s="63"/>
      <c r="AA219" s="62"/>
      <c r="AC219" s="140" t="s">
        <v>185</v>
      </c>
    </row>
    <row r="220" spans="15:29" x14ac:dyDescent="0.25">
      <c r="O220" s="62"/>
      <c r="P220" s="62"/>
      <c r="Q220" s="63"/>
      <c r="R220" s="63"/>
      <c r="S220" s="63"/>
      <c r="X220" s="63"/>
      <c r="Y220" s="63"/>
      <c r="Z220" s="63"/>
      <c r="AA220" s="62"/>
      <c r="AC220" s="140" t="s">
        <v>304</v>
      </c>
    </row>
    <row r="221" spans="15:29" x14ac:dyDescent="0.25">
      <c r="O221" s="62"/>
      <c r="P221" s="62"/>
      <c r="Q221" s="63"/>
      <c r="R221" s="63"/>
      <c r="S221" s="63"/>
      <c r="X221" s="63"/>
      <c r="Y221" s="63"/>
      <c r="Z221" s="63"/>
      <c r="AA221" s="62"/>
      <c r="AC221" s="140" t="s">
        <v>186</v>
      </c>
    </row>
    <row r="222" spans="15:29" x14ac:dyDescent="0.25">
      <c r="O222" s="62"/>
      <c r="P222" s="62"/>
      <c r="Q222" s="63"/>
      <c r="R222" s="63"/>
      <c r="S222" s="63"/>
      <c r="X222" s="63"/>
      <c r="Y222" s="63"/>
      <c r="Z222" s="63"/>
      <c r="AA222" s="62"/>
      <c r="AC222" s="140" t="s">
        <v>375</v>
      </c>
    </row>
    <row r="223" spans="15:29" x14ac:dyDescent="0.25">
      <c r="O223" s="62"/>
      <c r="P223" s="62"/>
      <c r="Q223" s="63"/>
      <c r="R223" s="63"/>
      <c r="S223" s="63"/>
      <c r="X223" s="63"/>
      <c r="Y223" s="63"/>
      <c r="Z223" s="63"/>
      <c r="AA223" s="62"/>
      <c r="AC223" s="140" t="s">
        <v>222</v>
      </c>
    </row>
    <row r="224" spans="15:29" x14ac:dyDescent="0.25">
      <c r="O224" s="62"/>
      <c r="P224" s="62"/>
      <c r="Q224" s="63"/>
      <c r="R224" s="63"/>
      <c r="S224" s="63"/>
      <c r="X224" s="63"/>
      <c r="Y224" s="63"/>
      <c r="Z224" s="63"/>
      <c r="AA224" s="62"/>
      <c r="AC224" s="140" t="s">
        <v>120</v>
      </c>
    </row>
    <row r="225" spans="15:29" x14ac:dyDescent="0.25">
      <c r="O225" s="62"/>
      <c r="P225" s="62"/>
      <c r="Q225" s="63"/>
      <c r="R225" s="63"/>
      <c r="S225" s="63"/>
      <c r="X225" s="63"/>
      <c r="Y225" s="63"/>
      <c r="Z225" s="63"/>
      <c r="AA225" s="62"/>
      <c r="AC225" s="140" t="s">
        <v>150</v>
      </c>
    </row>
    <row r="226" spans="15:29" x14ac:dyDescent="0.25">
      <c r="O226" s="62"/>
      <c r="P226" s="62"/>
      <c r="Q226" s="63"/>
      <c r="R226" s="63"/>
      <c r="S226" s="63"/>
      <c r="X226" s="63"/>
      <c r="Y226" s="63"/>
      <c r="Z226" s="63"/>
      <c r="AA226" s="62"/>
      <c r="AC226" s="140" t="s">
        <v>187</v>
      </c>
    </row>
    <row r="227" spans="15:29" x14ac:dyDescent="0.25">
      <c r="O227" s="62"/>
      <c r="P227" s="62"/>
      <c r="Q227" s="63"/>
      <c r="R227" s="63"/>
      <c r="S227" s="63"/>
      <c r="X227" s="63"/>
      <c r="Y227" s="63"/>
      <c r="Z227" s="63"/>
      <c r="AA227" s="62"/>
      <c r="AC227" s="140" t="s">
        <v>410</v>
      </c>
    </row>
    <row r="228" spans="15:29" x14ac:dyDescent="0.25">
      <c r="O228" s="62"/>
      <c r="P228" s="62"/>
      <c r="Q228" s="63"/>
      <c r="R228" s="63"/>
      <c r="S228" s="63"/>
      <c r="X228" s="63"/>
      <c r="Y228" s="63"/>
      <c r="Z228" s="63"/>
      <c r="AA228" s="62"/>
      <c r="AC228" s="140" t="s">
        <v>305</v>
      </c>
    </row>
    <row r="229" spans="15:29" x14ac:dyDescent="0.25">
      <c r="O229" s="62"/>
      <c r="P229" s="62"/>
      <c r="Q229" s="63"/>
      <c r="R229" s="63"/>
      <c r="S229" s="63"/>
      <c r="X229" s="63"/>
      <c r="Y229" s="63"/>
      <c r="Z229" s="63"/>
      <c r="AA229" s="62"/>
      <c r="AC229" s="140" t="s">
        <v>411</v>
      </c>
    </row>
    <row r="230" spans="15:29" x14ac:dyDescent="0.25">
      <c r="O230" s="62"/>
      <c r="P230" s="62"/>
      <c r="Q230" s="63"/>
      <c r="R230" s="63"/>
      <c r="S230" s="63"/>
      <c r="X230" s="63"/>
      <c r="Y230" s="63"/>
      <c r="Z230" s="63"/>
      <c r="AA230" s="62"/>
      <c r="AC230" s="140" t="s">
        <v>264</v>
      </c>
    </row>
    <row r="231" spans="15:29" x14ac:dyDescent="0.25">
      <c r="O231" s="62"/>
      <c r="P231" s="62"/>
      <c r="Q231" s="63"/>
      <c r="R231" s="63"/>
      <c r="S231" s="63"/>
      <c r="X231" s="63"/>
      <c r="Y231" s="63"/>
      <c r="Z231" s="63"/>
      <c r="AA231" s="62"/>
      <c r="AC231" s="140" t="s">
        <v>412</v>
      </c>
    </row>
    <row r="232" spans="15:29" x14ac:dyDescent="0.25">
      <c r="O232" s="62"/>
      <c r="P232" s="62"/>
      <c r="Q232" s="63"/>
      <c r="R232" s="63"/>
      <c r="S232" s="63"/>
      <c r="X232" s="63"/>
      <c r="Y232" s="63"/>
      <c r="Z232" s="63"/>
      <c r="AA232" s="62"/>
      <c r="AC232" s="140" t="s">
        <v>581</v>
      </c>
    </row>
    <row r="233" spans="15:29" x14ac:dyDescent="0.25">
      <c r="O233" s="62"/>
      <c r="P233" s="62"/>
      <c r="Q233" s="63"/>
      <c r="R233" s="63"/>
      <c r="S233" s="63"/>
      <c r="X233" s="63"/>
      <c r="Y233" s="63"/>
      <c r="Z233" s="63"/>
      <c r="AA233" s="62"/>
      <c r="AC233" s="140" t="s">
        <v>110</v>
      </c>
    </row>
    <row r="234" spans="15:29" x14ac:dyDescent="0.25">
      <c r="O234" s="62"/>
      <c r="P234" s="62"/>
      <c r="Q234" s="63"/>
      <c r="R234" s="63"/>
      <c r="S234" s="63"/>
      <c r="X234" s="63"/>
      <c r="Y234" s="63"/>
      <c r="Z234" s="63"/>
      <c r="AA234" s="62"/>
      <c r="AC234" s="140" t="s">
        <v>332</v>
      </c>
    </row>
    <row r="235" spans="15:29" x14ac:dyDescent="0.25">
      <c r="O235" s="62"/>
      <c r="P235" s="62"/>
      <c r="Q235" s="63"/>
      <c r="R235" s="63"/>
      <c r="S235" s="63"/>
      <c r="X235" s="63"/>
      <c r="Y235" s="63"/>
      <c r="Z235" s="63"/>
      <c r="AA235" s="62"/>
      <c r="AC235" s="140" t="s">
        <v>306</v>
      </c>
    </row>
    <row r="236" spans="15:29" x14ac:dyDescent="0.25">
      <c r="O236" s="62"/>
      <c r="P236" s="62"/>
      <c r="Q236" s="63"/>
      <c r="R236" s="63"/>
      <c r="S236" s="63"/>
      <c r="X236" s="63"/>
      <c r="Y236" s="63"/>
      <c r="Z236" s="63"/>
      <c r="AA236" s="62"/>
      <c r="AC236" s="140" t="s">
        <v>111</v>
      </c>
    </row>
    <row r="237" spans="15:29" x14ac:dyDescent="0.25">
      <c r="O237" s="62"/>
      <c r="P237" s="62"/>
      <c r="Q237" s="63"/>
      <c r="R237" s="63"/>
      <c r="S237" s="63"/>
      <c r="X237" s="63"/>
      <c r="Y237" s="63"/>
      <c r="Z237" s="63"/>
      <c r="AA237" s="62"/>
      <c r="AC237" s="140" t="s">
        <v>595</v>
      </c>
    </row>
    <row r="238" spans="15:29" x14ac:dyDescent="0.25">
      <c r="O238" s="62"/>
      <c r="P238" s="62"/>
      <c r="Q238" s="63"/>
      <c r="R238" s="63"/>
      <c r="S238" s="63"/>
      <c r="X238" s="63"/>
      <c r="Y238" s="63"/>
      <c r="Z238" s="63"/>
      <c r="AA238" s="62"/>
      <c r="AC238" s="140" t="s">
        <v>376</v>
      </c>
    </row>
    <row r="239" spans="15:29" x14ac:dyDescent="0.25">
      <c r="O239" s="62"/>
      <c r="P239" s="62"/>
      <c r="Q239" s="63"/>
      <c r="R239" s="63"/>
      <c r="S239" s="63"/>
      <c r="X239" s="63"/>
      <c r="Y239" s="63"/>
      <c r="Z239" s="63"/>
      <c r="AA239" s="62"/>
      <c r="AC239" s="140" t="s">
        <v>377</v>
      </c>
    </row>
    <row r="240" spans="15:29" x14ac:dyDescent="0.25">
      <c r="O240" s="62"/>
      <c r="P240" s="62"/>
      <c r="Q240" s="63"/>
      <c r="R240" s="63"/>
      <c r="S240" s="63"/>
      <c r="X240" s="63"/>
      <c r="Y240" s="63"/>
      <c r="Z240" s="63"/>
      <c r="AA240" s="62"/>
      <c r="AC240" s="140" t="s">
        <v>596</v>
      </c>
    </row>
    <row r="241" spans="15:29" x14ac:dyDescent="0.25">
      <c r="O241" s="62"/>
      <c r="P241" s="62"/>
      <c r="Q241" s="63"/>
      <c r="R241" s="63"/>
      <c r="S241" s="63"/>
      <c r="X241" s="63"/>
      <c r="Y241" s="63"/>
      <c r="Z241" s="63"/>
      <c r="AA241" s="62"/>
      <c r="AC241" s="140" t="s">
        <v>188</v>
      </c>
    </row>
    <row r="242" spans="15:29" x14ac:dyDescent="0.25">
      <c r="O242" s="62"/>
      <c r="P242" s="62"/>
      <c r="Q242" s="63"/>
      <c r="R242" s="63"/>
      <c r="S242" s="63"/>
      <c r="X242" s="63"/>
      <c r="Y242" s="63"/>
      <c r="Z242" s="63"/>
      <c r="AA242" s="62"/>
      <c r="AC242" s="140" t="s">
        <v>436</v>
      </c>
    </row>
    <row r="243" spans="15:29" x14ac:dyDescent="0.25">
      <c r="O243" s="62"/>
      <c r="P243" s="62"/>
      <c r="Q243" s="63"/>
      <c r="R243" s="63"/>
      <c r="S243" s="63"/>
      <c r="X243" s="63"/>
      <c r="Y243" s="63"/>
      <c r="Z243" s="63"/>
      <c r="AA243" s="62"/>
      <c r="AC243" s="140" t="s">
        <v>413</v>
      </c>
    </row>
    <row r="244" spans="15:29" x14ac:dyDescent="0.25">
      <c r="O244" s="62"/>
      <c r="P244" s="62"/>
      <c r="Q244" s="63"/>
      <c r="R244" s="63"/>
      <c r="S244" s="63"/>
      <c r="X244" s="63"/>
      <c r="Y244" s="63"/>
      <c r="Z244" s="63"/>
      <c r="AA244" s="62"/>
      <c r="AC244" s="140" t="s">
        <v>189</v>
      </c>
    </row>
    <row r="245" spans="15:29" x14ac:dyDescent="0.25">
      <c r="O245" s="62"/>
      <c r="P245" s="62"/>
      <c r="Q245" s="63"/>
      <c r="R245" s="63"/>
      <c r="S245" s="63"/>
      <c r="X245" s="63"/>
      <c r="Y245" s="63"/>
      <c r="Z245" s="63"/>
      <c r="AA245" s="62"/>
      <c r="AC245" s="140" t="s">
        <v>414</v>
      </c>
    </row>
    <row r="246" spans="15:29" x14ac:dyDescent="0.25">
      <c r="O246" s="62"/>
      <c r="P246" s="62"/>
      <c r="Q246" s="63"/>
      <c r="R246" s="63"/>
      <c r="S246" s="63"/>
      <c r="X246" s="63"/>
      <c r="Y246" s="63"/>
      <c r="Z246" s="63"/>
      <c r="AA246" s="62"/>
      <c r="AC246" s="140" t="s">
        <v>223</v>
      </c>
    </row>
    <row r="247" spans="15:29" x14ac:dyDescent="0.25">
      <c r="O247" s="62"/>
      <c r="P247" s="62"/>
      <c r="Q247" s="63"/>
      <c r="R247" s="63"/>
      <c r="S247" s="63"/>
      <c r="X247" s="63"/>
      <c r="Y247" s="63"/>
      <c r="Z247" s="63"/>
      <c r="AA247" s="62"/>
      <c r="AC247" s="140" t="s">
        <v>307</v>
      </c>
    </row>
    <row r="248" spans="15:29" x14ac:dyDescent="0.25">
      <c r="O248" s="62"/>
      <c r="P248" s="62"/>
      <c r="Q248" s="63"/>
      <c r="R248" s="63"/>
      <c r="S248" s="63"/>
      <c r="X248" s="63"/>
      <c r="Y248" s="63"/>
      <c r="Z248" s="63"/>
      <c r="AA248" s="62"/>
      <c r="AC248" s="140" t="s">
        <v>190</v>
      </c>
    </row>
    <row r="249" spans="15:29" x14ac:dyDescent="0.25">
      <c r="O249" s="62"/>
      <c r="P249" s="62"/>
      <c r="Q249" s="63"/>
      <c r="R249" s="63"/>
      <c r="S249" s="63"/>
      <c r="X249" s="63"/>
      <c r="Y249" s="63"/>
      <c r="Z249" s="63"/>
      <c r="AA249" s="62"/>
      <c r="AC249" s="140" t="s">
        <v>191</v>
      </c>
    </row>
    <row r="250" spans="15:29" x14ac:dyDescent="0.25">
      <c r="O250" s="62"/>
      <c r="P250" s="62"/>
      <c r="Q250" s="63"/>
      <c r="R250" s="63"/>
      <c r="S250" s="63"/>
      <c r="X250" s="63"/>
      <c r="Y250" s="63"/>
      <c r="Z250" s="63"/>
      <c r="AA250" s="62"/>
      <c r="AC250" s="140" t="s">
        <v>475</v>
      </c>
    </row>
    <row r="251" spans="15:29" x14ac:dyDescent="0.25">
      <c r="O251" s="62"/>
      <c r="P251" s="62"/>
      <c r="Q251" s="63"/>
      <c r="R251" s="63"/>
      <c r="S251" s="63"/>
      <c r="X251" s="63"/>
      <c r="Y251" s="63"/>
      <c r="Z251" s="63"/>
      <c r="AA251" s="62"/>
      <c r="AC251" s="140" t="s">
        <v>597</v>
      </c>
    </row>
    <row r="252" spans="15:29" x14ac:dyDescent="0.25">
      <c r="O252" s="62"/>
      <c r="P252" s="62"/>
      <c r="Q252" s="63"/>
      <c r="R252" s="63"/>
      <c r="S252" s="63"/>
      <c r="X252" s="63"/>
      <c r="Y252" s="63"/>
      <c r="Z252" s="63"/>
      <c r="AA252" s="62"/>
      <c r="AC252" s="140" t="s">
        <v>333</v>
      </c>
    </row>
    <row r="253" spans="15:29" x14ac:dyDescent="0.25">
      <c r="O253" s="62"/>
      <c r="P253" s="62"/>
      <c r="Q253" s="63"/>
      <c r="R253" s="63"/>
      <c r="S253" s="63"/>
      <c r="X253" s="63"/>
      <c r="Y253" s="63"/>
      <c r="Z253" s="63"/>
      <c r="AA253" s="62"/>
      <c r="AC253" s="140" t="s">
        <v>112</v>
      </c>
    </row>
    <row r="254" spans="15:29" x14ac:dyDescent="0.25">
      <c r="O254" s="62"/>
      <c r="P254" s="62"/>
      <c r="Q254" s="63"/>
      <c r="R254" s="63"/>
      <c r="S254" s="63"/>
      <c r="X254" s="63"/>
      <c r="Y254" s="63"/>
      <c r="Z254" s="63"/>
      <c r="AA254" s="62"/>
      <c r="AC254" s="140" t="s">
        <v>430</v>
      </c>
    </row>
    <row r="255" spans="15:29" x14ac:dyDescent="0.25">
      <c r="O255" s="62"/>
      <c r="P255" s="62"/>
      <c r="Q255" s="63"/>
      <c r="R255" s="63"/>
      <c r="S255" s="63"/>
      <c r="X255" s="63"/>
      <c r="Y255" s="63"/>
      <c r="Z255" s="63"/>
      <c r="AA255" s="62"/>
      <c r="AC255" s="140" t="s">
        <v>308</v>
      </c>
    </row>
    <row r="256" spans="15:29" x14ac:dyDescent="0.25">
      <c r="O256" s="62"/>
      <c r="P256" s="62"/>
      <c r="Q256" s="63"/>
      <c r="R256" s="63"/>
      <c r="S256" s="63"/>
      <c r="X256" s="63"/>
      <c r="Y256" s="63"/>
      <c r="Z256" s="63"/>
      <c r="AA256" s="62"/>
      <c r="AC256" s="140" t="s">
        <v>433</v>
      </c>
    </row>
    <row r="257" spans="15:29" x14ac:dyDescent="0.25">
      <c r="O257" s="62"/>
      <c r="P257" s="62"/>
      <c r="Q257" s="63"/>
      <c r="R257" s="63"/>
      <c r="S257" s="63"/>
      <c r="X257" s="63"/>
      <c r="Y257" s="63"/>
      <c r="Z257" s="63"/>
      <c r="AA257" s="62"/>
      <c r="AC257" s="140" t="s">
        <v>192</v>
      </c>
    </row>
    <row r="258" spans="15:29" x14ac:dyDescent="0.25">
      <c r="O258" s="62"/>
      <c r="P258" s="62"/>
      <c r="Q258" s="63"/>
      <c r="R258" s="63"/>
      <c r="S258" s="63"/>
      <c r="X258" s="63"/>
      <c r="Y258" s="63"/>
      <c r="Z258" s="63"/>
      <c r="AA258" s="62"/>
      <c r="AC258" s="140" t="s">
        <v>309</v>
      </c>
    </row>
    <row r="259" spans="15:29" x14ac:dyDescent="0.25">
      <c r="O259" s="62"/>
      <c r="P259" s="62"/>
      <c r="Q259" s="63"/>
      <c r="R259" s="63"/>
      <c r="S259" s="63"/>
      <c r="X259" s="63"/>
      <c r="Y259" s="63"/>
      <c r="Z259" s="63"/>
      <c r="AA259" s="62"/>
      <c r="AC259" s="140" t="s">
        <v>378</v>
      </c>
    </row>
    <row r="260" spans="15:29" x14ac:dyDescent="0.25">
      <c r="O260" s="62"/>
      <c r="P260" s="62"/>
      <c r="Q260" s="63"/>
      <c r="R260" s="63"/>
      <c r="S260" s="63"/>
      <c r="X260" s="63"/>
      <c r="Y260" s="63"/>
      <c r="Z260" s="63"/>
      <c r="AA260" s="62"/>
      <c r="AC260" s="140" t="s">
        <v>379</v>
      </c>
    </row>
    <row r="261" spans="15:29" x14ac:dyDescent="0.25">
      <c r="O261" s="62"/>
      <c r="P261" s="62"/>
      <c r="Q261" s="63"/>
      <c r="R261" s="63"/>
      <c r="S261" s="63"/>
      <c r="X261" s="63"/>
      <c r="Y261" s="63"/>
      <c r="Z261" s="63"/>
      <c r="AA261" s="62"/>
      <c r="AC261" s="140" t="s">
        <v>121</v>
      </c>
    </row>
    <row r="262" spans="15:29" x14ac:dyDescent="0.25">
      <c r="O262" s="62"/>
      <c r="P262" s="62"/>
      <c r="Q262" s="63"/>
      <c r="R262" s="63"/>
      <c r="S262" s="63"/>
      <c r="X262" s="63"/>
      <c r="Y262" s="63"/>
      <c r="Z262" s="63"/>
      <c r="AA262" s="62"/>
      <c r="AC262" s="140" t="s">
        <v>193</v>
      </c>
    </row>
    <row r="263" spans="15:29" x14ac:dyDescent="0.25">
      <c r="O263" s="62"/>
      <c r="P263" s="62"/>
      <c r="Q263" s="63"/>
      <c r="R263" s="63"/>
      <c r="S263" s="63"/>
      <c r="X263" s="63"/>
      <c r="Y263" s="63"/>
      <c r="Z263" s="63"/>
      <c r="AA263" s="62"/>
      <c r="AC263" s="140" t="s">
        <v>151</v>
      </c>
    </row>
    <row r="264" spans="15:29" x14ac:dyDescent="0.25">
      <c r="O264" s="62"/>
      <c r="P264" s="62"/>
      <c r="Q264" s="63"/>
      <c r="R264" s="63"/>
      <c r="S264" s="63"/>
      <c r="X264" s="63"/>
      <c r="Y264" s="63"/>
      <c r="Z264" s="63"/>
      <c r="AA264" s="62"/>
      <c r="AC264" s="140" t="s">
        <v>152</v>
      </c>
    </row>
    <row r="265" spans="15:29" x14ac:dyDescent="0.25">
      <c r="O265" s="62"/>
      <c r="P265" s="62"/>
      <c r="Q265" s="63"/>
      <c r="R265" s="63"/>
      <c r="S265" s="63"/>
      <c r="X265" s="63"/>
      <c r="Y265" s="63"/>
      <c r="Z265" s="63"/>
      <c r="AA265" s="62"/>
      <c r="AC265" s="140" t="s">
        <v>153</v>
      </c>
    </row>
    <row r="266" spans="15:29" x14ac:dyDescent="0.25">
      <c r="O266" s="62"/>
      <c r="P266" s="62"/>
      <c r="Q266" s="63"/>
      <c r="R266" s="63"/>
      <c r="S266" s="63"/>
      <c r="X266" s="63"/>
      <c r="Y266" s="63"/>
      <c r="Z266" s="63"/>
      <c r="AA266" s="62"/>
      <c r="AC266" s="140" t="s">
        <v>194</v>
      </c>
    </row>
    <row r="267" spans="15:29" x14ac:dyDescent="0.25">
      <c r="O267" s="62"/>
      <c r="P267" s="62"/>
      <c r="Q267" s="63"/>
      <c r="R267" s="63"/>
      <c r="S267" s="63"/>
      <c r="X267" s="63"/>
      <c r="Y267" s="63"/>
      <c r="Z267" s="63"/>
      <c r="AA267" s="62"/>
      <c r="AC267" s="140" t="s">
        <v>380</v>
      </c>
    </row>
    <row r="268" spans="15:29" x14ac:dyDescent="0.25">
      <c r="O268" s="62"/>
      <c r="P268" s="62"/>
      <c r="Q268" s="63"/>
      <c r="R268" s="63"/>
      <c r="S268" s="63"/>
      <c r="X268" s="63"/>
      <c r="Y268" s="63"/>
      <c r="Z268" s="63"/>
      <c r="AA268" s="62"/>
      <c r="AC268" s="140" t="s">
        <v>131</v>
      </c>
    </row>
    <row r="269" spans="15:29" x14ac:dyDescent="0.25">
      <c r="O269" s="62"/>
      <c r="P269" s="62"/>
      <c r="Q269" s="63"/>
      <c r="R269" s="63"/>
      <c r="S269" s="63"/>
      <c r="X269" s="63"/>
      <c r="Y269" s="63"/>
      <c r="Z269" s="63"/>
      <c r="AA269" s="62"/>
      <c r="AC269" s="140" t="s">
        <v>265</v>
      </c>
    </row>
    <row r="270" spans="15:29" x14ac:dyDescent="0.25">
      <c r="O270" s="62"/>
      <c r="P270" s="62"/>
      <c r="Q270" s="63"/>
      <c r="R270" s="63"/>
      <c r="S270" s="63"/>
      <c r="X270" s="63"/>
      <c r="Y270" s="63"/>
      <c r="Z270" s="63"/>
      <c r="AA270" s="62"/>
      <c r="AC270" s="140" t="s">
        <v>266</v>
      </c>
    </row>
    <row r="271" spans="15:29" x14ac:dyDescent="0.25">
      <c r="O271" s="62"/>
      <c r="P271" s="62"/>
      <c r="Q271" s="63"/>
      <c r="R271" s="63"/>
      <c r="S271" s="63"/>
      <c r="X271" s="63"/>
      <c r="Y271" s="63"/>
      <c r="Z271" s="63"/>
      <c r="AA271" s="62"/>
      <c r="AC271" s="140" t="s">
        <v>132</v>
      </c>
    </row>
    <row r="272" spans="15:29" x14ac:dyDescent="0.25">
      <c r="O272" s="62"/>
      <c r="P272" s="62"/>
      <c r="Q272" s="63"/>
      <c r="R272" s="63"/>
      <c r="S272" s="63"/>
      <c r="X272" s="63"/>
      <c r="Y272" s="63"/>
      <c r="Z272" s="63"/>
      <c r="AA272" s="62"/>
      <c r="AC272" s="140" t="s">
        <v>381</v>
      </c>
    </row>
    <row r="273" spans="15:29" x14ac:dyDescent="0.25">
      <c r="O273" s="62"/>
      <c r="P273" s="62"/>
      <c r="Q273" s="63"/>
      <c r="R273" s="63"/>
      <c r="S273" s="63"/>
      <c r="X273" s="63"/>
      <c r="Y273" s="63"/>
      <c r="Z273" s="63"/>
      <c r="AA273" s="62"/>
      <c r="AC273" s="140" t="s">
        <v>195</v>
      </c>
    </row>
    <row r="274" spans="15:29" x14ac:dyDescent="0.25">
      <c r="O274" s="62"/>
      <c r="P274" s="62"/>
      <c r="Q274" s="63"/>
      <c r="R274" s="63"/>
      <c r="S274" s="63"/>
      <c r="X274" s="63"/>
      <c r="Y274" s="63"/>
      <c r="Z274" s="63"/>
      <c r="AA274" s="62"/>
      <c r="AC274" s="140" t="s">
        <v>267</v>
      </c>
    </row>
    <row r="275" spans="15:29" x14ac:dyDescent="0.25">
      <c r="O275" s="62"/>
      <c r="P275" s="62"/>
      <c r="Q275" s="63"/>
      <c r="R275" s="63"/>
      <c r="S275" s="63"/>
      <c r="X275" s="63"/>
      <c r="Y275" s="63"/>
      <c r="Z275" s="63"/>
      <c r="AA275" s="62"/>
      <c r="AC275" s="140" t="s">
        <v>224</v>
      </c>
    </row>
    <row r="276" spans="15:29" x14ac:dyDescent="0.25">
      <c r="O276" s="62"/>
      <c r="P276" s="62"/>
      <c r="Q276" s="63"/>
      <c r="R276" s="63"/>
      <c r="S276" s="63"/>
      <c r="X276" s="63"/>
      <c r="Y276" s="63"/>
      <c r="Z276" s="63"/>
      <c r="AA276" s="62"/>
      <c r="AC276" s="140" t="s">
        <v>196</v>
      </c>
    </row>
    <row r="277" spans="15:29" x14ac:dyDescent="0.25">
      <c r="O277" s="62"/>
      <c r="P277" s="62"/>
      <c r="Q277" s="63"/>
      <c r="R277" s="63"/>
      <c r="S277" s="63"/>
      <c r="X277" s="63"/>
      <c r="Y277" s="63"/>
      <c r="Z277" s="63"/>
      <c r="AA277" s="62"/>
      <c r="AC277" s="140" t="s">
        <v>310</v>
      </c>
    </row>
    <row r="278" spans="15:29" x14ac:dyDescent="0.25">
      <c r="O278" s="62"/>
      <c r="P278" s="62"/>
      <c r="Q278" s="63"/>
      <c r="R278" s="63"/>
      <c r="S278" s="63"/>
      <c r="X278" s="63"/>
      <c r="Y278" s="63"/>
      <c r="Z278" s="63"/>
      <c r="AA278" s="62"/>
      <c r="AC278" s="140" t="s">
        <v>415</v>
      </c>
    </row>
    <row r="279" spans="15:29" x14ac:dyDescent="0.25">
      <c r="O279" s="62"/>
      <c r="P279" s="62"/>
      <c r="Q279" s="63"/>
      <c r="R279" s="63"/>
      <c r="S279" s="63"/>
      <c r="X279" s="63"/>
      <c r="Y279" s="63"/>
      <c r="Z279" s="63"/>
      <c r="AA279" s="62"/>
      <c r="AC279" s="140" t="s">
        <v>122</v>
      </c>
    </row>
    <row r="280" spans="15:29" x14ac:dyDescent="0.25">
      <c r="O280" s="62"/>
      <c r="P280" s="62"/>
      <c r="Q280" s="63"/>
      <c r="R280" s="63"/>
      <c r="S280" s="63"/>
      <c r="X280" s="63"/>
      <c r="Y280" s="63"/>
      <c r="Z280" s="63"/>
      <c r="AA280" s="62"/>
      <c r="AC280" s="140" t="s">
        <v>311</v>
      </c>
    </row>
    <row r="281" spans="15:29" x14ac:dyDescent="0.25">
      <c r="O281" s="62"/>
      <c r="P281" s="62"/>
      <c r="Q281" s="63"/>
      <c r="R281" s="63"/>
      <c r="S281" s="63"/>
      <c r="X281" s="63"/>
      <c r="Y281" s="63"/>
      <c r="Z281" s="63"/>
      <c r="AA281" s="62"/>
      <c r="AC281" s="140" t="s">
        <v>268</v>
      </c>
    </row>
    <row r="282" spans="15:29" x14ac:dyDescent="0.25">
      <c r="O282" s="62"/>
      <c r="P282" s="62"/>
      <c r="Q282" s="63"/>
      <c r="R282" s="63"/>
      <c r="S282" s="63"/>
      <c r="X282" s="63"/>
      <c r="Y282" s="63"/>
      <c r="Z282" s="63"/>
      <c r="AA282" s="62"/>
      <c r="AC282" s="140" t="s">
        <v>197</v>
      </c>
    </row>
    <row r="283" spans="15:29" x14ac:dyDescent="0.25">
      <c r="O283" s="62"/>
      <c r="P283" s="62"/>
      <c r="Q283" s="63"/>
      <c r="R283" s="63"/>
      <c r="S283" s="63"/>
      <c r="X283" s="63"/>
      <c r="Y283" s="63"/>
      <c r="Z283" s="63"/>
      <c r="AA283" s="62"/>
      <c r="AC283" s="140" t="s">
        <v>154</v>
      </c>
    </row>
    <row r="284" spans="15:29" x14ac:dyDescent="0.25">
      <c r="O284" s="62"/>
      <c r="P284" s="62"/>
      <c r="Q284" s="63"/>
      <c r="R284" s="63"/>
      <c r="S284" s="63"/>
      <c r="X284" s="63"/>
      <c r="Y284" s="63"/>
      <c r="Z284" s="63"/>
      <c r="AA284" s="62"/>
      <c r="AC284" s="140" t="s">
        <v>334</v>
      </c>
    </row>
    <row r="285" spans="15:29" x14ac:dyDescent="0.25">
      <c r="O285" s="62"/>
      <c r="P285" s="62"/>
      <c r="Q285" s="63"/>
      <c r="R285" s="63"/>
      <c r="S285" s="63"/>
      <c r="X285" s="63"/>
      <c r="Y285" s="63"/>
      <c r="Z285" s="63"/>
      <c r="AA285" s="62"/>
      <c r="AC285" s="140" t="s">
        <v>198</v>
      </c>
    </row>
    <row r="286" spans="15:29" x14ac:dyDescent="0.25">
      <c r="O286" s="62"/>
      <c r="P286" s="62"/>
      <c r="Q286" s="63"/>
      <c r="R286" s="63"/>
      <c r="S286" s="63"/>
      <c r="X286" s="63"/>
      <c r="Y286" s="63"/>
      <c r="Z286" s="63"/>
      <c r="AA286" s="62"/>
      <c r="AC286" s="140" t="s">
        <v>225</v>
      </c>
    </row>
    <row r="287" spans="15:29" x14ac:dyDescent="0.25">
      <c r="O287" s="62"/>
      <c r="P287" s="62"/>
      <c r="Q287" s="63"/>
      <c r="R287" s="63"/>
      <c r="S287" s="63"/>
      <c r="X287" s="63"/>
      <c r="Y287" s="63"/>
      <c r="Z287" s="63"/>
      <c r="AA287" s="62"/>
      <c r="AC287" s="140" t="s">
        <v>382</v>
      </c>
    </row>
    <row r="288" spans="15:29" x14ac:dyDescent="0.25">
      <c r="O288" s="62"/>
      <c r="P288" s="62"/>
      <c r="Q288" s="63"/>
      <c r="R288" s="63"/>
      <c r="S288" s="63"/>
      <c r="X288" s="63"/>
      <c r="Y288" s="63"/>
      <c r="Z288" s="63"/>
      <c r="AA288" s="62"/>
      <c r="AC288" s="140" t="s">
        <v>199</v>
      </c>
    </row>
    <row r="289" spans="15:29" x14ac:dyDescent="0.25">
      <c r="O289" s="62"/>
      <c r="P289" s="62"/>
      <c r="Q289" s="63"/>
      <c r="R289" s="63"/>
      <c r="S289" s="63"/>
      <c r="X289" s="63"/>
      <c r="Y289" s="63"/>
      <c r="Z289" s="63"/>
      <c r="AA289" s="62"/>
      <c r="AC289" s="140" t="s">
        <v>226</v>
      </c>
    </row>
    <row r="290" spans="15:29" x14ac:dyDescent="0.25">
      <c r="O290" s="62"/>
      <c r="P290" s="62"/>
      <c r="Q290" s="63"/>
      <c r="R290" s="63"/>
      <c r="S290" s="63"/>
      <c r="X290" s="63"/>
      <c r="Y290" s="63"/>
      <c r="Z290" s="63"/>
      <c r="AA290" s="62"/>
      <c r="AC290" s="140" t="s">
        <v>312</v>
      </c>
    </row>
    <row r="291" spans="15:29" x14ac:dyDescent="0.25">
      <c r="O291" s="62"/>
      <c r="P291" s="62"/>
      <c r="Q291" s="63"/>
      <c r="R291" s="63"/>
      <c r="S291" s="63"/>
      <c r="X291" s="63"/>
      <c r="Y291" s="63"/>
      <c r="Z291" s="63"/>
      <c r="AA291" s="62"/>
      <c r="AC291" s="140" t="s">
        <v>155</v>
      </c>
    </row>
    <row r="292" spans="15:29" x14ac:dyDescent="0.25">
      <c r="O292" s="62"/>
      <c r="P292" s="62"/>
      <c r="Q292" s="63"/>
      <c r="R292" s="63"/>
      <c r="S292" s="63"/>
      <c r="X292" s="63"/>
      <c r="Y292" s="63"/>
      <c r="Z292" s="63"/>
      <c r="AA292" s="62"/>
      <c r="AC292" s="140" t="s">
        <v>313</v>
      </c>
    </row>
    <row r="293" spans="15:29" x14ac:dyDescent="0.25">
      <c r="O293" s="62"/>
      <c r="P293" s="62"/>
      <c r="Q293" s="63"/>
      <c r="R293" s="63"/>
      <c r="S293" s="63"/>
      <c r="X293" s="63"/>
      <c r="Y293" s="63"/>
      <c r="Z293" s="63"/>
      <c r="AA293" s="62"/>
      <c r="AC293" s="140" t="s">
        <v>416</v>
      </c>
    </row>
    <row r="294" spans="15:29" x14ac:dyDescent="0.25">
      <c r="O294" s="62"/>
      <c r="P294" s="62"/>
      <c r="Q294" s="63"/>
      <c r="R294" s="63"/>
      <c r="S294" s="63"/>
      <c r="X294" s="63"/>
      <c r="Y294" s="63"/>
      <c r="Z294" s="63"/>
      <c r="AA294" s="62"/>
      <c r="AC294" s="140" t="s">
        <v>417</v>
      </c>
    </row>
    <row r="295" spans="15:29" x14ac:dyDescent="0.25">
      <c r="O295" s="62"/>
      <c r="P295" s="62"/>
      <c r="Q295" s="63"/>
      <c r="R295" s="63"/>
      <c r="S295" s="63"/>
      <c r="X295" s="63"/>
      <c r="Y295" s="63"/>
      <c r="Z295" s="63"/>
      <c r="AA295" s="62"/>
      <c r="AC295" s="140" t="s">
        <v>383</v>
      </c>
    </row>
    <row r="296" spans="15:29" x14ac:dyDescent="0.25">
      <c r="O296" s="62"/>
      <c r="P296" s="62"/>
      <c r="Q296" s="63"/>
      <c r="R296" s="63"/>
      <c r="S296" s="63"/>
      <c r="X296" s="63"/>
      <c r="Y296" s="63"/>
      <c r="Z296" s="63"/>
      <c r="AA296" s="62"/>
      <c r="AC296" s="140" t="s">
        <v>314</v>
      </c>
    </row>
    <row r="297" spans="15:29" x14ac:dyDescent="0.25">
      <c r="O297" s="62"/>
      <c r="P297" s="62"/>
      <c r="Q297" s="63"/>
      <c r="R297" s="63"/>
      <c r="S297" s="63"/>
      <c r="X297" s="63"/>
      <c r="Y297" s="63"/>
      <c r="Z297" s="63"/>
      <c r="AA297" s="62"/>
      <c r="AC297" s="140" t="s">
        <v>200</v>
      </c>
    </row>
    <row r="298" spans="15:29" x14ac:dyDescent="0.25">
      <c r="O298" s="62"/>
      <c r="P298" s="62"/>
      <c r="Q298" s="63"/>
      <c r="R298" s="63"/>
      <c r="S298" s="63"/>
      <c r="X298" s="63"/>
      <c r="Y298" s="63"/>
      <c r="Z298" s="63"/>
      <c r="AA298" s="62"/>
      <c r="AC298" s="140" t="s">
        <v>384</v>
      </c>
    </row>
    <row r="299" spans="15:29" x14ac:dyDescent="0.25">
      <c r="O299" s="62"/>
      <c r="P299" s="62"/>
      <c r="Q299" s="63"/>
      <c r="R299" s="63"/>
      <c r="S299" s="63"/>
      <c r="X299" s="63"/>
      <c r="Y299" s="63"/>
      <c r="Z299" s="63"/>
      <c r="AA299" s="62"/>
      <c r="AC299" s="140" t="s">
        <v>269</v>
      </c>
    </row>
    <row r="300" spans="15:29" x14ac:dyDescent="0.25">
      <c r="O300" s="62"/>
      <c r="P300" s="62"/>
      <c r="Q300" s="63"/>
      <c r="R300" s="63"/>
      <c r="S300" s="63"/>
      <c r="X300" s="63"/>
      <c r="Y300" s="63"/>
      <c r="Z300" s="63"/>
      <c r="AA300" s="62"/>
      <c r="AC300" s="140" t="s">
        <v>201</v>
      </c>
    </row>
    <row r="301" spans="15:29" x14ac:dyDescent="0.25">
      <c r="O301" s="62"/>
      <c r="P301" s="62"/>
      <c r="Q301" s="63"/>
      <c r="R301" s="63"/>
      <c r="S301" s="63"/>
      <c r="X301" s="63"/>
      <c r="Y301" s="63"/>
      <c r="Z301" s="63"/>
      <c r="AA301" s="62"/>
      <c r="AC301" s="140" t="s">
        <v>315</v>
      </c>
    </row>
    <row r="302" spans="15:29" x14ac:dyDescent="0.25">
      <c r="O302" s="62"/>
      <c r="P302" s="62"/>
      <c r="Q302" s="63"/>
      <c r="R302" s="63"/>
      <c r="S302" s="63"/>
      <c r="X302" s="63"/>
      <c r="Y302" s="63"/>
      <c r="Z302" s="63"/>
      <c r="AA302" s="62"/>
      <c r="AC302" s="140" t="s">
        <v>133</v>
      </c>
    </row>
    <row r="303" spans="15:29" x14ac:dyDescent="0.25">
      <c r="O303" s="62"/>
      <c r="P303" s="62"/>
      <c r="Q303" s="63"/>
      <c r="R303" s="63"/>
      <c r="S303" s="63"/>
      <c r="X303" s="63"/>
      <c r="Y303" s="63"/>
      <c r="Z303" s="63"/>
      <c r="AA303" s="62"/>
      <c r="AC303" s="140" t="s">
        <v>335</v>
      </c>
    </row>
    <row r="304" spans="15:29" x14ac:dyDescent="0.25">
      <c r="O304" s="62"/>
      <c r="P304" s="62"/>
      <c r="Q304" s="63"/>
      <c r="R304" s="63"/>
      <c r="S304" s="63"/>
      <c r="X304" s="63"/>
      <c r="Y304" s="63"/>
      <c r="Z304" s="63"/>
      <c r="AA304" s="62"/>
      <c r="AC304" s="140" t="s">
        <v>441</v>
      </c>
    </row>
    <row r="305" spans="15:29" x14ac:dyDescent="0.25">
      <c r="O305" s="62"/>
      <c r="P305" s="62"/>
      <c r="Q305" s="63"/>
      <c r="R305" s="63"/>
      <c r="S305" s="63"/>
      <c r="X305" s="63"/>
      <c r="Y305" s="63"/>
      <c r="Z305" s="63"/>
      <c r="AA305" s="62"/>
      <c r="AC305" s="140" t="s">
        <v>476</v>
      </c>
    </row>
    <row r="306" spans="15:29" x14ac:dyDescent="0.25">
      <c r="O306" s="62"/>
      <c r="P306" s="62"/>
      <c r="Q306" s="63"/>
      <c r="R306" s="63"/>
      <c r="S306" s="63"/>
      <c r="X306" s="63"/>
      <c r="Y306" s="63"/>
      <c r="Z306" s="63"/>
      <c r="AA306" s="62"/>
      <c r="AC306" s="140" t="s">
        <v>418</v>
      </c>
    </row>
    <row r="307" spans="15:29" x14ac:dyDescent="0.25">
      <c r="O307" s="62"/>
      <c r="P307" s="62"/>
      <c r="Q307" s="63"/>
      <c r="R307" s="63"/>
      <c r="S307" s="63"/>
      <c r="X307" s="63"/>
      <c r="Y307" s="63"/>
      <c r="Z307" s="63"/>
      <c r="AA307" s="62"/>
      <c r="AC307" s="140" t="s">
        <v>437</v>
      </c>
    </row>
    <row r="308" spans="15:29" x14ac:dyDescent="0.25">
      <c r="O308" s="62"/>
      <c r="P308" s="62"/>
      <c r="Q308" s="63"/>
      <c r="R308" s="63"/>
      <c r="S308" s="63"/>
      <c r="X308" s="63"/>
      <c r="Y308" s="63"/>
      <c r="Z308" s="63"/>
      <c r="AA308" s="62"/>
      <c r="AC308" s="140" t="s">
        <v>385</v>
      </c>
    </row>
    <row r="309" spans="15:29" x14ac:dyDescent="0.25">
      <c r="O309" s="62"/>
      <c r="P309" s="62"/>
      <c r="Q309" s="63"/>
      <c r="R309" s="63"/>
      <c r="S309" s="63"/>
      <c r="X309" s="63"/>
      <c r="Y309" s="63"/>
      <c r="Z309" s="63"/>
      <c r="AA309" s="62"/>
      <c r="AC309" s="140" t="s">
        <v>419</v>
      </c>
    </row>
    <row r="310" spans="15:29" x14ac:dyDescent="0.25">
      <c r="O310" s="62"/>
      <c r="P310" s="62"/>
      <c r="Q310" s="63"/>
      <c r="R310" s="63"/>
      <c r="S310" s="63"/>
      <c r="X310" s="63"/>
      <c r="Y310" s="63"/>
      <c r="Z310" s="63"/>
      <c r="AA310" s="62"/>
      <c r="AC310" s="140" t="s">
        <v>316</v>
      </c>
    </row>
    <row r="311" spans="15:29" x14ac:dyDescent="0.25">
      <c r="O311" s="62"/>
      <c r="P311" s="62"/>
      <c r="Q311" s="63"/>
      <c r="R311" s="63"/>
      <c r="S311" s="63"/>
      <c r="X311" s="63"/>
      <c r="Y311" s="63"/>
      <c r="Z311" s="63"/>
      <c r="AA311" s="62"/>
      <c r="AC311" s="140" t="s">
        <v>336</v>
      </c>
    </row>
    <row r="312" spans="15:29" x14ac:dyDescent="0.25">
      <c r="O312" s="62"/>
      <c r="P312" s="62"/>
      <c r="Q312" s="63"/>
      <c r="R312" s="63"/>
      <c r="S312" s="63"/>
      <c r="X312" s="63"/>
      <c r="Y312" s="63"/>
      <c r="Z312" s="63"/>
      <c r="AA312" s="62"/>
      <c r="AC312" s="140" t="s">
        <v>134</v>
      </c>
    </row>
    <row r="313" spans="15:29" x14ac:dyDescent="0.25">
      <c r="O313" s="62"/>
      <c r="P313" s="62"/>
      <c r="Q313" s="63"/>
      <c r="R313" s="63"/>
      <c r="S313" s="63"/>
      <c r="X313" s="63"/>
      <c r="Y313" s="63"/>
      <c r="Z313" s="63"/>
      <c r="AA313" s="62"/>
      <c r="AC313" s="140" t="s">
        <v>227</v>
      </c>
    </row>
    <row r="314" spans="15:29" x14ac:dyDescent="0.25">
      <c r="O314" s="62"/>
      <c r="P314" s="62"/>
      <c r="Q314" s="63"/>
      <c r="R314" s="63"/>
      <c r="S314" s="63"/>
      <c r="X314" s="63"/>
      <c r="Y314" s="63"/>
      <c r="Z314" s="63"/>
      <c r="AA314" s="62"/>
      <c r="AC314" s="140" t="s">
        <v>386</v>
      </c>
    </row>
    <row r="315" spans="15:29" x14ac:dyDescent="0.25">
      <c r="O315" s="62"/>
      <c r="P315" s="62"/>
      <c r="Q315" s="63"/>
      <c r="R315" s="63"/>
      <c r="S315" s="63"/>
      <c r="X315" s="63"/>
      <c r="Y315" s="63"/>
      <c r="Z315" s="63"/>
      <c r="AA315" s="62"/>
      <c r="AC315" s="140" t="s">
        <v>387</v>
      </c>
    </row>
    <row r="316" spans="15:29" x14ac:dyDescent="0.25">
      <c r="O316" s="62"/>
      <c r="P316" s="62"/>
      <c r="Q316" s="63"/>
      <c r="R316" s="63"/>
      <c r="S316" s="63"/>
      <c r="X316" s="63"/>
      <c r="Y316" s="63"/>
      <c r="Z316" s="63"/>
      <c r="AA316" s="62"/>
      <c r="AC316" s="140" t="s">
        <v>123</v>
      </c>
    </row>
    <row r="317" spans="15:29" x14ac:dyDescent="0.25">
      <c r="O317" s="62"/>
      <c r="P317" s="62"/>
      <c r="Q317" s="63"/>
      <c r="R317" s="63"/>
      <c r="S317" s="63"/>
      <c r="X317" s="63"/>
      <c r="Y317" s="63"/>
      <c r="Z317" s="63"/>
      <c r="AA317" s="62"/>
      <c r="AC317" s="140" t="s">
        <v>156</v>
      </c>
    </row>
    <row r="318" spans="15:29" x14ac:dyDescent="0.25">
      <c r="O318" s="62"/>
      <c r="P318" s="62"/>
      <c r="Q318" s="63"/>
      <c r="R318" s="63"/>
      <c r="S318" s="63"/>
      <c r="X318" s="63"/>
      <c r="Y318" s="63"/>
      <c r="Z318" s="63"/>
      <c r="AA318" s="62"/>
      <c r="AC318" s="140" t="s">
        <v>270</v>
      </c>
    </row>
    <row r="319" spans="15:29" x14ac:dyDescent="0.25">
      <c r="O319" s="62"/>
      <c r="P319" s="62"/>
      <c r="Q319" s="63"/>
      <c r="R319" s="63"/>
      <c r="S319" s="63"/>
      <c r="X319" s="63"/>
      <c r="Y319" s="63"/>
      <c r="Z319" s="63"/>
      <c r="AA319" s="62"/>
      <c r="AC319" s="140" t="s">
        <v>388</v>
      </c>
    </row>
    <row r="320" spans="15:29" x14ac:dyDescent="0.25">
      <c r="O320" s="62"/>
      <c r="P320" s="62"/>
      <c r="Q320" s="63"/>
      <c r="R320" s="63"/>
      <c r="S320" s="63"/>
      <c r="X320" s="63"/>
      <c r="Y320" s="63"/>
      <c r="Z320" s="63"/>
      <c r="AA320" s="62"/>
      <c r="AC320" s="140" t="s">
        <v>157</v>
      </c>
    </row>
    <row r="321" spans="15:29" x14ac:dyDescent="0.25">
      <c r="O321" s="62"/>
      <c r="P321" s="62"/>
      <c r="Q321" s="63"/>
      <c r="R321" s="63"/>
      <c r="S321" s="63"/>
      <c r="X321" s="63"/>
      <c r="Y321" s="63"/>
      <c r="Z321" s="63"/>
      <c r="AA321" s="62"/>
      <c r="AC321" s="140" t="s">
        <v>420</v>
      </c>
    </row>
    <row r="322" spans="15:29" x14ac:dyDescent="0.25">
      <c r="O322" s="62"/>
      <c r="P322" s="62"/>
      <c r="Q322" s="63"/>
      <c r="R322" s="63"/>
      <c r="S322" s="63"/>
      <c r="X322" s="63"/>
      <c r="Y322" s="63"/>
      <c r="Z322" s="63"/>
      <c r="AA322" s="62"/>
      <c r="AC322" s="140" t="s">
        <v>228</v>
      </c>
    </row>
    <row r="323" spans="15:29" x14ac:dyDescent="0.25">
      <c r="O323" s="62"/>
      <c r="P323" s="62"/>
      <c r="Q323" s="63"/>
      <c r="R323" s="63"/>
      <c r="S323" s="63"/>
      <c r="X323" s="63"/>
      <c r="Y323" s="63"/>
      <c r="Z323" s="63"/>
      <c r="AA323" s="62"/>
      <c r="AC323" s="140" t="s">
        <v>438</v>
      </c>
    </row>
    <row r="324" spans="15:29" x14ac:dyDescent="0.25">
      <c r="O324" s="62"/>
      <c r="P324" s="62"/>
      <c r="Q324" s="63"/>
      <c r="R324" s="63"/>
      <c r="S324" s="63"/>
      <c r="X324" s="63"/>
      <c r="Y324" s="63"/>
      <c r="Z324" s="63"/>
      <c r="AA324" s="62"/>
      <c r="AC324" s="140" t="s">
        <v>337</v>
      </c>
    </row>
    <row r="325" spans="15:29" x14ac:dyDescent="0.25">
      <c r="O325" s="62"/>
      <c r="P325" s="62"/>
      <c r="Q325" s="63"/>
      <c r="R325" s="63"/>
      <c r="S325" s="63"/>
      <c r="X325" s="63"/>
      <c r="Y325" s="63"/>
      <c r="Z325" s="63"/>
      <c r="AA325" s="62"/>
      <c r="AC325" s="140" t="s">
        <v>135</v>
      </c>
    </row>
    <row r="326" spans="15:29" x14ac:dyDescent="0.25">
      <c r="O326" s="62"/>
      <c r="P326" s="62"/>
      <c r="Q326" s="63"/>
      <c r="R326" s="63"/>
      <c r="S326" s="63"/>
      <c r="X326" s="63"/>
      <c r="Y326" s="63"/>
      <c r="Z326" s="63"/>
      <c r="AA326" s="62"/>
      <c r="AC326" s="140" t="s">
        <v>271</v>
      </c>
    </row>
    <row r="327" spans="15:29" x14ac:dyDescent="0.25">
      <c r="O327" s="62"/>
      <c r="P327" s="62"/>
      <c r="Q327" s="63"/>
      <c r="R327" s="63"/>
      <c r="S327" s="63"/>
      <c r="X327" s="63"/>
      <c r="Y327" s="63"/>
      <c r="Z327" s="63"/>
      <c r="AA327" s="62"/>
      <c r="AC327" s="140" t="s">
        <v>317</v>
      </c>
    </row>
    <row r="328" spans="15:29" x14ac:dyDescent="0.25">
      <c r="O328" s="62"/>
      <c r="P328" s="62"/>
      <c r="Q328" s="63"/>
      <c r="R328" s="63"/>
      <c r="S328" s="63"/>
      <c r="X328" s="63"/>
      <c r="Y328" s="63"/>
      <c r="Z328" s="63"/>
      <c r="AA328" s="62"/>
      <c r="AC328" s="140" t="s">
        <v>338</v>
      </c>
    </row>
    <row r="329" spans="15:29" x14ac:dyDescent="0.25">
      <c r="O329" s="62"/>
      <c r="P329" s="62"/>
      <c r="Q329" s="63"/>
      <c r="R329" s="63"/>
      <c r="S329" s="63"/>
      <c r="X329" s="63"/>
      <c r="Y329" s="63"/>
      <c r="Z329" s="63"/>
      <c r="AA329" s="62"/>
      <c r="AC329" s="140" t="s">
        <v>202</v>
      </c>
    </row>
    <row r="330" spans="15:29" x14ac:dyDescent="0.25">
      <c r="O330" s="62"/>
      <c r="P330" s="62"/>
      <c r="Q330" s="63"/>
      <c r="R330" s="63"/>
      <c r="S330" s="63"/>
      <c r="X330" s="63"/>
      <c r="Y330" s="63"/>
      <c r="Z330" s="63"/>
      <c r="AA330" s="62"/>
      <c r="AC330" s="140" t="s">
        <v>389</v>
      </c>
    </row>
    <row r="331" spans="15:29" x14ac:dyDescent="0.25">
      <c r="O331" s="62"/>
      <c r="P331" s="62"/>
      <c r="Q331" s="63"/>
      <c r="R331" s="63"/>
      <c r="S331" s="63"/>
      <c r="X331" s="63"/>
      <c r="Y331" s="63"/>
      <c r="Z331" s="63"/>
      <c r="AA331" s="62"/>
      <c r="AC331" s="158" t="s">
        <v>158</v>
      </c>
    </row>
    <row r="332" spans="15:29" x14ac:dyDescent="0.25">
      <c r="O332" s="62"/>
      <c r="P332" s="62"/>
      <c r="Q332" s="63"/>
      <c r="R332" s="63"/>
      <c r="S332" s="63"/>
      <c r="X332" s="63"/>
      <c r="Y332" s="63"/>
      <c r="Z332" s="63"/>
      <c r="AA332" s="62"/>
      <c r="AC332" s="158" t="s">
        <v>159</v>
      </c>
    </row>
    <row r="333" spans="15:29" x14ac:dyDescent="0.25">
      <c r="O333" s="62"/>
      <c r="P333" s="62"/>
      <c r="Q333" s="63"/>
      <c r="R333" s="63"/>
      <c r="S333" s="63"/>
      <c r="X333" s="63"/>
      <c r="Y333" s="63"/>
      <c r="Z333" s="63"/>
      <c r="AA333" s="62"/>
      <c r="AC333" s="140" t="s">
        <v>113</v>
      </c>
    </row>
    <row r="334" spans="15:29" x14ac:dyDescent="0.25">
      <c r="O334" s="62"/>
      <c r="P334" s="62"/>
      <c r="Q334" s="63"/>
      <c r="R334" s="63"/>
      <c r="S334" s="63"/>
      <c r="X334" s="63"/>
      <c r="Y334" s="63"/>
      <c r="Z334" s="63"/>
      <c r="AA334" s="62"/>
      <c r="AC334" s="140" t="s">
        <v>136</v>
      </c>
    </row>
    <row r="335" spans="15:29" x14ac:dyDescent="0.25">
      <c r="O335" s="62"/>
      <c r="P335" s="62"/>
      <c r="Q335" s="63"/>
      <c r="R335" s="63"/>
      <c r="S335" s="63"/>
      <c r="X335" s="63"/>
      <c r="Y335" s="63"/>
      <c r="Z335" s="63"/>
      <c r="AA335" s="62"/>
      <c r="AC335" s="140" t="s">
        <v>390</v>
      </c>
    </row>
    <row r="336" spans="15:29" x14ac:dyDescent="0.25">
      <c r="O336" s="62"/>
      <c r="P336" s="62"/>
      <c r="Q336" s="63"/>
      <c r="R336" s="63"/>
      <c r="S336" s="63"/>
      <c r="X336" s="63"/>
      <c r="Y336" s="63"/>
      <c r="Z336" s="63"/>
      <c r="AA336" s="62"/>
      <c r="AC336" s="140" t="s">
        <v>272</v>
      </c>
    </row>
    <row r="337" spans="15:29" x14ac:dyDescent="0.25">
      <c r="O337" s="62"/>
      <c r="P337" s="62"/>
      <c r="Q337" s="63"/>
      <c r="R337" s="63"/>
      <c r="S337" s="63"/>
      <c r="X337" s="63"/>
      <c r="Y337" s="63"/>
      <c r="Z337" s="63"/>
      <c r="AA337" s="62"/>
      <c r="AC337" s="140" t="s">
        <v>273</v>
      </c>
    </row>
    <row r="338" spans="15:29" x14ac:dyDescent="0.25">
      <c r="O338" s="62"/>
      <c r="P338" s="62"/>
      <c r="Q338" s="63"/>
      <c r="R338" s="63"/>
      <c r="S338" s="63"/>
      <c r="X338" s="63"/>
      <c r="Y338" s="63"/>
      <c r="Z338" s="63"/>
      <c r="AA338" s="62"/>
      <c r="AC338" s="140" t="s">
        <v>431</v>
      </c>
    </row>
    <row r="339" spans="15:29" x14ac:dyDescent="0.25">
      <c r="O339" s="62"/>
      <c r="P339" s="62"/>
      <c r="Q339" s="63"/>
      <c r="R339" s="63"/>
      <c r="S339" s="63"/>
      <c r="X339" s="63"/>
      <c r="Y339" s="63"/>
      <c r="Z339" s="63"/>
      <c r="AA339" s="62"/>
      <c r="AC339" s="140" t="s">
        <v>229</v>
      </c>
    </row>
    <row r="340" spans="15:29" x14ac:dyDescent="0.25">
      <c r="O340" s="62"/>
      <c r="P340" s="62"/>
      <c r="Q340" s="63"/>
      <c r="R340" s="63"/>
      <c r="S340" s="63"/>
      <c r="X340" s="63"/>
      <c r="Y340" s="63"/>
      <c r="Z340" s="63"/>
      <c r="AA340" s="62"/>
      <c r="AC340" s="140" t="s">
        <v>230</v>
      </c>
    </row>
    <row r="341" spans="15:29" x14ac:dyDescent="0.25">
      <c r="O341" s="62"/>
      <c r="P341" s="62"/>
      <c r="Q341" s="63"/>
      <c r="R341" s="63"/>
      <c r="S341" s="63"/>
      <c r="X341" s="63"/>
      <c r="Y341" s="63"/>
      <c r="Z341" s="63"/>
      <c r="AA341" s="62"/>
      <c r="AC341" s="140" t="s">
        <v>421</v>
      </c>
    </row>
    <row r="342" spans="15:29" x14ac:dyDescent="0.25">
      <c r="O342" s="62"/>
      <c r="P342" s="62"/>
      <c r="Q342" s="63"/>
      <c r="R342" s="63"/>
      <c r="S342" s="63"/>
      <c r="X342" s="63"/>
      <c r="Y342" s="63"/>
      <c r="Z342" s="63"/>
      <c r="AA342" s="62"/>
      <c r="AC342" s="140" t="s">
        <v>422</v>
      </c>
    </row>
    <row r="343" spans="15:29" x14ac:dyDescent="0.25">
      <c r="O343" s="62"/>
      <c r="P343" s="62"/>
      <c r="Q343" s="63"/>
      <c r="R343" s="63"/>
      <c r="S343" s="63"/>
      <c r="X343" s="63"/>
      <c r="Y343" s="63"/>
      <c r="Z343" s="63"/>
      <c r="AA343" s="62"/>
      <c r="AC343" s="140" t="s">
        <v>391</v>
      </c>
    </row>
    <row r="344" spans="15:29" x14ac:dyDescent="0.25">
      <c r="O344" s="62"/>
      <c r="P344" s="62"/>
      <c r="Q344" s="63"/>
      <c r="R344" s="63"/>
      <c r="S344" s="63"/>
      <c r="X344" s="63"/>
      <c r="Y344" s="63"/>
      <c r="Z344" s="63"/>
      <c r="AA344" s="62"/>
      <c r="AC344" s="140" t="s">
        <v>124</v>
      </c>
    </row>
    <row r="345" spans="15:29" x14ac:dyDescent="0.25">
      <c r="O345" s="62"/>
      <c r="P345" s="62"/>
      <c r="Q345" s="63"/>
      <c r="R345" s="63"/>
      <c r="S345" s="63"/>
      <c r="X345" s="63"/>
      <c r="Y345" s="63"/>
      <c r="Z345" s="63"/>
      <c r="AA345" s="62"/>
      <c r="AC345" s="140" t="s">
        <v>231</v>
      </c>
    </row>
    <row r="346" spans="15:29" x14ac:dyDescent="0.25">
      <c r="O346" s="62"/>
      <c r="P346" s="62"/>
      <c r="Q346" s="63"/>
      <c r="R346" s="63"/>
      <c r="S346" s="63"/>
      <c r="X346" s="63"/>
      <c r="Y346" s="63"/>
      <c r="Z346" s="63"/>
      <c r="AA346" s="62"/>
      <c r="AC346" s="140" t="s">
        <v>339</v>
      </c>
    </row>
    <row r="347" spans="15:29" x14ac:dyDescent="0.25">
      <c r="O347" s="62"/>
      <c r="P347" s="62"/>
      <c r="Q347" s="63"/>
      <c r="R347" s="63"/>
      <c r="S347" s="63"/>
      <c r="X347" s="63"/>
      <c r="Y347" s="63"/>
      <c r="Z347" s="63"/>
      <c r="AA347" s="62"/>
      <c r="AC347" s="140" t="s">
        <v>392</v>
      </c>
    </row>
    <row r="348" spans="15:29" x14ac:dyDescent="0.25">
      <c r="O348" s="62"/>
      <c r="P348" s="62"/>
      <c r="Q348" s="63"/>
      <c r="R348" s="63"/>
      <c r="S348" s="63"/>
      <c r="X348" s="63"/>
      <c r="Y348" s="63"/>
      <c r="Z348" s="63"/>
      <c r="AA348" s="62"/>
      <c r="AC348" s="140" t="s">
        <v>274</v>
      </c>
    </row>
    <row r="349" spans="15:29" x14ac:dyDescent="0.25">
      <c r="O349" s="62"/>
      <c r="P349" s="62"/>
      <c r="Q349" s="63"/>
      <c r="R349" s="63"/>
      <c r="S349" s="63"/>
      <c r="X349" s="63"/>
      <c r="Y349" s="63"/>
      <c r="Z349" s="63"/>
      <c r="AA349" s="62"/>
      <c r="AC349" s="140" t="s">
        <v>423</v>
      </c>
    </row>
    <row r="350" spans="15:29" x14ac:dyDescent="0.25">
      <c r="O350" s="62"/>
      <c r="P350" s="62"/>
      <c r="Q350" s="63"/>
      <c r="R350" s="63"/>
      <c r="S350" s="63"/>
      <c r="X350" s="63"/>
      <c r="Y350" s="63"/>
      <c r="Z350" s="63"/>
      <c r="AA350" s="62"/>
      <c r="AC350" s="140" t="s">
        <v>424</v>
      </c>
    </row>
    <row r="351" spans="15:29" x14ac:dyDescent="0.25">
      <c r="O351" s="62"/>
      <c r="P351" s="62"/>
      <c r="Q351" s="63"/>
      <c r="R351" s="63"/>
      <c r="S351" s="63"/>
      <c r="X351" s="63"/>
      <c r="Y351" s="63"/>
      <c r="Z351" s="63"/>
      <c r="AA351" s="62"/>
      <c r="AC351" s="140" t="s">
        <v>598</v>
      </c>
    </row>
    <row r="352" spans="15:29" x14ac:dyDescent="0.25">
      <c r="O352" s="62"/>
      <c r="P352" s="62"/>
      <c r="Q352" s="63"/>
      <c r="R352" s="63"/>
      <c r="S352" s="63"/>
      <c r="X352" s="63"/>
      <c r="Y352" s="63"/>
      <c r="Z352" s="63"/>
      <c r="AA352" s="62"/>
      <c r="AC352" s="140" t="s">
        <v>318</v>
      </c>
    </row>
    <row r="353" spans="15:29" x14ac:dyDescent="0.25">
      <c r="O353" s="62"/>
      <c r="P353" s="62"/>
      <c r="Q353" s="63"/>
      <c r="R353" s="63"/>
      <c r="S353" s="63"/>
      <c r="X353" s="63"/>
      <c r="Y353" s="63"/>
      <c r="Z353" s="63"/>
      <c r="AA353" s="62"/>
      <c r="AC353" s="140" t="s">
        <v>137</v>
      </c>
    </row>
    <row r="354" spans="15:29" x14ac:dyDescent="0.25">
      <c r="O354" s="62"/>
      <c r="P354" s="62"/>
      <c r="Q354" s="63"/>
      <c r="R354" s="63"/>
      <c r="S354" s="63"/>
      <c r="X354" s="63"/>
      <c r="Y354" s="63"/>
      <c r="Z354" s="63"/>
      <c r="AA354" s="62"/>
      <c r="AC354" s="140" t="s">
        <v>340</v>
      </c>
    </row>
    <row r="355" spans="15:29" x14ac:dyDescent="0.25">
      <c r="O355" s="62"/>
      <c r="P355" s="62"/>
      <c r="Q355" s="63"/>
      <c r="R355" s="63"/>
      <c r="S355" s="63"/>
      <c r="X355" s="63"/>
      <c r="Y355" s="63"/>
      <c r="Z355" s="63"/>
      <c r="AA355" s="62"/>
      <c r="AC355" s="140" t="s">
        <v>425</v>
      </c>
    </row>
    <row r="356" spans="15:29" x14ac:dyDescent="0.25">
      <c r="O356" s="62"/>
      <c r="P356" s="62"/>
      <c r="Q356" s="63"/>
      <c r="R356" s="63"/>
      <c r="S356" s="63"/>
      <c r="X356" s="63"/>
      <c r="Y356" s="63"/>
      <c r="Z356" s="63"/>
      <c r="AA356" s="62"/>
      <c r="AC356" s="140" t="s">
        <v>319</v>
      </c>
    </row>
    <row r="357" spans="15:29" x14ac:dyDescent="0.25">
      <c r="O357" s="62"/>
      <c r="P357" s="62"/>
      <c r="Q357" s="63"/>
      <c r="R357" s="63"/>
      <c r="S357" s="63"/>
      <c r="X357" s="63"/>
      <c r="Y357" s="63"/>
      <c r="Z357" s="63"/>
      <c r="AA357" s="62"/>
      <c r="AC357" s="140" t="s">
        <v>203</v>
      </c>
    </row>
    <row r="358" spans="15:29" x14ac:dyDescent="0.25">
      <c r="O358" s="62"/>
      <c r="P358" s="62"/>
      <c r="Q358" s="63"/>
      <c r="R358" s="63"/>
      <c r="S358" s="63"/>
      <c r="X358" s="63"/>
      <c r="Y358" s="63"/>
      <c r="Z358" s="63"/>
      <c r="AA358" s="62"/>
      <c r="AC358" s="140" t="s">
        <v>393</v>
      </c>
    </row>
    <row r="359" spans="15:29" x14ac:dyDescent="0.25">
      <c r="O359" s="62"/>
      <c r="P359" s="62"/>
      <c r="Q359" s="63"/>
      <c r="R359" s="63"/>
      <c r="S359" s="63"/>
      <c r="X359" s="63"/>
      <c r="Y359" s="63"/>
      <c r="Z359" s="63"/>
      <c r="AA359" s="62"/>
      <c r="AC359" s="140" t="s">
        <v>599</v>
      </c>
    </row>
    <row r="360" spans="15:29" x14ac:dyDescent="0.25">
      <c r="O360" s="62"/>
      <c r="P360" s="62"/>
      <c r="Q360" s="63"/>
      <c r="R360" s="63"/>
      <c r="S360" s="63"/>
      <c r="X360" s="63"/>
      <c r="Y360" s="63"/>
      <c r="Z360" s="63"/>
      <c r="AA360" s="62"/>
      <c r="AC360" s="140" t="s">
        <v>394</v>
      </c>
    </row>
    <row r="361" spans="15:29" x14ac:dyDescent="0.25">
      <c r="O361" s="62"/>
      <c r="P361" s="62"/>
      <c r="Q361" s="63"/>
      <c r="R361" s="63"/>
      <c r="S361" s="63"/>
      <c r="X361" s="63"/>
      <c r="Y361" s="63"/>
      <c r="Z361" s="63"/>
      <c r="AA361" s="62"/>
      <c r="AC361" s="140" t="s">
        <v>395</v>
      </c>
    </row>
    <row r="362" spans="15:29" x14ac:dyDescent="0.25">
      <c r="O362" s="62"/>
      <c r="P362" s="62"/>
      <c r="Q362" s="63"/>
      <c r="R362" s="63"/>
      <c r="S362" s="63"/>
      <c r="X362" s="63"/>
      <c r="Y362" s="63"/>
      <c r="Z362" s="63"/>
      <c r="AA362" s="62"/>
      <c r="AC362" s="140" t="s">
        <v>320</v>
      </c>
    </row>
    <row r="363" spans="15:29" x14ac:dyDescent="0.25">
      <c r="O363" s="62"/>
      <c r="P363" s="62"/>
      <c r="Q363" s="63"/>
      <c r="R363" s="63"/>
      <c r="S363" s="63"/>
      <c r="X363" s="63"/>
      <c r="Y363" s="63"/>
      <c r="Z363" s="63"/>
      <c r="AA363" s="62"/>
      <c r="AC363" s="140" t="s">
        <v>204</v>
      </c>
    </row>
    <row r="364" spans="15:29" x14ac:dyDescent="0.25">
      <c r="O364" s="62"/>
      <c r="P364" s="62"/>
      <c r="Q364" s="63"/>
      <c r="R364" s="63"/>
      <c r="S364" s="63"/>
      <c r="X364" s="63"/>
      <c r="Y364" s="63"/>
      <c r="Z364" s="63"/>
      <c r="AA364" s="62"/>
      <c r="AC364" s="140" t="s">
        <v>321</v>
      </c>
    </row>
    <row r="365" spans="15:29" x14ac:dyDescent="0.25">
      <c r="O365" s="62"/>
      <c r="P365" s="62"/>
      <c r="Q365" s="63"/>
      <c r="R365" s="63"/>
      <c r="S365" s="63"/>
      <c r="X365" s="63"/>
      <c r="Y365" s="63"/>
      <c r="Z365" s="63"/>
      <c r="AA365" s="62"/>
      <c r="AC365" s="140" t="s">
        <v>275</v>
      </c>
    </row>
    <row r="366" spans="15:29" x14ac:dyDescent="0.25">
      <c r="O366" s="62"/>
      <c r="P366" s="62"/>
      <c r="Q366" s="63"/>
      <c r="R366" s="63"/>
      <c r="S366" s="63"/>
      <c r="X366" s="63"/>
      <c r="Y366" s="63"/>
      <c r="Z366" s="63"/>
      <c r="AA366" s="62"/>
      <c r="AC366" s="140" t="s">
        <v>426</v>
      </c>
    </row>
    <row r="367" spans="15:29" x14ac:dyDescent="0.25">
      <c r="O367" s="62"/>
      <c r="P367" s="62"/>
      <c r="Q367" s="63"/>
      <c r="R367" s="63"/>
      <c r="S367" s="63"/>
      <c r="X367" s="63"/>
      <c r="Y367" s="63"/>
      <c r="Z367" s="63"/>
      <c r="AA367" s="62"/>
      <c r="AC367" s="140" t="s">
        <v>276</v>
      </c>
    </row>
    <row r="368" spans="15:29" x14ac:dyDescent="0.25">
      <c r="O368" s="62"/>
      <c r="P368" s="62"/>
      <c r="Q368" s="63"/>
      <c r="R368" s="63"/>
      <c r="S368" s="63"/>
      <c r="X368" s="63"/>
      <c r="Y368" s="63"/>
      <c r="Z368" s="63"/>
      <c r="AA368" s="62"/>
      <c r="AC368" s="140" t="s">
        <v>600</v>
      </c>
    </row>
    <row r="369" spans="15:29" x14ac:dyDescent="0.25">
      <c r="O369" s="62"/>
      <c r="P369" s="62"/>
      <c r="Q369" s="63"/>
      <c r="R369" s="63"/>
      <c r="S369" s="63"/>
      <c r="X369" s="63"/>
      <c r="Y369" s="63"/>
      <c r="Z369" s="63"/>
      <c r="AA369" s="62"/>
      <c r="AC369" s="140" t="s">
        <v>205</v>
      </c>
    </row>
    <row r="370" spans="15:29" x14ac:dyDescent="0.25">
      <c r="O370" s="62"/>
      <c r="P370" s="62"/>
      <c r="Q370" s="63"/>
      <c r="R370" s="63"/>
      <c r="S370" s="63"/>
      <c r="X370" s="63"/>
      <c r="Y370" s="63"/>
      <c r="Z370" s="63"/>
      <c r="AA370" s="62"/>
      <c r="AC370" s="140" t="s">
        <v>601</v>
      </c>
    </row>
    <row r="371" spans="15:29" x14ac:dyDescent="0.25">
      <c r="O371" s="62"/>
      <c r="P371" s="62"/>
      <c r="Q371" s="63"/>
      <c r="R371" s="63"/>
      <c r="S371" s="63"/>
      <c r="X371" s="63"/>
      <c r="Y371" s="63"/>
      <c r="Z371" s="63"/>
      <c r="AA371" s="62"/>
      <c r="AC371" s="140" t="s">
        <v>114</v>
      </c>
    </row>
    <row r="372" spans="15:29" x14ac:dyDescent="0.25">
      <c r="O372" s="62"/>
      <c r="P372" s="62"/>
      <c r="Q372" s="63"/>
      <c r="R372" s="63"/>
      <c r="S372" s="63"/>
      <c r="X372" s="63"/>
      <c r="Y372" s="63"/>
      <c r="Z372" s="63"/>
      <c r="AA372" s="62"/>
      <c r="AC372" s="140" t="s">
        <v>206</v>
      </c>
    </row>
    <row r="373" spans="15:29" x14ac:dyDescent="0.25">
      <c r="O373" s="62"/>
      <c r="P373" s="62"/>
      <c r="Q373" s="63"/>
      <c r="R373" s="63"/>
      <c r="S373" s="63"/>
      <c r="X373" s="63"/>
      <c r="Y373" s="63"/>
      <c r="Z373" s="63"/>
      <c r="AA373" s="62"/>
      <c r="AC373" s="140" t="s">
        <v>602</v>
      </c>
    </row>
    <row r="374" spans="15:29" x14ac:dyDescent="0.25">
      <c r="O374" s="62"/>
      <c r="P374" s="62"/>
      <c r="Q374" s="63"/>
      <c r="R374" s="63"/>
      <c r="S374" s="63"/>
      <c r="X374" s="63"/>
      <c r="Y374" s="63"/>
      <c r="Z374" s="63"/>
      <c r="AA374" s="62"/>
      <c r="AC374" s="140" t="s">
        <v>322</v>
      </c>
    </row>
    <row r="375" spans="15:29" x14ac:dyDescent="0.25">
      <c r="O375" s="62"/>
      <c r="P375" s="62"/>
      <c r="Q375" s="63"/>
      <c r="R375" s="63"/>
      <c r="S375" s="63"/>
      <c r="X375" s="63"/>
      <c r="Y375" s="63"/>
      <c r="Z375" s="63"/>
      <c r="AA375" s="62"/>
      <c r="AC375" s="140" t="s">
        <v>138</v>
      </c>
    </row>
    <row r="376" spans="15:29" x14ac:dyDescent="0.25">
      <c r="O376" s="62"/>
      <c r="P376" s="62"/>
      <c r="Q376" s="63"/>
      <c r="R376" s="63"/>
      <c r="S376" s="63"/>
      <c r="X376" s="63"/>
      <c r="Y376" s="63"/>
      <c r="Z376" s="63"/>
      <c r="AA376" s="62"/>
      <c r="AC376" s="140" t="s">
        <v>323</v>
      </c>
    </row>
    <row r="377" spans="15:29" x14ac:dyDescent="0.25">
      <c r="O377" s="62"/>
      <c r="P377" s="62"/>
      <c r="Q377" s="63"/>
      <c r="R377" s="63"/>
      <c r="S377" s="63"/>
      <c r="X377" s="63"/>
      <c r="Y377" s="63"/>
      <c r="Z377" s="63"/>
      <c r="AA377" s="62"/>
      <c r="AC377" s="140" t="s">
        <v>160</v>
      </c>
    </row>
    <row r="378" spans="15:29" x14ac:dyDescent="0.25">
      <c r="O378" s="62"/>
      <c r="P378" s="62"/>
      <c r="Q378" s="63"/>
      <c r="R378" s="63"/>
      <c r="S378" s="63"/>
      <c r="X378" s="63"/>
      <c r="Y378" s="63"/>
      <c r="Z378" s="63"/>
      <c r="AA378" s="62"/>
      <c r="AC378" s="140" t="s">
        <v>207</v>
      </c>
    </row>
    <row r="379" spans="15:29" x14ac:dyDescent="0.25">
      <c r="O379" s="62"/>
      <c r="P379" s="62"/>
      <c r="Q379" s="63"/>
      <c r="R379" s="63"/>
      <c r="S379" s="63"/>
      <c r="X379" s="63"/>
      <c r="Y379" s="63"/>
      <c r="Z379" s="63"/>
      <c r="AA379" s="62"/>
      <c r="AC379" s="140" t="s">
        <v>277</v>
      </c>
    </row>
    <row r="380" spans="15:29" x14ac:dyDescent="0.25">
      <c r="O380" s="62"/>
      <c r="P380" s="62"/>
      <c r="Q380" s="63"/>
      <c r="R380" s="63"/>
      <c r="S380" s="63"/>
      <c r="X380" s="63"/>
      <c r="Y380" s="63"/>
      <c r="Z380" s="63"/>
      <c r="AA380" s="62"/>
      <c r="AC380" s="140" t="s">
        <v>232</v>
      </c>
    </row>
    <row r="381" spans="15:29" x14ac:dyDescent="0.25">
      <c r="O381" s="62"/>
      <c r="P381" s="62"/>
      <c r="Q381" s="63"/>
      <c r="R381" s="63"/>
      <c r="S381" s="63"/>
      <c r="X381" s="63"/>
      <c r="Y381" s="63"/>
      <c r="Z381" s="63"/>
      <c r="AA381" s="62"/>
      <c r="AC381" s="140" t="s">
        <v>208</v>
      </c>
    </row>
    <row r="382" spans="15:29" x14ac:dyDescent="0.25">
      <c r="O382" s="62"/>
      <c r="P382" s="62"/>
      <c r="Q382" s="63"/>
      <c r="R382" s="63"/>
      <c r="S382" s="63"/>
      <c r="X382" s="63"/>
      <c r="Y382" s="63"/>
      <c r="Z382" s="63"/>
      <c r="AA382" s="62"/>
      <c r="AC382" s="140" t="s">
        <v>396</v>
      </c>
    </row>
    <row r="383" spans="15:29" x14ac:dyDescent="0.25">
      <c r="O383" s="62"/>
      <c r="P383" s="62"/>
      <c r="Q383" s="63"/>
      <c r="R383" s="63"/>
      <c r="S383" s="63"/>
      <c r="X383" s="63"/>
      <c r="Y383" s="63"/>
      <c r="Z383" s="63"/>
      <c r="AA383" s="62"/>
      <c r="AC383" s="140" t="s">
        <v>233</v>
      </c>
    </row>
    <row r="384" spans="15:29" x14ac:dyDescent="0.25">
      <c r="O384" s="62"/>
      <c r="P384" s="62"/>
      <c r="Q384" s="63"/>
      <c r="R384" s="63"/>
      <c r="S384" s="63"/>
      <c r="X384" s="63"/>
      <c r="Y384" s="63"/>
      <c r="Z384" s="63"/>
      <c r="AA384" s="62"/>
      <c r="AC384" s="140" t="s">
        <v>278</v>
      </c>
    </row>
    <row r="385" spans="15:29" x14ac:dyDescent="0.25">
      <c r="O385" s="62"/>
      <c r="P385" s="62"/>
      <c r="Q385" s="63"/>
      <c r="R385" s="63"/>
      <c r="S385" s="63"/>
      <c r="X385" s="63"/>
      <c r="Y385" s="63"/>
      <c r="Z385" s="63"/>
      <c r="AA385" s="62"/>
      <c r="AC385" s="140" t="s">
        <v>234</v>
      </c>
    </row>
    <row r="386" spans="15:29" x14ac:dyDescent="0.25">
      <c r="O386" s="62"/>
      <c r="P386" s="62"/>
      <c r="Q386" s="63"/>
      <c r="R386" s="63"/>
      <c r="S386" s="63"/>
      <c r="X386" s="63"/>
      <c r="Y386" s="63"/>
      <c r="Z386" s="63"/>
      <c r="AA386" s="62"/>
      <c r="AC386" s="140" t="s">
        <v>279</v>
      </c>
    </row>
    <row r="387" spans="15:29" x14ac:dyDescent="0.25">
      <c r="O387" s="62"/>
      <c r="P387" s="62"/>
      <c r="Q387" s="63"/>
      <c r="R387" s="63"/>
      <c r="S387" s="63"/>
      <c r="X387" s="63"/>
      <c r="Y387" s="63"/>
      <c r="Z387" s="63"/>
      <c r="AA387" s="62"/>
      <c r="AC387" s="140" t="s">
        <v>209</v>
      </c>
    </row>
    <row r="388" spans="15:29" x14ac:dyDescent="0.25">
      <c r="O388" s="62"/>
      <c r="P388" s="62"/>
      <c r="Q388" s="63"/>
      <c r="R388" s="63"/>
      <c r="S388" s="63"/>
      <c r="X388" s="63"/>
      <c r="Y388" s="63"/>
      <c r="Z388" s="63"/>
      <c r="AA388" s="62"/>
      <c r="AC388" s="140" t="s">
        <v>280</v>
      </c>
    </row>
    <row r="389" spans="15:29" x14ac:dyDescent="0.25">
      <c r="O389" s="62"/>
      <c r="P389" s="62"/>
      <c r="Q389" s="63"/>
      <c r="R389" s="63"/>
      <c r="S389" s="63"/>
      <c r="X389" s="63"/>
      <c r="Y389" s="63"/>
      <c r="Z389" s="63"/>
      <c r="AA389" s="62"/>
      <c r="AC389" s="140" t="s">
        <v>432</v>
      </c>
    </row>
    <row r="390" spans="15:29" x14ac:dyDescent="0.25">
      <c r="O390" s="62"/>
      <c r="P390" s="62"/>
      <c r="Q390" s="63"/>
      <c r="R390" s="63"/>
      <c r="S390" s="63"/>
      <c r="X390" s="63"/>
      <c r="Y390" s="63"/>
      <c r="Z390" s="63"/>
      <c r="AA390" s="62"/>
      <c r="AC390" s="140" t="s">
        <v>235</v>
      </c>
    </row>
    <row r="391" spans="15:29" x14ac:dyDescent="0.25">
      <c r="O391" s="62"/>
      <c r="P391" s="62"/>
      <c r="Q391" s="63"/>
      <c r="R391" s="63"/>
      <c r="S391" s="63"/>
      <c r="X391" s="63"/>
      <c r="Y391" s="63"/>
      <c r="Z391" s="63"/>
      <c r="AA391" s="62"/>
      <c r="AC391" s="140" t="s">
        <v>210</v>
      </c>
    </row>
    <row r="392" spans="15:29" x14ac:dyDescent="0.25">
      <c r="O392" s="62"/>
      <c r="P392" s="62"/>
      <c r="Q392" s="63"/>
      <c r="R392" s="63"/>
      <c r="S392" s="63"/>
      <c r="X392" s="63"/>
      <c r="Y392" s="63"/>
      <c r="Z392" s="63"/>
      <c r="AA392" s="62"/>
      <c r="AC392" s="140" t="s">
        <v>324</v>
      </c>
    </row>
    <row r="393" spans="15:29" x14ac:dyDescent="0.25">
      <c r="O393" s="62"/>
      <c r="P393" s="62"/>
      <c r="Q393" s="63"/>
      <c r="R393" s="63"/>
      <c r="S393" s="63"/>
      <c r="X393" s="63"/>
      <c r="Y393" s="63"/>
      <c r="Z393" s="63"/>
      <c r="AA393" s="62"/>
      <c r="AC393" s="140" t="s">
        <v>325</v>
      </c>
    </row>
    <row r="394" spans="15:29" x14ac:dyDescent="0.25">
      <c r="O394" s="62"/>
      <c r="P394" s="62"/>
      <c r="Q394" s="63"/>
      <c r="R394" s="63"/>
      <c r="S394" s="63"/>
      <c r="X394" s="63"/>
      <c r="Y394" s="63"/>
      <c r="Z394" s="63"/>
      <c r="AA394" s="62"/>
      <c r="AC394" s="140" t="s">
        <v>326</v>
      </c>
    </row>
    <row r="395" spans="15:29" x14ac:dyDescent="0.25">
      <c r="O395" s="62"/>
      <c r="P395" s="62"/>
      <c r="Q395" s="63"/>
      <c r="R395" s="63"/>
      <c r="S395" s="63"/>
      <c r="X395" s="63"/>
      <c r="Y395" s="63"/>
      <c r="Z395" s="63"/>
      <c r="AA395" s="62"/>
      <c r="AC395" s="140" t="s">
        <v>397</v>
      </c>
    </row>
    <row r="396" spans="15:29" x14ac:dyDescent="0.25">
      <c r="O396" s="62"/>
      <c r="P396" s="62"/>
      <c r="Q396" s="63"/>
      <c r="R396" s="63"/>
      <c r="S396" s="63"/>
      <c r="X396" s="63"/>
      <c r="Y396" s="63"/>
      <c r="Z396" s="63"/>
      <c r="AA396" s="62"/>
      <c r="AC396" s="140" t="s">
        <v>211</v>
      </c>
    </row>
    <row r="397" spans="15:29" x14ac:dyDescent="0.25">
      <c r="O397" s="62"/>
      <c r="P397" s="62"/>
      <c r="Q397" s="63"/>
      <c r="R397" s="63"/>
      <c r="S397" s="63"/>
      <c r="X397" s="63"/>
      <c r="Y397" s="63"/>
      <c r="Z397" s="63"/>
      <c r="AA397" s="62"/>
      <c r="AC397" s="140" t="s">
        <v>161</v>
      </c>
    </row>
    <row r="398" spans="15:29" x14ac:dyDescent="0.25">
      <c r="O398" s="62"/>
      <c r="P398" s="62"/>
      <c r="Q398" s="63"/>
      <c r="R398" s="63"/>
      <c r="S398" s="63"/>
      <c r="X398" s="63"/>
      <c r="Y398" s="63"/>
      <c r="Z398" s="63"/>
      <c r="AA398" s="62"/>
      <c r="AC398" s="140" t="s">
        <v>327</v>
      </c>
    </row>
    <row r="399" spans="15:29" x14ac:dyDescent="0.25">
      <c r="O399" s="62"/>
      <c r="P399" s="62"/>
      <c r="Q399" s="63"/>
      <c r="R399" s="63"/>
      <c r="S399" s="63"/>
      <c r="X399" s="63"/>
      <c r="Y399" s="63"/>
      <c r="Z399" s="63"/>
      <c r="AA399" s="62"/>
      <c r="AC399" s="140" t="s">
        <v>162</v>
      </c>
    </row>
    <row r="400" spans="15:29" x14ac:dyDescent="0.25">
      <c r="O400" s="62"/>
      <c r="P400" s="62"/>
      <c r="Q400" s="63"/>
      <c r="R400" s="63"/>
      <c r="S400" s="63"/>
      <c r="X400" s="63"/>
      <c r="Y400" s="63"/>
      <c r="Z400" s="63"/>
      <c r="AA400" s="62"/>
      <c r="AC400" s="140" t="s">
        <v>440</v>
      </c>
    </row>
    <row r="401" spans="15:27" x14ac:dyDescent="0.25">
      <c r="O401" s="62"/>
      <c r="P401" s="62"/>
      <c r="Q401" s="63"/>
      <c r="R401" s="63"/>
      <c r="S401" s="63"/>
      <c r="X401" s="63"/>
      <c r="Y401" s="63"/>
      <c r="Z401" s="63"/>
      <c r="AA401" s="62"/>
    </row>
    <row r="402" spans="15:27" x14ac:dyDescent="0.25">
      <c r="O402" s="62"/>
      <c r="P402" s="62"/>
      <c r="Q402" s="63"/>
      <c r="R402" s="63"/>
      <c r="S402" s="63"/>
      <c r="X402" s="63"/>
      <c r="Y402" s="63"/>
      <c r="Z402" s="63"/>
      <c r="AA402" s="62"/>
    </row>
    <row r="403" spans="15:27" x14ac:dyDescent="0.25">
      <c r="O403" s="62"/>
      <c r="P403" s="62"/>
      <c r="Q403" s="63"/>
      <c r="R403" s="63"/>
      <c r="S403" s="63"/>
      <c r="X403" s="63"/>
      <c r="Y403" s="63"/>
      <c r="Z403" s="63"/>
      <c r="AA403" s="62"/>
    </row>
    <row r="404" spans="15:27" x14ac:dyDescent="0.25">
      <c r="O404" s="62"/>
      <c r="P404" s="62"/>
      <c r="Q404" s="63"/>
      <c r="R404" s="63"/>
      <c r="S404" s="63"/>
      <c r="X404" s="63"/>
      <c r="Y404" s="63"/>
      <c r="Z404" s="63"/>
      <c r="AA404" s="62"/>
    </row>
    <row r="405" spans="15:27" x14ac:dyDescent="0.25">
      <c r="O405" s="62"/>
      <c r="P405" s="62"/>
      <c r="Q405" s="63"/>
      <c r="R405" s="63"/>
      <c r="S405" s="63"/>
      <c r="X405" s="63"/>
      <c r="Y405" s="63"/>
      <c r="Z405" s="63"/>
      <c r="AA405" s="62"/>
    </row>
    <row r="406" spans="15:27" x14ac:dyDescent="0.25">
      <c r="O406" s="62"/>
      <c r="P406" s="62"/>
      <c r="Q406" s="63"/>
      <c r="R406" s="63"/>
      <c r="S406" s="63"/>
      <c r="X406" s="63"/>
      <c r="Y406" s="63"/>
      <c r="Z406" s="63"/>
      <c r="AA406" s="62"/>
    </row>
    <row r="407" spans="15:27" x14ac:dyDescent="0.25">
      <c r="O407" s="62"/>
      <c r="P407" s="62"/>
      <c r="Q407" s="63"/>
      <c r="R407" s="63"/>
      <c r="S407" s="63"/>
      <c r="X407" s="63"/>
      <c r="Y407" s="63"/>
      <c r="Z407" s="63"/>
      <c r="AA407" s="62"/>
    </row>
    <row r="408" spans="15:27" x14ac:dyDescent="0.25">
      <c r="O408" s="62"/>
      <c r="P408" s="62"/>
      <c r="Q408" s="63"/>
      <c r="R408" s="63"/>
      <c r="S408" s="63"/>
      <c r="X408" s="63"/>
      <c r="Y408" s="63"/>
      <c r="Z408" s="63"/>
      <c r="AA408" s="62"/>
    </row>
    <row r="409" spans="15:27" x14ac:dyDescent="0.25">
      <c r="O409" s="62"/>
      <c r="P409" s="62"/>
      <c r="Q409" s="63"/>
      <c r="R409" s="63"/>
      <c r="S409" s="63"/>
      <c r="X409" s="63"/>
      <c r="Y409" s="63"/>
      <c r="Z409" s="63"/>
      <c r="AA409" s="62"/>
    </row>
    <row r="410" spans="15:27" x14ac:dyDescent="0.25">
      <c r="O410" s="62"/>
      <c r="P410" s="62"/>
      <c r="Q410" s="63"/>
      <c r="R410" s="63"/>
      <c r="S410" s="63"/>
      <c r="X410" s="63"/>
      <c r="Y410" s="63"/>
      <c r="Z410" s="63"/>
      <c r="AA410" s="62"/>
    </row>
    <row r="411" spans="15:27" x14ac:dyDescent="0.25">
      <c r="O411" s="62"/>
      <c r="P411" s="62"/>
      <c r="Q411" s="63"/>
      <c r="R411" s="63"/>
      <c r="S411" s="63"/>
      <c r="X411" s="63"/>
      <c r="Y411" s="63"/>
      <c r="Z411" s="63"/>
      <c r="AA411" s="62"/>
    </row>
    <row r="412" spans="15:27" x14ac:dyDescent="0.25">
      <c r="O412" s="62"/>
      <c r="P412" s="62"/>
      <c r="Q412" s="63"/>
      <c r="R412" s="63"/>
      <c r="S412" s="63"/>
      <c r="X412" s="63"/>
      <c r="Y412" s="63"/>
      <c r="Z412" s="63"/>
      <c r="AA412" s="62"/>
    </row>
    <row r="413" spans="15:27" x14ac:dyDescent="0.25">
      <c r="O413" s="62"/>
      <c r="P413" s="62"/>
      <c r="Q413" s="63"/>
      <c r="R413" s="63"/>
      <c r="S413" s="63"/>
      <c r="X413" s="63"/>
      <c r="Y413" s="63"/>
      <c r="Z413" s="63"/>
      <c r="AA413" s="62"/>
    </row>
    <row r="414" spans="15:27" x14ac:dyDescent="0.25">
      <c r="O414" s="62"/>
      <c r="P414" s="62"/>
      <c r="Q414" s="63"/>
      <c r="R414" s="63"/>
      <c r="S414" s="63"/>
      <c r="X414" s="63"/>
      <c r="Y414" s="63"/>
      <c r="Z414" s="63"/>
      <c r="AA414" s="62"/>
    </row>
    <row r="415" spans="15:27" x14ac:dyDescent="0.25">
      <c r="O415" s="62"/>
      <c r="P415" s="62"/>
      <c r="Q415" s="63"/>
      <c r="R415" s="63"/>
      <c r="S415" s="63"/>
      <c r="X415" s="63"/>
      <c r="Y415" s="63"/>
      <c r="Z415" s="63"/>
      <c r="AA415" s="62"/>
    </row>
    <row r="416" spans="15:27" x14ac:dyDescent="0.25">
      <c r="O416" s="62"/>
      <c r="P416" s="62"/>
      <c r="Q416" s="63"/>
      <c r="R416" s="63"/>
      <c r="S416" s="63"/>
      <c r="X416" s="63"/>
      <c r="Y416" s="63"/>
      <c r="Z416" s="63"/>
      <c r="AA416" s="62"/>
    </row>
    <row r="417" spans="15:27" x14ac:dyDescent="0.25">
      <c r="O417" s="62"/>
      <c r="P417" s="62"/>
      <c r="Q417" s="63"/>
      <c r="R417" s="63"/>
      <c r="S417" s="63"/>
      <c r="X417" s="63"/>
      <c r="Y417" s="63"/>
      <c r="Z417" s="63"/>
      <c r="AA417" s="62"/>
    </row>
    <row r="418" spans="15:27" x14ac:dyDescent="0.25">
      <c r="O418" s="62"/>
      <c r="P418" s="62"/>
      <c r="Q418" s="63"/>
      <c r="R418" s="63"/>
      <c r="S418" s="63"/>
      <c r="X418" s="63"/>
      <c r="Y418" s="63"/>
      <c r="Z418" s="63"/>
      <c r="AA418" s="62"/>
    </row>
    <row r="419" spans="15:27" x14ac:dyDescent="0.25">
      <c r="O419" s="62"/>
      <c r="P419" s="62"/>
      <c r="Q419" s="63"/>
      <c r="R419" s="63"/>
      <c r="S419" s="63"/>
      <c r="X419" s="63"/>
      <c r="Y419" s="63"/>
      <c r="Z419" s="63"/>
      <c r="AA419" s="62"/>
    </row>
    <row r="420" spans="15:27" x14ac:dyDescent="0.25">
      <c r="O420" s="62"/>
      <c r="P420" s="62"/>
      <c r="Q420" s="63"/>
      <c r="R420" s="63"/>
      <c r="S420" s="63"/>
      <c r="X420" s="63"/>
      <c r="Y420" s="63"/>
      <c r="Z420" s="63"/>
      <c r="AA420" s="62"/>
    </row>
    <row r="421" spans="15:27" x14ac:dyDescent="0.25">
      <c r="O421" s="62"/>
      <c r="P421" s="62"/>
      <c r="Q421" s="63"/>
      <c r="R421" s="63"/>
      <c r="S421" s="63"/>
      <c r="X421" s="63"/>
      <c r="Y421" s="63"/>
      <c r="Z421" s="63"/>
      <c r="AA421" s="62"/>
    </row>
    <row r="422" spans="15:27" x14ac:dyDescent="0.25">
      <c r="O422" s="62"/>
      <c r="P422" s="62"/>
      <c r="Q422" s="63"/>
      <c r="R422" s="63"/>
      <c r="S422" s="63"/>
      <c r="X422" s="63"/>
      <c r="Y422" s="63"/>
      <c r="Z422" s="63"/>
      <c r="AA422" s="62"/>
    </row>
    <row r="423" spans="15:27" x14ac:dyDescent="0.25">
      <c r="O423" s="62"/>
      <c r="P423" s="62"/>
      <c r="Q423" s="63"/>
      <c r="R423" s="63"/>
      <c r="S423" s="63"/>
      <c r="X423" s="63"/>
      <c r="Y423" s="63"/>
      <c r="Z423" s="63"/>
      <c r="AA423" s="62"/>
    </row>
    <row r="424" spans="15:27" x14ac:dyDescent="0.25">
      <c r="O424" s="62"/>
      <c r="P424" s="62"/>
      <c r="Q424" s="63"/>
      <c r="R424" s="63"/>
      <c r="S424" s="63"/>
      <c r="X424" s="63"/>
      <c r="Y424" s="63"/>
      <c r="Z424" s="63"/>
      <c r="AA424" s="62"/>
    </row>
    <row r="425" spans="15:27" x14ac:dyDescent="0.25">
      <c r="O425" s="62"/>
      <c r="P425" s="62"/>
      <c r="Q425" s="63"/>
      <c r="R425" s="63"/>
      <c r="S425" s="63"/>
      <c r="X425" s="63"/>
      <c r="Y425" s="63"/>
      <c r="Z425" s="63"/>
      <c r="AA425" s="62"/>
    </row>
    <row r="426" spans="15:27" x14ac:dyDescent="0.25">
      <c r="O426" s="62"/>
      <c r="P426" s="62"/>
      <c r="Q426" s="63"/>
      <c r="R426" s="63"/>
      <c r="S426" s="63"/>
      <c r="X426" s="63"/>
      <c r="Y426" s="63"/>
      <c r="Z426" s="63"/>
      <c r="AA426" s="62"/>
    </row>
    <row r="427" spans="15:27" x14ac:dyDescent="0.25">
      <c r="O427" s="62"/>
      <c r="P427" s="62"/>
      <c r="Q427" s="63"/>
      <c r="R427" s="63"/>
      <c r="S427" s="63"/>
      <c r="X427" s="63"/>
      <c r="Y427" s="63"/>
      <c r="Z427" s="63"/>
      <c r="AA427" s="62"/>
    </row>
    <row r="428" spans="15:27" x14ac:dyDescent="0.25">
      <c r="O428" s="62"/>
      <c r="P428" s="62"/>
      <c r="Q428" s="63"/>
      <c r="R428" s="63"/>
      <c r="S428" s="63"/>
      <c r="X428" s="63"/>
      <c r="Y428" s="63"/>
      <c r="Z428" s="63"/>
      <c r="AA428" s="62"/>
    </row>
    <row r="429" spans="15:27" x14ac:dyDescent="0.25">
      <c r="O429" s="62"/>
      <c r="P429" s="62"/>
      <c r="Q429" s="63"/>
      <c r="R429" s="63"/>
      <c r="S429" s="63"/>
      <c r="X429" s="63"/>
      <c r="Y429" s="63"/>
      <c r="Z429" s="63"/>
      <c r="AA429" s="62"/>
    </row>
    <row r="430" spans="15:27" x14ac:dyDescent="0.25">
      <c r="O430" s="62"/>
      <c r="P430" s="62"/>
      <c r="Q430" s="63"/>
      <c r="R430" s="63"/>
      <c r="S430" s="63"/>
      <c r="X430" s="63"/>
      <c r="Y430" s="63"/>
      <c r="Z430" s="63"/>
      <c r="AA430" s="62"/>
    </row>
    <row r="431" spans="15:27" x14ac:dyDescent="0.25">
      <c r="O431" s="62"/>
      <c r="P431" s="62"/>
      <c r="Q431" s="63"/>
      <c r="R431" s="63"/>
      <c r="S431" s="63"/>
      <c r="X431" s="63"/>
      <c r="Y431" s="63"/>
      <c r="Z431" s="63"/>
      <c r="AA431" s="62"/>
    </row>
    <row r="432" spans="15:27" x14ac:dyDescent="0.25">
      <c r="O432" s="62"/>
      <c r="P432" s="62"/>
      <c r="Q432" s="63"/>
      <c r="R432" s="63"/>
      <c r="S432" s="63"/>
      <c r="X432" s="63"/>
      <c r="Y432" s="63"/>
      <c r="Z432" s="63"/>
      <c r="AA432" s="62"/>
    </row>
    <row r="433" spans="15:27" x14ac:dyDescent="0.25">
      <c r="O433" s="62"/>
      <c r="P433" s="62"/>
      <c r="Q433" s="63"/>
      <c r="R433" s="63"/>
      <c r="S433" s="63"/>
      <c r="X433" s="63"/>
      <c r="Y433" s="63"/>
      <c r="Z433" s="63"/>
      <c r="AA433" s="62"/>
    </row>
    <row r="434" spans="15:27" x14ac:dyDescent="0.25">
      <c r="O434" s="62"/>
      <c r="P434" s="62"/>
      <c r="Q434" s="63"/>
      <c r="R434" s="63"/>
      <c r="S434" s="63"/>
      <c r="X434" s="63"/>
      <c r="Y434" s="63"/>
      <c r="Z434" s="63"/>
      <c r="AA434" s="62"/>
    </row>
    <row r="435" spans="15:27" x14ac:dyDescent="0.25">
      <c r="O435" s="62"/>
      <c r="P435" s="62"/>
      <c r="Q435" s="63"/>
      <c r="R435" s="63"/>
      <c r="S435" s="63"/>
      <c r="X435" s="63"/>
      <c r="Y435" s="63"/>
      <c r="Z435" s="63"/>
      <c r="AA435" s="62"/>
    </row>
    <row r="436" spans="15:27" x14ac:dyDescent="0.25">
      <c r="O436" s="62"/>
      <c r="P436" s="62"/>
      <c r="Q436" s="63"/>
      <c r="R436" s="63"/>
      <c r="S436" s="63"/>
      <c r="X436" s="63"/>
      <c r="Y436" s="63"/>
      <c r="Z436" s="63"/>
      <c r="AA436" s="62"/>
    </row>
    <row r="437" spans="15:27" x14ac:dyDescent="0.25">
      <c r="O437" s="62"/>
      <c r="P437" s="62"/>
      <c r="Q437" s="63"/>
      <c r="R437" s="63"/>
      <c r="S437" s="63"/>
      <c r="X437" s="63"/>
      <c r="Y437" s="63"/>
      <c r="Z437" s="63"/>
      <c r="AA437" s="62"/>
    </row>
    <row r="438" spans="15:27" x14ac:dyDescent="0.25">
      <c r="O438" s="62"/>
      <c r="P438" s="62"/>
      <c r="Q438" s="63"/>
      <c r="R438" s="63"/>
      <c r="S438" s="63"/>
      <c r="X438" s="63"/>
      <c r="Y438" s="63"/>
      <c r="Z438" s="63"/>
      <c r="AA438" s="62"/>
    </row>
    <row r="439" spans="15:27" x14ac:dyDescent="0.25">
      <c r="O439" s="62"/>
      <c r="P439" s="62"/>
      <c r="Q439" s="63"/>
      <c r="R439" s="63"/>
      <c r="S439" s="63"/>
      <c r="X439" s="63"/>
      <c r="Y439" s="63"/>
      <c r="Z439" s="63"/>
      <c r="AA439" s="62"/>
    </row>
    <row r="440" spans="15:27" x14ac:dyDescent="0.25">
      <c r="O440" s="62"/>
      <c r="P440" s="62"/>
      <c r="Q440" s="63"/>
      <c r="R440" s="63"/>
      <c r="S440" s="63"/>
      <c r="X440" s="63"/>
      <c r="Y440" s="63"/>
      <c r="Z440" s="63"/>
      <c r="AA440" s="62"/>
    </row>
    <row r="441" spans="15:27" x14ac:dyDescent="0.25">
      <c r="O441" s="62"/>
      <c r="P441" s="62"/>
      <c r="Q441" s="63"/>
      <c r="R441" s="63"/>
      <c r="S441" s="63"/>
      <c r="X441" s="63"/>
      <c r="Y441" s="63"/>
      <c r="Z441" s="63"/>
      <c r="AA441" s="62"/>
    </row>
    <row r="442" spans="15:27" x14ac:dyDescent="0.25">
      <c r="O442" s="62"/>
      <c r="P442" s="62"/>
      <c r="Q442" s="63"/>
      <c r="R442" s="63"/>
      <c r="S442" s="63"/>
      <c r="X442" s="63"/>
      <c r="Y442" s="63"/>
      <c r="Z442" s="63"/>
      <c r="AA442" s="62"/>
    </row>
    <row r="443" spans="15:27" x14ac:dyDescent="0.25">
      <c r="O443" s="62"/>
      <c r="P443" s="62"/>
      <c r="Q443" s="63"/>
      <c r="R443" s="63"/>
      <c r="S443" s="63"/>
      <c r="X443" s="63"/>
      <c r="Y443" s="63"/>
      <c r="Z443" s="63"/>
      <c r="AA443" s="62"/>
    </row>
    <row r="444" spans="15:27" x14ac:dyDescent="0.25">
      <c r="O444" s="62"/>
      <c r="P444" s="62"/>
      <c r="Q444" s="63"/>
      <c r="R444" s="63"/>
      <c r="S444" s="63"/>
      <c r="X444" s="63"/>
      <c r="Y444" s="63"/>
      <c r="Z444" s="63"/>
      <c r="AA444" s="62"/>
    </row>
    <row r="445" spans="15:27" x14ac:dyDescent="0.25">
      <c r="O445" s="62"/>
      <c r="P445" s="62"/>
      <c r="Q445" s="63"/>
      <c r="R445" s="63"/>
      <c r="S445" s="63"/>
      <c r="X445" s="63"/>
      <c r="Y445" s="63"/>
      <c r="Z445" s="63"/>
      <c r="AA445" s="62"/>
    </row>
    <row r="446" spans="15:27" x14ac:dyDescent="0.25">
      <c r="O446" s="62"/>
      <c r="P446" s="62"/>
      <c r="Q446" s="63"/>
      <c r="R446" s="63"/>
      <c r="S446" s="63"/>
      <c r="X446" s="63"/>
      <c r="Y446" s="63"/>
      <c r="Z446" s="63"/>
      <c r="AA446" s="62"/>
    </row>
    <row r="447" spans="15:27" x14ac:dyDescent="0.25">
      <c r="O447" s="62"/>
      <c r="P447" s="62"/>
      <c r="Q447" s="63"/>
      <c r="R447" s="63"/>
      <c r="S447" s="63"/>
      <c r="X447" s="63"/>
      <c r="Y447" s="63"/>
      <c r="Z447" s="63"/>
      <c r="AA447" s="62"/>
    </row>
    <row r="448" spans="15:27" x14ac:dyDescent="0.25">
      <c r="O448" s="62"/>
      <c r="P448" s="63"/>
      <c r="Q448" s="63"/>
      <c r="R448" s="63"/>
      <c r="S448" s="63"/>
      <c r="X448" s="63"/>
      <c r="Y448" s="63"/>
      <c r="Z448" s="63"/>
      <c r="AA448" s="62"/>
    </row>
    <row r="449" spans="15:27" x14ac:dyDescent="0.25">
      <c r="O449" s="62"/>
      <c r="P449" s="63"/>
      <c r="Q449" s="63"/>
      <c r="R449" s="63"/>
      <c r="S449" s="63"/>
      <c r="X449" s="63"/>
      <c r="Y449" s="63"/>
      <c r="Z449" s="63"/>
      <c r="AA449" s="62"/>
    </row>
    <row r="450" spans="15:27" x14ac:dyDescent="0.25">
      <c r="O450" s="62"/>
      <c r="P450" s="63"/>
      <c r="Q450" s="63"/>
      <c r="R450" s="63"/>
      <c r="S450" s="63"/>
      <c r="X450" s="63"/>
      <c r="Y450" s="63"/>
      <c r="Z450" s="63"/>
      <c r="AA450" s="62"/>
    </row>
    <row r="451" spans="15:27" x14ac:dyDescent="0.25">
      <c r="O451" s="62"/>
      <c r="P451" s="63"/>
      <c r="Q451" s="63"/>
      <c r="R451" s="63"/>
      <c r="S451" s="63"/>
      <c r="X451" s="63"/>
      <c r="Y451" s="63"/>
      <c r="Z451" s="63"/>
      <c r="AA451" s="62"/>
    </row>
    <row r="452" spans="15:27" x14ac:dyDescent="0.25">
      <c r="O452" s="62"/>
      <c r="P452" s="63"/>
      <c r="Q452" s="63"/>
      <c r="R452" s="63"/>
      <c r="S452" s="63"/>
      <c r="X452" s="63"/>
      <c r="Y452" s="63"/>
      <c r="Z452" s="63"/>
      <c r="AA452" s="62"/>
    </row>
    <row r="453" spans="15:27" x14ac:dyDescent="0.25">
      <c r="O453" s="62"/>
      <c r="P453" s="63"/>
      <c r="Q453" s="63"/>
      <c r="R453" s="63"/>
      <c r="S453" s="63"/>
      <c r="X453" s="63"/>
      <c r="Y453" s="63"/>
      <c r="Z453" s="63"/>
      <c r="AA453" s="62"/>
    </row>
    <row r="454" spans="15:27" x14ac:dyDescent="0.25">
      <c r="O454" s="62"/>
      <c r="P454" s="63"/>
      <c r="Q454" s="63"/>
      <c r="R454" s="63"/>
      <c r="S454" s="63"/>
      <c r="X454" s="63"/>
      <c r="Y454" s="63"/>
      <c r="Z454" s="63"/>
      <c r="AA454" s="62"/>
    </row>
    <row r="455" spans="15:27" x14ac:dyDescent="0.25">
      <c r="O455" s="62"/>
      <c r="P455" s="63"/>
      <c r="Q455" s="63"/>
      <c r="R455" s="63"/>
      <c r="S455" s="63"/>
      <c r="X455" s="63"/>
      <c r="Y455" s="63"/>
      <c r="Z455" s="63"/>
      <c r="AA455" s="62"/>
    </row>
    <row r="456" spans="15:27" x14ac:dyDescent="0.25">
      <c r="O456" s="62"/>
      <c r="P456" s="63"/>
      <c r="Q456" s="63"/>
      <c r="R456" s="63"/>
      <c r="S456" s="63"/>
      <c r="X456" s="63"/>
      <c r="Y456" s="63"/>
      <c r="Z456" s="63"/>
      <c r="AA456" s="62"/>
    </row>
    <row r="457" spans="15:27" x14ac:dyDescent="0.25">
      <c r="O457" s="62"/>
      <c r="P457" s="63"/>
      <c r="Q457" s="63"/>
      <c r="R457" s="63"/>
      <c r="S457" s="63"/>
      <c r="X457" s="63"/>
      <c r="Y457" s="63"/>
      <c r="Z457" s="63"/>
      <c r="AA457" s="62"/>
    </row>
    <row r="458" spans="15:27" x14ac:dyDescent="0.25">
      <c r="O458" s="62"/>
      <c r="P458" s="63"/>
      <c r="Q458" s="63"/>
      <c r="R458" s="63"/>
      <c r="S458" s="63"/>
      <c r="X458" s="63"/>
      <c r="Y458" s="63"/>
      <c r="Z458" s="63"/>
      <c r="AA458" s="62"/>
    </row>
    <row r="459" spans="15:27" x14ac:dyDescent="0.25">
      <c r="O459" s="62"/>
      <c r="P459" s="63"/>
      <c r="Q459" s="63"/>
      <c r="R459" s="63"/>
      <c r="S459" s="63"/>
      <c r="X459" s="63"/>
      <c r="Y459" s="63"/>
      <c r="Z459" s="63"/>
      <c r="AA459" s="62"/>
    </row>
    <row r="460" spans="15:27" x14ac:dyDescent="0.25">
      <c r="O460" s="62"/>
      <c r="P460" s="63"/>
      <c r="Q460" s="63"/>
      <c r="R460" s="63"/>
      <c r="S460" s="63"/>
      <c r="X460" s="63"/>
      <c r="Y460" s="63"/>
      <c r="Z460" s="63"/>
      <c r="AA460" s="62"/>
    </row>
    <row r="461" spans="15:27" x14ac:dyDescent="0.25">
      <c r="O461" s="62"/>
      <c r="P461" s="63"/>
      <c r="Q461" s="63"/>
      <c r="R461" s="63"/>
      <c r="S461" s="63"/>
      <c r="X461" s="63"/>
      <c r="Y461" s="63"/>
      <c r="Z461" s="63"/>
      <c r="AA461" s="62"/>
    </row>
    <row r="462" spans="15:27" x14ac:dyDescent="0.25">
      <c r="O462" s="62"/>
      <c r="P462" s="63"/>
      <c r="Q462" s="63"/>
      <c r="R462" s="63"/>
      <c r="S462" s="63"/>
      <c r="X462" s="63"/>
      <c r="Y462" s="63"/>
      <c r="Z462" s="63"/>
      <c r="AA462" s="62"/>
    </row>
    <row r="463" spans="15:27" x14ac:dyDescent="0.25">
      <c r="O463" s="62"/>
      <c r="P463" s="63"/>
      <c r="Q463" s="63"/>
      <c r="R463" s="63"/>
      <c r="S463" s="63"/>
      <c r="X463" s="63"/>
      <c r="Y463" s="63"/>
      <c r="Z463" s="63"/>
      <c r="AA463" s="62"/>
    </row>
    <row r="464" spans="15:27" x14ac:dyDescent="0.25">
      <c r="O464" s="62"/>
      <c r="P464" s="63"/>
      <c r="Q464" s="63"/>
      <c r="R464" s="63"/>
      <c r="S464" s="63"/>
      <c r="X464" s="63"/>
      <c r="Y464" s="63"/>
      <c r="Z464" s="63"/>
      <c r="AA464" s="62"/>
    </row>
    <row r="465" spans="15:27" x14ac:dyDescent="0.25">
      <c r="O465" s="62"/>
      <c r="P465" s="63"/>
      <c r="Q465" s="63"/>
      <c r="R465" s="63"/>
      <c r="S465" s="63"/>
      <c r="X465" s="63"/>
      <c r="Y465" s="63"/>
      <c r="Z465" s="63"/>
      <c r="AA465" s="62"/>
    </row>
    <row r="466" spans="15:27" x14ac:dyDescent="0.25">
      <c r="O466" s="62"/>
      <c r="P466" s="63"/>
      <c r="Q466" s="63"/>
      <c r="R466" s="63"/>
      <c r="S466" s="63"/>
      <c r="X466" s="63"/>
      <c r="Y466" s="63"/>
      <c r="Z466" s="63"/>
      <c r="AA466" s="62"/>
    </row>
    <row r="467" spans="15:27" x14ac:dyDescent="0.25">
      <c r="O467" s="62"/>
      <c r="P467" s="63"/>
      <c r="Q467" s="63"/>
      <c r="R467" s="63"/>
      <c r="S467" s="63"/>
      <c r="X467" s="63"/>
      <c r="Y467" s="63"/>
      <c r="Z467" s="63"/>
      <c r="AA467" s="62"/>
    </row>
    <row r="468" spans="15:27" x14ac:dyDescent="0.25">
      <c r="O468" s="62"/>
      <c r="P468" s="63"/>
      <c r="Q468" s="63"/>
      <c r="R468" s="63"/>
      <c r="S468" s="63"/>
      <c r="X468" s="63"/>
      <c r="Y468" s="63"/>
      <c r="Z468" s="63"/>
      <c r="AA468" s="62"/>
    </row>
    <row r="469" spans="15:27" x14ac:dyDescent="0.25">
      <c r="O469" s="62"/>
      <c r="P469" s="63"/>
      <c r="Q469" s="63"/>
      <c r="R469" s="63"/>
      <c r="S469" s="63"/>
      <c r="X469" s="63"/>
      <c r="Y469" s="63"/>
      <c r="Z469" s="63"/>
      <c r="AA469" s="62"/>
    </row>
    <row r="470" spans="15:27" x14ac:dyDescent="0.25">
      <c r="O470" s="62"/>
      <c r="P470" s="63"/>
      <c r="Q470" s="63"/>
      <c r="R470" s="63"/>
      <c r="S470" s="63"/>
      <c r="X470" s="63"/>
      <c r="Y470" s="63"/>
      <c r="Z470" s="63"/>
      <c r="AA470" s="62"/>
    </row>
    <row r="471" spans="15:27" x14ac:dyDescent="0.25">
      <c r="O471" s="62"/>
      <c r="P471" s="63"/>
      <c r="Q471" s="63"/>
      <c r="R471" s="63"/>
      <c r="S471" s="63"/>
      <c r="X471" s="63"/>
      <c r="Y471" s="63"/>
      <c r="Z471" s="63"/>
      <c r="AA471" s="62"/>
    </row>
    <row r="472" spans="15:27" x14ac:dyDescent="0.25">
      <c r="O472" s="62"/>
      <c r="P472" s="63"/>
      <c r="Q472" s="63"/>
      <c r="R472" s="63"/>
      <c r="S472" s="63"/>
      <c r="X472" s="63"/>
      <c r="Y472" s="63"/>
      <c r="Z472" s="63"/>
      <c r="AA472" s="62"/>
    </row>
    <row r="473" spans="15:27" x14ac:dyDescent="0.25">
      <c r="O473" s="62"/>
      <c r="P473" s="63"/>
      <c r="Q473" s="63"/>
      <c r="R473" s="63"/>
      <c r="S473" s="63"/>
      <c r="X473" s="63"/>
      <c r="Y473" s="63"/>
      <c r="Z473" s="63"/>
      <c r="AA473" s="62"/>
    </row>
    <row r="474" spans="15:27" x14ac:dyDescent="0.25">
      <c r="O474" s="62"/>
      <c r="P474" s="63"/>
      <c r="Q474" s="63"/>
      <c r="R474" s="63"/>
      <c r="S474" s="63"/>
      <c r="X474" s="63"/>
      <c r="Y474" s="63"/>
      <c r="Z474" s="63"/>
      <c r="AA474" s="62"/>
    </row>
    <row r="475" spans="15:27" x14ac:dyDescent="0.25">
      <c r="O475" s="62"/>
      <c r="P475" s="63"/>
      <c r="Q475" s="63"/>
      <c r="R475" s="63"/>
      <c r="S475" s="63"/>
      <c r="X475" s="63"/>
      <c r="Y475" s="63"/>
      <c r="Z475" s="63"/>
      <c r="AA475" s="62"/>
    </row>
    <row r="476" spans="15:27" x14ac:dyDescent="0.25">
      <c r="O476" s="62"/>
      <c r="P476" s="63"/>
      <c r="Q476" s="63"/>
      <c r="R476" s="63"/>
      <c r="S476" s="63"/>
      <c r="X476" s="63"/>
      <c r="Y476" s="63"/>
      <c r="Z476" s="63"/>
      <c r="AA476" s="62"/>
    </row>
    <row r="477" spans="15:27" x14ac:dyDescent="0.25">
      <c r="O477" s="62"/>
      <c r="P477" s="63"/>
      <c r="Q477" s="63"/>
      <c r="R477" s="63"/>
      <c r="S477" s="63"/>
      <c r="X477" s="63"/>
      <c r="Y477" s="63"/>
      <c r="Z477" s="63"/>
      <c r="AA477" s="62"/>
    </row>
    <row r="478" spans="15:27" x14ac:dyDescent="0.25">
      <c r="O478" s="62"/>
      <c r="P478" s="63"/>
      <c r="Q478" s="63"/>
      <c r="R478" s="63"/>
      <c r="S478" s="63"/>
      <c r="X478" s="63"/>
      <c r="Y478" s="63"/>
      <c r="Z478" s="63"/>
      <c r="AA478" s="62"/>
    </row>
    <row r="479" spans="15:27" x14ac:dyDescent="0.25">
      <c r="O479" s="62"/>
      <c r="P479" s="63"/>
      <c r="Q479" s="63"/>
      <c r="R479" s="63"/>
      <c r="S479" s="63"/>
      <c r="X479" s="63"/>
      <c r="Y479" s="63"/>
      <c r="Z479" s="63"/>
      <c r="AA479" s="62"/>
    </row>
    <row r="480" spans="15:27" x14ac:dyDescent="0.25">
      <c r="O480" s="62"/>
      <c r="P480" s="63"/>
      <c r="Q480" s="63"/>
      <c r="R480" s="63"/>
      <c r="S480" s="63"/>
      <c r="X480" s="63"/>
      <c r="Y480" s="63"/>
      <c r="Z480" s="63"/>
      <c r="AA480" s="62"/>
    </row>
    <row r="481" spans="15:27" x14ac:dyDescent="0.25">
      <c r="O481" s="62"/>
      <c r="P481" s="63"/>
      <c r="Q481" s="63"/>
      <c r="R481" s="63"/>
      <c r="S481" s="63"/>
      <c r="X481" s="63"/>
      <c r="Y481" s="63"/>
      <c r="Z481" s="63"/>
      <c r="AA481" s="62"/>
    </row>
    <row r="482" spans="15:27" x14ac:dyDescent="0.25">
      <c r="O482" s="62"/>
      <c r="P482" s="63"/>
      <c r="Q482" s="63"/>
      <c r="R482" s="63"/>
      <c r="S482" s="63"/>
      <c r="X482" s="63"/>
      <c r="Y482" s="63"/>
      <c r="Z482" s="63"/>
      <c r="AA482" s="62"/>
    </row>
    <row r="483" spans="15:27" x14ac:dyDescent="0.25">
      <c r="O483" s="62"/>
      <c r="P483" s="63"/>
      <c r="Q483" s="63"/>
      <c r="R483" s="63"/>
      <c r="S483" s="63"/>
      <c r="X483" s="63"/>
      <c r="Y483" s="63"/>
      <c r="Z483" s="63"/>
      <c r="AA483" s="62"/>
    </row>
    <row r="484" spans="15:27" x14ac:dyDescent="0.25">
      <c r="O484" s="62"/>
      <c r="P484" s="63"/>
      <c r="Q484" s="63"/>
      <c r="R484" s="63"/>
      <c r="S484" s="63"/>
      <c r="X484" s="63"/>
      <c r="Y484" s="63"/>
      <c r="Z484" s="63"/>
      <c r="AA484" s="62"/>
    </row>
    <row r="485" spans="15:27" x14ac:dyDescent="0.25">
      <c r="O485" s="62"/>
      <c r="P485" s="63"/>
      <c r="Q485" s="63"/>
      <c r="R485" s="63"/>
      <c r="S485" s="63"/>
      <c r="X485" s="63"/>
      <c r="Y485" s="63"/>
      <c r="Z485" s="63"/>
      <c r="AA485" s="62"/>
    </row>
    <row r="486" spans="15:27" x14ac:dyDescent="0.25">
      <c r="O486" s="62"/>
      <c r="P486" s="63"/>
      <c r="Q486" s="63"/>
      <c r="R486" s="63"/>
      <c r="S486" s="63"/>
      <c r="X486" s="63"/>
      <c r="Y486" s="63"/>
      <c r="Z486" s="63"/>
      <c r="AA486" s="62"/>
    </row>
    <row r="487" spans="15:27" x14ac:dyDescent="0.25">
      <c r="O487" s="62"/>
      <c r="P487" s="63"/>
      <c r="Q487" s="63"/>
      <c r="R487" s="63"/>
      <c r="S487" s="63"/>
      <c r="X487" s="63"/>
      <c r="Y487" s="63"/>
      <c r="Z487" s="63"/>
      <c r="AA487" s="62"/>
    </row>
    <row r="488" spans="15:27" x14ac:dyDescent="0.25">
      <c r="O488" s="62"/>
      <c r="P488" s="63"/>
      <c r="Q488" s="63"/>
      <c r="R488" s="63"/>
      <c r="S488" s="63"/>
      <c r="X488" s="63"/>
      <c r="Y488" s="63"/>
      <c r="Z488" s="63"/>
      <c r="AA488" s="62"/>
    </row>
    <row r="489" spans="15:27" x14ac:dyDescent="0.25">
      <c r="O489" s="62"/>
      <c r="P489" s="63"/>
      <c r="Q489" s="63"/>
      <c r="R489" s="63"/>
      <c r="S489" s="63"/>
      <c r="X489" s="63"/>
      <c r="Y489" s="63"/>
      <c r="Z489" s="63"/>
      <c r="AA489" s="62"/>
    </row>
    <row r="490" spans="15:27" x14ac:dyDescent="0.25">
      <c r="O490" s="62"/>
      <c r="P490" s="63"/>
      <c r="Q490" s="63"/>
      <c r="R490" s="63"/>
      <c r="S490" s="63"/>
      <c r="X490" s="63"/>
      <c r="Y490" s="63"/>
      <c r="Z490" s="63"/>
      <c r="AA490" s="62"/>
    </row>
    <row r="491" spans="15:27" x14ac:dyDescent="0.25">
      <c r="O491" s="62"/>
      <c r="P491" s="63"/>
      <c r="Q491" s="63"/>
      <c r="R491" s="63"/>
      <c r="S491" s="63"/>
      <c r="X491" s="63"/>
      <c r="Y491" s="63"/>
      <c r="Z491" s="63"/>
      <c r="AA491" s="62"/>
    </row>
    <row r="492" spans="15:27" x14ac:dyDescent="0.25">
      <c r="O492" s="62"/>
      <c r="P492" s="63"/>
      <c r="Q492" s="63"/>
      <c r="R492" s="63"/>
      <c r="S492" s="63"/>
      <c r="X492" s="63"/>
      <c r="Y492" s="63"/>
      <c r="Z492" s="63"/>
      <c r="AA492" s="62"/>
    </row>
    <row r="493" spans="15:27" x14ac:dyDescent="0.25">
      <c r="O493" s="62"/>
      <c r="P493" s="63"/>
      <c r="Q493" s="63"/>
      <c r="R493" s="63"/>
      <c r="S493" s="63"/>
      <c r="X493" s="63"/>
      <c r="Y493" s="63"/>
      <c r="Z493" s="63"/>
      <c r="AA493" s="62"/>
    </row>
    <row r="494" spans="15:27" x14ac:dyDescent="0.25">
      <c r="O494" s="62"/>
      <c r="P494" s="63"/>
      <c r="Q494" s="63"/>
      <c r="R494" s="63"/>
      <c r="S494" s="63"/>
      <c r="X494" s="63"/>
      <c r="Y494" s="63"/>
      <c r="Z494" s="63"/>
      <c r="AA494" s="62"/>
    </row>
    <row r="495" spans="15:27" x14ac:dyDescent="0.25">
      <c r="O495" s="62"/>
      <c r="P495" s="63"/>
      <c r="Q495" s="63"/>
      <c r="R495" s="63"/>
      <c r="S495" s="63"/>
      <c r="X495" s="63"/>
      <c r="Y495" s="63"/>
      <c r="Z495" s="63"/>
      <c r="AA495" s="62"/>
    </row>
    <row r="496" spans="15:27" x14ac:dyDescent="0.25">
      <c r="O496" s="62"/>
      <c r="P496" s="63"/>
      <c r="Q496" s="63"/>
      <c r="R496" s="63"/>
      <c r="S496" s="63"/>
      <c r="X496" s="63"/>
      <c r="Y496" s="63"/>
      <c r="Z496" s="63"/>
      <c r="AA496" s="62"/>
    </row>
    <row r="497" spans="15:27" x14ac:dyDescent="0.25">
      <c r="O497" s="62"/>
      <c r="P497" s="63"/>
      <c r="Q497" s="63"/>
      <c r="R497" s="63"/>
      <c r="S497" s="63"/>
      <c r="X497" s="63"/>
      <c r="Y497" s="63"/>
      <c r="Z497" s="63"/>
      <c r="AA497" s="62"/>
    </row>
    <row r="498" spans="15:27" x14ac:dyDescent="0.25">
      <c r="O498" s="62"/>
      <c r="P498" s="63"/>
      <c r="Q498" s="63"/>
      <c r="R498" s="63"/>
      <c r="S498" s="63"/>
      <c r="X498" s="63"/>
      <c r="Y498" s="63"/>
      <c r="Z498" s="63"/>
      <c r="AA498" s="62"/>
    </row>
    <row r="499" spans="15:27" x14ac:dyDescent="0.25">
      <c r="O499" s="62"/>
      <c r="P499" s="63"/>
      <c r="Q499" s="63"/>
      <c r="R499" s="63"/>
      <c r="S499" s="63"/>
      <c r="X499" s="63"/>
      <c r="Y499" s="63"/>
      <c r="Z499" s="63"/>
      <c r="AA499" s="62"/>
    </row>
    <row r="500" spans="15:27" x14ac:dyDescent="0.25">
      <c r="O500" s="62"/>
      <c r="P500" s="63"/>
      <c r="Q500" s="63"/>
      <c r="R500" s="63"/>
      <c r="S500" s="63"/>
      <c r="X500" s="63"/>
      <c r="Y500" s="63"/>
      <c r="Z500" s="63"/>
      <c r="AA500" s="62"/>
    </row>
    <row r="501" spans="15:27" x14ac:dyDescent="0.25">
      <c r="O501" s="62"/>
      <c r="P501" s="63"/>
      <c r="Q501" s="63"/>
      <c r="R501" s="63"/>
      <c r="S501" s="63"/>
      <c r="X501" s="63"/>
      <c r="Y501" s="63"/>
      <c r="Z501" s="63"/>
      <c r="AA501" s="62"/>
    </row>
    <row r="502" spans="15:27" x14ac:dyDescent="0.25">
      <c r="O502" s="62"/>
      <c r="P502" s="63"/>
      <c r="Q502" s="63"/>
      <c r="R502" s="63"/>
      <c r="S502" s="63"/>
      <c r="X502" s="63"/>
      <c r="Y502" s="63"/>
      <c r="Z502" s="63"/>
      <c r="AA502" s="62"/>
    </row>
    <row r="503" spans="15:27" x14ac:dyDescent="0.25">
      <c r="O503" s="62"/>
      <c r="P503" s="63"/>
      <c r="Q503" s="63"/>
      <c r="R503" s="63"/>
      <c r="S503" s="63"/>
      <c r="X503" s="63"/>
      <c r="Y503" s="63"/>
      <c r="Z503" s="63"/>
      <c r="AA503" s="62"/>
    </row>
    <row r="504" spans="15:27" x14ac:dyDescent="0.25">
      <c r="O504" s="62"/>
      <c r="P504" s="63"/>
      <c r="Q504" s="63"/>
      <c r="R504" s="63"/>
      <c r="S504" s="63"/>
      <c r="X504" s="63"/>
      <c r="Y504" s="63"/>
      <c r="Z504" s="63"/>
      <c r="AA504" s="62"/>
    </row>
    <row r="505" spans="15:27" x14ac:dyDescent="0.25">
      <c r="O505" s="62"/>
      <c r="P505" s="63"/>
      <c r="Q505" s="63"/>
      <c r="R505" s="63"/>
      <c r="S505" s="63"/>
      <c r="X505" s="63"/>
      <c r="Y505" s="63"/>
      <c r="Z505" s="63"/>
      <c r="AA505" s="62"/>
    </row>
    <row r="506" spans="15:27" x14ac:dyDescent="0.25">
      <c r="O506" s="62"/>
      <c r="P506" s="63"/>
      <c r="Q506" s="63"/>
      <c r="R506" s="63"/>
      <c r="S506" s="63"/>
      <c r="X506" s="63"/>
      <c r="Y506" s="63"/>
      <c r="Z506" s="63"/>
      <c r="AA506" s="62"/>
    </row>
    <row r="507" spans="15:27" x14ac:dyDescent="0.25">
      <c r="O507" s="62"/>
      <c r="P507" s="63"/>
      <c r="Q507" s="63"/>
      <c r="R507" s="63"/>
      <c r="S507" s="63"/>
      <c r="X507" s="63"/>
      <c r="Y507" s="63"/>
      <c r="Z507" s="63"/>
      <c r="AA507" s="62"/>
    </row>
    <row r="508" spans="15:27" x14ac:dyDescent="0.25">
      <c r="O508" s="62"/>
      <c r="P508" s="63"/>
      <c r="Q508" s="63"/>
      <c r="R508" s="63"/>
      <c r="S508" s="63"/>
      <c r="X508" s="63"/>
      <c r="Y508" s="63"/>
      <c r="Z508" s="63"/>
      <c r="AA508" s="62"/>
    </row>
    <row r="509" spans="15:27" x14ac:dyDescent="0.25">
      <c r="O509" s="62"/>
      <c r="P509" s="63"/>
      <c r="Q509" s="63"/>
      <c r="R509" s="63"/>
      <c r="S509" s="63"/>
      <c r="X509" s="63"/>
      <c r="Y509" s="63"/>
      <c r="Z509" s="63"/>
      <c r="AA509" s="62"/>
    </row>
    <row r="510" spans="15:27" x14ac:dyDescent="0.25">
      <c r="O510" s="62"/>
      <c r="P510" s="63"/>
      <c r="Q510" s="63"/>
      <c r="R510" s="63"/>
      <c r="S510" s="63"/>
      <c r="X510" s="63"/>
      <c r="Y510" s="63"/>
      <c r="Z510" s="63"/>
      <c r="AA510" s="62"/>
    </row>
    <row r="511" spans="15:27" x14ac:dyDescent="0.25">
      <c r="O511" s="62"/>
      <c r="P511" s="63"/>
      <c r="Q511" s="63"/>
      <c r="R511" s="63"/>
      <c r="S511" s="63"/>
      <c r="X511" s="63"/>
      <c r="Y511" s="63"/>
      <c r="Z511" s="63"/>
      <c r="AA511" s="62"/>
    </row>
    <row r="512" spans="15:27" x14ac:dyDescent="0.25">
      <c r="O512" s="62"/>
      <c r="P512" s="63"/>
      <c r="Q512" s="63"/>
      <c r="R512" s="63"/>
      <c r="S512" s="63"/>
      <c r="X512" s="63"/>
      <c r="Y512" s="63"/>
      <c r="Z512" s="63"/>
      <c r="AA512" s="62"/>
    </row>
    <row r="513" spans="15:27" x14ac:dyDescent="0.25">
      <c r="O513" s="62"/>
      <c r="P513" s="63"/>
      <c r="Q513" s="63"/>
      <c r="R513" s="63"/>
      <c r="S513" s="63"/>
      <c r="X513" s="63"/>
      <c r="Y513" s="63"/>
      <c r="Z513" s="63"/>
      <c r="AA513" s="62"/>
    </row>
    <row r="514" spans="15:27" x14ac:dyDescent="0.25">
      <c r="O514" s="62"/>
      <c r="P514" s="63"/>
      <c r="Q514" s="63"/>
      <c r="R514" s="63"/>
      <c r="S514" s="63"/>
      <c r="X514" s="63"/>
      <c r="Y514" s="63"/>
      <c r="Z514" s="63"/>
      <c r="AA514" s="62"/>
    </row>
    <row r="515" spans="15:27" x14ac:dyDescent="0.25">
      <c r="O515" s="62"/>
      <c r="P515" s="63"/>
      <c r="Q515" s="63"/>
      <c r="R515" s="63"/>
      <c r="S515" s="63"/>
      <c r="X515" s="63"/>
      <c r="Y515" s="63"/>
      <c r="Z515" s="63"/>
      <c r="AA515" s="62"/>
    </row>
    <row r="516" spans="15:27" x14ac:dyDescent="0.25">
      <c r="O516" s="62"/>
      <c r="P516" s="63"/>
      <c r="Q516" s="63"/>
      <c r="R516" s="63"/>
      <c r="S516" s="63"/>
      <c r="X516" s="63"/>
      <c r="Y516" s="63"/>
      <c r="Z516" s="63"/>
      <c r="AA516" s="62"/>
    </row>
    <row r="517" spans="15:27" x14ac:dyDescent="0.25">
      <c r="O517" s="62"/>
      <c r="P517" s="63"/>
      <c r="Q517" s="63"/>
      <c r="R517" s="63"/>
      <c r="S517" s="63"/>
      <c r="X517" s="63"/>
      <c r="Y517" s="63"/>
      <c r="Z517" s="63"/>
      <c r="AA517" s="62"/>
    </row>
    <row r="518" spans="15:27" x14ac:dyDescent="0.25">
      <c r="O518" s="62"/>
      <c r="P518" s="63"/>
      <c r="Q518" s="63"/>
      <c r="R518" s="63"/>
      <c r="S518" s="63"/>
      <c r="X518" s="63"/>
      <c r="Y518" s="63"/>
      <c r="Z518" s="63"/>
      <c r="AA518" s="62"/>
    </row>
    <row r="519" spans="15:27" x14ac:dyDescent="0.25">
      <c r="O519" s="62"/>
      <c r="P519" s="63"/>
      <c r="Q519" s="63"/>
      <c r="R519" s="63"/>
      <c r="S519" s="63"/>
      <c r="X519" s="63"/>
      <c r="Y519" s="63"/>
      <c r="Z519" s="63"/>
      <c r="AA519" s="62"/>
    </row>
    <row r="520" spans="15:27" x14ac:dyDescent="0.25">
      <c r="O520" s="62"/>
      <c r="P520" s="63"/>
      <c r="Q520" s="63"/>
      <c r="R520" s="63"/>
      <c r="S520" s="63"/>
      <c r="X520" s="63"/>
      <c r="Y520" s="63"/>
      <c r="Z520" s="63"/>
      <c r="AA520" s="62"/>
    </row>
    <row r="521" spans="15:27" x14ac:dyDescent="0.25">
      <c r="O521" s="62"/>
      <c r="P521" s="63"/>
      <c r="Q521" s="63"/>
      <c r="R521" s="63"/>
      <c r="S521" s="63"/>
      <c r="X521" s="63"/>
      <c r="Y521" s="63"/>
      <c r="Z521" s="63"/>
      <c r="AA521" s="62"/>
    </row>
    <row r="522" spans="15:27" x14ac:dyDescent="0.25">
      <c r="O522" s="62"/>
      <c r="P522" s="63"/>
      <c r="Q522" s="63"/>
      <c r="R522" s="63"/>
      <c r="S522" s="63"/>
      <c r="X522" s="63"/>
      <c r="Y522" s="63"/>
      <c r="Z522" s="63"/>
      <c r="AA522" s="62"/>
    </row>
    <row r="523" spans="15:27" x14ac:dyDescent="0.25">
      <c r="O523" s="62"/>
      <c r="P523" s="63"/>
      <c r="Q523" s="63"/>
      <c r="R523" s="63"/>
      <c r="S523" s="63"/>
      <c r="X523" s="63"/>
      <c r="Y523" s="63"/>
      <c r="Z523" s="63"/>
      <c r="AA523" s="62"/>
    </row>
    <row r="524" spans="15:27" x14ac:dyDescent="0.25">
      <c r="O524" s="62"/>
      <c r="P524" s="63"/>
      <c r="Q524" s="63"/>
      <c r="R524" s="63"/>
      <c r="S524" s="63"/>
      <c r="X524" s="63"/>
      <c r="Y524" s="63"/>
      <c r="Z524" s="63"/>
      <c r="AA524" s="62"/>
    </row>
    <row r="525" spans="15:27" x14ac:dyDescent="0.25">
      <c r="O525" s="62"/>
      <c r="P525" s="63"/>
      <c r="Q525" s="63"/>
      <c r="R525" s="63"/>
      <c r="S525" s="63"/>
      <c r="X525" s="63"/>
      <c r="Y525" s="63"/>
      <c r="Z525" s="63"/>
      <c r="AA525" s="62"/>
    </row>
    <row r="526" spans="15:27" x14ac:dyDescent="0.25">
      <c r="O526" s="62"/>
      <c r="P526" s="63"/>
      <c r="Q526" s="63"/>
      <c r="R526" s="63"/>
      <c r="S526" s="63"/>
      <c r="X526" s="63"/>
      <c r="Y526" s="63"/>
      <c r="Z526" s="63"/>
      <c r="AA526" s="62"/>
    </row>
    <row r="527" spans="15:27" x14ac:dyDescent="0.25">
      <c r="O527" s="62"/>
      <c r="P527" s="63"/>
      <c r="Q527" s="63"/>
      <c r="R527" s="63"/>
      <c r="S527" s="63"/>
      <c r="X527" s="63"/>
      <c r="Y527" s="63"/>
      <c r="Z527" s="63"/>
      <c r="AA527" s="62"/>
    </row>
    <row r="528" spans="15:27" x14ac:dyDescent="0.25">
      <c r="O528" s="62"/>
      <c r="P528" s="63"/>
      <c r="Q528" s="63"/>
      <c r="R528" s="63"/>
      <c r="S528" s="63"/>
      <c r="X528" s="63"/>
      <c r="Y528" s="63"/>
      <c r="Z528" s="63"/>
      <c r="AA528" s="62"/>
    </row>
    <row r="529" spans="15:27" x14ac:dyDescent="0.25">
      <c r="O529" s="62"/>
      <c r="P529" s="63"/>
      <c r="Q529" s="63"/>
      <c r="R529" s="63"/>
      <c r="S529" s="63"/>
      <c r="X529" s="63"/>
      <c r="Y529" s="63"/>
      <c r="Z529" s="63"/>
      <c r="AA529" s="62"/>
    </row>
    <row r="530" spans="15:27" x14ac:dyDescent="0.25">
      <c r="O530" s="62"/>
      <c r="P530" s="63"/>
      <c r="Q530" s="63"/>
      <c r="R530" s="63"/>
      <c r="S530" s="63"/>
      <c r="X530" s="63"/>
      <c r="Y530" s="63"/>
      <c r="Z530" s="63"/>
      <c r="AA530" s="62"/>
    </row>
    <row r="531" spans="15:27" x14ac:dyDescent="0.25">
      <c r="O531" s="62"/>
      <c r="P531" s="63"/>
      <c r="Q531" s="63"/>
      <c r="R531" s="63"/>
      <c r="S531" s="63"/>
      <c r="X531" s="63"/>
      <c r="Y531" s="63"/>
      <c r="Z531" s="63"/>
      <c r="AA531" s="62"/>
    </row>
    <row r="532" spans="15:27" x14ac:dyDescent="0.25">
      <c r="O532" s="62"/>
      <c r="P532" s="63"/>
      <c r="Q532" s="63"/>
      <c r="R532" s="63"/>
      <c r="S532" s="63"/>
      <c r="X532" s="63"/>
      <c r="Y532" s="63"/>
      <c r="Z532" s="63"/>
      <c r="AA532" s="62"/>
    </row>
    <row r="533" spans="15:27" x14ac:dyDescent="0.25">
      <c r="O533" s="62"/>
      <c r="P533" s="63"/>
      <c r="Q533" s="63"/>
      <c r="R533" s="63"/>
      <c r="S533" s="63"/>
      <c r="X533" s="63"/>
      <c r="Y533" s="63"/>
      <c r="Z533" s="63"/>
      <c r="AA533" s="62"/>
    </row>
    <row r="534" spans="15:27" x14ac:dyDescent="0.25">
      <c r="O534" s="62"/>
      <c r="P534" s="63"/>
      <c r="Q534" s="63"/>
      <c r="R534" s="63"/>
      <c r="S534" s="63"/>
      <c r="X534" s="63"/>
      <c r="Y534" s="63"/>
      <c r="Z534" s="63"/>
      <c r="AA534" s="62"/>
    </row>
    <row r="535" spans="15:27" x14ac:dyDescent="0.25">
      <c r="O535" s="62"/>
      <c r="P535" s="63"/>
      <c r="Q535" s="63"/>
      <c r="R535" s="63"/>
      <c r="S535" s="63"/>
      <c r="X535" s="63"/>
      <c r="Y535" s="63"/>
      <c r="Z535" s="63"/>
      <c r="AA535" s="62"/>
    </row>
    <row r="536" spans="15:27" x14ac:dyDescent="0.25">
      <c r="O536" s="62"/>
      <c r="P536" s="63"/>
      <c r="Q536" s="63"/>
      <c r="R536" s="63"/>
      <c r="S536" s="63"/>
      <c r="X536" s="63"/>
      <c r="Y536" s="63"/>
      <c r="Z536" s="63"/>
      <c r="AA536" s="62"/>
    </row>
    <row r="537" spans="15:27" x14ac:dyDescent="0.25">
      <c r="O537" s="62"/>
      <c r="P537" s="63"/>
      <c r="Q537" s="63"/>
      <c r="R537" s="63"/>
      <c r="S537" s="63"/>
      <c r="X537" s="63"/>
      <c r="Y537" s="63"/>
      <c r="Z537" s="63"/>
      <c r="AA537" s="62"/>
    </row>
    <row r="538" spans="15:27" x14ac:dyDescent="0.25">
      <c r="O538" s="62"/>
      <c r="P538" s="63"/>
      <c r="Q538" s="63"/>
      <c r="R538" s="63"/>
      <c r="S538" s="63"/>
      <c r="X538" s="63"/>
      <c r="Y538" s="63"/>
      <c r="Z538" s="63"/>
      <c r="AA538" s="62"/>
    </row>
    <row r="539" spans="15:27" x14ac:dyDescent="0.25">
      <c r="O539" s="62"/>
      <c r="P539" s="63"/>
      <c r="Q539" s="63"/>
      <c r="R539" s="63"/>
      <c r="S539" s="63"/>
      <c r="X539" s="63"/>
      <c r="Y539" s="63"/>
      <c r="Z539" s="63"/>
      <c r="AA539" s="62"/>
    </row>
    <row r="540" spans="15:27" x14ac:dyDescent="0.25">
      <c r="O540" s="62"/>
      <c r="P540" s="63"/>
      <c r="Q540" s="63"/>
      <c r="R540" s="63"/>
      <c r="S540" s="63"/>
      <c r="X540" s="63"/>
      <c r="Y540" s="63"/>
      <c r="Z540" s="63"/>
      <c r="AA540" s="62"/>
    </row>
    <row r="541" spans="15:27" x14ac:dyDescent="0.25">
      <c r="O541" s="62"/>
      <c r="P541" s="63"/>
      <c r="Q541" s="63"/>
      <c r="R541" s="63"/>
      <c r="S541" s="63"/>
      <c r="X541" s="63"/>
      <c r="Y541" s="63"/>
      <c r="Z541" s="63"/>
      <c r="AA541" s="62"/>
    </row>
    <row r="542" spans="15:27" x14ac:dyDescent="0.25">
      <c r="O542" s="62"/>
      <c r="P542" s="63"/>
      <c r="Q542" s="63"/>
      <c r="R542" s="63"/>
      <c r="S542" s="63"/>
      <c r="X542" s="63"/>
      <c r="Y542" s="63"/>
      <c r="Z542" s="63"/>
      <c r="AA542" s="62"/>
    </row>
    <row r="543" spans="15:27" x14ac:dyDescent="0.25">
      <c r="O543" s="62"/>
      <c r="P543" s="63"/>
      <c r="Q543" s="63"/>
      <c r="R543" s="63"/>
      <c r="S543" s="63"/>
      <c r="X543" s="63"/>
      <c r="Y543" s="63"/>
      <c r="Z543" s="63"/>
      <c r="AA543" s="62"/>
    </row>
    <row r="544" spans="15:27" x14ac:dyDescent="0.25">
      <c r="O544" s="62"/>
      <c r="P544" s="63"/>
      <c r="Q544" s="63"/>
      <c r="R544" s="63"/>
      <c r="S544" s="63"/>
      <c r="X544" s="63"/>
      <c r="Y544" s="63"/>
      <c r="Z544" s="63"/>
      <c r="AA544" s="62"/>
    </row>
    <row r="545" spans="15:27" x14ac:dyDescent="0.25">
      <c r="O545" s="62"/>
      <c r="P545" s="63"/>
      <c r="Q545" s="63"/>
      <c r="R545" s="63"/>
      <c r="S545" s="63"/>
      <c r="X545" s="63"/>
      <c r="Y545" s="63"/>
      <c r="Z545" s="63"/>
      <c r="AA545" s="62"/>
    </row>
    <row r="546" spans="15:27" x14ac:dyDescent="0.25">
      <c r="O546" s="62"/>
      <c r="P546" s="63"/>
      <c r="Q546" s="63"/>
      <c r="R546" s="63"/>
      <c r="S546" s="63"/>
      <c r="X546" s="63"/>
      <c r="Y546" s="63"/>
      <c r="Z546" s="63"/>
      <c r="AA546" s="62"/>
    </row>
    <row r="547" spans="15:27" x14ac:dyDescent="0.25">
      <c r="O547" s="62"/>
      <c r="P547" s="63"/>
      <c r="Q547" s="63"/>
      <c r="R547" s="63"/>
      <c r="S547" s="63"/>
      <c r="X547" s="63"/>
      <c r="Y547" s="63"/>
      <c r="Z547" s="63"/>
      <c r="AA547" s="62"/>
    </row>
    <row r="548" spans="15:27" x14ac:dyDescent="0.25">
      <c r="O548" s="62"/>
      <c r="P548" s="63"/>
      <c r="Q548" s="63"/>
      <c r="R548" s="63"/>
      <c r="S548" s="63"/>
      <c r="X548" s="63"/>
      <c r="Y548" s="63"/>
      <c r="Z548" s="63"/>
      <c r="AA548" s="62"/>
    </row>
    <row r="549" spans="15:27" x14ac:dyDescent="0.25">
      <c r="O549" s="62"/>
      <c r="P549" s="63"/>
      <c r="Q549" s="63"/>
      <c r="R549" s="63"/>
      <c r="S549" s="63"/>
      <c r="X549" s="63"/>
      <c r="Y549" s="63"/>
      <c r="Z549" s="63"/>
      <c r="AA549" s="62"/>
    </row>
    <row r="550" spans="15:27" x14ac:dyDescent="0.25">
      <c r="O550" s="62"/>
      <c r="P550" s="63"/>
      <c r="Q550" s="63"/>
      <c r="R550" s="63"/>
      <c r="S550" s="63"/>
      <c r="X550" s="63"/>
      <c r="Y550" s="63"/>
      <c r="Z550" s="63"/>
      <c r="AA550" s="62"/>
    </row>
    <row r="551" spans="15:27" x14ac:dyDescent="0.25">
      <c r="O551" s="62"/>
      <c r="P551" s="63"/>
      <c r="Q551" s="63"/>
      <c r="R551" s="63"/>
      <c r="S551" s="63"/>
      <c r="X551" s="63"/>
      <c r="Y551" s="63"/>
      <c r="Z551" s="63"/>
      <c r="AA551" s="62"/>
    </row>
    <row r="552" spans="15:27" x14ac:dyDescent="0.25">
      <c r="O552" s="62"/>
      <c r="P552" s="63"/>
      <c r="Q552" s="63"/>
      <c r="R552" s="63"/>
      <c r="S552" s="63"/>
      <c r="X552" s="63"/>
      <c r="Y552" s="63"/>
      <c r="Z552" s="63"/>
      <c r="AA552" s="62"/>
    </row>
    <row r="553" spans="15:27" x14ac:dyDescent="0.25">
      <c r="O553" s="62"/>
      <c r="P553" s="63"/>
      <c r="Q553" s="63"/>
      <c r="R553" s="63"/>
      <c r="S553" s="63"/>
      <c r="X553" s="63"/>
      <c r="Y553" s="63"/>
      <c r="Z553" s="63"/>
      <c r="AA553" s="62"/>
    </row>
    <row r="554" spans="15:27" x14ac:dyDescent="0.25">
      <c r="O554" s="62"/>
      <c r="P554" s="63"/>
      <c r="Q554" s="63"/>
      <c r="R554" s="63"/>
      <c r="S554" s="63"/>
      <c r="X554" s="63"/>
      <c r="Y554" s="63"/>
      <c r="Z554" s="63"/>
      <c r="AA554" s="62"/>
    </row>
    <row r="555" spans="15:27" x14ac:dyDescent="0.25">
      <c r="O555" s="62"/>
      <c r="P555" s="63"/>
      <c r="Q555" s="63"/>
      <c r="R555" s="63"/>
      <c r="S555" s="63"/>
      <c r="X555" s="63"/>
      <c r="Y555" s="63"/>
      <c r="Z555" s="63"/>
      <c r="AA555" s="62"/>
    </row>
    <row r="556" spans="15:27" x14ac:dyDescent="0.25">
      <c r="O556" s="62"/>
      <c r="P556" s="63"/>
      <c r="Q556" s="63"/>
      <c r="R556" s="63"/>
      <c r="S556" s="63"/>
      <c r="X556" s="63"/>
      <c r="Y556" s="63"/>
      <c r="Z556" s="63"/>
      <c r="AA556" s="62"/>
    </row>
    <row r="557" spans="15:27" x14ac:dyDescent="0.25">
      <c r="O557" s="62"/>
      <c r="P557" s="63"/>
      <c r="Q557" s="63"/>
      <c r="R557" s="63"/>
      <c r="S557" s="63"/>
      <c r="X557" s="63"/>
      <c r="Y557" s="63"/>
      <c r="Z557" s="63"/>
      <c r="AA557" s="62"/>
    </row>
    <row r="558" spans="15:27" x14ac:dyDescent="0.25">
      <c r="O558" s="62"/>
      <c r="P558" s="63"/>
      <c r="Q558" s="63"/>
      <c r="R558" s="63"/>
      <c r="S558" s="63"/>
      <c r="X558" s="63"/>
      <c r="Y558" s="63"/>
      <c r="Z558" s="63"/>
      <c r="AA558" s="62"/>
    </row>
    <row r="559" spans="15:27" x14ac:dyDescent="0.25">
      <c r="O559" s="62"/>
      <c r="P559" s="63"/>
      <c r="Q559" s="63"/>
      <c r="R559" s="63"/>
      <c r="S559" s="63"/>
      <c r="X559" s="63"/>
      <c r="Y559" s="63"/>
      <c r="Z559" s="63"/>
      <c r="AA559" s="62"/>
    </row>
    <row r="560" spans="15:27" x14ac:dyDescent="0.25">
      <c r="O560" s="62"/>
      <c r="P560" s="63"/>
      <c r="Q560" s="63"/>
      <c r="R560" s="63"/>
      <c r="S560" s="63"/>
      <c r="X560" s="63"/>
      <c r="Y560" s="63"/>
      <c r="Z560" s="63"/>
      <c r="AA560" s="62"/>
    </row>
    <row r="561" spans="15:27" x14ac:dyDescent="0.25">
      <c r="O561" s="62"/>
      <c r="P561" s="63"/>
      <c r="Q561" s="63"/>
      <c r="R561" s="63"/>
      <c r="S561" s="63"/>
      <c r="X561" s="63"/>
      <c r="Y561" s="63"/>
      <c r="Z561" s="63"/>
      <c r="AA561" s="62"/>
    </row>
    <row r="562" spans="15:27" x14ac:dyDescent="0.25">
      <c r="O562" s="62"/>
      <c r="P562" s="63"/>
      <c r="Q562" s="63"/>
      <c r="R562" s="63"/>
      <c r="S562" s="63"/>
      <c r="X562" s="63"/>
      <c r="Y562" s="63"/>
      <c r="Z562" s="63"/>
      <c r="AA562" s="62"/>
    </row>
    <row r="563" spans="15:27" x14ac:dyDescent="0.25">
      <c r="O563" s="62"/>
      <c r="P563" s="63"/>
      <c r="Q563" s="63"/>
      <c r="R563" s="63"/>
      <c r="S563" s="63"/>
      <c r="X563" s="63"/>
      <c r="Y563" s="63"/>
      <c r="Z563" s="63"/>
      <c r="AA563" s="62"/>
    </row>
    <row r="564" spans="15:27" x14ac:dyDescent="0.25">
      <c r="O564" s="62"/>
      <c r="P564" s="63"/>
      <c r="Q564" s="63"/>
      <c r="R564" s="63"/>
      <c r="S564" s="63"/>
      <c r="X564" s="63"/>
      <c r="Y564" s="63"/>
      <c r="Z564" s="63"/>
      <c r="AA564" s="62"/>
    </row>
    <row r="565" spans="15:27" x14ac:dyDescent="0.25">
      <c r="O565" s="62"/>
      <c r="P565" s="63"/>
      <c r="Q565" s="63"/>
      <c r="R565" s="63"/>
      <c r="S565" s="63"/>
      <c r="X565" s="63"/>
      <c r="Y565" s="63"/>
      <c r="Z565" s="63"/>
      <c r="AA565" s="62"/>
    </row>
    <row r="566" spans="15:27" x14ac:dyDescent="0.25">
      <c r="O566" s="62"/>
      <c r="P566" s="63"/>
      <c r="Q566" s="63"/>
      <c r="R566" s="63"/>
      <c r="S566" s="63"/>
      <c r="X566" s="63"/>
      <c r="Y566" s="63"/>
      <c r="Z566" s="63"/>
      <c r="AA566" s="62"/>
    </row>
    <row r="567" spans="15:27" x14ac:dyDescent="0.25">
      <c r="O567" s="62"/>
      <c r="P567" s="63"/>
      <c r="Q567" s="63"/>
      <c r="R567" s="63"/>
      <c r="S567" s="63"/>
      <c r="X567" s="63"/>
      <c r="Y567" s="63"/>
      <c r="Z567" s="63"/>
      <c r="AA567" s="62"/>
    </row>
    <row r="568" spans="15:27" x14ac:dyDescent="0.25">
      <c r="O568" s="62"/>
      <c r="P568" s="63"/>
      <c r="Q568" s="63"/>
      <c r="R568" s="63"/>
      <c r="S568" s="63"/>
      <c r="X568" s="63"/>
      <c r="Y568" s="63"/>
      <c r="Z568" s="63"/>
      <c r="AA568" s="62"/>
    </row>
    <row r="569" spans="15:27" x14ac:dyDescent="0.25">
      <c r="O569" s="62"/>
      <c r="P569" s="63"/>
      <c r="Q569" s="63"/>
      <c r="R569" s="63"/>
      <c r="S569" s="63"/>
      <c r="X569" s="63"/>
      <c r="Y569" s="63"/>
      <c r="Z569" s="63"/>
      <c r="AA569" s="62"/>
    </row>
    <row r="570" spans="15:27" x14ac:dyDescent="0.25">
      <c r="O570" s="62"/>
      <c r="P570" s="63"/>
      <c r="Q570" s="63"/>
      <c r="R570" s="63"/>
      <c r="S570" s="63"/>
      <c r="X570" s="63"/>
      <c r="Y570" s="63"/>
      <c r="Z570" s="63"/>
      <c r="AA570" s="62"/>
    </row>
    <row r="571" spans="15:27" x14ac:dyDescent="0.25">
      <c r="O571" s="62"/>
      <c r="P571" s="63"/>
      <c r="Q571" s="63"/>
      <c r="R571" s="63"/>
      <c r="S571" s="63"/>
      <c r="X571" s="63"/>
      <c r="Y571" s="63"/>
      <c r="Z571" s="63"/>
      <c r="AA571" s="62"/>
    </row>
    <row r="572" spans="15:27" x14ac:dyDescent="0.25">
      <c r="O572" s="62"/>
      <c r="P572" s="63"/>
      <c r="Q572" s="63"/>
      <c r="R572" s="63"/>
      <c r="S572" s="63"/>
      <c r="X572" s="63"/>
      <c r="Y572" s="63"/>
      <c r="Z572" s="63"/>
      <c r="AA572" s="62"/>
    </row>
    <row r="573" spans="15:27" x14ac:dyDescent="0.25">
      <c r="O573" s="62"/>
      <c r="P573" s="63"/>
      <c r="Q573" s="63"/>
      <c r="R573" s="63"/>
      <c r="S573" s="63"/>
      <c r="X573" s="63"/>
      <c r="Y573" s="63"/>
      <c r="Z573" s="63"/>
      <c r="AA573" s="62"/>
    </row>
    <row r="574" spans="15:27" x14ac:dyDescent="0.25">
      <c r="O574" s="62"/>
      <c r="P574" s="63"/>
      <c r="Q574" s="63"/>
      <c r="R574" s="63"/>
      <c r="S574" s="63"/>
      <c r="X574" s="63"/>
      <c r="Y574" s="63"/>
      <c r="Z574" s="63"/>
      <c r="AA574" s="62"/>
    </row>
    <row r="575" spans="15:27" x14ac:dyDescent="0.25">
      <c r="O575" s="62"/>
      <c r="P575" s="63"/>
      <c r="Q575" s="63"/>
      <c r="R575" s="63"/>
      <c r="S575" s="63"/>
      <c r="X575" s="63"/>
      <c r="Y575" s="63"/>
      <c r="Z575" s="63"/>
      <c r="AA575" s="62"/>
    </row>
    <row r="576" spans="15:27" x14ac:dyDescent="0.25">
      <c r="O576" s="62"/>
      <c r="P576" s="63"/>
      <c r="Q576" s="63"/>
      <c r="R576" s="63"/>
      <c r="S576" s="63"/>
      <c r="X576" s="63"/>
      <c r="Y576" s="63"/>
      <c r="Z576" s="63"/>
      <c r="AA576" s="62"/>
    </row>
    <row r="577" spans="15:27" x14ac:dyDescent="0.25">
      <c r="O577" s="62"/>
      <c r="P577" s="63"/>
      <c r="Q577" s="63"/>
      <c r="R577" s="63"/>
      <c r="S577" s="63"/>
      <c r="X577" s="63"/>
      <c r="Y577" s="63"/>
      <c r="Z577" s="63"/>
      <c r="AA577" s="62"/>
    </row>
    <row r="578" spans="15:27" x14ac:dyDescent="0.25">
      <c r="O578" s="62"/>
      <c r="P578" s="63"/>
      <c r="Q578" s="63"/>
      <c r="R578" s="63"/>
      <c r="S578" s="63"/>
      <c r="X578" s="63"/>
      <c r="Y578" s="63"/>
      <c r="Z578" s="63"/>
      <c r="AA578" s="62"/>
    </row>
    <row r="579" spans="15:27" x14ac:dyDescent="0.25">
      <c r="O579" s="62"/>
      <c r="P579" s="63"/>
      <c r="Q579" s="63"/>
      <c r="R579" s="63"/>
      <c r="S579" s="63"/>
      <c r="X579" s="63"/>
      <c r="Y579" s="63"/>
      <c r="Z579" s="63"/>
      <c r="AA579" s="62"/>
    </row>
    <row r="580" spans="15:27" x14ac:dyDescent="0.25">
      <c r="O580" s="62"/>
      <c r="P580" s="63"/>
      <c r="Q580" s="63"/>
      <c r="R580" s="63"/>
      <c r="S580" s="63"/>
      <c r="X580" s="63"/>
      <c r="Y580" s="63"/>
      <c r="Z580" s="63"/>
      <c r="AA580" s="62"/>
    </row>
    <row r="581" spans="15:27" x14ac:dyDescent="0.25">
      <c r="O581" s="62"/>
      <c r="P581" s="63"/>
      <c r="Q581" s="63"/>
      <c r="R581" s="63"/>
      <c r="S581" s="63"/>
      <c r="X581" s="63"/>
      <c r="Y581" s="63"/>
      <c r="Z581" s="63"/>
      <c r="AA581" s="62"/>
    </row>
    <row r="582" spans="15:27" x14ac:dyDescent="0.25">
      <c r="O582" s="62"/>
      <c r="P582" s="63"/>
      <c r="Q582" s="63"/>
      <c r="R582" s="63"/>
      <c r="S582" s="63"/>
      <c r="X582" s="63"/>
      <c r="Y582" s="63"/>
      <c r="Z582" s="63"/>
      <c r="AA582" s="62"/>
    </row>
    <row r="583" spans="15:27" x14ac:dyDescent="0.25">
      <c r="O583" s="62"/>
      <c r="P583" s="63"/>
      <c r="Q583" s="63"/>
      <c r="R583" s="63"/>
      <c r="S583" s="63"/>
      <c r="X583" s="63"/>
      <c r="Y583" s="63"/>
      <c r="Z583" s="63"/>
      <c r="AA583" s="62"/>
    </row>
    <row r="584" spans="15:27" x14ac:dyDescent="0.25">
      <c r="O584" s="62"/>
      <c r="P584" s="63"/>
      <c r="Q584" s="63"/>
      <c r="R584" s="63"/>
      <c r="S584" s="63"/>
      <c r="X584" s="63"/>
      <c r="Y584" s="63"/>
      <c r="Z584" s="63"/>
      <c r="AA584" s="62"/>
    </row>
    <row r="585" spans="15:27" x14ac:dyDescent="0.25">
      <c r="O585" s="62"/>
      <c r="P585" s="63"/>
      <c r="Q585" s="63"/>
      <c r="R585" s="63"/>
      <c r="S585" s="63"/>
      <c r="X585" s="63"/>
      <c r="Y585" s="63"/>
      <c r="Z585" s="63"/>
      <c r="AA585" s="62"/>
    </row>
    <row r="586" spans="15:27" x14ac:dyDescent="0.25">
      <c r="O586" s="62"/>
      <c r="P586" s="63"/>
      <c r="Q586" s="63"/>
      <c r="R586" s="63"/>
      <c r="S586" s="63"/>
      <c r="X586" s="63"/>
      <c r="Y586" s="63"/>
      <c r="Z586" s="63"/>
      <c r="AA586" s="62"/>
    </row>
    <row r="587" spans="15:27" x14ac:dyDescent="0.25">
      <c r="O587" s="62"/>
      <c r="P587" s="63"/>
      <c r="Q587" s="63"/>
      <c r="R587" s="63"/>
      <c r="S587" s="63"/>
      <c r="X587" s="63"/>
      <c r="Y587" s="63"/>
      <c r="Z587" s="63"/>
      <c r="AA587" s="62"/>
    </row>
    <row r="588" spans="15:27" x14ac:dyDescent="0.25">
      <c r="O588" s="62"/>
      <c r="P588" s="63"/>
      <c r="Q588" s="63"/>
      <c r="R588" s="63"/>
      <c r="S588" s="63"/>
      <c r="X588" s="63"/>
      <c r="Y588" s="63"/>
      <c r="Z588" s="63"/>
      <c r="AA588" s="62"/>
    </row>
    <row r="589" spans="15:27" x14ac:dyDescent="0.25">
      <c r="O589" s="62"/>
      <c r="P589" s="63"/>
      <c r="Q589" s="63"/>
      <c r="R589" s="63"/>
      <c r="S589" s="63"/>
      <c r="X589" s="63"/>
      <c r="Y589" s="63"/>
      <c r="Z589" s="63"/>
      <c r="AA589" s="62"/>
    </row>
    <row r="590" spans="15:27" x14ac:dyDescent="0.25">
      <c r="O590" s="62"/>
      <c r="P590" s="63"/>
      <c r="Q590" s="63"/>
      <c r="R590" s="63"/>
      <c r="S590" s="63"/>
      <c r="X590" s="63"/>
      <c r="Y590" s="63"/>
      <c r="Z590" s="63"/>
      <c r="AA590" s="62"/>
    </row>
    <row r="591" spans="15:27" x14ac:dyDescent="0.25">
      <c r="O591" s="62"/>
      <c r="P591" s="63"/>
      <c r="Q591" s="63"/>
      <c r="R591" s="63"/>
      <c r="S591" s="63"/>
      <c r="X591" s="63"/>
      <c r="Y591" s="63"/>
      <c r="Z591" s="63"/>
      <c r="AA591" s="62"/>
    </row>
    <row r="592" spans="15:27" x14ac:dyDescent="0.25">
      <c r="O592" s="62"/>
      <c r="P592" s="63"/>
      <c r="Q592" s="63"/>
      <c r="R592" s="63"/>
      <c r="S592" s="63"/>
      <c r="X592" s="63"/>
      <c r="Y592" s="63"/>
      <c r="Z592" s="63"/>
      <c r="AA592" s="62"/>
    </row>
    <row r="593" spans="15:27" x14ac:dyDescent="0.25">
      <c r="O593" s="62"/>
      <c r="P593" s="63"/>
      <c r="Q593" s="63"/>
      <c r="R593" s="63"/>
      <c r="S593" s="63"/>
      <c r="X593" s="63"/>
      <c r="Y593" s="63"/>
      <c r="Z593" s="63"/>
      <c r="AA593" s="62"/>
    </row>
    <row r="594" spans="15:27" x14ac:dyDescent="0.25">
      <c r="O594" s="62"/>
      <c r="P594" s="63"/>
      <c r="Q594" s="63"/>
      <c r="R594" s="63"/>
      <c r="S594" s="63"/>
      <c r="X594" s="63"/>
      <c r="Y594" s="63"/>
      <c r="Z594" s="63"/>
      <c r="AA594" s="62"/>
    </row>
    <row r="595" spans="15:27" x14ac:dyDescent="0.25">
      <c r="O595" s="62"/>
      <c r="P595" s="63"/>
      <c r="Q595" s="63"/>
      <c r="R595" s="63"/>
      <c r="S595" s="63"/>
      <c r="X595" s="63"/>
      <c r="Y595" s="63"/>
      <c r="Z595" s="63"/>
      <c r="AA595" s="62"/>
    </row>
    <row r="596" spans="15:27" x14ac:dyDescent="0.25">
      <c r="O596" s="62"/>
      <c r="P596" s="63"/>
      <c r="Q596" s="63"/>
      <c r="R596" s="63"/>
      <c r="S596" s="63"/>
      <c r="X596" s="63"/>
      <c r="Y596" s="63"/>
      <c r="Z596" s="63"/>
      <c r="AA596" s="62"/>
    </row>
    <row r="597" spans="15:27" x14ac:dyDescent="0.25">
      <c r="O597" s="62"/>
      <c r="P597" s="63"/>
      <c r="Q597" s="63"/>
      <c r="R597" s="63"/>
      <c r="S597" s="63"/>
      <c r="X597" s="63"/>
      <c r="Y597" s="63"/>
      <c r="Z597" s="63"/>
      <c r="AA597" s="62"/>
    </row>
    <row r="598" spans="15:27" x14ac:dyDescent="0.25">
      <c r="O598" s="62"/>
      <c r="P598" s="63"/>
      <c r="Q598" s="63"/>
      <c r="R598" s="63"/>
      <c r="S598" s="63"/>
      <c r="X598" s="63"/>
      <c r="Y598" s="63"/>
      <c r="Z598" s="63"/>
      <c r="AA598" s="62"/>
    </row>
    <row r="599" spans="15:27" x14ac:dyDescent="0.25">
      <c r="O599" s="62"/>
      <c r="P599" s="63"/>
      <c r="Q599" s="63"/>
      <c r="R599" s="63"/>
      <c r="S599" s="63"/>
      <c r="X599" s="63"/>
      <c r="Y599" s="63"/>
      <c r="Z599" s="63"/>
      <c r="AA599" s="62"/>
    </row>
    <row r="600" spans="15:27" x14ac:dyDescent="0.25">
      <c r="O600" s="62"/>
      <c r="P600" s="63"/>
      <c r="Q600" s="63"/>
      <c r="R600" s="63"/>
      <c r="S600" s="63"/>
      <c r="X600" s="63"/>
      <c r="Y600" s="63"/>
      <c r="Z600" s="63"/>
      <c r="AA600" s="62"/>
    </row>
    <row r="601" spans="15:27" x14ac:dyDescent="0.25">
      <c r="O601" s="62"/>
      <c r="P601" s="63"/>
      <c r="Q601" s="63"/>
      <c r="R601" s="63"/>
      <c r="S601" s="63"/>
      <c r="X601" s="63"/>
      <c r="Y601" s="63"/>
      <c r="Z601" s="63"/>
      <c r="AA601" s="62"/>
    </row>
    <row r="602" spans="15:27" x14ac:dyDescent="0.25">
      <c r="O602" s="62"/>
      <c r="P602" s="63"/>
      <c r="Q602" s="63"/>
      <c r="R602" s="63"/>
      <c r="S602" s="63"/>
      <c r="X602" s="63"/>
      <c r="Y602" s="63"/>
      <c r="Z602" s="63"/>
      <c r="AA602" s="62"/>
    </row>
    <row r="603" spans="15:27" x14ac:dyDescent="0.25">
      <c r="O603" s="62"/>
      <c r="P603" s="63"/>
      <c r="Q603" s="63"/>
      <c r="R603" s="63"/>
      <c r="S603" s="63"/>
      <c r="X603" s="63"/>
      <c r="Y603" s="63"/>
      <c r="Z603" s="63"/>
      <c r="AA603" s="62"/>
    </row>
    <row r="604" spans="15:27" x14ac:dyDescent="0.25">
      <c r="O604" s="62"/>
      <c r="P604" s="63"/>
      <c r="Q604" s="63"/>
      <c r="R604" s="63"/>
      <c r="S604" s="63"/>
      <c r="X604" s="63"/>
      <c r="Y604" s="63"/>
      <c r="Z604" s="63"/>
      <c r="AA604" s="62"/>
    </row>
    <row r="605" spans="15:27" x14ac:dyDescent="0.25">
      <c r="O605" s="62"/>
      <c r="P605" s="63"/>
      <c r="Q605" s="63"/>
      <c r="R605" s="63"/>
      <c r="S605" s="63"/>
      <c r="X605" s="63"/>
      <c r="Y605" s="63"/>
      <c r="Z605" s="63"/>
      <c r="AA605" s="62"/>
    </row>
    <row r="606" spans="15:27" x14ac:dyDescent="0.25">
      <c r="O606" s="62"/>
      <c r="P606" s="63"/>
      <c r="Q606" s="63"/>
      <c r="R606" s="63"/>
      <c r="S606" s="63"/>
      <c r="X606" s="63"/>
      <c r="Y606" s="63"/>
      <c r="Z606" s="63"/>
      <c r="AA606" s="62"/>
    </row>
    <row r="607" spans="15:27" x14ac:dyDescent="0.25">
      <c r="O607" s="62"/>
      <c r="P607" s="63"/>
      <c r="Q607" s="63"/>
      <c r="R607" s="63"/>
      <c r="S607" s="63"/>
      <c r="X607" s="63"/>
      <c r="Y607" s="63"/>
      <c r="Z607" s="63"/>
      <c r="AA607" s="62"/>
    </row>
    <row r="608" spans="15:27" x14ac:dyDescent="0.25">
      <c r="O608" s="62"/>
      <c r="P608" s="63"/>
      <c r="Q608" s="63"/>
      <c r="R608" s="63"/>
      <c r="S608" s="63"/>
      <c r="X608" s="63"/>
      <c r="Y608" s="63"/>
      <c r="Z608" s="63"/>
      <c r="AA608" s="62"/>
    </row>
    <row r="609" spans="15:27" x14ac:dyDescent="0.25">
      <c r="O609" s="62"/>
      <c r="P609" s="63"/>
      <c r="Q609" s="63"/>
      <c r="R609" s="63"/>
      <c r="S609" s="63"/>
      <c r="X609" s="63"/>
      <c r="Y609" s="63"/>
      <c r="Z609" s="63"/>
      <c r="AA609" s="62"/>
    </row>
    <row r="610" spans="15:27" x14ac:dyDescent="0.25">
      <c r="O610" s="62"/>
      <c r="P610" s="63"/>
      <c r="Q610" s="63"/>
      <c r="R610" s="63"/>
      <c r="S610" s="63"/>
      <c r="X610" s="63"/>
      <c r="Y610" s="63"/>
      <c r="Z610" s="63"/>
      <c r="AA610" s="62"/>
    </row>
    <row r="611" spans="15:27" x14ac:dyDescent="0.25">
      <c r="O611" s="62"/>
      <c r="P611" s="63"/>
      <c r="Q611" s="63"/>
      <c r="R611" s="63"/>
      <c r="S611" s="63"/>
      <c r="X611" s="63"/>
      <c r="Y611" s="63"/>
      <c r="Z611" s="63"/>
      <c r="AA611" s="62"/>
    </row>
    <row r="612" spans="15:27" x14ac:dyDescent="0.25">
      <c r="O612" s="62"/>
      <c r="P612" s="63"/>
      <c r="Q612" s="63"/>
      <c r="R612" s="63"/>
      <c r="S612" s="63"/>
      <c r="X612" s="63"/>
      <c r="Y612" s="63"/>
      <c r="Z612" s="63"/>
      <c r="AA612" s="62"/>
    </row>
    <row r="613" spans="15:27" x14ac:dyDescent="0.25">
      <c r="O613" s="62"/>
      <c r="P613" s="63"/>
      <c r="Q613" s="63"/>
      <c r="R613" s="63"/>
      <c r="S613" s="63"/>
      <c r="X613" s="63"/>
      <c r="Y613" s="63"/>
      <c r="Z613" s="63"/>
      <c r="AA613" s="62"/>
    </row>
    <row r="614" spans="15:27" x14ac:dyDescent="0.25">
      <c r="O614" s="62"/>
      <c r="P614" s="63"/>
      <c r="Q614" s="63"/>
      <c r="R614" s="63"/>
      <c r="S614" s="63"/>
      <c r="X614" s="63"/>
      <c r="Y614" s="63"/>
      <c r="Z614" s="63"/>
      <c r="AA614" s="62"/>
    </row>
    <row r="615" spans="15:27" x14ac:dyDescent="0.25">
      <c r="O615" s="62"/>
      <c r="P615" s="63"/>
      <c r="Q615" s="63"/>
      <c r="R615" s="63"/>
      <c r="S615" s="63"/>
      <c r="X615" s="63"/>
      <c r="Y615" s="63"/>
      <c r="Z615" s="63"/>
      <c r="AA615" s="62"/>
    </row>
    <row r="616" spans="15:27" x14ac:dyDescent="0.25">
      <c r="O616" s="62"/>
      <c r="P616" s="63"/>
      <c r="Q616" s="63"/>
      <c r="R616" s="63"/>
      <c r="S616" s="63"/>
      <c r="X616" s="63"/>
      <c r="Y616" s="63"/>
      <c r="Z616" s="63"/>
      <c r="AA616" s="62"/>
    </row>
    <row r="617" spans="15:27" x14ac:dyDescent="0.25">
      <c r="O617" s="62"/>
      <c r="P617" s="63"/>
      <c r="Q617" s="63"/>
      <c r="R617" s="63"/>
      <c r="S617" s="63"/>
      <c r="X617" s="63"/>
      <c r="Y617" s="63"/>
      <c r="Z617" s="63"/>
      <c r="AA617" s="62"/>
    </row>
    <row r="618" spans="15:27" x14ac:dyDescent="0.25">
      <c r="O618" s="62"/>
      <c r="P618" s="63"/>
      <c r="Q618" s="63"/>
      <c r="R618" s="63"/>
      <c r="S618" s="63"/>
      <c r="X618" s="63"/>
      <c r="Y618" s="63"/>
      <c r="Z618" s="63"/>
      <c r="AA618" s="62"/>
    </row>
    <row r="619" spans="15:27" x14ac:dyDescent="0.25">
      <c r="O619" s="62"/>
      <c r="P619" s="63"/>
      <c r="Q619" s="63"/>
      <c r="R619" s="63"/>
      <c r="S619" s="63"/>
      <c r="X619" s="63"/>
      <c r="Y619" s="63"/>
      <c r="Z619" s="63"/>
      <c r="AA619" s="62"/>
    </row>
    <row r="620" spans="15:27" x14ac:dyDescent="0.25">
      <c r="O620" s="62"/>
      <c r="P620" s="63"/>
      <c r="Q620" s="63"/>
      <c r="R620" s="63"/>
      <c r="S620" s="63"/>
      <c r="X620" s="63"/>
      <c r="Y620" s="63"/>
      <c r="Z620" s="63"/>
      <c r="AA620" s="62"/>
    </row>
    <row r="621" spans="15:27" x14ac:dyDescent="0.25">
      <c r="O621" s="62"/>
      <c r="P621" s="63"/>
      <c r="Q621" s="63"/>
      <c r="R621" s="63"/>
      <c r="S621" s="63"/>
      <c r="X621" s="63"/>
      <c r="Y621" s="63"/>
      <c r="Z621" s="63"/>
      <c r="AA621" s="62"/>
    </row>
    <row r="622" spans="15:27" x14ac:dyDescent="0.25">
      <c r="O622" s="62"/>
      <c r="P622" s="63"/>
      <c r="Q622" s="63"/>
      <c r="R622" s="63"/>
      <c r="S622" s="63"/>
      <c r="X622" s="63"/>
      <c r="Y622" s="63"/>
      <c r="Z622" s="63"/>
      <c r="AA622" s="62"/>
    </row>
    <row r="623" spans="15:27" x14ac:dyDescent="0.25">
      <c r="O623" s="62"/>
      <c r="P623" s="63"/>
      <c r="Q623" s="63"/>
      <c r="R623" s="63"/>
      <c r="S623" s="63"/>
      <c r="X623" s="63"/>
      <c r="Y623" s="63"/>
      <c r="Z623" s="63"/>
      <c r="AA623" s="62"/>
    </row>
    <row r="624" spans="15:27" x14ac:dyDescent="0.25">
      <c r="O624" s="62"/>
      <c r="P624" s="63"/>
      <c r="Q624" s="63"/>
      <c r="R624" s="63"/>
      <c r="S624" s="63"/>
      <c r="X624" s="63"/>
      <c r="Y624" s="63"/>
      <c r="Z624" s="63"/>
      <c r="AA624" s="62"/>
    </row>
    <row r="625" spans="15:27" x14ac:dyDescent="0.25">
      <c r="O625" s="62"/>
      <c r="P625" s="63"/>
      <c r="Q625" s="63"/>
      <c r="R625" s="63"/>
      <c r="S625" s="63"/>
      <c r="X625" s="63"/>
      <c r="Y625" s="63"/>
      <c r="Z625" s="63"/>
      <c r="AA625" s="62"/>
    </row>
    <row r="626" spans="15:27" x14ac:dyDescent="0.25">
      <c r="O626" s="62"/>
      <c r="P626" s="63"/>
      <c r="Q626" s="63"/>
      <c r="R626" s="63"/>
      <c r="S626" s="63"/>
      <c r="X626" s="63"/>
      <c r="Y626" s="63"/>
      <c r="Z626" s="63"/>
      <c r="AA626" s="62"/>
    </row>
    <row r="627" spans="15:27" x14ac:dyDescent="0.25">
      <c r="O627" s="62"/>
      <c r="P627" s="63"/>
      <c r="Q627" s="63"/>
      <c r="R627" s="63"/>
      <c r="S627" s="63"/>
      <c r="X627" s="63"/>
      <c r="Y627" s="63"/>
      <c r="Z627" s="63"/>
      <c r="AA627" s="62"/>
    </row>
    <row r="628" spans="15:27" x14ac:dyDescent="0.25">
      <c r="O628" s="62"/>
      <c r="P628" s="63"/>
      <c r="Q628" s="63"/>
      <c r="R628" s="63"/>
      <c r="S628" s="63"/>
      <c r="X628" s="63"/>
      <c r="Y628" s="63"/>
      <c r="Z628" s="63"/>
      <c r="AA628" s="62"/>
    </row>
    <row r="629" spans="15:27" x14ac:dyDescent="0.25">
      <c r="O629" s="62"/>
      <c r="P629" s="63"/>
      <c r="Q629" s="63"/>
      <c r="R629" s="63"/>
      <c r="S629" s="63"/>
      <c r="X629" s="63"/>
      <c r="Y629" s="63"/>
      <c r="Z629" s="63"/>
      <c r="AA629" s="62"/>
    </row>
    <row r="630" spans="15:27" x14ac:dyDescent="0.25">
      <c r="O630" s="62"/>
      <c r="P630" s="63"/>
      <c r="Q630" s="63"/>
      <c r="R630" s="63"/>
      <c r="S630" s="63"/>
      <c r="X630" s="63"/>
      <c r="Y630" s="63"/>
      <c r="Z630" s="63"/>
      <c r="AA630" s="62"/>
    </row>
    <row r="631" spans="15:27" x14ac:dyDescent="0.25">
      <c r="O631" s="62"/>
      <c r="P631" s="63"/>
      <c r="Q631" s="63"/>
      <c r="R631" s="63"/>
      <c r="S631" s="63"/>
      <c r="X631" s="63"/>
      <c r="Y631" s="63"/>
      <c r="Z631" s="63"/>
      <c r="AA631" s="62"/>
    </row>
    <row r="632" spans="15:27" x14ac:dyDescent="0.25">
      <c r="O632" s="62"/>
      <c r="P632" s="63"/>
      <c r="Q632" s="63"/>
      <c r="R632" s="63"/>
      <c r="S632" s="63"/>
      <c r="X632" s="63"/>
      <c r="Y632" s="63"/>
      <c r="Z632" s="63"/>
      <c r="AA632" s="62"/>
    </row>
    <row r="633" spans="15:27" x14ac:dyDescent="0.25">
      <c r="O633" s="62"/>
      <c r="P633" s="63"/>
      <c r="Q633" s="63"/>
      <c r="R633" s="63"/>
      <c r="S633" s="63"/>
      <c r="X633" s="63"/>
      <c r="Y633" s="63"/>
      <c r="Z633" s="63"/>
      <c r="AA633" s="62"/>
    </row>
    <row r="634" spans="15:27" x14ac:dyDescent="0.25">
      <c r="O634" s="62"/>
      <c r="P634" s="63"/>
      <c r="Q634" s="63"/>
      <c r="R634" s="63"/>
      <c r="S634" s="63"/>
      <c r="X634" s="63"/>
      <c r="Y634" s="63"/>
      <c r="Z634" s="63"/>
      <c r="AA634" s="62"/>
    </row>
    <row r="635" spans="15:27" x14ac:dyDescent="0.25">
      <c r="O635" s="62"/>
      <c r="P635" s="63"/>
      <c r="Q635" s="63"/>
      <c r="R635" s="63"/>
      <c r="S635" s="63"/>
      <c r="X635" s="63"/>
      <c r="Y635" s="63"/>
      <c r="Z635" s="63"/>
      <c r="AA635" s="62"/>
    </row>
    <row r="636" spans="15:27" x14ac:dyDescent="0.25">
      <c r="O636" s="62"/>
      <c r="P636" s="63"/>
      <c r="Q636" s="63"/>
      <c r="R636" s="63"/>
      <c r="S636" s="63"/>
      <c r="X636" s="63"/>
      <c r="Y636" s="63"/>
      <c r="Z636" s="63"/>
      <c r="AA636" s="62"/>
    </row>
    <row r="637" spans="15:27" x14ac:dyDescent="0.25">
      <c r="O637" s="62"/>
      <c r="P637" s="63"/>
      <c r="Q637" s="63"/>
      <c r="R637" s="63"/>
      <c r="S637" s="63"/>
      <c r="X637" s="63"/>
      <c r="Y637" s="63"/>
      <c r="Z637" s="63"/>
      <c r="AA637" s="62"/>
    </row>
    <row r="638" spans="15:27" x14ac:dyDescent="0.25">
      <c r="O638" s="62"/>
      <c r="P638" s="63"/>
      <c r="Q638" s="63"/>
      <c r="R638" s="63"/>
      <c r="S638" s="63"/>
      <c r="X638" s="63"/>
      <c r="Y638" s="63"/>
      <c r="Z638" s="63"/>
      <c r="AA638" s="62"/>
    </row>
    <row r="639" spans="15:27" x14ac:dyDescent="0.25">
      <c r="O639" s="62"/>
      <c r="P639" s="63"/>
      <c r="Q639" s="63"/>
      <c r="R639" s="63"/>
      <c r="S639" s="63"/>
      <c r="X639" s="63"/>
      <c r="Y639" s="63"/>
      <c r="Z639" s="63"/>
      <c r="AA639" s="62"/>
    </row>
    <row r="640" spans="15:27" x14ac:dyDescent="0.25">
      <c r="O640" s="62"/>
      <c r="P640" s="63"/>
      <c r="Q640" s="63"/>
      <c r="R640" s="63"/>
      <c r="S640" s="63"/>
      <c r="X640" s="63"/>
      <c r="Y640" s="63"/>
      <c r="Z640" s="63"/>
      <c r="AA640" s="62"/>
    </row>
    <row r="641" spans="15:27" x14ac:dyDescent="0.25">
      <c r="O641" s="62"/>
      <c r="P641" s="63"/>
      <c r="Q641" s="63"/>
      <c r="R641" s="63"/>
      <c r="S641" s="63"/>
      <c r="X641" s="63"/>
      <c r="Y641" s="63"/>
      <c r="Z641" s="63"/>
      <c r="AA641" s="62"/>
    </row>
    <row r="642" spans="15:27" x14ac:dyDescent="0.25">
      <c r="O642" s="62"/>
      <c r="P642" s="63"/>
      <c r="Q642" s="63"/>
      <c r="R642" s="63"/>
      <c r="S642" s="63"/>
      <c r="X642" s="63"/>
      <c r="Y642" s="63"/>
      <c r="Z642" s="63"/>
      <c r="AA642" s="62"/>
    </row>
    <row r="643" spans="15:27" x14ac:dyDescent="0.25">
      <c r="O643" s="62"/>
      <c r="P643" s="63"/>
      <c r="Q643" s="63"/>
      <c r="R643" s="63"/>
      <c r="S643" s="63"/>
      <c r="X643" s="63"/>
      <c r="Y643" s="63"/>
      <c r="Z643" s="63"/>
      <c r="AA643" s="62"/>
    </row>
    <row r="644" spans="15:27" x14ac:dyDescent="0.25">
      <c r="O644" s="62"/>
      <c r="P644" s="63"/>
      <c r="Q644" s="63"/>
      <c r="R644" s="63"/>
      <c r="S644" s="63"/>
      <c r="X644" s="63"/>
      <c r="Y644" s="63"/>
      <c r="Z644" s="63"/>
      <c r="AA644" s="62"/>
    </row>
    <row r="645" spans="15:27" x14ac:dyDescent="0.25">
      <c r="O645" s="62"/>
      <c r="P645" s="63"/>
      <c r="Q645" s="63"/>
      <c r="R645" s="63"/>
      <c r="S645" s="63"/>
      <c r="X645" s="63"/>
      <c r="Y645" s="63"/>
      <c r="Z645" s="63"/>
      <c r="AA645" s="62"/>
    </row>
    <row r="646" spans="15:27" x14ac:dyDescent="0.25">
      <c r="O646" s="62"/>
      <c r="P646" s="63"/>
      <c r="Q646" s="63"/>
      <c r="R646" s="63"/>
      <c r="S646" s="63"/>
      <c r="X646" s="63"/>
      <c r="Y646" s="63"/>
      <c r="Z646" s="63"/>
      <c r="AA646" s="62"/>
    </row>
    <row r="647" spans="15:27" x14ac:dyDescent="0.25">
      <c r="O647" s="62"/>
      <c r="P647" s="63"/>
      <c r="Q647" s="63"/>
      <c r="R647" s="63"/>
      <c r="S647" s="63"/>
      <c r="X647" s="63"/>
      <c r="Y647" s="63"/>
      <c r="Z647" s="63"/>
      <c r="AA647" s="62"/>
    </row>
    <row r="648" spans="15:27" x14ac:dyDescent="0.25">
      <c r="O648" s="62"/>
      <c r="P648" s="63"/>
      <c r="Q648" s="63"/>
      <c r="R648" s="63"/>
      <c r="S648" s="63"/>
      <c r="X648" s="63"/>
      <c r="Y648" s="63"/>
      <c r="Z648" s="63"/>
      <c r="AA648" s="62"/>
    </row>
    <row r="649" spans="15:27" x14ac:dyDescent="0.25">
      <c r="O649" s="62"/>
      <c r="P649" s="63"/>
      <c r="Q649" s="63"/>
      <c r="R649" s="63"/>
      <c r="S649" s="63"/>
      <c r="X649" s="63"/>
      <c r="Y649" s="63"/>
      <c r="Z649" s="63"/>
      <c r="AA649" s="62"/>
    </row>
    <row r="650" spans="15:27" x14ac:dyDescent="0.25">
      <c r="O650" s="62"/>
      <c r="P650" s="63"/>
      <c r="Q650" s="63"/>
      <c r="R650" s="63"/>
      <c r="S650" s="63"/>
      <c r="X650" s="63"/>
      <c r="Y650" s="63"/>
      <c r="Z650" s="63"/>
      <c r="AA650" s="62"/>
    </row>
    <row r="651" spans="15:27" x14ac:dyDescent="0.25">
      <c r="O651" s="62"/>
      <c r="P651" s="63"/>
      <c r="Q651" s="63"/>
      <c r="R651" s="63"/>
      <c r="S651" s="63"/>
      <c r="X651" s="63"/>
      <c r="Y651" s="63"/>
      <c r="Z651" s="63"/>
      <c r="AA651" s="62"/>
    </row>
    <row r="652" spans="15:27" x14ac:dyDescent="0.25">
      <c r="O652" s="62"/>
      <c r="P652" s="63"/>
      <c r="Q652" s="63"/>
      <c r="R652" s="63"/>
      <c r="S652" s="63"/>
      <c r="X652" s="63"/>
      <c r="Y652" s="63"/>
      <c r="Z652" s="63"/>
      <c r="AA652" s="62"/>
    </row>
    <row r="653" spans="15:27" x14ac:dyDescent="0.25">
      <c r="O653" s="62"/>
      <c r="P653" s="63"/>
      <c r="Q653" s="63"/>
      <c r="R653" s="63"/>
      <c r="S653" s="63"/>
      <c r="X653" s="63"/>
      <c r="Y653" s="63"/>
      <c r="Z653" s="63"/>
      <c r="AA653" s="62"/>
    </row>
    <row r="654" spans="15:27" x14ac:dyDescent="0.25">
      <c r="O654" s="62"/>
      <c r="P654" s="63"/>
      <c r="Q654" s="63"/>
      <c r="R654" s="63"/>
      <c r="S654" s="63"/>
      <c r="X654" s="63"/>
      <c r="Y654" s="63"/>
      <c r="Z654" s="63"/>
      <c r="AA654" s="62"/>
    </row>
    <row r="655" spans="15:27" x14ac:dyDescent="0.25">
      <c r="O655" s="62"/>
      <c r="P655" s="63"/>
      <c r="Q655" s="63"/>
      <c r="R655" s="63"/>
      <c r="S655" s="63"/>
      <c r="X655" s="63"/>
      <c r="Y655" s="63"/>
      <c r="Z655" s="63"/>
      <c r="AA655" s="62"/>
    </row>
    <row r="656" spans="15:27" x14ac:dyDescent="0.25">
      <c r="O656" s="62"/>
      <c r="P656" s="63"/>
      <c r="Q656" s="63"/>
      <c r="R656" s="63"/>
      <c r="S656" s="63"/>
      <c r="X656" s="63"/>
      <c r="Y656" s="63"/>
      <c r="Z656" s="63"/>
      <c r="AA656" s="62"/>
    </row>
    <row r="657" spans="15:27" x14ac:dyDescent="0.25">
      <c r="O657" s="62"/>
      <c r="P657" s="63"/>
      <c r="Q657" s="63"/>
      <c r="R657" s="63"/>
      <c r="S657" s="63"/>
      <c r="X657" s="63"/>
      <c r="Y657" s="63"/>
      <c r="Z657" s="63"/>
      <c r="AA657" s="62"/>
    </row>
    <row r="658" spans="15:27" x14ac:dyDescent="0.25">
      <c r="O658" s="62"/>
      <c r="P658" s="63"/>
      <c r="Q658" s="63"/>
      <c r="R658" s="63"/>
      <c r="S658" s="63"/>
      <c r="X658" s="63"/>
      <c r="Y658" s="63"/>
      <c r="Z658" s="63"/>
      <c r="AA658" s="62"/>
    </row>
    <row r="659" spans="15:27" x14ac:dyDescent="0.25">
      <c r="O659" s="62"/>
      <c r="P659" s="63"/>
      <c r="Q659" s="63"/>
      <c r="R659" s="63"/>
      <c r="S659" s="63"/>
      <c r="X659" s="63"/>
      <c r="Y659" s="63"/>
      <c r="Z659" s="63"/>
      <c r="AA659" s="62"/>
    </row>
    <row r="660" spans="15:27" x14ac:dyDescent="0.25">
      <c r="O660" s="62"/>
      <c r="P660" s="63"/>
      <c r="Q660" s="63"/>
      <c r="R660" s="63"/>
      <c r="S660" s="63"/>
      <c r="X660" s="63"/>
      <c r="Y660" s="63"/>
      <c r="Z660" s="63"/>
      <c r="AA660" s="62"/>
    </row>
    <row r="661" spans="15:27" x14ac:dyDescent="0.25">
      <c r="O661" s="62"/>
      <c r="P661" s="63"/>
      <c r="Q661" s="63"/>
      <c r="R661" s="63"/>
      <c r="S661" s="63"/>
      <c r="X661" s="63"/>
      <c r="Y661" s="63"/>
      <c r="Z661" s="63"/>
      <c r="AA661" s="62"/>
    </row>
    <row r="662" spans="15:27" x14ac:dyDescent="0.25">
      <c r="O662" s="62"/>
      <c r="P662" s="63"/>
      <c r="Q662" s="63"/>
      <c r="R662" s="63"/>
      <c r="S662" s="63"/>
      <c r="X662" s="63"/>
      <c r="Y662" s="63"/>
      <c r="Z662" s="63"/>
      <c r="AA662" s="62"/>
    </row>
    <row r="663" spans="15:27" x14ac:dyDescent="0.25">
      <c r="O663" s="62"/>
      <c r="P663" s="63"/>
      <c r="Q663" s="63"/>
      <c r="R663" s="63"/>
      <c r="S663" s="63"/>
      <c r="X663" s="63"/>
      <c r="Y663" s="63"/>
      <c r="Z663" s="63"/>
      <c r="AA663" s="62"/>
    </row>
    <row r="664" spans="15:27" x14ac:dyDescent="0.25">
      <c r="O664" s="62"/>
      <c r="P664" s="63"/>
      <c r="Q664" s="63"/>
      <c r="R664" s="63"/>
      <c r="S664" s="63"/>
      <c r="X664" s="63"/>
      <c r="Y664" s="63"/>
      <c r="Z664" s="63"/>
      <c r="AA664" s="62"/>
    </row>
    <row r="665" spans="15:27" x14ac:dyDescent="0.25">
      <c r="O665" s="62"/>
      <c r="P665" s="63"/>
      <c r="Q665" s="63"/>
      <c r="R665" s="63"/>
      <c r="S665" s="63"/>
      <c r="X665" s="63"/>
      <c r="Y665" s="63"/>
      <c r="Z665" s="63"/>
      <c r="AA665" s="62"/>
    </row>
    <row r="666" spans="15:27" x14ac:dyDescent="0.25">
      <c r="O666" s="62"/>
      <c r="P666" s="63"/>
      <c r="Q666" s="63"/>
      <c r="R666" s="63"/>
      <c r="S666" s="63"/>
      <c r="X666" s="63"/>
      <c r="Y666" s="63"/>
      <c r="Z666" s="63"/>
      <c r="AA666" s="62"/>
    </row>
    <row r="667" spans="15:27" x14ac:dyDescent="0.25">
      <c r="O667" s="62"/>
      <c r="P667" s="63"/>
      <c r="Q667" s="63"/>
      <c r="R667" s="63"/>
      <c r="S667" s="63"/>
      <c r="X667" s="63"/>
      <c r="Y667" s="63"/>
      <c r="Z667" s="63"/>
      <c r="AA667" s="62"/>
    </row>
    <row r="668" spans="15:27" x14ac:dyDescent="0.25">
      <c r="O668" s="62"/>
      <c r="P668" s="63"/>
      <c r="Q668" s="63"/>
      <c r="R668" s="63"/>
      <c r="S668" s="63"/>
      <c r="X668" s="63"/>
      <c r="Y668" s="63"/>
      <c r="Z668" s="63"/>
      <c r="AA668" s="62"/>
    </row>
    <row r="669" spans="15:27" x14ac:dyDescent="0.25">
      <c r="O669" s="62"/>
      <c r="P669" s="63"/>
      <c r="Q669" s="63"/>
      <c r="R669" s="63"/>
      <c r="S669" s="63"/>
      <c r="X669" s="63"/>
      <c r="Y669" s="63"/>
      <c r="Z669" s="63"/>
      <c r="AA669" s="62"/>
    </row>
    <row r="670" spans="15:27" x14ac:dyDescent="0.25">
      <c r="O670" s="62"/>
      <c r="P670" s="63"/>
      <c r="Q670" s="63"/>
      <c r="R670" s="63"/>
      <c r="S670" s="63"/>
      <c r="X670" s="63"/>
      <c r="Y670" s="63"/>
      <c r="Z670" s="63"/>
      <c r="AA670" s="62"/>
    </row>
    <row r="671" spans="15:27" x14ac:dyDescent="0.25">
      <c r="O671" s="62"/>
      <c r="P671" s="63"/>
      <c r="Q671" s="63"/>
      <c r="R671" s="63"/>
      <c r="S671" s="63"/>
      <c r="X671" s="63"/>
      <c r="Y671" s="63"/>
      <c r="Z671" s="63"/>
      <c r="AA671" s="62"/>
    </row>
    <row r="672" spans="15:27" x14ac:dyDescent="0.25">
      <c r="O672" s="62"/>
      <c r="P672" s="63"/>
      <c r="Q672" s="63"/>
      <c r="R672" s="63"/>
      <c r="S672" s="63"/>
      <c r="X672" s="63"/>
      <c r="Y672" s="63"/>
      <c r="Z672" s="63"/>
      <c r="AA672" s="62"/>
    </row>
    <row r="673" spans="15:27" x14ac:dyDescent="0.25">
      <c r="O673" s="62"/>
      <c r="P673" s="63"/>
      <c r="Q673" s="63"/>
      <c r="R673" s="63"/>
      <c r="S673" s="63"/>
      <c r="X673" s="63"/>
      <c r="Y673" s="63"/>
      <c r="Z673" s="63"/>
      <c r="AA673" s="62"/>
    </row>
    <row r="674" spans="15:27" x14ac:dyDescent="0.25">
      <c r="O674" s="62"/>
      <c r="P674" s="63"/>
      <c r="Q674" s="63"/>
      <c r="R674" s="63"/>
      <c r="S674" s="63"/>
      <c r="X674" s="63"/>
      <c r="Y674" s="63"/>
      <c r="Z674" s="63"/>
      <c r="AA674" s="62"/>
    </row>
    <row r="675" spans="15:27" x14ac:dyDescent="0.25">
      <c r="O675" s="62"/>
      <c r="P675" s="63"/>
      <c r="Q675" s="63"/>
      <c r="R675" s="63"/>
      <c r="S675" s="63"/>
      <c r="X675" s="63"/>
      <c r="Y675" s="63"/>
      <c r="Z675" s="63"/>
      <c r="AA675" s="62"/>
    </row>
    <row r="676" spans="15:27" x14ac:dyDescent="0.25">
      <c r="O676" s="62"/>
      <c r="P676" s="63"/>
      <c r="Q676" s="63"/>
      <c r="R676" s="63"/>
      <c r="S676" s="63"/>
      <c r="X676" s="63"/>
      <c r="Y676" s="63"/>
      <c r="Z676" s="63"/>
      <c r="AA676" s="62"/>
    </row>
    <row r="677" spans="15:27" x14ac:dyDescent="0.25">
      <c r="O677" s="62"/>
      <c r="P677" s="63"/>
      <c r="Q677" s="63"/>
      <c r="R677" s="63"/>
      <c r="S677" s="63"/>
      <c r="X677" s="63"/>
      <c r="Y677" s="63"/>
      <c r="Z677" s="63"/>
      <c r="AA677" s="62"/>
    </row>
    <row r="678" spans="15:27" x14ac:dyDescent="0.25">
      <c r="O678" s="62"/>
      <c r="P678" s="63"/>
      <c r="Q678" s="63"/>
      <c r="R678" s="63"/>
      <c r="S678" s="63"/>
      <c r="X678" s="63"/>
      <c r="Y678" s="63"/>
      <c r="Z678" s="63"/>
      <c r="AA678" s="62"/>
    </row>
    <row r="679" spans="15:27" x14ac:dyDescent="0.25">
      <c r="O679" s="62"/>
      <c r="P679" s="63"/>
      <c r="Q679" s="63"/>
      <c r="R679" s="63"/>
      <c r="S679" s="63"/>
      <c r="X679" s="63"/>
      <c r="Y679" s="63"/>
      <c r="Z679" s="63"/>
      <c r="AA679" s="62"/>
    </row>
    <row r="680" spans="15:27" x14ac:dyDescent="0.25">
      <c r="O680" s="62"/>
      <c r="P680" s="63"/>
      <c r="Q680" s="63"/>
      <c r="R680" s="63"/>
      <c r="S680" s="63"/>
      <c r="X680" s="63"/>
      <c r="Y680" s="63"/>
      <c r="Z680" s="63"/>
      <c r="AA680" s="62"/>
    </row>
    <row r="681" spans="15:27" x14ac:dyDescent="0.25">
      <c r="O681" s="62"/>
      <c r="P681" s="63"/>
      <c r="Q681" s="63"/>
      <c r="R681" s="63"/>
      <c r="S681" s="63"/>
      <c r="X681" s="63"/>
      <c r="Y681" s="63"/>
      <c r="Z681" s="63"/>
      <c r="AA681" s="62"/>
    </row>
    <row r="682" spans="15:27" x14ac:dyDescent="0.25">
      <c r="O682" s="62"/>
      <c r="P682" s="63"/>
      <c r="Q682" s="63"/>
      <c r="R682" s="63"/>
      <c r="S682" s="63"/>
      <c r="X682" s="63"/>
      <c r="Y682" s="63"/>
      <c r="Z682" s="63"/>
      <c r="AA682" s="62"/>
    </row>
    <row r="683" spans="15:27" x14ac:dyDescent="0.25">
      <c r="O683" s="62"/>
      <c r="P683" s="63"/>
      <c r="Q683" s="63"/>
      <c r="R683" s="63"/>
      <c r="S683" s="63"/>
      <c r="X683" s="63"/>
      <c r="Y683" s="63"/>
      <c r="Z683" s="63"/>
      <c r="AA683" s="62"/>
    </row>
    <row r="684" spans="15:27" x14ac:dyDescent="0.25">
      <c r="O684" s="62"/>
      <c r="P684" s="63"/>
      <c r="Q684" s="63"/>
      <c r="R684" s="63"/>
      <c r="S684" s="63"/>
      <c r="X684" s="63"/>
      <c r="Y684" s="63"/>
      <c r="Z684" s="63"/>
      <c r="AA684" s="62"/>
    </row>
    <row r="685" spans="15:27" x14ac:dyDescent="0.25">
      <c r="O685" s="62"/>
      <c r="P685" s="63"/>
      <c r="Q685" s="63"/>
      <c r="R685" s="63"/>
      <c r="S685" s="63"/>
      <c r="X685" s="63"/>
      <c r="Y685" s="63"/>
      <c r="Z685" s="63"/>
      <c r="AA685" s="62"/>
    </row>
    <row r="686" spans="15:27" x14ac:dyDescent="0.25">
      <c r="O686" s="62"/>
      <c r="P686" s="63"/>
      <c r="Q686" s="63"/>
      <c r="R686" s="63"/>
      <c r="S686" s="63"/>
      <c r="X686" s="63"/>
      <c r="Y686" s="63"/>
      <c r="Z686" s="63"/>
      <c r="AA686" s="62"/>
    </row>
    <row r="687" spans="15:27" x14ac:dyDescent="0.25">
      <c r="O687" s="62"/>
      <c r="P687" s="63"/>
      <c r="Q687" s="63"/>
      <c r="R687" s="63"/>
      <c r="S687" s="63"/>
      <c r="X687" s="63"/>
      <c r="Y687" s="63"/>
      <c r="Z687" s="63"/>
      <c r="AA687" s="62"/>
    </row>
    <row r="688" spans="15:27" x14ac:dyDescent="0.25">
      <c r="O688" s="62"/>
      <c r="P688" s="63"/>
      <c r="Q688" s="63"/>
      <c r="R688" s="63"/>
      <c r="S688" s="63"/>
      <c r="X688" s="63"/>
      <c r="Y688" s="63"/>
      <c r="Z688" s="63"/>
      <c r="AA688" s="62"/>
    </row>
    <row r="689" spans="15:27" x14ac:dyDescent="0.25">
      <c r="O689" s="62"/>
      <c r="P689" s="63"/>
      <c r="Q689" s="63"/>
      <c r="R689" s="63"/>
      <c r="S689" s="63"/>
      <c r="X689" s="63"/>
      <c r="Y689" s="63"/>
      <c r="Z689" s="63"/>
      <c r="AA689" s="62"/>
    </row>
    <row r="690" spans="15:27" x14ac:dyDescent="0.25">
      <c r="O690" s="62"/>
      <c r="P690" s="63"/>
      <c r="Q690" s="63"/>
      <c r="R690" s="63"/>
      <c r="S690" s="63"/>
      <c r="X690" s="63"/>
      <c r="Y690" s="63"/>
      <c r="Z690" s="63"/>
      <c r="AA690" s="62"/>
    </row>
    <row r="691" spans="15:27" x14ac:dyDescent="0.25">
      <c r="O691" s="62"/>
      <c r="P691" s="63"/>
      <c r="Q691" s="63"/>
      <c r="R691" s="63"/>
      <c r="S691" s="63"/>
      <c r="X691" s="63"/>
      <c r="Y691" s="63"/>
      <c r="Z691" s="63"/>
      <c r="AA691" s="62"/>
    </row>
    <row r="692" spans="15:27" x14ac:dyDescent="0.25">
      <c r="O692" s="62"/>
      <c r="P692" s="63"/>
      <c r="Q692" s="63"/>
      <c r="R692" s="63"/>
      <c r="S692" s="63"/>
      <c r="X692" s="63"/>
      <c r="Y692" s="63"/>
      <c r="Z692" s="63"/>
      <c r="AA692" s="62"/>
    </row>
    <row r="693" spans="15:27" x14ac:dyDescent="0.25">
      <c r="O693" s="62"/>
      <c r="P693" s="63"/>
      <c r="Q693" s="63"/>
      <c r="R693" s="63"/>
      <c r="S693" s="63"/>
      <c r="X693" s="63"/>
      <c r="Y693" s="63"/>
      <c r="Z693" s="63"/>
      <c r="AA693" s="62"/>
    </row>
    <row r="694" spans="15:27" x14ac:dyDescent="0.25">
      <c r="O694" s="62"/>
      <c r="P694" s="63"/>
      <c r="Q694" s="63"/>
      <c r="R694" s="63"/>
      <c r="S694" s="63"/>
      <c r="X694" s="63"/>
      <c r="Y694" s="63"/>
      <c r="Z694" s="63"/>
      <c r="AA694" s="62"/>
    </row>
    <row r="695" spans="15:27" x14ac:dyDescent="0.25">
      <c r="O695" s="62"/>
      <c r="P695" s="63"/>
      <c r="Q695" s="63"/>
      <c r="R695" s="63"/>
      <c r="S695" s="63"/>
      <c r="X695" s="63"/>
      <c r="Y695" s="63"/>
      <c r="Z695" s="63"/>
      <c r="AA695" s="62"/>
    </row>
    <row r="696" spans="15:27" x14ac:dyDescent="0.25">
      <c r="O696" s="62"/>
      <c r="P696" s="63"/>
      <c r="Q696" s="63"/>
      <c r="R696" s="63"/>
      <c r="S696" s="63"/>
      <c r="X696" s="63"/>
      <c r="Y696" s="63"/>
      <c r="Z696" s="63"/>
      <c r="AA696" s="62"/>
    </row>
    <row r="697" spans="15:27" x14ac:dyDescent="0.25">
      <c r="O697" s="62"/>
      <c r="P697" s="63"/>
      <c r="Q697" s="63"/>
      <c r="R697" s="63"/>
      <c r="S697" s="63"/>
      <c r="X697" s="63"/>
      <c r="Y697" s="63"/>
      <c r="Z697" s="63"/>
      <c r="AA697" s="62"/>
    </row>
    <row r="698" spans="15:27" x14ac:dyDescent="0.25">
      <c r="O698" s="62"/>
      <c r="P698" s="63"/>
      <c r="Q698" s="63"/>
      <c r="R698" s="63"/>
      <c r="S698" s="63"/>
      <c r="X698" s="63"/>
      <c r="Y698" s="63"/>
      <c r="Z698" s="63"/>
      <c r="AA698" s="62"/>
    </row>
    <row r="699" spans="15:27" x14ac:dyDescent="0.25">
      <c r="O699" s="62"/>
      <c r="P699" s="63"/>
      <c r="Q699" s="63"/>
      <c r="R699" s="63"/>
      <c r="S699" s="63"/>
      <c r="X699" s="63"/>
      <c r="Y699" s="63"/>
      <c r="Z699" s="63"/>
      <c r="AA699" s="62"/>
    </row>
    <row r="700" spans="15:27" x14ac:dyDescent="0.25">
      <c r="O700" s="62"/>
      <c r="P700" s="63"/>
      <c r="Q700" s="63"/>
      <c r="R700" s="63"/>
      <c r="S700" s="63"/>
      <c r="X700" s="63"/>
      <c r="Y700" s="63"/>
      <c r="Z700" s="63"/>
      <c r="AA700" s="62"/>
    </row>
    <row r="701" spans="15:27" x14ac:dyDescent="0.25">
      <c r="O701" s="62"/>
      <c r="P701" s="63"/>
      <c r="Q701" s="63"/>
      <c r="R701" s="63"/>
      <c r="S701" s="63"/>
      <c r="X701" s="63"/>
      <c r="Y701" s="63"/>
      <c r="Z701" s="63"/>
      <c r="AA701" s="62"/>
    </row>
    <row r="702" spans="15:27" x14ac:dyDescent="0.25">
      <c r="O702" s="62"/>
      <c r="P702" s="63"/>
      <c r="Q702" s="63"/>
      <c r="R702" s="63"/>
      <c r="S702" s="63"/>
      <c r="X702" s="63"/>
      <c r="Y702" s="63"/>
      <c r="Z702" s="63"/>
      <c r="AA702" s="62"/>
    </row>
    <row r="703" spans="15:27" x14ac:dyDescent="0.25">
      <c r="O703" s="62"/>
      <c r="P703" s="63"/>
      <c r="Q703" s="63"/>
      <c r="R703" s="63"/>
      <c r="S703" s="63"/>
      <c r="X703" s="63"/>
      <c r="Y703" s="63"/>
      <c r="Z703" s="63"/>
      <c r="AA703" s="62"/>
    </row>
    <row r="704" spans="15:27" x14ac:dyDescent="0.25">
      <c r="O704" s="62"/>
      <c r="P704" s="63"/>
      <c r="Q704" s="63"/>
      <c r="R704" s="63"/>
      <c r="S704" s="63"/>
      <c r="X704" s="63"/>
      <c r="Y704" s="63"/>
      <c r="Z704" s="63"/>
      <c r="AA704" s="62"/>
    </row>
    <row r="705" spans="15:27" x14ac:dyDescent="0.25">
      <c r="O705" s="62"/>
      <c r="P705" s="63"/>
      <c r="Q705" s="63"/>
      <c r="R705" s="63"/>
      <c r="S705" s="63"/>
      <c r="X705" s="63"/>
      <c r="Y705" s="63"/>
      <c r="Z705" s="63"/>
      <c r="AA705" s="62"/>
    </row>
    <row r="706" spans="15:27" x14ac:dyDescent="0.25">
      <c r="O706" s="62"/>
      <c r="P706" s="63"/>
      <c r="Q706" s="63"/>
      <c r="R706" s="63"/>
      <c r="S706" s="63"/>
      <c r="X706" s="63"/>
      <c r="Y706" s="63"/>
      <c r="Z706" s="63"/>
      <c r="AA706" s="62"/>
    </row>
    <row r="707" spans="15:27" x14ac:dyDescent="0.25">
      <c r="O707" s="62"/>
      <c r="P707" s="63"/>
      <c r="Q707" s="63"/>
      <c r="R707" s="63"/>
      <c r="S707" s="63"/>
      <c r="X707" s="63"/>
      <c r="Y707" s="63"/>
      <c r="Z707" s="63"/>
      <c r="AA707" s="62"/>
    </row>
    <row r="708" spans="15:27" x14ac:dyDescent="0.25">
      <c r="O708" s="62"/>
      <c r="P708" s="63"/>
      <c r="Q708" s="63"/>
      <c r="R708" s="63"/>
      <c r="S708" s="63"/>
      <c r="X708" s="63"/>
      <c r="Y708" s="63"/>
      <c r="Z708" s="63"/>
      <c r="AA708" s="62"/>
    </row>
    <row r="709" spans="15:27" x14ac:dyDescent="0.25">
      <c r="O709" s="62"/>
      <c r="P709" s="63"/>
      <c r="Q709" s="63"/>
      <c r="R709" s="63"/>
      <c r="S709" s="63"/>
      <c r="X709" s="63"/>
      <c r="Y709" s="63"/>
      <c r="Z709" s="63"/>
      <c r="AA709" s="62"/>
    </row>
    <row r="710" spans="15:27" x14ac:dyDescent="0.25">
      <c r="O710" s="62"/>
      <c r="P710" s="63"/>
      <c r="Q710" s="63"/>
      <c r="R710" s="63"/>
      <c r="S710" s="63"/>
      <c r="X710" s="63"/>
      <c r="Y710" s="63"/>
      <c r="Z710" s="63"/>
      <c r="AA710" s="62"/>
    </row>
    <row r="711" spans="15:27" x14ac:dyDescent="0.25">
      <c r="O711" s="62"/>
      <c r="P711" s="63"/>
      <c r="Q711" s="63"/>
      <c r="R711" s="63"/>
      <c r="S711" s="63"/>
      <c r="X711" s="63"/>
      <c r="Y711" s="63"/>
      <c r="Z711" s="63"/>
      <c r="AA711" s="62"/>
    </row>
    <row r="712" spans="15:27" x14ac:dyDescent="0.25">
      <c r="O712" s="62"/>
      <c r="P712" s="63"/>
      <c r="Q712" s="63"/>
      <c r="R712" s="63"/>
      <c r="S712" s="63"/>
      <c r="X712" s="63"/>
      <c r="Y712" s="63"/>
      <c r="Z712" s="63"/>
      <c r="AA712" s="62"/>
    </row>
    <row r="713" spans="15:27" x14ac:dyDescent="0.25">
      <c r="O713" s="62"/>
      <c r="P713" s="63"/>
      <c r="Q713" s="63"/>
      <c r="R713" s="63"/>
      <c r="S713" s="63"/>
      <c r="X713" s="63"/>
      <c r="Y713" s="63"/>
      <c r="Z713" s="63"/>
      <c r="AA713" s="62"/>
    </row>
    <row r="714" spans="15:27" x14ac:dyDescent="0.25">
      <c r="O714" s="62"/>
      <c r="P714" s="63"/>
      <c r="Q714" s="63"/>
      <c r="R714" s="63"/>
      <c r="S714" s="63"/>
      <c r="X714" s="63"/>
      <c r="Y714" s="63"/>
      <c r="Z714" s="63"/>
      <c r="AA714" s="62"/>
    </row>
    <row r="715" spans="15:27" x14ac:dyDescent="0.25">
      <c r="O715" s="62"/>
      <c r="P715" s="63"/>
      <c r="Q715" s="63"/>
      <c r="R715" s="63"/>
      <c r="S715" s="63"/>
      <c r="X715" s="63"/>
      <c r="Y715" s="63"/>
      <c r="Z715" s="63"/>
      <c r="AA715" s="62"/>
    </row>
    <row r="716" spans="15:27" x14ac:dyDescent="0.25">
      <c r="O716" s="62"/>
      <c r="P716" s="63"/>
      <c r="Q716" s="63"/>
      <c r="R716" s="63"/>
      <c r="S716" s="63"/>
      <c r="X716" s="63"/>
      <c r="Y716" s="63"/>
      <c r="Z716" s="63"/>
      <c r="AA716" s="62"/>
    </row>
    <row r="717" spans="15:27" x14ac:dyDescent="0.25">
      <c r="O717" s="62"/>
      <c r="P717" s="63"/>
      <c r="Q717" s="63"/>
      <c r="R717" s="63"/>
      <c r="S717" s="63"/>
      <c r="X717" s="63"/>
      <c r="Y717" s="63"/>
      <c r="Z717" s="63"/>
      <c r="AA717" s="62"/>
    </row>
    <row r="718" spans="15:27" x14ac:dyDescent="0.25">
      <c r="O718" s="62"/>
      <c r="P718" s="63"/>
      <c r="Q718" s="63"/>
      <c r="R718" s="63"/>
      <c r="S718" s="63"/>
      <c r="X718" s="63"/>
      <c r="Y718" s="63"/>
      <c r="Z718" s="63"/>
      <c r="AA718" s="62"/>
    </row>
    <row r="719" spans="15:27" x14ac:dyDescent="0.25">
      <c r="O719" s="62"/>
      <c r="P719" s="63"/>
      <c r="Q719" s="63"/>
      <c r="R719" s="63"/>
      <c r="S719" s="63"/>
      <c r="X719" s="63"/>
      <c r="Y719" s="63"/>
      <c r="Z719" s="63"/>
      <c r="AA719" s="62"/>
    </row>
    <row r="720" spans="15:27" x14ac:dyDescent="0.25">
      <c r="O720" s="62"/>
      <c r="P720" s="63"/>
      <c r="Q720" s="63"/>
      <c r="R720" s="63"/>
      <c r="S720" s="63"/>
      <c r="X720" s="63"/>
      <c r="Y720" s="63"/>
      <c r="Z720" s="63"/>
      <c r="AA720" s="62"/>
    </row>
    <row r="721" spans="15:27" x14ac:dyDescent="0.25">
      <c r="O721" s="62"/>
      <c r="P721" s="63"/>
      <c r="Q721" s="63"/>
      <c r="R721" s="63"/>
      <c r="S721" s="63"/>
      <c r="X721" s="63"/>
      <c r="Y721" s="63"/>
      <c r="Z721" s="63"/>
      <c r="AA721" s="62"/>
    </row>
    <row r="722" spans="15:27" x14ac:dyDescent="0.25">
      <c r="O722" s="62"/>
      <c r="P722" s="63"/>
      <c r="Q722" s="63"/>
      <c r="R722" s="63"/>
      <c r="S722" s="63"/>
      <c r="X722" s="63"/>
      <c r="Y722" s="63"/>
      <c r="Z722" s="63"/>
      <c r="AA722" s="62"/>
    </row>
    <row r="723" spans="15:27" x14ac:dyDescent="0.25">
      <c r="O723" s="62"/>
      <c r="P723" s="63"/>
      <c r="Q723" s="63"/>
      <c r="R723" s="63"/>
      <c r="S723" s="63"/>
      <c r="X723" s="63"/>
      <c r="Y723" s="63"/>
      <c r="Z723" s="63"/>
      <c r="AA723" s="62"/>
    </row>
    <row r="724" spans="15:27" x14ac:dyDescent="0.25">
      <c r="O724" s="62"/>
      <c r="P724" s="63"/>
      <c r="Q724" s="63"/>
      <c r="R724" s="63"/>
      <c r="S724" s="63"/>
      <c r="X724" s="63"/>
      <c r="Y724" s="63"/>
      <c r="Z724" s="63"/>
      <c r="AA724" s="62"/>
    </row>
    <row r="725" spans="15:27" x14ac:dyDescent="0.25">
      <c r="O725" s="62"/>
      <c r="P725" s="63"/>
      <c r="Q725" s="63"/>
      <c r="R725" s="63"/>
      <c r="S725" s="63"/>
      <c r="X725" s="63"/>
      <c r="Y725" s="63"/>
      <c r="Z725" s="63"/>
      <c r="AA725" s="62"/>
    </row>
    <row r="726" spans="15:27" x14ac:dyDescent="0.25">
      <c r="O726" s="62"/>
      <c r="P726" s="63"/>
      <c r="Q726" s="63"/>
      <c r="R726" s="63"/>
      <c r="S726" s="63"/>
      <c r="X726" s="63"/>
      <c r="Y726" s="63"/>
      <c r="Z726" s="63"/>
      <c r="AA726" s="62"/>
    </row>
    <row r="727" spans="15:27" x14ac:dyDescent="0.25">
      <c r="O727" s="62"/>
      <c r="P727" s="63"/>
      <c r="Q727" s="63"/>
      <c r="R727" s="63"/>
      <c r="S727" s="63"/>
      <c r="X727" s="63"/>
      <c r="Y727" s="63"/>
      <c r="Z727" s="63"/>
      <c r="AA727" s="62"/>
    </row>
    <row r="728" spans="15:27" x14ac:dyDescent="0.25">
      <c r="O728" s="62"/>
      <c r="P728" s="63"/>
      <c r="Q728" s="63"/>
      <c r="R728" s="63"/>
      <c r="S728" s="63"/>
      <c r="X728" s="63"/>
      <c r="Y728" s="63"/>
      <c r="Z728" s="63"/>
      <c r="AA728" s="62"/>
    </row>
    <row r="729" spans="15:27" x14ac:dyDescent="0.25">
      <c r="O729" s="62"/>
      <c r="P729" s="63"/>
      <c r="Q729" s="63"/>
      <c r="R729" s="63"/>
      <c r="S729" s="63"/>
      <c r="X729" s="63"/>
      <c r="Y729" s="63"/>
      <c r="Z729" s="63"/>
      <c r="AA729" s="62"/>
    </row>
    <row r="730" spans="15:27" x14ac:dyDescent="0.25">
      <c r="O730" s="62"/>
      <c r="P730" s="63"/>
      <c r="Q730" s="63"/>
      <c r="R730" s="63"/>
      <c r="S730" s="63"/>
      <c r="X730" s="63"/>
      <c r="Y730" s="63"/>
      <c r="Z730" s="63"/>
      <c r="AA730" s="62"/>
    </row>
    <row r="731" spans="15:27" x14ac:dyDescent="0.25">
      <c r="O731" s="62"/>
      <c r="P731" s="63"/>
      <c r="Q731" s="63"/>
      <c r="R731" s="63"/>
      <c r="S731" s="63"/>
      <c r="X731" s="63"/>
      <c r="Y731" s="63"/>
      <c r="Z731" s="63"/>
      <c r="AA731" s="62"/>
    </row>
    <row r="732" spans="15:27" x14ac:dyDescent="0.25">
      <c r="O732" s="62"/>
      <c r="P732" s="63"/>
      <c r="Q732" s="63"/>
      <c r="R732" s="63"/>
      <c r="S732" s="63"/>
      <c r="X732" s="63"/>
      <c r="Y732" s="63"/>
      <c r="Z732" s="63"/>
      <c r="AA732" s="62"/>
    </row>
    <row r="733" spans="15:27" x14ac:dyDescent="0.25">
      <c r="O733" s="62"/>
      <c r="P733" s="63"/>
      <c r="Q733" s="63"/>
      <c r="R733" s="63"/>
      <c r="S733" s="63"/>
      <c r="X733" s="63"/>
      <c r="Y733" s="63"/>
      <c r="Z733" s="63"/>
      <c r="AA733" s="62"/>
    </row>
    <row r="734" spans="15:27" x14ac:dyDescent="0.25">
      <c r="O734" s="62"/>
      <c r="P734" s="63"/>
      <c r="Q734" s="63"/>
      <c r="R734" s="63"/>
      <c r="S734" s="63"/>
      <c r="X734" s="63"/>
      <c r="Y734" s="63"/>
      <c r="Z734" s="63"/>
      <c r="AA734" s="62"/>
    </row>
    <row r="735" spans="15:27" x14ac:dyDescent="0.25">
      <c r="O735" s="62"/>
      <c r="P735" s="63"/>
      <c r="Q735" s="63"/>
      <c r="R735" s="63"/>
      <c r="S735" s="63"/>
      <c r="X735" s="63"/>
      <c r="Y735" s="63"/>
      <c r="Z735" s="63"/>
      <c r="AA735" s="62"/>
    </row>
    <row r="736" spans="15:27" x14ac:dyDescent="0.25">
      <c r="O736" s="62"/>
      <c r="P736" s="63"/>
      <c r="Q736" s="63"/>
      <c r="R736" s="63"/>
      <c r="S736" s="63"/>
      <c r="X736" s="63"/>
      <c r="Y736" s="63"/>
      <c r="Z736" s="63"/>
      <c r="AA736" s="62"/>
    </row>
    <row r="737" spans="15:27" x14ac:dyDescent="0.25">
      <c r="O737" s="62"/>
      <c r="P737" s="63"/>
      <c r="Q737" s="63"/>
      <c r="R737" s="63"/>
      <c r="S737" s="63"/>
      <c r="X737" s="63"/>
      <c r="Y737" s="63"/>
      <c r="Z737" s="63"/>
      <c r="AA737" s="62"/>
    </row>
    <row r="738" spans="15:27" x14ac:dyDescent="0.25">
      <c r="O738" s="62"/>
      <c r="P738" s="63"/>
      <c r="Q738" s="63"/>
      <c r="R738" s="63"/>
      <c r="S738" s="63"/>
      <c r="X738" s="63"/>
      <c r="Y738" s="63"/>
      <c r="Z738" s="63"/>
      <c r="AA738" s="62"/>
    </row>
    <row r="739" spans="15:27" x14ac:dyDescent="0.25">
      <c r="O739" s="62"/>
      <c r="P739" s="63"/>
      <c r="Q739" s="63"/>
      <c r="R739" s="63"/>
      <c r="S739" s="63"/>
      <c r="X739" s="63"/>
      <c r="Y739" s="63"/>
      <c r="Z739" s="63"/>
      <c r="AA739" s="62"/>
    </row>
    <row r="740" spans="15:27" x14ac:dyDescent="0.25">
      <c r="O740" s="62"/>
      <c r="P740" s="63"/>
      <c r="Q740" s="63"/>
      <c r="R740" s="63"/>
      <c r="S740" s="63"/>
      <c r="X740" s="63"/>
      <c r="Y740" s="63"/>
      <c r="Z740" s="63"/>
      <c r="AA740" s="62"/>
    </row>
    <row r="741" spans="15:27" x14ac:dyDescent="0.25">
      <c r="O741" s="62"/>
      <c r="P741" s="63"/>
      <c r="Q741" s="63"/>
      <c r="R741" s="63"/>
      <c r="S741" s="63"/>
      <c r="X741" s="63"/>
      <c r="Y741" s="63"/>
      <c r="Z741" s="63"/>
      <c r="AA741" s="62"/>
    </row>
    <row r="742" spans="15:27" x14ac:dyDescent="0.25">
      <c r="O742" s="62"/>
      <c r="P742" s="63"/>
      <c r="Q742" s="63"/>
      <c r="R742" s="63"/>
      <c r="S742" s="63"/>
      <c r="X742" s="63"/>
      <c r="Y742" s="63"/>
      <c r="Z742" s="63"/>
      <c r="AA742" s="62"/>
    </row>
    <row r="743" spans="15:27" x14ac:dyDescent="0.25">
      <c r="O743" s="62"/>
      <c r="P743" s="63"/>
      <c r="Q743" s="63"/>
      <c r="R743" s="63"/>
      <c r="S743" s="63"/>
      <c r="X743" s="63"/>
      <c r="Y743" s="63"/>
      <c r="Z743" s="63"/>
      <c r="AA743" s="62"/>
    </row>
    <row r="744" spans="15:27" x14ac:dyDescent="0.25">
      <c r="O744" s="62"/>
      <c r="P744" s="63"/>
      <c r="Q744" s="63"/>
      <c r="R744" s="63"/>
      <c r="S744" s="63"/>
      <c r="X744" s="63"/>
      <c r="Y744" s="63"/>
      <c r="Z744" s="63"/>
      <c r="AA744" s="62"/>
    </row>
    <row r="745" spans="15:27" x14ac:dyDescent="0.25">
      <c r="O745" s="62"/>
      <c r="P745" s="63"/>
      <c r="Q745" s="63"/>
      <c r="R745" s="63"/>
      <c r="S745" s="63"/>
      <c r="X745" s="63"/>
      <c r="Y745" s="63"/>
      <c r="Z745" s="63"/>
      <c r="AA745" s="62"/>
    </row>
    <row r="746" spans="15:27" x14ac:dyDescent="0.25">
      <c r="O746" s="62"/>
      <c r="P746" s="63"/>
      <c r="Q746" s="63"/>
      <c r="R746" s="63"/>
      <c r="S746" s="63"/>
      <c r="X746" s="63"/>
      <c r="Y746" s="63"/>
      <c r="Z746" s="63"/>
      <c r="AA746" s="62"/>
    </row>
    <row r="747" spans="15:27" x14ac:dyDescent="0.25">
      <c r="O747" s="62"/>
      <c r="P747" s="63"/>
      <c r="Q747" s="63"/>
      <c r="R747" s="63"/>
      <c r="S747" s="63"/>
      <c r="X747" s="63"/>
      <c r="Y747" s="63"/>
      <c r="Z747" s="63"/>
      <c r="AA747" s="62"/>
    </row>
    <row r="748" spans="15:27" x14ac:dyDescent="0.25">
      <c r="O748" s="62"/>
      <c r="P748" s="63"/>
      <c r="Q748" s="63"/>
      <c r="R748" s="63"/>
      <c r="S748" s="63"/>
      <c r="X748" s="63"/>
      <c r="Y748" s="63"/>
      <c r="Z748" s="63"/>
      <c r="AA748" s="62"/>
    </row>
    <row r="749" spans="15:27" x14ac:dyDescent="0.25">
      <c r="O749" s="62"/>
      <c r="P749" s="63"/>
      <c r="Q749" s="63"/>
      <c r="R749" s="63"/>
      <c r="S749" s="63"/>
      <c r="X749" s="63"/>
      <c r="Y749" s="63"/>
      <c r="Z749" s="63"/>
      <c r="AA749" s="62"/>
    </row>
    <row r="750" spans="15:27" x14ac:dyDescent="0.25">
      <c r="O750" s="62"/>
      <c r="P750" s="63"/>
      <c r="Q750" s="63"/>
      <c r="R750" s="63"/>
      <c r="S750" s="63"/>
      <c r="X750" s="63"/>
      <c r="Y750" s="63"/>
      <c r="Z750" s="63"/>
      <c r="AA750" s="62"/>
    </row>
    <row r="751" spans="15:27" x14ac:dyDescent="0.25">
      <c r="O751" s="62"/>
      <c r="P751" s="63"/>
      <c r="Q751" s="63"/>
      <c r="R751" s="63"/>
      <c r="S751" s="63"/>
      <c r="X751" s="63"/>
      <c r="Y751" s="63"/>
      <c r="Z751" s="63"/>
      <c r="AA751" s="62"/>
    </row>
    <row r="752" spans="15:27" x14ac:dyDescent="0.25">
      <c r="O752" s="62"/>
      <c r="P752" s="63"/>
      <c r="Q752" s="63"/>
      <c r="R752" s="63"/>
      <c r="S752" s="63"/>
      <c r="X752" s="63"/>
      <c r="Y752" s="63"/>
      <c r="Z752" s="63"/>
      <c r="AA752" s="62"/>
    </row>
    <row r="753" spans="15:27" x14ac:dyDescent="0.25">
      <c r="O753" s="62"/>
      <c r="P753" s="63"/>
      <c r="Q753" s="63"/>
      <c r="R753" s="63"/>
      <c r="S753" s="63"/>
      <c r="X753" s="63"/>
      <c r="Y753" s="63"/>
      <c r="Z753" s="63"/>
      <c r="AA753" s="62"/>
    </row>
    <row r="754" spans="15:27" x14ac:dyDescent="0.25">
      <c r="O754" s="62"/>
      <c r="P754" s="63"/>
      <c r="Q754" s="63"/>
      <c r="R754" s="63"/>
      <c r="S754" s="63"/>
      <c r="X754" s="63"/>
      <c r="Y754" s="63"/>
      <c r="Z754" s="63"/>
      <c r="AA754" s="62"/>
    </row>
    <row r="755" spans="15:27" x14ac:dyDescent="0.25">
      <c r="O755" s="62"/>
      <c r="P755" s="63"/>
      <c r="Q755" s="63"/>
      <c r="R755" s="63"/>
      <c r="S755" s="63"/>
      <c r="X755" s="63"/>
      <c r="Y755" s="63"/>
      <c r="Z755" s="63"/>
      <c r="AA755" s="62"/>
    </row>
    <row r="756" spans="15:27" x14ac:dyDescent="0.25">
      <c r="O756" s="62"/>
      <c r="P756" s="63"/>
      <c r="Q756" s="63"/>
      <c r="R756" s="63"/>
      <c r="S756" s="63"/>
      <c r="X756" s="63"/>
      <c r="Y756" s="63"/>
      <c r="Z756" s="63"/>
      <c r="AA756" s="62"/>
    </row>
    <row r="757" spans="15:27" x14ac:dyDescent="0.25">
      <c r="O757" s="62"/>
      <c r="P757" s="63"/>
      <c r="Q757" s="63"/>
      <c r="R757" s="63"/>
      <c r="S757" s="63"/>
      <c r="X757" s="63"/>
      <c r="Y757" s="63"/>
      <c r="Z757" s="63"/>
      <c r="AA757" s="62"/>
    </row>
    <row r="758" spans="15:27" x14ac:dyDescent="0.25">
      <c r="O758" s="62"/>
      <c r="P758" s="63"/>
      <c r="Q758" s="63"/>
      <c r="R758" s="63"/>
      <c r="S758" s="63"/>
      <c r="X758" s="63"/>
      <c r="Y758" s="63"/>
      <c r="Z758" s="63"/>
      <c r="AA758" s="62"/>
    </row>
    <row r="759" spans="15:27" x14ac:dyDescent="0.25">
      <c r="O759" s="62"/>
      <c r="P759" s="63"/>
      <c r="Q759" s="63"/>
      <c r="R759" s="63"/>
      <c r="S759" s="63"/>
      <c r="X759" s="63"/>
      <c r="Y759" s="63"/>
      <c r="Z759" s="63"/>
      <c r="AA759" s="62"/>
    </row>
    <row r="760" spans="15:27" x14ac:dyDescent="0.25">
      <c r="O760" s="62"/>
      <c r="P760" s="63"/>
      <c r="Q760" s="63"/>
      <c r="R760" s="63"/>
      <c r="S760" s="63"/>
      <c r="X760" s="63"/>
      <c r="Y760" s="63"/>
      <c r="Z760" s="63"/>
      <c r="AA760" s="62"/>
    </row>
    <row r="761" spans="15:27" x14ac:dyDescent="0.25">
      <c r="O761" s="62"/>
      <c r="P761" s="63"/>
      <c r="Q761" s="63"/>
      <c r="R761" s="63"/>
      <c r="S761" s="63"/>
      <c r="X761" s="63"/>
      <c r="Y761" s="63"/>
      <c r="Z761" s="63"/>
      <c r="AA761" s="62"/>
    </row>
    <row r="762" spans="15:27" x14ac:dyDescent="0.25">
      <c r="O762" s="62"/>
      <c r="P762" s="63"/>
      <c r="Q762" s="63"/>
      <c r="R762" s="63"/>
      <c r="S762" s="63"/>
      <c r="X762" s="63"/>
      <c r="Y762" s="63"/>
      <c r="Z762" s="63"/>
      <c r="AA762" s="62"/>
    </row>
    <row r="763" spans="15:27" x14ac:dyDescent="0.25">
      <c r="O763" s="62"/>
      <c r="P763" s="63"/>
      <c r="Q763" s="63"/>
      <c r="R763" s="63"/>
      <c r="S763" s="63"/>
      <c r="X763" s="63"/>
      <c r="Y763" s="63"/>
      <c r="Z763" s="63"/>
      <c r="AA763" s="62"/>
    </row>
    <row r="764" spans="15:27" x14ac:dyDescent="0.25">
      <c r="O764" s="62"/>
      <c r="P764" s="63"/>
      <c r="Q764" s="63"/>
      <c r="R764" s="63"/>
      <c r="S764" s="63"/>
      <c r="X764" s="63"/>
      <c r="Y764" s="63"/>
      <c r="Z764" s="63"/>
      <c r="AA764" s="62"/>
    </row>
    <row r="765" spans="15:27" x14ac:dyDescent="0.25">
      <c r="O765" s="62"/>
      <c r="P765" s="63"/>
      <c r="Q765" s="63"/>
      <c r="R765" s="63"/>
      <c r="S765" s="63"/>
      <c r="X765" s="63"/>
      <c r="Y765" s="63"/>
      <c r="Z765" s="63"/>
      <c r="AA765" s="62"/>
    </row>
    <row r="766" spans="15:27" x14ac:dyDescent="0.25">
      <c r="O766" s="62"/>
      <c r="P766" s="63"/>
      <c r="Q766" s="63"/>
      <c r="R766" s="63"/>
      <c r="S766" s="63"/>
      <c r="X766" s="63"/>
      <c r="Y766" s="63"/>
      <c r="Z766" s="63"/>
      <c r="AA766" s="62"/>
    </row>
    <row r="767" spans="15:27" x14ac:dyDescent="0.25">
      <c r="O767" s="62"/>
      <c r="P767" s="63"/>
      <c r="Q767" s="63"/>
      <c r="R767" s="63"/>
      <c r="S767" s="63"/>
      <c r="X767" s="63"/>
      <c r="Y767" s="63"/>
      <c r="Z767" s="63"/>
      <c r="AA767" s="62"/>
    </row>
    <row r="768" spans="15:27" x14ac:dyDescent="0.25">
      <c r="O768" s="62"/>
      <c r="P768" s="63"/>
      <c r="Q768" s="63"/>
      <c r="R768" s="63"/>
      <c r="S768" s="63"/>
      <c r="X768" s="63"/>
      <c r="Y768" s="63"/>
      <c r="Z768" s="63"/>
      <c r="AA768" s="62"/>
    </row>
    <row r="769" spans="15:27" x14ac:dyDescent="0.25">
      <c r="O769" s="62"/>
      <c r="P769" s="63"/>
      <c r="Q769" s="63"/>
      <c r="R769" s="63"/>
      <c r="S769" s="63"/>
      <c r="X769" s="63"/>
      <c r="Y769" s="63"/>
      <c r="Z769" s="63"/>
      <c r="AA769" s="62"/>
    </row>
    <row r="770" spans="15:27" x14ac:dyDescent="0.25">
      <c r="O770" s="62"/>
      <c r="P770" s="63"/>
      <c r="Q770" s="63"/>
      <c r="R770" s="63"/>
      <c r="S770" s="63"/>
      <c r="X770" s="63"/>
      <c r="Y770" s="63"/>
      <c r="Z770" s="63"/>
      <c r="AA770" s="62"/>
    </row>
    <row r="771" spans="15:27" x14ac:dyDescent="0.25">
      <c r="O771" s="62"/>
      <c r="P771" s="63"/>
      <c r="Q771" s="63"/>
      <c r="R771" s="63"/>
      <c r="S771" s="63"/>
      <c r="X771" s="63"/>
      <c r="Y771" s="63"/>
      <c r="Z771" s="63"/>
      <c r="AA771" s="62"/>
    </row>
    <row r="772" spans="15:27" x14ac:dyDescent="0.25">
      <c r="O772" s="62"/>
      <c r="P772" s="63"/>
      <c r="Q772" s="63"/>
      <c r="R772" s="63"/>
      <c r="S772" s="63"/>
      <c r="X772" s="63"/>
      <c r="Y772" s="63"/>
      <c r="Z772" s="63"/>
      <c r="AA772" s="62"/>
    </row>
    <row r="773" spans="15:27" x14ac:dyDescent="0.25">
      <c r="O773" s="62"/>
      <c r="P773" s="63"/>
      <c r="Q773" s="63"/>
      <c r="R773" s="63"/>
      <c r="S773" s="63"/>
      <c r="X773" s="63"/>
      <c r="Y773" s="63"/>
      <c r="Z773" s="63"/>
      <c r="AA773" s="62"/>
    </row>
    <row r="774" spans="15:27" x14ac:dyDescent="0.25">
      <c r="O774" s="62"/>
      <c r="P774" s="63"/>
      <c r="Q774" s="63"/>
      <c r="R774" s="63"/>
      <c r="S774" s="63"/>
      <c r="X774" s="63"/>
      <c r="Y774" s="63"/>
      <c r="Z774" s="63"/>
      <c r="AA774" s="62"/>
    </row>
    <row r="775" spans="15:27" x14ac:dyDescent="0.25">
      <c r="O775" s="62"/>
      <c r="P775" s="63"/>
      <c r="Q775" s="63"/>
      <c r="R775" s="63"/>
      <c r="S775" s="63"/>
      <c r="X775" s="63"/>
      <c r="Y775" s="63"/>
      <c r="Z775" s="63"/>
      <c r="AA775" s="62"/>
    </row>
    <row r="776" spans="15:27" x14ac:dyDescent="0.25">
      <c r="O776" s="62"/>
      <c r="P776" s="63"/>
      <c r="Q776" s="63"/>
      <c r="R776" s="63"/>
      <c r="S776" s="63"/>
      <c r="X776" s="63"/>
      <c r="Y776" s="63"/>
      <c r="Z776" s="63"/>
      <c r="AA776" s="62"/>
    </row>
    <row r="777" spans="15:27" x14ac:dyDescent="0.25">
      <c r="O777" s="62"/>
      <c r="P777" s="63"/>
      <c r="Q777" s="63"/>
      <c r="R777" s="63"/>
      <c r="S777" s="63"/>
      <c r="X777" s="63"/>
      <c r="Y777" s="63"/>
      <c r="Z777" s="63"/>
      <c r="AA777" s="62"/>
    </row>
    <row r="778" spans="15:27" x14ac:dyDescent="0.25">
      <c r="O778" s="62"/>
      <c r="P778" s="63"/>
      <c r="Q778" s="63"/>
      <c r="R778" s="63"/>
      <c r="S778" s="63"/>
      <c r="X778" s="63"/>
      <c r="Y778" s="63"/>
      <c r="Z778" s="63"/>
      <c r="AA778" s="62"/>
    </row>
    <row r="779" spans="15:27" x14ac:dyDescent="0.25">
      <c r="O779" s="62"/>
      <c r="P779" s="63"/>
      <c r="Q779" s="63"/>
      <c r="R779" s="63"/>
      <c r="S779" s="63"/>
      <c r="X779" s="63"/>
      <c r="Y779" s="63"/>
      <c r="Z779" s="63"/>
      <c r="AA779" s="62"/>
    </row>
    <row r="780" spans="15:27" x14ac:dyDescent="0.25">
      <c r="O780" s="62"/>
      <c r="P780" s="63"/>
      <c r="Q780" s="63"/>
      <c r="R780" s="63"/>
      <c r="S780" s="63"/>
      <c r="X780" s="63"/>
      <c r="Y780" s="63"/>
      <c r="Z780" s="63"/>
      <c r="AA780" s="62"/>
    </row>
    <row r="781" spans="15:27" x14ac:dyDescent="0.25">
      <c r="O781" s="62"/>
      <c r="P781" s="63"/>
      <c r="Q781" s="63"/>
      <c r="R781" s="63"/>
      <c r="S781" s="63"/>
      <c r="X781" s="63"/>
      <c r="Y781" s="63"/>
      <c r="Z781" s="63"/>
      <c r="AA781" s="62"/>
    </row>
    <row r="782" spans="15:27" x14ac:dyDescent="0.25">
      <c r="O782" s="62"/>
      <c r="P782" s="63"/>
      <c r="Q782" s="63"/>
      <c r="R782" s="63"/>
      <c r="S782" s="63"/>
      <c r="X782" s="63"/>
      <c r="Y782" s="63"/>
      <c r="Z782" s="63"/>
      <c r="AA782" s="62"/>
    </row>
    <row r="783" spans="15:27" x14ac:dyDescent="0.25">
      <c r="O783" s="62"/>
      <c r="P783" s="63"/>
      <c r="Q783" s="63"/>
      <c r="R783" s="63"/>
      <c r="S783" s="63"/>
      <c r="X783" s="63"/>
      <c r="Y783" s="63"/>
      <c r="Z783" s="63"/>
      <c r="AA783" s="62"/>
    </row>
    <row r="784" spans="15:27" x14ac:dyDescent="0.25">
      <c r="O784" s="62"/>
      <c r="P784" s="63"/>
      <c r="Q784" s="63"/>
      <c r="R784" s="63"/>
      <c r="S784" s="63"/>
      <c r="X784" s="63"/>
      <c r="Y784" s="63"/>
      <c r="Z784" s="63"/>
      <c r="AA784" s="62"/>
    </row>
    <row r="785" spans="15:27" x14ac:dyDescent="0.25">
      <c r="O785" s="62"/>
      <c r="P785" s="63"/>
      <c r="Q785" s="63"/>
      <c r="R785" s="63"/>
      <c r="S785" s="63"/>
      <c r="X785" s="63"/>
      <c r="Y785" s="63"/>
      <c r="Z785" s="63"/>
      <c r="AA785" s="62"/>
    </row>
    <row r="786" spans="15:27" x14ac:dyDescent="0.25">
      <c r="O786" s="62"/>
      <c r="P786" s="63"/>
      <c r="Q786" s="63"/>
      <c r="R786" s="63"/>
      <c r="S786" s="63"/>
      <c r="X786" s="63"/>
      <c r="Y786" s="63"/>
      <c r="Z786" s="63"/>
      <c r="AA786" s="62"/>
    </row>
    <row r="787" spans="15:27" x14ac:dyDescent="0.25">
      <c r="O787" s="62"/>
      <c r="P787" s="63"/>
      <c r="Q787" s="63"/>
      <c r="R787" s="63"/>
      <c r="S787" s="63"/>
      <c r="X787" s="63"/>
      <c r="Y787" s="63"/>
      <c r="Z787" s="63"/>
      <c r="AA787" s="62"/>
    </row>
    <row r="788" spans="15:27" x14ac:dyDescent="0.25">
      <c r="O788" s="62"/>
      <c r="P788" s="63"/>
      <c r="Q788" s="63"/>
      <c r="R788" s="63"/>
      <c r="S788" s="63"/>
      <c r="X788" s="63"/>
      <c r="Y788" s="63"/>
      <c r="Z788" s="63"/>
      <c r="AA788" s="62"/>
    </row>
    <row r="789" spans="15:27" x14ac:dyDescent="0.25">
      <c r="O789" s="62"/>
      <c r="P789" s="63"/>
      <c r="Q789" s="63"/>
      <c r="R789" s="63"/>
      <c r="S789" s="63"/>
      <c r="X789" s="63"/>
      <c r="Y789" s="63"/>
      <c r="Z789" s="63"/>
      <c r="AA789" s="62"/>
    </row>
    <row r="790" spans="15:27" x14ac:dyDescent="0.25">
      <c r="O790" s="62"/>
      <c r="P790" s="63"/>
      <c r="Q790" s="63"/>
      <c r="R790" s="63"/>
      <c r="S790" s="63"/>
      <c r="X790" s="63"/>
      <c r="Y790" s="63"/>
      <c r="Z790" s="63"/>
      <c r="AA790" s="62"/>
    </row>
    <row r="791" spans="15:27" x14ac:dyDescent="0.25">
      <c r="O791" s="62"/>
      <c r="P791" s="63"/>
      <c r="Q791" s="63"/>
      <c r="R791" s="63"/>
      <c r="S791" s="63"/>
      <c r="X791" s="63"/>
      <c r="Y791" s="63"/>
      <c r="Z791" s="63"/>
      <c r="AA791" s="62"/>
    </row>
    <row r="792" spans="15:27" x14ac:dyDescent="0.25">
      <c r="O792" s="62"/>
      <c r="P792" s="63"/>
      <c r="Q792" s="63"/>
      <c r="R792" s="63"/>
      <c r="S792" s="63"/>
      <c r="X792" s="63"/>
      <c r="Y792" s="63"/>
      <c r="Z792" s="63"/>
      <c r="AA792" s="62"/>
    </row>
    <row r="793" spans="15:27" x14ac:dyDescent="0.25">
      <c r="O793" s="62"/>
      <c r="P793" s="63"/>
      <c r="Q793" s="63"/>
      <c r="R793" s="63"/>
      <c r="S793" s="63"/>
      <c r="X793" s="63"/>
      <c r="Y793" s="63"/>
      <c r="Z793" s="63"/>
      <c r="AA793" s="62"/>
    </row>
    <row r="794" spans="15:27" x14ac:dyDescent="0.25">
      <c r="O794" s="62"/>
      <c r="P794" s="63"/>
      <c r="Q794" s="63"/>
      <c r="R794" s="63"/>
      <c r="S794" s="63"/>
      <c r="X794" s="63"/>
      <c r="Y794" s="63"/>
      <c r="Z794" s="63"/>
      <c r="AA794" s="62"/>
    </row>
    <row r="795" spans="15:27" x14ac:dyDescent="0.25">
      <c r="O795" s="62"/>
      <c r="P795" s="63"/>
      <c r="Q795" s="63"/>
      <c r="R795" s="63"/>
      <c r="S795" s="63"/>
      <c r="X795" s="63"/>
      <c r="Y795" s="63"/>
      <c r="Z795" s="63"/>
      <c r="AA795" s="62"/>
    </row>
    <row r="796" spans="15:27" x14ac:dyDescent="0.25">
      <c r="O796" s="62"/>
      <c r="P796" s="63"/>
      <c r="Q796" s="63"/>
      <c r="R796" s="63"/>
      <c r="S796" s="63"/>
      <c r="X796" s="63"/>
      <c r="Y796" s="63"/>
      <c r="Z796" s="63"/>
      <c r="AA796" s="62"/>
    </row>
    <row r="797" spans="15:27" x14ac:dyDescent="0.25">
      <c r="O797" s="62"/>
      <c r="P797" s="63"/>
      <c r="Q797" s="63"/>
      <c r="R797" s="63"/>
      <c r="S797" s="63"/>
      <c r="X797" s="63"/>
      <c r="Y797" s="63"/>
      <c r="Z797" s="63"/>
      <c r="AA797" s="62"/>
    </row>
    <row r="798" spans="15:27" x14ac:dyDescent="0.25">
      <c r="O798" s="62"/>
      <c r="P798" s="63"/>
      <c r="Q798" s="63"/>
      <c r="R798" s="63"/>
      <c r="S798" s="63"/>
      <c r="X798" s="63"/>
      <c r="Y798" s="63"/>
      <c r="Z798" s="63"/>
      <c r="AA798" s="62"/>
    </row>
    <row r="799" spans="15:27" x14ac:dyDescent="0.25">
      <c r="O799" s="62"/>
      <c r="P799" s="63"/>
      <c r="Q799" s="63"/>
      <c r="R799" s="63"/>
      <c r="S799" s="63"/>
      <c r="X799" s="63"/>
      <c r="Y799" s="63"/>
      <c r="Z799" s="63"/>
      <c r="AA799" s="62"/>
    </row>
    <row r="800" spans="15:27" x14ac:dyDescent="0.25">
      <c r="O800" s="62"/>
      <c r="P800" s="63"/>
      <c r="Q800" s="63"/>
      <c r="R800" s="63"/>
      <c r="S800" s="63"/>
      <c r="X800" s="63"/>
      <c r="Y800" s="63"/>
      <c r="Z800" s="63"/>
      <c r="AA800" s="62"/>
    </row>
    <row r="801" spans="15:27" x14ac:dyDescent="0.25">
      <c r="O801" s="62"/>
      <c r="P801" s="63"/>
      <c r="Q801" s="63"/>
      <c r="R801" s="63"/>
      <c r="S801" s="63"/>
      <c r="X801" s="63"/>
      <c r="Y801" s="63"/>
      <c r="Z801" s="63"/>
      <c r="AA801" s="62"/>
    </row>
    <row r="802" spans="15:27" x14ac:dyDescent="0.25">
      <c r="O802" s="62"/>
      <c r="P802" s="63"/>
      <c r="Q802" s="63"/>
      <c r="R802" s="63"/>
      <c r="S802" s="63"/>
      <c r="X802" s="63"/>
      <c r="Y802" s="63"/>
      <c r="Z802" s="63"/>
      <c r="AA802" s="62"/>
    </row>
    <row r="803" spans="15:27" x14ac:dyDescent="0.25">
      <c r="O803" s="62"/>
      <c r="P803" s="63"/>
      <c r="Q803" s="63"/>
      <c r="R803" s="63"/>
      <c r="S803" s="63"/>
      <c r="X803" s="63"/>
      <c r="Y803" s="63"/>
      <c r="Z803" s="63"/>
      <c r="AA803" s="62"/>
    </row>
    <row r="804" spans="15:27" x14ac:dyDescent="0.25">
      <c r="O804" s="62"/>
      <c r="P804" s="63"/>
      <c r="Q804" s="63"/>
      <c r="R804" s="63"/>
      <c r="S804" s="63"/>
      <c r="X804" s="63"/>
      <c r="Y804" s="63"/>
      <c r="Z804" s="63"/>
      <c r="AA804" s="62"/>
    </row>
    <row r="805" spans="15:27" x14ac:dyDescent="0.25">
      <c r="O805" s="62"/>
      <c r="P805" s="63"/>
      <c r="Q805" s="63"/>
      <c r="R805" s="63"/>
      <c r="S805" s="63"/>
      <c r="X805" s="63"/>
      <c r="Y805" s="63"/>
      <c r="Z805" s="63"/>
      <c r="AA805" s="62"/>
    </row>
    <row r="806" spans="15:27" x14ac:dyDescent="0.25">
      <c r="O806" s="62"/>
      <c r="P806" s="63"/>
      <c r="Q806" s="63"/>
      <c r="R806" s="63"/>
      <c r="S806" s="63"/>
      <c r="X806" s="63"/>
      <c r="Y806" s="63"/>
      <c r="Z806" s="63"/>
      <c r="AA806" s="62"/>
    </row>
    <row r="807" spans="15:27" x14ac:dyDescent="0.25">
      <c r="O807" s="62"/>
      <c r="P807" s="63"/>
      <c r="Q807" s="63"/>
      <c r="R807" s="63"/>
      <c r="S807" s="63"/>
      <c r="X807" s="63"/>
      <c r="Y807" s="63"/>
      <c r="Z807" s="63"/>
      <c r="AA807" s="62"/>
    </row>
    <row r="808" spans="15:27" x14ac:dyDescent="0.25">
      <c r="O808" s="62"/>
      <c r="P808" s="63"/>
      <c r="Q808" s="63"/>
      <c r="R808" s="63"/>
      <c r="S808" s="63"/>
      <c r="X808" s="63"/>
      <c r="Y808" s="63"/>
      <c r="Z808" s="63"/>
      <c r="AA808" s="62"/>
    </row>
    <row r="809" spans="15:27" x14ac:dyDescent="0.25">
      <c r="O809" s="62"/>
      <c r="P809" s="63"/>
      <c r="Q809" s="63"/>
      <c r="R809" s="63"/>
      <c r="S809" s="63"/>
      <c r="X809" s="63"/>
      <c r="Y809" s="63"/>
      <c r="Z809" s="63"/>
      <c r="AA809" s="62"/>
    </row>
    <row r="810" spans="15:27" x14ac:dyDescent="0.25">
      <c r="O810" s="62"/>
      <c r="P810" s="63"/>
      <c r="Q810" s="63"/>
      <c r="R810" s="63"/>
      <c r="S810" s="63"/>
      <c r="X810" s="63"/>
      <c r="Y810" s="63"/>
      <c r="Z810" s="63"/>
      <c r="AA810" s="62"/>
    </row>
    <row r="811" spans="15:27" x14ac:dyDescent="0.25">
      <c r="O811" s="62"/>
      <c r="P811" s="63"/>
      <c r="Q811" s="63"/>
      <c r="R811" s="63"/>
      <c r="S811" s="63"/>
      <c r="X811" s="63"/>
      <c r="Y811" s="63"/>
      <c r="Z811" s="63"/>
      <c r="AA811" s="62"/>
    </row>
    <row r="812" spans="15:27" x14ac:dyDescent="0.25">
      <c r="O812" s="62"/>
      <c r="P812" s="63"/>
      <c r="Q812" s="63"/>
      <c r="R812" s="63"/>
      <c r="S812" s="63"/>
      <c r="X812" s="63"/>
      <c r="Y812" s="63"/>
      <c r="Z812" s="63"/>
      <c r="AA812" s="62"/>
    </row>
    <row r="813" spans="15:27" x14ac:dyDescent="0.25">
      <c r="O813" s="62"/>
      <c r="P813" s="63"/>
      <c r="Q813" s="63"/>
      <c r="R813" s="63"/>
      <c r="S813" s="63"/>
      <c r="X813" s="63"/>
      <c r="Y813" s="63"/>
      <c r="Z813" s="63"/>
      <c r="AA813" s="62"/>
    </row>
    <row r="814" spans="15:27" x14ac:dyDescent="0.25">
      <c r="O814" s="62"/>
      <c r="P814" s="63"/>
      <c r="Q814" s="63"/>
      <c r="R814" s="63"/>
      <c r="S814" s="63"/>
      <c r="X814" s="63"/>
      <c r="Y814" s="63"/>
      <c r="Z814" s="63"/>
      <c r="AA814" s="62"/>
    </row>
    <row r="815" spans="15:27" x14ac:dyDescent="0.25">
      <c r="O815" s="62"/>
      <c r="P815" s="63"/>
      <c r="Q815" s="63"/>
      <c r="R815" s="63"/>
      <c r="S815" s="63"/>
      <c r="X815" s="63"/>
      <c r="Y815" s="63"/>
      <c r="Z815" s="63"/>
      <c r="AA815" s="62"/>
    </row>
    <row r="816" spans="15:27" x14ac:dyDescent="0.25">
      <c r="O816" s="62"/>
      <c r="P816" s="63"/>
      <c r="Q816" s="63"/>
      <c r="R816" s="63"/>
      <c r="S816" s="63"/>
      <c r="X816" s="63"/>
      <c r="Y816" s="63"/>
      <c r="Z816" s="63"/>
      <c r="AA816" s="62"/>
    </row>
    <row r="817" spans="15:27" x14ac:dyDescent="0.25">
      <c r="O817" s="62"/>
      <c r="P817" s="63"/>
      <c r="Q817" s="63"/>
      <c r="R817" s="63"/>
      <c r="S817" s="63"/>
      <c r="X817" s="63"/>
      <c r="Y817" s="63"/>
      <c r="Z817" s="63"/>
      <c r="AA817" s="62"/>
    </row>
    <row r="818" spans="15:27" x14ac:dyDescent="0.25">
      <c r="O818" s="62"/>
      <c r="P818" s="63"/>
      <c r="Q818" s="63"/>
      <c r="R818" s="63"/>
      <c r="S818" s="63"/>
      <c r="X818" s="63"/>
      <c r="Y818" s="63"/>
      <c r="Z818" s="63"/>
      <c r="AA818" s="62"/>
    </row>
    <row r="819" spans="15:27" x14ac:dyDescent="0.25">
      <c r="O819" s="62"/>
      <c r="P819" s="63"/>
      <c r="Q819" s="63"/>
      <c r="R819" s="63"/>
      <c r="S819" s="63"/>
      <c r="X819" s="63"/>
      <c r="Y819" s="63"/>
      <c r="Z819" s="63"/>
      <c r="AA819" s="62"/>
    </row>
    <row r="820" spans="15:27" x14ac:dyDescent="0.25">
      <c r="O820" s="62"/>
      <c r="P820" s="63"/>
      <c r="Q820" s="63"/>
      <c r="R820" s="63"/>
      <c r="S820" s="63"/>
      <c r="X820" s="63"/>
      <c r="Y820" s="63"/>
      <c r="Z820" s="63"/>
      <c r="AA820" s="62"/>
    </row>
    <row r="821" spans="15:27" x14ac:dyDescent="0.25">
      <c r="O821" s="62"/>
      <c r="P821" s="63"/>
      <c r="Q821" s="63"/>
      <c r="R821" s="63"/>
      <c r="S821" s="63"/>
      <c r="X821" s="63"/>
      <c r="Y821" s="63"/>
      <c r="Z821" s="63"/>
      <c r="AA821" s="62"/>
    </row>
    <row r="822" spans="15:27" x14ac:dyDescent="0.25">
      <c r="O822" s="62"/>
      <c r="P822" s="63"/>
      <c r="Q822" s="63"/>
      <c r="R822" s="63"/>
      <c r="S822" s="63"/>
      <c r="X822" s="63"/>
      <c r="Y822" s="63"/>
      <c r="Z822" s="63"/>
      <c r="AA822" s="62"/>
    </row>
    <row r="823" spans="15:27" x14ac:dyDescent="0.25">
      <c r="O823" s="62"/>
      <c r="P823" s="63"/>
      <c r="Q823" s="63"/>
      <c r="R823" s="63"/>
      <c r="S823" s="63"/>
      <c r="X823" s="63"/>
      <c r="Y823" s="63"/>
      <c r="Z823" s="63"/>
      <c r="AA823" s="62"/>
    </row>
    <row r="824" spans="15:27" x14ac:dyDescent="0.25">
      <c r="O824" s="62"/>
      <c r="P824" s="63"/>
      <c r="Q824" s="63"/>
      <c r="R824" s="63"/>
      <c r="S824" s="63"/>
      <c r="X824" s="63"/>
      <c r="Y824" s="63"/>
      <c r="Z824" s="63"/>
      <c r="AA824" s="62"/>
    </row>
    <row r="825" spans="15:27" x14ac:dyDescent="0.25">
      <c r="O825" s="62"/>
      <c r="P825" s="63"/>
      <c r="Q825" s="63"/>
      <c r="R825" s="63"/>
      <c r="S825" s="63"/>
      <c r="X825" s="63"/>
      <c r="Y825" s="63"/>
      <c r="Z825" s="63"/>
      <c r="AA825" s="62"/>
    </row>
    <row r="826" spans="15:27" x14ac:dyDescent="0.25">
      <c r="O826" s="62"/>
      <c r="P826" s="63"/>
      <c r="Q826" s="63"/>
      <c r="R826" s="63"/>
      <c r="S826" s="63"/>
      <c r="X826" s="63"/>
      <c r="Y826" s="63"/>
      <c r="Z826" s="63"/>
      <c r="AA826" s="62"/>
    </row>
    <row r="827" spans="15:27" x14ac:dyDescent="0.25">
      <c r="O827" s="62"/>
      <c r="P827" s="63"/>
      <c r="Q827" s="63"/>
      <c r="R827" s="63"/>
      <c r="S827" s="63"/>
      <c r="X827" s="63"/>
      <c r="Y827" s="63"/>
      <c r="Z827" s="63"/>
      <c r="AA827" s="62"/>
    </row>
    <row r="828" spans="15:27" x14ac:dyDescent="0.25">
      <c r="O828" s="62"/>
      <c r="P828" s="63"/>
      <c r="Q828" s="63"/>
      <c r="R828" s="63"/>
      <c r="S828" s="63"/>
      <c r="X828" s="63"/>
      <c r="Y828" s="63"/>
      <c r="Z828" s="63"/>
      <c r="AA828" s="62"/>
    </row>
    <row r="829" spans="15:27" x14ac:dyDescent="0.25">
      <c r="O829" s="62"/>
      <c r="P829" s="63"/>
      <c r="Q829" s="63"/>
      <c r="R829" s="63"/>
      <c r="S829" s="63"/>
      <c r="X829" s="63"/>
      <c r="Y829" s="63"/>
      <c r="Z829" s="63"/>
      <c r="AA829" s="62"/>
    </row>
    <row r="830" spans="15:27" x14ac:dyDescent="0.25">
      <c r="O830" s="62"/>
      <c r="P830" s="63"/>
      <c r="Q830" s="63"/>
      <c r="R830" s="63"/>
      <c r="S830" s="63"/>
      <c r="X830" s="63"/>
      <c r="Y830" s="63"/>
      <c r="Z830" s="63"/>
      <c r="AA830" s="62"/>
    </row>
    <row r="831" spans="15:27" x14ac:dyDescent="0.25">
      <c r="O831" s="62"/>
      <c r="P831" s="63"/>
      <c r="Q831" s="63"/>
      <c r="R831" s="63"/>
      <c r="S831" s="63"/>
      <c r="X831" s="63"/>
      <c r="Y831" s="63"/>
      <c r="Z831" s="63"/>
      <c r="AA831" s="62"/>
    </row>
    <row r="832" spans="15:27" x14ac:dyDescent="0.25">
      <c r="O832" s="62"/>
      <c r="P832" s="63"/>
      <c r="Q832" s="63"/>
      <c r="R832" s="63"/>
      <c r="S832" s="63"/>
      <c r="X832" s="63"/>
      <c r="Y832" s="63"/>
      <c r="Z832" s="63"/>
      <c r="AA832" s="62"/>
    </row>
    <row r="833" spans="15:27" x14ac:dyDescent="0.25">
      <c r="O833" s="62"/>
      <c r="P833" s="63"/>
      <c r="Q833" s="63"/>
      <c r="R833" s="63"/>
      <c r="S833" s="63"/>
      <c r="X833" s="63"/>
      <c r="Y833" s="63"/>
      <c r="Z833" s="63"/>
      <c r="AA833" s="62"/>
    </row>
    <row r="834" spans="15:27" x14ac:dyDescent="0.25">
      <c r="O834" s="62"/>
      <c r="P834" s="63"/>
      <c r="Q834" s="63"/>
      <c r="R834" s="63"/>
      <c r="S834" s="63"/>
      <c r="X834" s="63"/>
      <c r="Y834" s="63"/>
      <c r="Z834" s="63"/>
      <c r="AA834" s="62"/>
    </row>
    <row r="835" spans="15:27" x14ac:dyDescent="0.25">
      <c r="O835" s="62"/>
      <c r="P835" s="63"/>
      <c r="Q835" s="63"/>
      <c r="R835" s="63"/>
      <c r="S835" s="63"/>
      <c r="X835" s="63"/>
      <c r="Y835" s="63"/>
      <c r="Z835" s="63"/>
      <c r="AA835" s="62"/>
    </row>
    <row r="836" spans="15:27" x14ac:dyDescent="0.25">
      <c r="O836" s="62"/>
      <c r="P836" s="63"/>
      <c r="Q836" s="63"/>
      <c r="R836" s="63"/>
      <c r="S836" s="63"/>
      <c r="X836" s="63"/>
      <c r="Y836" s="63"/>
      <c r="Z836" s="63"/>
      <c r="AA836" s="62"/>
    </row>
    <row r="837" spans="15:27" x14ac:dyDescent="0.25">
      <c r="O837" s="62"/>
      <c r="P837" s="63"/>
      <c r="Q837" s="63"/>
      <c r="R837" s="63"/>
      <c r="S837" s="63"/>
      <c r="X837" s="63"/>
      <c r="Y837" s="63"/>
      <c r="Z837" s="63"/>
      <c r="AA837" s="62"/>
    </row>
    <row r="838" spans="15:27" x14ac:dyDescent="0.25">
      <c r="O838" s="62"/>
      <c r="P838" s="63"/>
      <c r="Q838" s="63"/>
      <c r="R838" s="63"/>
      <c r="S838" s="63"/>
      <c r="X838" s="63"/>
      <c r="Y838" s="63"/>
      <c r="Z838" s="63"/>
      <c r="AA838" s="62"/>
    </row>
    <row r="839" spans="15:27" x14ac:dyDescent="0.25">
      <c r="O839" s="62"/>
      <c r="P839" s="63"/>
      <c r="Q839" s="63"/>
      <c r="R839" s="63"/>
      <c r="S839" s="63"/>
      <c r="X839" s="63"/>
      <c r="Y839" s="63"/>
      <c r="Z839" s="63"/>
      <c r="AA839" s="62"/>
    </row>
    <row r="840" spans="15:27" x14ac:dyDescent="0.25">
      <c r="O840" s="62"/>
      <c r="P840" s="63"/>
      <c r="Q840" s="63"/>
      <c r="R840" s="63"/>
      <c r="S840" s="63"/>
      <c r="X840" s="63"/>
      <c r="Y840" s="63"/>
      <c r="Z840" s="63"/>
      <c r="AA840" s="62"/>
    </row>
    <row r="841" spans="15:27" x14ac:dyDescent="0.25">
      <c r="O841" s="62"/>
      <c r="P841" s="63"/>
      <c r="Q841" s="63"/>
      <c r="R841" s="63"/>
      <c r="S841" s="63"/>
      <c r="X841" s="63"/>
      <c r="Y841" s="63"/>
      <c r="Z841" s="63"/>
      <c r="AA841" s="62"/>
    </row>
    <row r="842" spans="15:27" x14ac:dyDescent="0.25">
      <c r="O842" s="62"/>
      <c r="P842" s="63"/>
      <c r="Q842" s="63"/>
      <c r="R842" s="63"/>
      <c r="S842" s="63"/>
      <c r="X842" s="63"/>
      <c r="Y842" s="63"/>
      <c r="Z842" s="63"/>
      <c r="AA842" s="62"/>
    </row>
    <row r="843" spans="15:27" x14ac:dyDescent="0.25">
      <c r="O843" s="62"/>
      <c r="P843" s="63"/>
      <c r="Q843" s="63"/>
      <c r="R843" s="63"/>
      <c r="S843" s="63"/>
      <c r="X843" s="63"/>
      <c r="Y843" s="63"/>
      <c r="Z843" s="63"/>
      <c r="AA843" s="62"/>
    </row>
    <row r="844" spans="15:27" x14ac:dyDescent="0.25">
      <c r="O844" s="62"/>
      <c r="P844" s="63"/>
      <c r="Q844" s="63"/>
      <c r="R844" s="63"/>
      <c r="S844" s="63"/>
      <c r="X844" s="63"/>
      <c r="Y844" s="63"/>
      <c r="Z844" s="63"/>
      <c r="AA844" s="62"/>
    </row>
    <row r="845" spans="15:27" x14ac:dyDescent="0.25">
      <c r="O845" s="62"/>
      <c r="P845" s="63"/>
      <c r="Q845" s="63"/>
      <c r="R845" s="63"/>
      <c r="S845" s="63"/>
      <c r="X845" s="63"/>
      <c r="Y845" s="63"/>
      <c r="Z845" s="63"/>
      <c r="AA845" s="62"/>
    </row>
    <row r="846" spans="15:27" x14ac:dyDescent="0.25">
      <c r="O846" s="62"/>
      <c r="P846" s="63"/>
      <c r="Q846" s="63"/>
      <c r="R846" s="63"/>
      <c r="S846" s="63"/>
      <c r="X846" s="63"/>
      <c r="Y846" s="63"/>
      <c r="Z846" s="63"/>
      <c r="AA846" s="62"/>
    </row>
    <row r="847" spans="15:27" x14ac:dyDescent="0.25">
      <c r="O847" s="62"/>
      <c r="P847" s="63"/>
      <c r="Q847" s="63"/>
      <c r="R847" s="63"/>
      <c r="S847" s="63"/>
      <c r="X847" s="63"/>
      <c r="Y847" s="63"/>
      <c r="Z847" s="63"/>
      <c r="AA847" s="62"/>
    </row>
    <row r="848" spans="15:27" x14ac:dyDescent="0.25">
      <c r="O848" s="62"/>
      <c r="P848" s="63"/>
      <c r="Q848" s="63"/>
      <c r="R848" s="63"/>
      <c r="S848" s="63"/>
      <c r="X848" s="63"/>
      <c r="Y848" s="63"/>
      <c r="Z848" s="63"/>
      <c r="AA848" s="62"/>
    </row>
    <row r="849" spans="15:27" x14ac:dyDescent="0.25">
      <c r="O849" s="62"/>
      <c r="P849" s="63"/>
      <c r="Q849" s="63"/>
      <c r="R849" s="63"/>
      <c r="S849" s="63"/>
      <c r="X849" s="63"/>
      <c r="Y849" s="63"/>
      <c r="Z849" s="63"/>
      <c r="AA849" s="62"/>
    </row>
    <row r="850" spans="15:27" x14ac:dyDescent="0.25">
      <c r="O850" s="62"/>
      <c r="P850" s="63"/>
      <c r="Q850" s="63"/>
      <c r="R850" s="63"/>
      <c r="S850" s="63"/>
      <c r="X850" s="63"/>
      <c r="Y850" s="63"/>
      <c r="Z850" s="63"/>
      <c r="AA850" s="62"/>
    </row>
    <row r="851" spans="15:27" x14ac:dyDescent="0.25">
      <c r="O851" s="62"/>
      <c r="P851" s="63"/>
      <c r="Q851" s="63"/>
      <c r="R851" s="63"/>
      <c r="S851" s="63"/>
      <c r="X851" s="63"/>
      <c r="Y851" s="63"/>
      <c r="Z851" s="63"/>
      <c r="AA851" s="62"/>
    </row>
    <row r="852" spans="15:27" x14ac:dyDescent="0.25">
      <c r="O852" s="62"/>
      <c r="P852" s="63"/>
      <c r="Q852" s="63"/>
      <c r="R852" s="63"/>
      <c r="S852" s="63"/>
      <c r="X852" s="63"/>
      <c r="Y852" s="63"/>
      <c r="Z852" s="63"/>
      <c r="AA852" s="62"/>
    </row>
    <row r="853" spans="15:27" x14ac:dyDescent="0.25">
      <c r="O853" s="62"/>
      <c r="P853" s="63"/>
      <c r="Q853" s="63"/>
      <c r="R853" s="63"/>
      <c r="S853" s="63"/>
      <c r="X853" s="63"/>
      <c r="Y853" s="63"/>
      <c r="Z853" s="63"/>
      <c r="AA853" s="62"/>
    </row>
    <row r="854" spans="15:27" x14ac:dyDescent="0.25">
      <c r="O854" s="62"/>
      <c r="P854" s="63"/>
      <c r="Q854" s="63"/>
      <c r="R854" s="63"/>
      <c r="S854" s="63"/>
      <c r="X854" s="63"/>
      <c r="Y854" s="63"/>
      <c r="Z854" s="63"/>
      <c r="AA854" s="62"/>
    </row>
    <row r="855" spans="15:27" x14ac:dyDescent="0.25">
      <c r="O855" s="62"/>
      <c r="P855" s="63"/>
      <c r="Q855" s="63"/>
      <c r="R855" s="63"/>
      <c r="S855" s="63"/>
      <c r="X855" s="63"/>
      <c r="Y855" s="63"/>
      <c r="Z855" s="63"/>
      <c r="AA855" s="62"/>
    </row>
    <row r="856" spans="15:27" x14ac:dyDescent="0.25">
      <c r="O856" s="62"/>
      <c r="P856" s="63"/>
      <c r="Q856" s="63"/>
      <c r="R856" s="63"/>
      <c r="S856" s="63"/>
      <c r="X856" s="63"/>
      <c r="Y856" s="63"/>
      <c r="Z856" s="63"/>
      <c r="AA856" s="62"/>
    </row>
    <row r="857" spans="15:27" x14ac:dyDescent="0.25">
      <c r="O857" s="62"/>
      <c r="P857" s="63"/>
      <c r="Q857" s="63"/>
      <c r="R857" s="63"/>
      <c r="S857" s="63"/>
      <c r="X857" s="63"/>
      <c r="Y857" s="63"/>
      <c r="Z857" s="63"/>
      <c r="AA857" s="62"/>
    </row>
    <row r="858" spans="15:27" x14ac:dyDescent="0.25">
      <c r="O858" s="62"/>
      <c r="P858" s="63"/>
      <c r="Q858" s="63"/>
      <c r="R858" s="63"/>
      <c r="S858" s="63"/>
      <c r="X858" s="63"/>
      <c r="Y858" s="63"/>
      <c r="Z858" s="63"/>
      <c r="AA858" s="62"/>
    </row>
    <row r="859" spans="15:27" x14ac:dyDescent="0.25">
      <c r="O859" s="62"/>
      <c r="P859" s="63"/>
      <c r="Q859" s="63"/>
      <c r="R859" s="63"/>
      <c r="S859" s="63"/>
      <c r="X859" s="63"/>
      <c r="Y859" s="63"/>
      <c r="Z859" s="63"/>
      <c r="AA859" s="62"/>
    </row>
    <row r="860" spans="15:27" x14ac:dyDescent="0.25">
      <c r="O860" s="62"/>
      <c r="P860" s="63"/>
      <c r="Q860" s="63"/>
      <c r="R860" s="63"/>
      <c r="S860" s="63"/>
      <c r="X860" s="63"/>
      <c r="Y860" s="63"/>
      <c r="Z860" s="63"/>
      <c r="AA860" s="62"/>
    </row>
    <row r="861" spans="15:27" x14ac:dyDescent="0.25">
      <c r="O861" s="62"/>
      <c r="P861" s="63"/>
      <c r="Q861" s="63"/>
      <c r="R861" s="63"/>
      <c r="S861" s="63"/>
      <c r="X861" s="63"/>
      <c r="Y861" s="63"/>
      <c r="Z861" s="63"/>
      <c r="AA861" s="62"/>
    </row>
    <row r="862" spans="15:27" x14ac:dyDescent="0.25">
      <c r="O862" s="62"/>
      <c r="P862" s="63"/>
      <c r="Q862" s="63"/>
      <c r="R862" s="63"/>
      <c r="S862" s="63"/>
      <c r="X862" s="63"/>
      <c r="Y862" s="63"/>
      <c r="Z862" s="63"/>
      <c r="AA862" s="62"/>
    </row>
    <row r="863" spans="15:27" x14ac:dyDescent="0.25">
      <c r="O863" s="62"/>
      <c r="P863" s="63"/>
      <c r="Q863" s="63"/>
      <c r="R863" s="63"/>
      <c r="S863" s="63"/>
      <c r="X863" s="63"/>
      <c r="Y863" s="63"/>
      <c r="Z863" s="63"/>
      <c r="AA863" s="62"/>
    </row>
    <row r="864" spans="15:27" x14ac:dyDescent="0.25">
      <c r="O864" s="62"/>
      <c r="P864" s="63"/>
      <c r="Q864" s="63"/>
      <c r="R864" s="63"/>
      <c r="S864" s="63"/>
      <c r="X864" s="63"/>
      <c r="Y864" s="63"/>
      <c r="Z864" s="63"/>
      <c r="AA864" s="62"/>
    </row>
    <row r="865" spans="15:27" x14ac:dyDescent="0.25">
      <c r="O865" s="62"/>
      <c r="P865" s="63"/>
      <c r="Q865" s="63"/>
      <c r="R865" s="63"/>
      <c r="S865" s="63"/>
      <c r="X865" s="63"/>
      <c r="Y865" s="63"/>
      <c r="Z865" s="63"/>
      <c r="AA865" s="62"/>
    </row>
    <row r="866" spans="15:27" x14ac:dyDescent="0.25">
      <c r="O866" s="62"/>
      <c r="P866" s="63"/>
      <c r="Q866" s="63"/>
      <c r="R866" s="63"/>
      <c r="S866" s="63"/>
      <c r="X866" s="63"/>
      <c r="Y866" s="63"/>
      <c r="Z866" s="63"/>
      <c r="AA866" s="62"/>
    </row>
    <row r="867" spans="15:27" x14ac:dyDescent="0.25">
      <c r="O867" s="62"/>
      <c r="P867" s="63"/>
      <c r="Q867" s="63"/>
      <c r="R867" s="63"/>
      <c r="S867" s="63"/>
      <c r="X867" s="63"/>
      <c r="Y867" s="63"/>
      <c r="Z867" s="63"/>
      <c r="AA867" s="62"/>
    </row>
    <row r="868" spans="15:27" x14ac:dyDescent="0.25">
      <c r="O868" s="62"/>
      <c r="P868" s="63"/>
      <c r="Q868" s="63"/>
      <c r="R868" s="63"/>
      <c r="S868" s="63"/>
      <c r="X868" s="63"/>
      <c r="Y868" s="63"/>
      <c r="Z868" s="63"/>
      <c r="AA868" s="62"/>
    </row>
    <row r="869" spans="15:27" x14ac:dyDescent="0.25">
      <c r="O869" s="62"/>
      <c r="P869" s="63"/>
      <c r="Q869" s="63"/>
      <c r="R869" s="63"/>
      <c r="S869" s="63"/>
      <c r="X869" s="63"/>
      <c r="Y869" s="63"/>
      <c r="Z869" s="63"/>
      <c r="AA869" s="62"/>
    </row>
    <row r="870" spans="15:27" x14ac:dyDescent="0.25">
      <c r="O870" s="62"/>
      <c r="P870" s="63"/>
      <c r="Q870" s="63"/>
      <c r="R870" s="63"/>
      <c r="S870" s="63"/>
      <c r="X870" s="63"/>
      <c r="Y870" s="63"/>
      <c r="Z870" s="63"/>
      <c r="AA870" s="62"/>
    </row>
    <row r="871" spans="15:27" x14ac:dyDescent="0.25">
      <c r="O871" s="62"/>
      <c r="P871" s="63"/>
      <c r="Q871" s="63"/>
      <c r="R871" s="63"/>
      <c r="S871" s="63"/>
      <c r="X871" s="63"/>
      <c r="Y871" s="63"/>
      <c r="Z871" s="63"/>
      <c r="AA871" s="62"/>
    </row>
    <row r="872" spans="15:27" x14ac:dyDescent="0.25">
      <c r="O872" s="62"/>
      <c r="P872" s="63"/>
      <c r="Q872" s="63"/>
      <c r="R872" s="63"/>
      <c r="S872" s="63"/>
      <c r="X872" s="63"/>
      <c r="Y872" s="63"/>
      <c r="Z872" s="63"/>
      <c r="AA872" s="62"/>
    </row>
    <row r="873" spans="15:27" x14ac:dyDescent="0.25">
      <c r="O873" s="62"/>
      <c r="P873" s="63"/>
      <c r="Q873" s="63"/>
      <c r="R873" s="63"/>
      <c r="S873" s="63"/>
      <c r="X873" s="63"/>
      <c r="Y873" s="63"/>
      <c r="Z873" s="63"/>
      <c r="AA873" s="62"/>
    </row>
    <row r="874" spans="15:27" x14ac:dyDescent="0.25">
      <c r="O874" s="62"/>
      <c r="P874" s="63"/>
      <c r="Q874" s="63"/>
      <c r="R874" s="63"/>
      <c r="S874" s="63"/>
      <c r="X874" s="63"/>
      <c r="Y874" s="63"/>
      <c r="Z874" s="63"/>
      <c r="AA874" s="62"/>
    </row>
    <row r="875" spans="15:27" x14ac:dyDescent="0.25">
      <c r="O875" s="62"/>
      <c r="P875" s="63"/>
      <c r="Q875" s="63"/>
      <c r="R875" s="63"/>
      <c r="S875" s="63"/>
      <c r="X875" s="63"/>
      <c r="Y875" s="63"/>
      <c r="Z875" s="63"/>
      <c r="AA875" s="62"/>
    </row>
    <row r="876" spans="15:27" x14ac:dyDescent="0.25">
      <c r="O876" s="62"/>
      <c r="P876" s="63"/>
      <c r="Q876" s="63"/>
      <c r="R876" s="63"/>
      <c r="S876" s="63"/>
      <c r="X876" s="63"/>
      <c r="Y876" s="63"/>
      <c r="Z876" s="63"/>
      <c r="AA876" s="62"/>
    </row>
    <row r="877" spans="15:27" x14ac:dyDescent="0.25">
      <c r="O877" s="62"/>
      <c r="P877" s="63"/>
      <c r="Q877" s="63"/>
      <c r="R877" s="63"/>
      <c r="S877" s="63"/>
      <c r="X877" s="63"/>
      <c r="Y877" s="63"/>
      <c r="Z877" s="63"/>
      <c r="AA877" s="62"/>
    </row>
    <row r="878" spans="15:27" x14ac:dyDescent="0.25">
      <c r="O878" s="62"/>
      <c r="P878" s="63"/>
      <c r="Q878" s="63"/>
      <c r="R878" s="63"/>
      <c r="S878" s="63"/>
      <c r="X878" s="63"/>
      <c r="Y878" s="63"/>
      <c r="Z878" s="63"/>
      <c r="AA878" s="62"/>
    </row>
    <row r="879" spans="15:27" x14ac:dyDescent="0.25">
      <c r="O879" s="62"/>
      <c r="P879" s="63"/>
      <c r="Q879" s="63"/>
      <c r="R879" s="63"/>
      <c r="S879" s="63"/>
      <c r="X879" s="63"/>
      <c r="Y879" s="63"/>
      <c r="Z879" s="63"/>
      <c r="AA879" s="62"/>
    </row>
    <row r="880" spans="15:27" x14ac:dyDescent="0.25">
      <c r="O880" s="62"/>
      <c r="P880" s="63"/>
      <c r="Q880" s="63"/>
      <c r="R880" s="63"/>
      <c r="S880" s="63"/>
      <c r="X880" s="63"/>
      <c r="Y880" s="63"/>
      <c r="Z880" s="63"/>
      <c r="AA880" s="62"/>
    </row>
    <row r="881" spans="15:27" x14ac:dyDescent="0.25">
      <c r="O881" s="62"/>
      <c r="P881" s="63"/>
      <c r="Q881" s="63"/>
      <c r="R881" s="63"/>
      <c r="S881" s="63"/>
      <c r="X881" s="63"/>
      <c r="Y881" s="63"/>
      <c r="Z881" s="63"/>
      <c r="AA881" s="62"/>
    </row>
    <row r="882" spans="15:27" x14ac:dyDescent="0.25">
      <c r="O882" s="62"/>
      <c r="P882" s="63"/>
      <c r="Q882" s="63"/>
      <c r="R882" s="63"/>
      <c r="S882" s="63"/>
      <c r="X882" s="63"/>
      <c r="Y882" s="63"/>
      <c r="Z882" s="63"/>
      <c r="AA882" s="62"/>
    </row>
    <row r="883" spans="15:27" x14ac:dyDescent="0.25">
      <c r="O883" s="62"/>
      <c r="P883" s="63"/>
      <c r="Q883" s="63"/>
      <c r="R883" s="63"/>
      <c r="S883" s="63"/>
      <c r="X883" s="63"/>
      <c r="Y883" s="63"/>
      <c r="Z883" s="63"/>
      <c r="AA883" s="62"/>
    </row>
    <row r="884" spans="15:27" x14ac:dyDescent="0.25">
      <c r="O884" s="62"/>
      <c r="P884" s="63"/>
      <c r="Q884" s="63"/>
      <c r="R884" s="63"/>
      <c r="S884" s="63"/>
      <c r="X884" s="63"/>
      <c r="Y884" s="63"/>
      <c r="Z884" s="63"/>
      <c r="AA884" s="62"/>
    </row>
    <row r="885" spans="15:27" x14ac:dyDescent="0.25">
      <c r="O885" s="62"/>
      <c r="P885" s="63"/>
      <c r="Q885" s="63"/>
      <c r="R885" s="63"/>
      <c r="S885" s="63"/>
      <c r="X885" s="63"/>
      <c r="Y885" s="63"/>
      <c r="Z885" s="63"/>
      <c r="AA885" s="62"/>
    </row>
    <row r="886" spans="15:27" x14ac:dyDescent="0.25">
      <c r="O886" s="62"/>
      <c r="P886" s="63"/>
      <c r="Q886" s="63"/>
      <c r="R886" s="63"/>
      <c r="S886" s="63"/>
      <c r="X886" s="63"/>
      <c r="Y886" s="63"/>
      <c r="Z886" s="63"/>
      <c r="AA886" s="62"/>
    </row>
    <row r="887" spans="15:27" x14ac:dyDescent="0.25">
      <c r="O887" s="62"/>
      <c r="P887" s="63"/>
      <c r="Q887" s="63"/>
      <c r="R887" s="63"/>
      <c r="S887" s="63"/>
      <c r="X887" s="63"/>
      <c r="Y887" s="63"/>
      <c r="Z887" s="63"/>
      <c r="AA887" s="62"/>
    </row>
    <row r="888" spans="15:27" x14ac:dyDescent="0.25">
      <c r="O888" s="62"/>
      <c r="P888" s="63"/>
      <c r="Q888" s="63"/>
      <c r="R888" s="63"/>
      <c r="S888" s="63"/>
      <c r="X888" s="63"/>
      <c r="Y888" s="63"/>
      <c r="Z888" s="63"/>
      <c r="AA888" s="62"/>
    </row>
    <row r="889" spans="15:27" x14ac:dyDescent="0.25">
      <c r="O889" s="62"/>
      <c r="P889" s="63"/>
      <c r="Q889" s="63"/>
      <c r="R889" s="63"/>
      <c r="S889" s="63"/>
      <c r="X889" s="63"/>
      <c r="Y889" s="63"/>
      <c r="Z889" s="63"/>
      <c r="AA889" s="62"/>
    </row>
    <row r="890" spans="15:27" x14ac:dyDescent="0.25">
      <c r="O890" s="62"/>
      <c r="P890" s="63"/>
      <c r="Q890" s="63"/>
      <c r="R890" s="63"/>
      <c r="S890" s="63"/>
      <c r="X890" s="63"/>
      <c r="Y890" s="63"/>
      <c r="Z890" s="63"/>
      <c r="AA890" s="62"/>
    </row>
    <row r="891" spans="15:27" x14ac:dyDescent="0.25">
      <c r="O891" s="62"/>
      <c r="P891" s="63"/>
      <c r="Q891" s="63"/>
      <c r="R891" s="63"/>
      <c r="S891" s="63"/>
      <c r="X891" s="63"/>
      <c r="Y891" s="63"/>
      <c r="Z891" s="63"/>
      <c r="AA891" s="62"/>
    </row>
    <row r="892" spans="15:27" x14ac:dyDescent="0.25">
      <c r="O892" s="62"/>
      <c r="P892" s="63"/>
      <c r="Q892" s="63"/>
      <c r="R892" s="63"/>
      <c r="S892" s="63"/>
      <c r="X892" s="63"/>
      <c r="Y892" s="63"/>
      <c r="Z892" s="63"/>
      <c r="AA892" s="62"/>
    </row>
    <row r="893" spans="15:27" x14ac:dyDescent="0.25">
      <c r="O893" s="62"/>
      <c r="P893" s="63"/>
      <c r="Q893" s="63"/>
      <c r="R893" s="63"/>
      <c r="S893" s="63"/>
      <c r="X893" s="63"/>
      <c r="Y893" s="63"/>
      <c r="Z893" s="63"/>
      <c r="AA893" s="62"/>
    </row>
    <row r="894" spans="15:27" x14ac:dyDescent="0.25">
      <c r="O894" s="62"/>
      <c r="P894" s="63"/>
      <c r="Q894" s="63"/>
      <c r="R894" s="63"/>
      <c r="S894" s="63"/>
      <c r="X894" s="63"/>
      <c r="Y894" s="63"/>
      <c r="Z894" s="63"/>
      <c r="AA894" s="62"/>
    </row>
    <row r="895" spans="15:27" x14ac:dyDescent="0.25">
      <c r="O895" s="62"/>
      <c r="P895" s="63"/>
      <c r="Q895" s="63"/>
      <c r="R895" s="63"/>
      <c r="S895" s="63"/>
      <c r="X895" s="63"/>
      <c r="Y895" s="63"/>
      <c r="Z895" s="63"/>
      <c r="AA895" s="62"/>
    </row>
    <row r="896" spans="15:27" x14ac:dyDescent="0.25">
      <c r="O896" s="62"/>
      <c r="P896" s="63"/>
      <c r="Q896" s="63"/>
      <c r="R896" s="63"/>
      <c r="S896" s="63"/>
      <c r="X896" s="63"/>
      <c r="Y896" s="63"/>
      <c r="Z896" s="63"/>
      <c r="AA896" s="62"/>
    </row>
    <row r="897" spans="15:27" x14ac:dyDescent="0.25">
      <c r="O897" s="62"/>
      <c r="P897" s="63"/>
      <c r="Q897" s="63"/>
      <c r="R897" s="63"/>
      <c r="S897" s="63"/>
      <c r="X897" s="63"/>
      <c r="Y897" s="63"/>
      <c r="Z897" s="63"/>
      <c r="AA897" s="62"/>
    </row>
    <row r="898" spans="15:27" x14ac:dyDescent="0.25">
      <c r="O898" s="62"/>
      <c r="P898" s="63"/>
      <c r="Q898" s="63"/>
      <c r="R898" s="63"/>
      <c r="S898" s="63"/>
      <c r="X898" s="63"/>
      <c r="Y898" s="63"/>
      <c r="Z898" s="63"/>
      <c r="AA898" s="62"/>
    </row>
    <row r="899" spans="15:27" x14ac:dyDescent="0.25">
      <c r="O899" s="62"/>
      <c r="P899" s="63"/>
      <c r="Q899" s="63"/>
      <c r="R899" s="63"/>
      <c r="S899" s="63"/>
      <c r="X899" s="63"/>
      <c r="Y899" s="63"/>
      <c r="Z899" s="63"/>
      <c r="AA899" s="62"/>
    </row>
    <row r="900" spans="15:27" x14ac:dyDescent="0.25">
      <c r="O900" s="62"/>
      <c r="P900" s="63"/>
      <c r="Q900" s="63"/>
      <c r="R900" s="63"/>
      <c r="S900" s="63"/>
      <c r="X900" s="63"/>
      <c r="Y900" s="63"/>
      <c r="Z900" s="63"/>
      <c r="AA900" s="62"/>
    </row>
    <row r="901" spans="15:27" x14ac:dyDescent="0.25">
      <c r="O901" s="62"/>
      <c r="P901" s="63"/>
      <c r="Q901" s="63"/>
      <c r="R901" s="63"/>
      <c r="S901" s="63"/>
      <c r="X901" s="63"/>
      <c r="Y901" s="63"/>
      <c r="Z901" s="63"/>
      <c r="AA901" s="62"/>
    </row>
    <row r="902" spans="15:27" x14ac:dyDescent="0.25">
      <c r="O902" s="62"/>
      <c r="P902" s="63"/>
      <c r="Q902" s="63"/>
      <c r="R902" s="63"/>
      <c r="S902" s="63"/>
      <c r="X902" s="63"/>
      <c r="Y902" s="63"/>
      <c r="Z902" s="63"/>
      <c r="AA902" s="62"/>
    </row>
    <row r="903" spans="15:27" x14ac:dyDescent="0.25">
      <c r="O903" s="62"/>
      <c r="P903" s="63"/>
      <c r="Q903" s="63"/>
      <c r="R903" s="63"/>
      <c r="S903" s="63"/>
      <c r="X903" s="63"/>
      <c r="Y903" s="63"/>
      <c r="Z903" s="63"/>
      <c r="AA903" s="62"/>
    </row>
    <row r="904" spans="15:27" x14ac:dyDescent="0.25">
      <c r="O904" s="62"/>
      <c r="P904" s="63"/>
      <c r="Q904" s="63"/>
      <c r="R904" s="63"/>
      <c r="S904" s="63"/>
      <c r="X904" s="63"/>
      <c r="Y904" s="63"/>
      <c r="Z904" s="63"/>
      <c r="AA904" s="62"/>
    </row>
    <row r="905" spans="15:27" x14ac:dyDescent="0.25">
      <c r="O905" s="62"/>
      <c r="P905" s="63"/>
      <c r="Q905" s="63"/>
      <c r="R905" s="63"/>
      <c r="S905" s="63"/>
      <c r="X905" s="63"/>
      <c r="Y905" s="63"/>
      <c r="Z905" s="63"/>
      <c r="AA905" s="62"/>
    </row>
    <row r="906" spans="15:27" x14ac:dyDescent="0.25">
      <c r="O906" s="62"/>
      <c r="P906" s="63"/>
      <c r="Q906" s="63"/>
      <c r="R906" s="63"/>
      <c r="S906" s="63"/>
      <c r="X906" s="63"/>
      <c r="Y906" s="63"/>
      <c r="Z906" s="63"/>
      <c r="AA906" s="62"/>
    </row>
    <row r="907" spans="15:27" x14ac:dyDescent="0.25">
      <c r="O907" s="62"/>
      <c r="P907" s="63"/>
      <c r="Q907" s="63"/>
      <c r="R907" s="63"/>
      <c r="S907" s="63"/>
      <c r="X907" s="63"/>
      <c r="Y907" s="63"/>
      <c r="Z907" s="63"/>
      <c r="AA907" s="62"/>
    </row>
    <row r="908" spans="15:27" x14ac:dyDescent="0.25">
      <c r="O908" s="62"/>
      <c r="P908" s="63"/>
      <c r="Q908" s="63"/>
      <c r="R908" s="63"/>
      <c r="S908" s="63"/>
      <c r="X908" s="63"/>
      <c r="Y908" s="63"/>
      <c r="Z908" s="63"/>
      <c r="AA908" s="62"/>
    </row>
    <row r="909" spans="15:27" x14ac:dyDescent="0.25">
      <c r="O909" s="62"/>
      <c r="P909" s="63"/>
      <c r="Q909" s="63"/>
      <c r="R909" s="63"/>
      <c r="S909" s="63"/>
      <c r="X909" s="63"/>
      <c r="Y909" s="63"/>
      <c r="Z909" s="63"/>
      <c r="AA909" s="62"/>
    </row>
    <row r="910" spans="15:27" x14ac:dyDescent="0.25">
      <c r="O910" s="62"/>
      <c r="P910" s="63"/>
      <c r="Q910" s="63"/>
      <c r="R910" s="63"/>
      <c r="S910" s="63"/>
      <c r="X910" s="63"/>
      <c r="Y910" s="63"/>
      <c r="Z910" s="63"/>
      <c r="AA910" s="62"/>
    </row>
    <row r="911" spans="15:27" x14ac:dyDescent="0.25">
      <c r="O911" s="62"/>
      <c r="P911" s="63"/>
      <c r="Q911" s="63"/>
      <c r="R911" s="63"/>
      <c r="S911" s="63"/>
      <c r="X911" s="63"/>
      <c r="Y911" s="63"/>
      <c r="Z911" s="63"/>
      <c r="AA911" s="62"/>
    </row>
    <row r="912" spans="15:27" x14ac:dyDescent="0.25">
      <c r="O912" s="62"/>
      <c r="P912" s="63"/>
      <c r="Q912" s="63"/>
      <c r="R912" s="63"/>
      <c r="S912" s="63"/>
      <c r="X912" s="63"/>
      <c r="Y912" s="63"/>
      <c r="Z912" s="63"/>
      <c r="AA912" s="62"/>
    </row>
    <row r="913" spans="15:27" x14ac:dyDescent="0.25">
      <c r="O913" s="62"/>
      <c r="P913" s="63"/>
      <c r="Q913" s="63"/>
      <c r="R913" s="63"/>
      <c r="S913" s="63"/>
      <c r="X913" s="63"/>
      <c r="Y913" s="63"/>
      <c r="Z913" s="63"/>
      <c r="AA913" s="62"/>
    </row>
    <row r="914" spans="15:27" x14ac:dyDescent="0.25">
      <c r="O914" s="62"/>
      <c r="P914" s="63"/>
      <c r="Q914" s="63"/>
      <c r="R914" s="63"/>
      <c r="S914" s="63"/>
      <c r="X914" s="63"/>
      <c r="Y914" s="63"/>
      <c r="Z914" s="63"/>
      <c r="AA914" s="62"/>
    </row>
    <row r="915" spans="15:27" x14ac:dyDescent="0.25">
      <c r="O915" s="62"/>
      <c r="P915" s="63"/>
      <c r="Q915" s="63"/>
      <c r="R915" s="63"/>
      <c r="S915" s="63"/>
      <c r="X915" s="63"/>
      <c r="Y915" s="63"/>
      <c r="Z915" s="63"/>
      <c r="AA915" s="62"/>
    </row>
    <row r="916" spans="15:27" x14ac:dyDescent="0.25">
      <c r="O916" s="62"/>
      <c r="P916" s="63"/>
      <c r="Q916" s="63"/>
      <c r="R916" s="63"/>
      <c r="S916" s="63"/>
      <c r="X916" s="63"/>
      <c r="Y916" s="63"/>
      <c r="Z916" s="63"/>
      <c r="AA916" s="62"/>
    </row>
    <row r="917" spans="15:27" x14ac:dyDescent="0.25">
      <c r="O917" s="62"/>
      <c r="P917" s="63"/>
      <c r="Q917" s="63"/>
      <c r="R917" s="63"/>
      <c r="S917" s="63"/>
      <c r="X917" s="63"/>
      <c r="Y917" s="63"/>
      <c r="Z917" s="63"/>
      <c r="AA917" s="62"/>
    </row>
    <row r="918" spans="15:27" x14ac:dyDescent="0.25">
      <c r="O918" s="62"/>
      <c r="P918" s="63"/>
      <c r="Q918" s="63"/>
      <c r="R918" s="63"/>
      <c r="S918" s="63"/>
      <c r="X918" s="63"/>
      <c r="Y918" s="63"/>
      <c r="Z918" s="63"/>
      <c r="AA918" s="62"/>
    </row>
    <row r="919" spans="15:27" x14ac:dyDescent="0.25">
      <c r="O919" s="62"/>
      <c r="P919" s="63"/>
      <c r="Q919" s="63"/>
      <c r="R919" s="63"/>
      <c r="S919" s="63"/>
      <c r="X919" s="63"/>
      <c r="Y919" s="63"/>
      <c r="Z919" s="63"/>
      <c r="AA919" s="62"/>
    </row>
    <row r="920" spans="15:27" x14ac:dyDescent="0.25">
      <c r="O920" s="62"/>
      <c r="P920" s="63"/>
      <c r="Q920" s="63"/>
      <c r="R920" s="63"/>
      <c r="S920" s="63"/>
      <c r="X920" s="63"/>
      <c r="Y920" s="63"/>
      <c r="Z920" s="63"/>
      <c r="AA920" s="62"/>
    </row>
    <row r="921" spans="15:27" x14ac:dyDescent="0.25">
      <c r="O921" s="62"/>
      <c r="P921" s="63"/>
      <c r="Q921" s="63"/>
      <c r="R921" s="63"/>
      <c r="S921" s="63"/>
      <c r="X921" s="63"/>
      <c r="Y921" s="63"/>
      <c r="Z921" s="63"/>
      <c r="AA921" s="62"/>
    </row>
    <row r="922" spans="15:27" x14ac:dyDescent="0.25">
      <c r="O922" s="62"/>
      <c r="P922" s="63"/>
      <c r="Q922" s="63"/>
      <c r="R922" s="63"/>
      <c r="S922" s="63"/>
      <c r="X922" s="63"/>
      <c r="Y922" s="63"/>
      <c r="Z922" s="63"/>
      <c r="AA922" s="62"/>
    </row>
    <row r="923" spans="15:27" x14ac:dyDescent="0.25">
      <c r="O923" s="62"/>
      <c r="P923" s="63"/>
      <c r="Q923" s="63"/>
      <c r="R923" s="63"/>
      <c r="S923" s="63"/>
      <c r="X923" s="63"/>
      <c r="Y923" s="63"/>
      <c r="Z923" s="63"/>
      <c r="AA923" s="62"/>
    </row>
    <row r="924" spans="15:27" x14ac:dyDescent="0.25">
      <c r="O924" s="62"/>
      <c r="P924" s="63"/>
      <c r="Q924" s="63"/>
      <c r="R924" s="63"/>
      <c r="S924" s="63"/>
      <c r="X924" s="63"/>
      <c r="Y924" s="63"/>
      <c r="Z924" s="63"/>
      <c r="AA924" s="62"/>
    </row>
    <row r="925" spans="15:27" x14ac:dyDescent="0.25">
      <c r="O925" s="62"/>
      <c r="P925" s="63"/>
      <c r="Q925" s="63"/>
      <c r="R925" s="63"/>
      <c r="S925" s="63"/>
      <c r="X925" s="63"/>
      <c r="Y925" s="63"/>
      <c r="Z925" s="63"/>
      <c r="AA925" s="62"/>
    </row>
    <row r="926" spans="15:27" x14ac:dyDescent="0.25">
      <c r="O926" s="62"/>
      <c r="P926" s="63"/>
      <c r="Q926" s="63"/>
      <c r="R926" s="63"/>
      <c r="S926" s="63"/>
      <c r="X926" s="63"/>
      <c r="Y926" s="63"/>
      <c r="Z926" s="63"/>
      <c r="AA926" s="62"/>
    </row>
    <row r="927" spans="15:27" x14ac:dyDescent="0.25">
      <c r="O927" s="62"/>
      <c r="P927" s="63"/>
      <c r="Q927" s="63"/>
      <c r="R927" s="63"/>
      <c r="S927" s="63"/>
      <c r="X927" s="63"/>
      <c r="Y927" s="63"/>
      <c r="Z927" s="63"/>
      <c r="AA927" s="62"/>
    </row>
    <row r="928" spans="15:27" x14ac:dyDescent="0.25">
      <c r="O928" s="62"/>
      <c r="P928" s="63"/>
      <c r="Q928" s="63"/>
      <c r="R928" s="63"/>
      <c r="S928" s="63"/>
      <c r="X928" s="63"/>
      <c r="Y928" s="63"/>
      <c r="Z928" s="63"/>
      <c r="AA928" s="62"/>
    </row>
    <row r="929" spans="15:27" x14ac:dyDescent="0.25">
      <c r="O929" s="62"/>
      <c r="P929" s="63"/>
      <c r="Q929" s="63"/>
      <c r="R929" s="63"/>
      <c r="S929" s="63"/>
      <c r="X929" s="63"/>
      <c r="Y929" s="63"/>
      <c r="Z929" s="63"/>
      <c r="AA929" s="62"/>
    </row>
    <row r="930" spans="15:27" x14ac:dyDescent="0.25">
      <c r="O930" s="62"/>
      <c r="P930" s="63"/>
      <c r="Q930" s="63"/>
      <c r="R930" s="63"/>
      <c r="S930" s="63"/>
      <c r="X930" s="63"/>
      <c r="Y930" s="63"/>
      <c r="Z930" s="63"/>
      <c r="AA930" s="62"/>
    </row>
    <row r="931" spans="15:27" x14ac:dyDescent="0.25">
      <c r="O931" s="62"/>
      <c r="P931" s="63"/>
      <c r="Q931" s="63"/>
      <c r="R931" s="63"/>
      <c r="S931" s="63"/>
      <c r="X931" s="63"/>
      <c r="Y931" s="63"/>
      <c r="Z931" s="63"/>
      <c r="AA931" s="62"/>
    </row>
    <row r="932" spans="15:27" x14ac:dyDescent="0.25">
      <c r="O932" s="62"/>
      <c r="P932" s="63"/>
      <c r="Q932" s="63"/>
      <c r="R932" s="63"/>
      <c r="S932" s="63"/>
      <c r="X932" s="63"/>
      <c r="Y932" s="63"/>
      <c r="Z932" s="63"/>
      <c r="AA932" s="62"/>
    </row>
    <row r="933" spans="15:27" x14ac:dyDescent="0.25">
      <c r="O933" s="62"/>
      <c r="P933" s="63"/>
      <c r="Q933" s="63"/>
      <c r="R933" s="63"/>
      <c r="S933" s="63"/>
      <c r="X933" s="63"/>
      <c r="Y933" s="63"/>
      <c r="Z933" s="63"/>
      <c r="AA933" s="62"/>
    </row>
    <row r="934" spans="15:27" x14ac:dyDescent="0.25">
      <c r="O934" s="62"/>
      <c r="P934" s="63"/>
      <c r="Q934" s="63"/>
      <c r="R934" s="63"/>
      <c r="S934" s="63"/>
      <c r="X934" s="63"/>
      <c r="Y934" s="63"/>
      <c r="Z934" s="63"/>
      <c r="AA934" s="62"/>
    </row>
    <row r="935" spans="15:27" x14ac:dyDescent="0.25">
      <c r="O935" s="62"/>
      <c r="P935" s="63"/>
      <c r="Q935" s="63"/>
      <c r="R935" s="63"/>
      <c r="S935" s="63"/>
      <c r="X935" s="63"/>
      <c r="Y935" s="63"/>
      <c r="Z935" s="63"/>
      <c r="AA935" s="62"/>
    </row>
    <row r="936" spans="15:27" x14ac:dyDescent="0.25">
      <c r="O936" s="62"/>
      <c r="P936" s="63"/>
      <c r="Q936" s="63"/>
      <c r="R936" s="63"/>
      <c r="S936" s="63"/>
      <c r="X936" s="63"/>
      <c r="Y936" s="63"/>
      <c r="Z936" s="63"/>
      <c r="AA936" s="62"/>
    </row>
    <row r="937" spans="15:27" x14ac:dyDescent="0.25">
      <c r="O937" s="62"/>
      <c r="P937" s="63"/>
      <c r="Q937" s="63"/>
      <c r="R937" s="63"/>
      <c r="S937" s="63"/>
      <c r="X937" s="63"/>
      <c r="Y937" s="63"/>
      <c r="Z937" s="63"/>
      <c r="AA937" s="62"/>
    </row>
    <row r="938" spans="15:27" x14ac:dyDescent="0.25">
      <c r="O938" s="62"/>
      <c r="P938" s="63"/>
      <c r="Q938" s="63"/>
      <c r="R938" s="63"/>
      <c r="S938" s="63"/>
      <c r="X938" s="63"/>
      <c r="Y938" s="63"/>
      <c r="Z938" s="63"/>
      <c r="AA938" s="62"/>
    </row>
    <row r="939" spans="15:27" x14ac:dyDescent="0.25">
      <c r="O939" s="62"/>
      <c r="P939" s="63"/>
      <c r="Q939" s="63"/>
      <c r="R939" s="63"/>
      <c r="S939" s="63"/>
      <c r="X939" s="63"/>
      <c r="Y939" s="63"/>
      <c r="Z939" s="63"/>
      <c r="AA939" s="62"/>
    </row>
    <row r="940" spans="15:27" x14ac:dyDescent="0.25">
      <c r="O940" s="62"/>
      <c r="P940" s="63"/>
      <c r="Q940" s="63"/>
      <c r="R940" s="63"/>
      <c r="S940" s="63"/>
      <c r="X940" s="63"/>
      <c r="Y940" s="63"/>
      <c r="Z940" s="63"/>
      <c r="AA940" s="62"/>
    </row>
    <row r="941" spans="15:27" x14ac:dyDescent="0.25">
      <c r="O941" s="62"/>
      <c r="P941" s="63"/>
      <c r="Q941" s="63"/>
      <c r="R941" s="63"/>
      <c r="S941" s="63"/>
      <c r="X941" s="63"/>
      <c r="Y941" s="63"/>
      <c r="Z941" s="63"/>
      <c r="AA941" s="62"/>
    </row>
    <row r="942" spans="15:27" x14ac:dyDescent="0.25">
      <c r="O942" s="62"/>
      <c r="P942" s="63"/>
      <c r="Q942" s="63"/>
      <c r="R942" s="63"/>
      <c r="S942" s="63"/>
      <c r="X942" s="63"/>
      <c r="Y942" s="63"/>
      <c r="Z942" s="63"/>
      <c r="AA942" s="62"/>
    </row>
    <row r="943" spans="15:27" x14ac:dyDescent="0.25">
      <c r="O943" s="62"/>
      <c r="P943" s="63"/>
      <c r="Q943" s="63"/>
      <c r="R943" s="63"/>
      <c r="S943" s="63"/>
      <c r="X943" s="63"/>
      <c r="Y943" s="63"/>
      <c r="Z943" s="63"/>
      <c r="AA943" s="62"/>
    </row>
    <row r="944" spans="15:27" x14ac:dyDescent="0.25">
      <c r="O944" s="62"/>
      <c r="P944" s="63"/>
      <c r="Q944" s="63"/>
      <c r="R944" s="63"/>
      <c r="S944" s="63"/>
      <c r="X944" s="63"/>
      <c r="Y944" s="63"/>
      <c r="Z944" s="63"/>
      <c r="AA944" s="62"/>
    </row>
    <row r="945" spans="15:27" x14ac:dyDescent="0.25">
      <c r="O945" s="62"/>
      <c r="P945" s="63"/>
      <c r="Q945" s="63"/>
      <c r="R945" s="63"/>
      <c r="S945" s="63"/>
      <c r="X945" s="63"/>
      <c r="Y945" s="63"/>
      <c r="Z945" s="63"/>
      <c r="AA945" s="62"/>
    </row>
    <row r="946" spans="15:27" x14ac:dyDescent="0.25">
      <c r="O946" s="62"/>
      <c r="P946" s="63"/>
      <c r="Q946" s="63"/>
      <c r="R946" s="63"/>
      <c r="S946" s="63"/>
      <c r="X946" s="63"/>
      <c r="Y946" s="63"/>
      <c r="Z946" s="63"/>
      <c r="AA946" s="62"/>
    </row>
    <row r="947" spans="15:27" x14ac:dyDescent="0.25">
      <c r="O947" s="62"/>
      <c r="P947" s="63"/>
      <c r="Q947" s="63"/>
      <c r="R947" s="63"/>
      <c r="S947" s="63"/>
      <c r="X947" s="63"/>
      <c r="Y947" s="63"/>
      <c r="Z947" s="63"/>
      <c r="AA947" s="62"/>
    </row>
    <row r="948" spans="15:27" x14ac:dyDescent="0.25">
      <c r="O948" s="62"/>
      <c r="P948" s="63"/>
      <c r="Q948" s="63"/>
      <c r="R948" s="63"/>
      <c r="S948" s="63"/>
      <c r="X948" s="63"/>
      <c r="Y948" s="63"/>
      <c r="Z948" s="63"/>
      <c r="AA948" s="62"/>
    </row>
    <row r="949" spans="15:27" x14ac:dyDescent="0.25">
      <c r="O949" s="62"/>
      <c r="P949" s="63"/>
      <c r="Q949" s="63"/>
      <c r="R949" s="63"/>
      <c r="S949" s="63"/>
      <c r="X949" s="63"/>
      <c r="Y949" s="63"/>
      <c r="Z949" s="63"/>
      <c r="AA949" s="62"/>
    </row>
    <row r="950" spans="15:27" x14ac:dyDescent="0.25">
      <c r="O950" s="62"/>
      <c r="P950" s="63"/>
      <c r="Q950" s="63"/>
      <c r="R950" s="63"/>
      <c r="S950" s="63"/>
      <c r="X950" s="63"/>
      <c r="Y950" s="63"/>
      <c r="Z950" s="63"/>
      <c r="AA950" s="62"/>
    </row>
    <row r="951" spans="15:27" x14ac:dyDescent="0.25">
      <c r="O951" s="62"/>
      <c r="P951" s="63"/>
      <c r="Q951" s="63"/>
      <c r="R951" s="63"/>
      <c r="S951" s="63"/>
      <c r="X951" s="63"/>
      <c r="Y951" s="63"/>
      <c r="Z951" s="63"/>
      <c r="AA951" s="62"/>
    </row>
    <row r="952" spans="15:27" x14ac:dyDescent="0.25">
      <c r="O952" s="62"/>
      <c r="P952" s="63"/>
      <c r="Q952" s="63"/>
      <c r="R952" s="63"/>
      <c r="S952" s="63"/>
      <c r="X952" s="63"/>
      <c r="Y952" s="63"/>
      <c r="Z952" s="63"/>
      <c r="AA952" s="62"/>
    </row>
    <row r="953" spans="15:27" x14ac:dyDescent="0.25">
      <c r="O953" s="62"/>
      <c r="P953" s="63"/>
      <c r="Q953" s="63"/>
      <c r="R953" s="63"/>
      <c r="S953" s="63"/>
      <c r="X953" s="63"/>
      <c r="Y953" s="63"/>
      <c r="Z953" s="63"/>
      <c r="AA953" s="62"/>
    </row>
    <row r="954" spans="15:27" x14ac:dyDescent="0.25">
      <c r="O954" s="62"/>
      <c r="P954" s="63"/>
      <c r="Q954" s="63"/>
      <c r="R954" s="63"/>
      <c r="S954" s="63"/>
      <c r="X954" s="63"/>
      <c r="Y954" s="63"/>
      <c r="Z954" s="63"/>
      <c r="AA954" s="62"/>
    </row>
    <row r="955" spans="15:27" x14ac:dyDescent="0.25">
      <c r="O955" s="62"/>
      <c r="P955" s="63"/>
      <c r="Q955" s="63"/>
      <c r="R955" s="63"/>
      <c r="S955" s="63"/>
      <c r="X955" s="63"/>
      <c r="Y955" s="63"/>
      <c r="Z955" s="63"/>
      <c r="AA955" s="62"/>
    </row>
    <row r="956" spans="15:27" x14ac:dyDescent="0.25">
      <c r="O956" s="62"/>
      <c r="P956" s="63"/>
      <c r="Q956" s="63"/>
      <c r="R956" s="63"/>
      <c r="S956" s="63"/>
      <c r="X956" s="63"/>
      <c r="Y956" s="63"/>
      <c r="Z956" s="63"/>
      <c r="AA956" s="62"/>
    </row>
    <row r="957" spans="15:27" x14ac:dyDescent="0.25">
      <c r="O957" s="62"/>
      <c r="P957" s="63"/>
      <c r="Q957" s="63"/>
      <c r="R957" s="63"/>
      <c r="S957" s="63"/>
      <c r="X957" s="63"/>
      <c r="Y957" s="63"/>
      <c r="Z957" s="63"/>
      <c r="AA957" s="62"/>
    </row>
    <row r="958" spans="15:27" x14ac:dyDescent="0.25">
      <c r="O958" s="62"/>
      <c r="P958" s="63"/>
      <c r="Q958" s="63"/>
      <c r="R958" s="63"/>
      <c r="S958" s="63"/>
      <c r="X958" s="63"/>
      <c r="Y958" s="63"/>
      <c r="Z958" s="63"/>
      <c r="AA958" s="62"/>
    </row>
    <row r="959" spans="15:27" x14ac:dyDescent="0.25">
      <c r="O959" s="62"/>
      <c r="P959" s="63"/>
      <c r="Q959" s="63"/>
      <c r="R959" s="63"/>
      <c r="S959" s="63"/>
      <c r="X959" s="63"/>
      <c r="Y959" s="63"/>
      <c r="Z959" s="63"/>
      <c r="AA959" s="62"/>
    </row>
    <row r="960" spans="15:27" x14ac:dyDescent="0.25">
      <c r="O960" s="62"/>
      <c r="P960" s="63"/>
      <c r="Q960" s="63"/>
      <c r="R960" s="63"/>
      <c r="S960" s="63"/>
      <c r="X960" s="63"/>
      <c r="Y960" s="63"/>
      <c r="Z960" s="63"/>
      <c r="AA960" s="62"/>
    </row>
    <row r="961" spans="15:27" x14ac:dyDescent="0.25">
      <c r="O961" s="62"/>
      <c r="P961" s="63"/>
      <c r="Q961" s="63"/>
      <c r="R961" s="63"/>
      <c r="S961" s="63"/>
      <c r="X961" s="63"/>
      <c r="Y961" s="63"/>
      <c r="Z961" s="63"/>
      <c r="AA961" s="62"/>
    </row>
    <row r="962" spans="15:27" x14ac:dyDescent="0.25">
      <c r="O962" s="62"/>
      <c r="P962" s="63"/>
      <c r="Q962" s="63"/>
      <c r="R962" s="63"/>
      <c r="S962" s="63"/>
      <c r="X962" s="63"/>
      <c r="Y962" s="63"/>
      <c r="Z962" s="63"/>
      <c r="AA962" s="62"/>
    </row>
    <row r="963" spans="15:27" x14ac:dyDescent="0.25">
      <c r="O963" s="62"/>
      <c r="P963" s="63"/>
      <c r="Q963" s="63"/>
      <c r="R963" s="63"/>
      <c r="S963" s="63"/>
      <c r="X963" s="63"/>
      <c r="Y963" s="63"/>
      <c r="Z963" s="63"/>
      <c r="AA963" s="62"/>
    </row>
    <row r="964" spans="15:27" x14ac:dyDescent="0.25">
      <c r="O964" s="62"/>
      <c r="P964" s="63"/>
      <c r="Q964" s="63"/>
      <c r="R964" s="63"/>
      <c r="S964" s="63"/>
      <c r="X964" s="63"/>
      <c r="Y964" s="63"/>
      <c r="Z964" s="63"/>
      <c r="AA964" s="62"/>
    </row>
    <row r="965" spans="15:27" x14ac:dyDescent="0.25">
      <c r="O965" s="62"/>
      <c r="P965" s="63"/>
      <c r="Q965" s="63"/>
      <c r="R965" s="63"/>
      <c r="S965" s="63"/>
      <c r="X965" s="63"/>
      <c r="Y965" s="63"/>
      <c r="Z965" s="63"/>
      <c r="AA965" s="62"/>
    </row>
    <row r="966" spans="15:27" x14ac:dyDescent="0.25">
      <c r="O966" s="62"/>
      <c r="P966" s="63"/>
      <c r="Q966" s="63"/>
      <c r="R966" s="63"/>
      <c r="S966" s="63"/>
      <c r="X966" s="63"/>
      <c r="Y966" s="63"/>
      <c r="Z966" s="63"/>
      <c r="AA966" s="62"/>
    </row>
    <row r="967" spans="15:27" x14ac:dyDescent="0.25">
      <c r="O967" s="62"/>
      <c r="P967" s="63"/>
      <c r="Q967" s="63"/>
      <c r="R967" s="63"/>
      <c r="S967" s="63"/>
      <c r="X967" s="63"/>
      <c r="Y967" s="63"/>
      <c r="Z967" s="63"/>
      <c r="AA967" s="62"/>
    </row>
    <row r="968" spans="15:27" x14ac:dyDescent="0.25">
      <c r="O968" s="62"/>
      <c r="P968" s="63"/>
      <c r="Q968" s="63"/>
      <c r="R968" s="63"/>
      <c r="S968" s="63"/>
      <c r="X968" s="63"/>
      <c r="Y968" s="63"/>
      <c r="Z968" s="63"/>
      <c r="AA968" s="62"/>
    </row>
    <row r="969" spans="15:27" x14ac:dyDescent="0.25">
      <c r="O969" s="62"/>
      <c r="P969" s="63"/>
      <c r="Q969" s="63"/>
      <c r="R969" s="63"/>
      <c r="S969" s="63"/>
      <c r="X969" s="63"/>
      <c r="Y969" s="63"/>
      <c r="Z969" s="63"/>
      <c r="AA969" s="62"/>
    </row>
    <row r="970" spans="15:27" x14ac:dyDescent="0.25">
      <c r="O970" s="62"/>
      <c r="P970" s="63"/>
      <c r="Q970" s="63"/>
      <c r="R970" s="63"/>
      <c r="S970" s="63"/>
      <c r="X970" s="63"/>
      <c r="Y970" s="63"/>
      <c r="Z970" s="63"/>
      <c r="AA970" s="62"/>
    </row>
    <row r="971" spans="15:27" x14ac:dyDescent="0.25">
      <c r="O971" s="62"/>
      <c r="P971" s="63"/>
      <c r="Q971" s="63"/>
      <c r="R971" s="63"/>
      <c r="S971" s="63"/>
      <c r="X971" s="63"/>
      <c r="Y971" s="63"/>
      <c r="Z971" s="63"/>
      <c r="AA971" s="62"/>
    </row>
    <row r="972" spans="15:27" x14ac:dyDescent="0.25">
      <c r="O972" s="62"/>
      <c r="P972" s="63"/>
      <c r="Q972" s="63"/>
      <c r="R972" s="63"/>
      <c r="S972" s="63"/>
      <c r="X972" s="63"/>
      <c r="Y972" s="63"/>
      <c r="Z972" s="63"/>
      <c r="AA972" s="62"/>
    </row>
    <row r="973" spans="15:27" x14ac:dyDescent="0.25">
      <c r="O973" s="62"/>
      <c r="P973" s="63"/>
      <c r="Q973" s="63"/>
      <c r="R973" s="63"/>
      <c r="S973" s="63"/>
      <c r="X973" s="63"/>
      <c r="Y973" s="63"/>
      <c r="Z973" s="63"/>
      <c r="AA973" s="62"/>
    </row>
    <row r="974" spans="15:27" x14ac:dyDescent="0.25">
      <c r="O974" s="62"/>
      <c r="P974" s="63"/>
      <c r="Q974" s="63"/>
      <c r="R974" s="63"/>
      <c r="S974" s="63"/>
      <c r="X974" s="63"/>
      <c r="Y974" s="63"/>
      <c r="Z974" s="63"/>
      <c r="AA974" s="62"/>
    </row>
    <row r="975" spans="15:27" x14ac:dyDescent="0.25">
      <c r="O975" s="62"/>
      <c r="P975" s="63"/>
      <c r="Q975" s="63"/>
      <c r="R975" s="63"/>
      <c r="S975" s="63"/>
      <c r="X975" s="63"/>
      <c r="Y975" s="63"/>
      <c r="Z975" s="63"/>
      <c r="AA975" s="62"/>
    </row>
    <row r="976" spans="15:27" x14ac:dyDescent="0.25">
      <c r="O976" s="62"/>
      <c r="P976" s="63"/>
      <c r="Q976" s="63"/>
      <c r="R976" s="63"/>
      <c r="S976" s="63"/>
      <c r="X976" s="63"/>
      <c r="Y976" s="63"/>
      <c r="Z976" s="63"/>
      <c r="AA976" s="62"/>
    </row>
    <row r="977" spans="15:27" x14ac:dyDescent="0.25">
      <c r="O977" s="62"/>
      <c r="P977" s="63"/>
      <c r="Q977" s="63"/>
      <c r="R977" s="63"/>
      <c r="S977" s="63"/>
      <c r="X977" s="63"/>
      <c r="Y977" s="63"/>
      <c r="Z977" s="63"/>
      <c r="AA977" s="62"/>
    </row>
    <row r="978" spans="15:27" x14ac:dyDescent="0.25">
      <c r="O978" s="62"/>
      <c r="P978" s="63"/>
      <c r="Q978" s="63"/>
      <c r="R978" s="63"/>
      <c r="S978" s="63"/>
      <c r="X978" s="63"/>
      <c r="Y978" s="63"/>
      <c r="Z978" s="63"/>
      <c r="AA978" s="62"/>
    </row>
    <row r="979" spans="15:27" x14ac:dyDescent="0.25">
      <c r="O979" s="62"/>
      <c r="P979" s="63"/>
      <c r="Q979" s="63"/>
      <c r="R979" s="63"/>
      <c r="S979" s="63"/>
      <c r="X979" s="63"/>
      <c r="Y979" s="63"/>
      <c r="Z979" s="63"/>
      <c r="AA979" s="62"/>
    </row>
    <row r="980" spans="15:27" x14ac:dyDescent="0.25">
      <c r="O980" s="62"/>
      <c r="P980" s="63"/>
      <c r="Q980" s="63"/>
      <c r="R980" s="63"/>
      <c r="S980" s="63"/>
      <c r="X980" s="63"/>
      <c r="Y980" s="63"/>
      <c r="Z980" s="63"/>
      <c r="AA980" s="62"/>
    </row>
    <row r="981" spans="15:27" x14ac:dyDescent="0.25">
      <c r="O981" s="62"/>
      <c r="P981" s="63"/>
      <c r="Q981" s="63"/>
      <c r="R981" s="63"/>
      <c r="S981" s="63"/>
      <c r="X981" s="63"/>
      <c r="Y981" s="63"/>
      <c r="Z981" s="63"/>
      <c r="AA981" s="62"/>
    </row>
    <row r="982" spans="15:27" x14ac:dyDescent="0.25">
      <c r="O982" s="62"/>
      <c r="P982" s="63"/>
      <c r="Q982" s="63"/>
      <c r="R982" s="63"/>
      <c r="S982" s="63"/>
      <c r="X982" s="63"/>
      <c r="Y982" s="63"/>
      <c r="Z982" s="63"/>
      <c r="AA982" s="62"/>
    </row>
    <row r="983" spans="15:27" x14ac:dyDescent="0.25">
      <c r="O983" s="62"/>
      <c r="P983" s="63"/>
      <c r="Q983" s="63"/>
      <c r="R983" s="63"/>
      <c r="S983" s="63"/>
      <c r="X983" s="63"/>
      <c r="Y983" s="63"/>
      <c r="Z983" s="63"/>
      <c r="AA983" s="62"/>
    </row>
    <row r="984" spans="15:27" x14ac:dyDescent="0.25">
      <c r="O984" s="62"/>
      <c r="P984" s="63"/>
      <c r="Q984" s="63"/>
      <c r="R984" s="63"/>
      <c r="S984" s="63"/>
      <c r="X984" s="63"/>
      <c r="Y984" s="63"/>
      <c r="Z984" s="63"/>
      <c r="AA984" s="62"/>
    </row>
    <row r="985" spans="15:27" x14ac:dyDescent="0.25">
      <c r="O985" s="62"/>
      <c r="P985" s="63"/>
      <c r="Q985" s="63"/>
      <c r="R985" s="63"/>
      <c r="S985" s="63"/>
      <c r="X985" s="63"/>
      <c r="Y985" s="63"/>
      <c r="Z985" s="63"/>
      <c r="AA985" s="62"/>
    </row>
    <row r="986" spans="15:27" x14ac:dyDescent="0.25">
      <c r="O986" s="62"/>
      <c r="P986" s="63"/>
      <c r="Q986" s="63"/>
      <c r="R986" s="63"/>
      <c r="S986" s="63"/>
      <c r="X986" s="63"/>
      <c r="Y986" s="63"/>
      <c r="Z986" s="63"/>
      <c r="AA986" s="62"/>
    </row>
    <row r="987" spans="15:27" x14ac:dyDescent="0.25">
      <c r="O987" s="62"/>
      <c r="P987" s="63"/>
      <c r="Q987" s="63"/>
      <c r="R987" s="63"/>
      <c r="S987" s="63"/>
      <c r="X987" s="63"/>
      <c r="Y987" s="63"/>
      <c r="Z987" s="63"/>
      <c r="AA987" s="62"/>
    </row>
    <row r="988" spans="15:27" x14ac:dyDescent="0.25">
      <c r="O988" s="62"/>
      <c r="P988" s="63"/>
      <c r="Q988" s="63"/>
      <c r="R988" s="63"/>
      <c r="S988" s="63"/>
      <c r="X988" s="63"/>
      <c r="Y988" s="63"/>
      <c r="Z988" s="63"/>
      <c r="AA988" s="62"/>
    </row>
    <row r="989" spans="15:27" x14ac:dyDescent="0.25">
      <c r="O989" s="62"/>
      <c r="P989" s="63"/>
      <c r="Q989" s="63"/>
      <c r="R989" s="63"/>
      <c r="S989" s="63"/>
      <c r="X989" s="63"/>
      <c r="Y989" s="63"/>
      <c r="Z989" s="63"/>
      <c r="AA989" s="62"/>
    </row>
    <row r="990" spans="15:27" x14ac:dyDescent="0.25">
      <c r="O990" s="62"/>
      <c r="P990" s="63"/>
      <c r="Q990" s="63"/>
      <c r="R990" s="63"/>
      <c r="S990" s="63"/>
      <c r="X990" s="63"/>
      <c r="Y990" s="63"/>
      <c r="Z990" s="63"/>
      <c r="AA990" s="62"/>
    </row>
    <row r="991" spans="15:27" x14ac:dyDescent="0.25">
      <c r="O991" s="62"/>
      <c r="P991" s="63"/>
      <c r="Q991" s="63"/>
      <c r="R991" s="63"/>
      <c r="S991" s="63"/>
      <c r="X991" s="63"/>
      <c r="Y991" s="63"/>
      <c r="Z991" s="63"/>
      <c r="AA991" s="62"/>
    </row>
    <row r="992" spans="15:27" x14ac:dyDescent="0.25">
      <c r="O992" s="62"/>
      <c r="P992" s="63"/>
      <c r="Q992" s="63"/>
      <c r="R992" s="63"/>
      <c r="S992" s="63"/>
      <c r="X992" s="63"/>
      <c r="Y992" s="63"/>
      <c r="Z992" s="63"/>
      <c r="AA992" s="62"/>
    </row>
    <row r="993" spans="15:27" x14ac:dyDescent="0.25">
      <c r="O993" s="62"/>
      <c r="P993" s="63"/>
      <c r="Q993" s="63"/>
      <c r="R993" s="63"/>
      <c r="S993" s="63"/>
      <c r="X993" s="63"/>
      <c r="Y993" s="63"/>
      <c r="Z993" s="63"/>
      <c r="AA993" s="62"/>
    </row>
    <row r="994" spans="15:27" x14ac:dyDescent="0.25">
      <c r="O994" s="62"/>
      <c r="P994" s="63"/>
      <c r="Q994" s="63"/>
      <c r="R994" s="63"/>
      <c r="S994" s="63"/>
      <c r="X994" s="63"/>
      <c r="Y994" s="63"/>
      <c r="Z994" s="63"/>
      <c r="AA994" s="62"/>
    </row>
    <row r="995" spans="15:27" x14ac:dyDescent="0.25">
      <c r="O995" s="62"/>
      <c r="P995" s="63"/>
      <c r="Q995" s="63"/>
      <c r="R995" s="63"/>
      <c r="S995" s="63"/>
      <c r="X995" s="63"/>
      <c r="Y995" s="63"/>
      <c r="Z995" s="63"/>
      <c r="AA995" s="62"/>
    </row>
    <row r="996" spans="15:27" x14ac:dyDescent="0.25">
      <c r="O996" s="62"/>
      <c r="P996" s="63"/>
      <c r="Q996" s="63"/>
      <c r="R996" s="63"/>
      <c r="S996" s="63"/>
      <c r="X996" s="63"/>
      <c r="Y996" s="63"/>
      <c r="Z996" s="63"/>
      <c r="AA996" s="62"/>
    </row>
    <row r="997" spans="15:27" x14ac:dyDescent="0.25">
      <c r="O997" s="62"/>
      <c r="P997" s="63"/>
      <c r="Q997" s="63"/>
      <c r="R997" s="63"/>
      <c r="S997" s="63"/>
      <c r="X997" s="63"/>
      <c r="Y997" s="63"/>
      <c r="Z997" s="63"/>
      <c r="AA997" s="62"/>
    </row>
    <row r="998" spans="15:27" x14ac:dyDescent="0.25">
      <c r="O998" s="62"/>
      <c r="P998" s="63"/>
      <c r="Q998" s="63"/>
      <c r="R998" s="63"/>
      <c r="S998" s="63"/>
      <c r="X998" s="63"/>
      <c r="Y998" s="63"/>
      <c r="Z998" s="63"/>
      <c r="AA998" s="62"/>
    </row>
    <row r="999" spans="15:27" x14ac:dyDescent="0.25">
      <c r="O999" s="62"/>
      <c r="P999" s="63"/>
      <c r="Q999" s="63"/>
      <c r="R999" s="63"/>
      <c r="S999" s="63"/>
      <c r="X999" s="63"/>
      <c r="Y999" s="63"/>
      <c r="Z999" s="63"/>
      <c r="AA999" s="62"/>
    </row>
    <row r="1000" spans="15:27" x14ac:dyDescent="0.25">
      <c r="O1000" s="62"/>
      <c r="P1000" s="63"/>
      <c r="Q1000" s="63"/>
      <c r="R1000" s="63"/>
      <c r="S1000" s="63"/>
      <c r="X1000" s="63"/>
      <c r="Y1000" s="63"/>
      <c r="Z1000" s="63"/>
      <c r="AA1000" s="62"/>
    </row>
    <row r="1001" spans="15:27" x14ac:dyDescent="0.25">
      <c r="O1001" s="62"/>
      <c r="P1001" s="63"/>
      <c r="Q1001" s="63"/>
      <c r="R1001" s="63"/>
      <c r="S1001" s="63"/>
      <c r="X1001" s="63"/>
      <c r="Y1001" s="63"/>
      <c r="Z1001" s="63"/>
      <c r="AA1001" s="62"/>
    </row>
    <row r="1002" spans="15:27" x14ac:dyDescent="0.25">
      <c r="O1002" s="62"/>
      <c r="P1002" s="63"/>
      <c r="Q1002" s="63"/>
      <c r="R1002" s="63"/>
      <c r="S1002" s="63"/>
      <c r="X1002" s="63"/>
      <c r="Y1002" s="63"/>
      <c r="Z1002" s="63"/>
      <c r="AA1002" s="62"/>
    </row>
    <row r="1003" spans="15:27" x14ac:dyDescent="0.25">
      <c r="O1003" s="62"/>
      <c r="P1003" s="63"/>
      <c r="Q1003" s="63"/>
      <c r="R1003" s="63"/>
      <c r="S1003" s="63"/>
      <c r="X1003" s="63"/>
      <c r="Y1003" s="63"/>
      <c r="Z1003" s="63"/>
      <c r="AA1003" s="62"/>
    </row>
    <row r="1004" spans="15:27" x14ac:dyDescent="0.25">
      <c r="O1004" s="62"/>
      <c r="P1004" s="63"/>
      <c r="Q1004" s="63"/>
      <c r="R1004" s="63"/>
      <c r="S1004" s="63"/>
      <c r="X1004" s="63"/>
      <c r="Y1004" s="63"/>
      <c r="Z1004" s="63"/>
      <c r="AA1004" s="62"/>
    </row>
    <row r="1005" spans="15:27" x14ac:dyDescent="0.25">
      <c r="O1005" s="62"/>
      <c r="P1005" s="63"/>
      <c r="Q1005" s="63"/>
      <c r="R1005" s="63"/>
      <c r="S1005" s="63"/>
      <c r="X1005" s="63"/>
      <c r="Y1005" s="63"/>
      <c r="Z1005" s="63"/>
      <c r="AA1005" s="62"/>
    </row>
    <row r="1006" spans="15:27" x14ac:dyDescent="0.25">
      <c r="O1006" s="62"/>
      <c r="P1006" s="63"/>
      <c r="Q1006" s="63"/>
      <c r="R1006" s="63"/>
      <c r="S1006" s="63"/>
      <c r="X1006" s="63"/>
      <c r="Y1006" s="63"/>
      <c r="Z1006" s="63"/>
      <c r="AA1006" s="62"/>
    </row>
    <row r="1007" spans="15:27" x14ac:dyDescent="0.25">
      <c r="O1007" s="62"/>
      <c r="P1007" s="63"/>
      <c r="Q1007" s="63"/>
      <c r="R1007" s="63"/>
      <c r="S1007" s="63"/>
      <c r="X1007" s="63"/>
      <c r="Y1007" s="63"/>
      <c r="Z1007" s="63"/>
      <c r="AA1007" s="62"/>
    </row>
    <row r="1008" spans="15:27" x14ac:dyDescent="0.25">
      <c r="O1008" s="62"/>
      <c r="P1008" s="63"/>
      <c r="Q1008" s="63"/>
      <c r="R1008" s="63"/>
      <c r="S1008" s="63"/>
      <c r="X1008" s="63"/>
      <c r="Y1008" s="63"/>
      <c r="Z1008" s="63"/>
      <c r="AA1008" s="62"/>
    </row>
    <row r="1009" spans="15:27" x14ac:dyDescent="0.25">
      <c r="O1009" s="62"/>
      <c r="P1009" s="63"/>
      <c r="Q1009" s="63"/>
      <c r="R1009" s="63"/>
      <c r="S1009" s="63"/>
      <c r="X1009" s="63"/>
      <c r="Y1009" s="63"/>
      <c r="Z1009" s="63"/>
      <c r="AA1009" s="62"/>
    </row>
    <row r="1010" spans="15:27" x14ac:dyDescent="0.25">
      <c r="O1010" s="62"/>
      <c r="P1010" s="63"/>
      <c r="Q1010" s="63"/>
      <c r="R1010" s="63"/>
      <c r="S1010" s="63"/>
      <c r="X1010" s="63"/>
      <c r="Y1010" s="63"/>
      <c r="Z1010" s="63"/>
      <c r="AA1010" s="62"/>
    </row>
    <row r="1011" spans="15:27" x14ac:dyDescent="0.25">
      <c r="O1011" s="62"/>
      <c r="P1011" s="63"/>
      <c r="Q1011" s="63"/>
      <c r="R1011" s="63"/>
      <c r="S1011" s="63"/>
      <c r="X1011" s="63"/>
      <c r="Y1011" s="63"/>
      <c r="Z1011" s="63"/>
      <c r="AA1011" s="62"/>
    </row>
    <row r="1012" spans="15:27" x14ac:dyDescent="0.25">
      <c r="O1012" s="62"/>
      <c r="P1012" s="63"/>
      <c r="Q1012" s="63"/>
      <c r="R1012" s="63"/>
      <c r="S1012" s="63"/>
      <c r="X1012" s="63"/>
      <c r="Y1012" s="63"/>
      <c r="Z1012" s="63"/>
      <c r="AA1012" s="62"/>
    </row>
    <row r="1013" spans="15:27" x14ac:dyDescent="0.25">
      <c r="O1013" s="62"/>
      <c r="P1013" s="63"/>
      <c r="Q1013" s="63"/>
      <c r="R1013" s="63"/>
      <c r="S1013" s="63"/>
      <c r="X1013" s="63"/>
      <c r="Y1013" s="63"/>
      <c r="Z1013" s="63"/>
      <c r="AA1013" s="62"/>
    </row>
    <row r="1014" spans="15:27" x14ac:dyDescent="0.25">
      <c r="O1014" s="62"/>
      <c r="P1014" s="63"/>
      <c r="Q1014" s="63"/>
      <c r="R1014" s="63"/>
      <c r="S1014" s="63"/>
      <c r="X1014" s="63"/>
      <c r="Y1014" s="63"/>
      <c r="Z1014" s="63"/>
      <c r="AA1014" s="62"/>
    </row>
    <row r="1015" spans="15:27" x14ac:dyDescent="0.25">
      <c r="O1015" s="62"/>
      <c r="P1015" s="63"/>
      <c r="Q1015" s="63"/>
      <c r="R1015" s="63"/>
      <c r="S1015" s="63"/>
      <c r="X1015" s="63"/>
      <c r="Y1015" s="63"/>
      <c r="Z1015" s="63"/>
      <c r="AA1015" s="62"/>
    </row>
    <row r="1016" spans="15:27" x14ac:dyDescent="0.25">
      <c r="O1016" s="62"/>
      <c r="P1016" s="63"/>
      <c r="Q1016" s="63"/>
      <c r="R1016" s="63"/>
      <c r="S1016" s="63"/>
      <c r="X1016" s="63"/>
      <c r="Y1016" s="63"/>
      <c r="Z1016" s="63"/>
      <c r="AA1016" s="62"/>
    </row>
    <row r="1017" spans="15:27" x14ac:dyDescent="0.25">
      <c r="O1017" s="62"/>
      <c r="P1017" s="63"/>
      <c r="Q1017" s="63"/>
      <c r="R1017" s="63"/>
      <c r="S1017" s="63"/>
      <c r="X1017" s="63"/>
      <c r="Y1017" s="63"/>
      <c r="Z1017" s="63"/>
      <c r="AA1017" s="62"/>
    </row>
    <row r="1018" spans="15:27" x14ac:dyDescent="0.25">
      <c r="O1018" s="62"/>
      <c r="P1018" s="63"/>
      <c r="Q1018" s="63"/>
      <c r="R1018" s="63"/>
      <c r="S1018" s="63"/>
      <c r="X1018" s="63"/>
      <c r="Y1018" s="63"/>
      <c r="Z1018" s="63"/>
      <c r="AA1018" s="62"/>
    </row>
    <row r="1019" spans="15:27" x14ac:dyDescent="0.25">
      <c r="O1019" s="62"/>
      <c r="P1019" s="63"/>
      <c r="Q1019" s="63"/>
      <c r="R1019" s="63"/>
      <c r="S1019" s="63"/>
      <c r="X1019" s="63"/>
      <c r="Y1019" s="63"/>
      <c r="Z1019" s="63"/>
      <c r="AA1019" s="62"/>
    </row>
    <row r="1020" spans="15:27" x14ac:dyDescent="0.25">
      <c r="O1020" s="62"/>
      <c r="P1020" s="63"/>
      <c r="Q1020" s="63"/>
      <c r="R1020" s="63"/>
      <c r="S1020" s="63"/>
      <c r="X1020" s="63"/>
      <c r="Y1020" s="63"/>
      <c r="Z1020" s="63"/>
      <c r="AA1020" s="62"/>
    </row>
    <row r="1021" spans="15:27" x14ac:dyDescent="0.25">
      <c r="O1021" s="62"/>
      <c r="P1021" s="63"/>
      <c r="Q1021" s="63"/>
      <c r="R1021" s="63"/>
      <c r="S1021" s="63"/>
      <c r="X1021" s="63"/>
      <c r="Y1021" s="63"/>
      <c r="Z1021" s="63"/>
      <c r="AA1021" s="62"/>
    </row>
    <row r="1022" spans="15:27" x14ac:dyDescent="0.25">
      <c r="O1022" s="62"/>
      <c r="P1022" s="63"/>
      <c r="Q1022" s="63"/>
      <c r="R1022" s="63"/>
      <c r="S1022" s="63"/>
      <c r="X1022" s="63"/>
      <c r="Y1022" s="63"/>
      <c r="Z1022" s="63"/>
      <c r="AA1022" s="62"/>
    </row>
    <row r="1023" spans="15:27" x14ac:dyDescent="0.25">
      <c r="O1023" s="62"/>
      <c r="P1023" s="63"/>
      <c r="Q1023" s="63"/>
      <c r="R1023" s="63"/>
      <c r="S1023" s="63"/>
      <c r="X1023" s="63"/>
      <c r="Y1023" s="63"/>
      <c r="Z1023" s="63"/>
      <c r="AA1023" s="62"/>
    </row>
    <row r="1024" spans="15:27" x14ac:dyDescent="0.25">
      <c r="O1024" s="62"/>
      <c r="P1024" s="63"/>
      <c r="Q1024" s="63"/>
      <c r="R1024" s="63"/>
      <c r="S1024" s="63"/>
      <c r="X1024" s="63"/>
      <c r="Y1024" s="63"/>
      <c r="Z1024" s="63"/>
      <c r="AA1024" s="62"/>
    </row>
    <row r="1025" spans="15:27" x14ac:dyDescent="0.25">
      <c r="O1025" s="62"/>
      <c r="P1025" s="63"/>
      <c r="Q1025" s="63"/>
      <c r="R1025" s="63"/>
      <c r="S1025" s="63"/>
      <c r="X1025" s="63"/>
      <c r="Y1025" s="63"/>
      <c r="Z1025" s="63"/>
      <c r="AA1025" s="62"/>
    </row>
    <row r="1026" spans="15:27" x14ac:dyDescent="0.25">
      <c r="O1026" s="62"/>
      <c r="P1026" s="63"/>
      <c r="Q1026" s="63"/>
      <c r="R1026" s="63"/>
      <c r="S1026" s="63"/>
      <c r="X1026" s="63"/>
      <c r="Y1026" s="63"/>
      <c r="Z1026" s="63"/>
      <c r="AA1026" s="62"/>
    </row>
    <row r="1027" spans="15:27" x14ac:dyDescent="0.25">
      <c r="O1027" s="62"/>
      <c r="P1027" s="63"/>
      <c r="Q1027" s="63"/>
      <c r="R1027" s="63"/>
      <c r="S1027" s="63"/>
      <c r="X1027" s="63"/>
      <c r="Y1027" s="63"/>
      <c r="Z1027" s="63"/>
      <c r="AA1027" s="62"/>
    </row>
    <row r="1028" spans="15:27" x14ac:dyDescent="0.25">
      <c r="O1028" s="62"/>
      <c r="P1028" s="63"/>
      <c r="Q1028" s="63"/>
      <c r="R1028" s="63"/>
      <c r="S1028" s="63"/>
      <c r="X1028" s="63"/>
      <c r="Y1028" s="63"/>
      <c r="Z1028" s="63"/>
      <c r="AA1028" s="62"/>
    </row>
    <row r="1029" spans="15:27" x14ac:dyDescent="0.25">
      <c r="O1029" s="62"/>
      <c r="P1029" s="63"/>
      <c r="Q1029" s="63"/>
      <c r="R1029" s="63"/>
      <c r="S1029" s="63"/>
      <c r="X1029" s="63"/>
      <c r="Y1029" s="63"/>
      <c r="Z1029" s="63"/>
      <c r="AA1029" s="62"/>
    </row>
    <row r="1030" spans="15:27" x14ac:dyDescent="0.25">
      <c r="O1030" s="62"/>
      <c r="P1030" s="63"/>
      <c r="Q1030" s="63"/>
      <c r="R1030" s="63"/>
      <c r="S1030" s="63"/>
      <c r="X1030" s="63"/>
      <c r="Y1030" s="63"/>
      <c r="Z1030" s="63"/>
      <c r="AA1030" s="62"/>
    </row>
    <row r="1031" spans="15:27" x14ac:dyDescent="0.25">
      <c r="O1031" s="62"/>
      <c r="P1031" s="63"/>
      <c r="Q1031" s="63"/>
      <c r="R1031" s="63"/>
      <c r="S1031" s="63"/>
      <c r="X1031" s="63"/>
      <c r="Y1031" s="63"/>
      <c r="Z1031" s="63"/>
      <c r="AA1031" s="62"/>
    </row>
    <row r="1032" spans="15:27" x14ac:dyDescent="0.25">
      <c r="O1032" s="62"/>
      <c r="P1032" s="63"/>
      <c r="Q1032" s="63"/>
      <c r="R1032" s="63"/>
      <c r="S1032" s="63"/>
      <c r="X1032" s="63"/>
      <c r="Y1032" s="63"/>
      <c r="Z1032" s="63"/>
      <c r="AA1032" s="62"/>
    </row>
    <row r="1033" spans="15:27" x14ac:dyDescent="0.25">
      <c r="O1033" s="62"/>
      <c r="P1033" s="63"/>
      <c r="Q1033" s="63"/>
      <c r="R1033" s="63"/>
      <c r="S1033" s="63"/>
      <c r="X1033" s="63"/>
      <c r="Y1033" s="63"/>
      <c r="Z1033" s="63"/>
      <c r="AA1033" s="62"/>
    </row>
    <row r="1034" spans="15:27" x14ac:dyDescent="0.25">
      <c r="O1034" s="62"/>
      <c r="P1034" s="63"/>
      <c r="Q1034" s="63"/>
      <c r="R1034" s="63"/>
      <c r="S1034" s="63"/>
      <c r="X1034" s="63"/>
      <c r="Y1034" s="63"/>
      <c r="Z1034" s="63"/>
      <c r="AA1034" s="62"/>
    </row>
    <row r="1035" spans="15:27" x14ac:dyDescent="0.25">
      <c r="O1035" s="62"/>
      <c r="P1035" s="63"/>
      <c r="Q1035" s="63"/>
      <c r="R1035" s="63"/>
      <c r="S1035" s="63"/>
      <c r="X1035" s="63"/>
      <c r="Y1035" s="63"/>
      <c r="Z1035" s="63"/>
      <c r="AA1035" s="62"/>
    </row>
    <row r="1036" spans="15:27" x14ac:dyDescent="0.25">
      <c r="O1036" s="62"/>
      <c r="P1036" s="63"/>
      <c r="Q1036" s="63"/>
      <c r="R1036" s="63"/>
      <c r="S1036" s="63"/>
      <c r="X1036" s="63"/>
      <c r="Y1036" s="63"/>
      <c r="Z1036" s="63"/>
      <c r="AA1036" s="62"/>
    </row>
    <row r="1037" spans="15:27" x14ac:dyDescent="0.25">
      <c r="O1037" s="62"/>
      <c r="P1037" s="63"/>
      <c r="Q1037" s="63"/>
      <c r="R1037" s="63"/>
      <c r="S1037" s="63"/>
      <c r="X1037" s="63"/>
      <c r="Y1037" s="63"/>
      <c r="Z1037" s="63"/>
      <c r="AA1037" s="62"/>
    </row>
    <row r="1038" spans="15:27" x14ac:dyDescent="0.25">
      <c r="O1038" s="62"/>
      <c r="P1038" s="63"/>
      <c r="Q1038" s="63"/>
      <c r="R1038" s="63"/>
      <c r="S1038" s="63"/>
      <c r="X1038" s="63"/>
      <c r="Y1038" s="63"/>
      <c r="Z1038" s="63"/>
      <c r="AA1038" s="62"/>
    </row>
    <row r="1039" spans="15:27" x14ac:dyDescent="0.25">
      <c r="O1039" s="62"/>
      <c r="P1039" s="63"/>
      <c r="Q1039" s="63"/>
      <c r="R1039" s="63"/>
      <c r="S1039" s="63"/>
      <c r="X1039" s="63"/>
      <c r="Y1039" s="63"/>
      <c r="Z1039" s="63"/>
      <c r="AA1039" s="62"/>
    </row>
    <row r="1040" spans="15:27" x14ac:dyDescent="0.25">
      <c r="O1040" s="62"/>
      <c r="P1040" s="63"/>
      <c r="Q1040" s="63"/>
      <c r="R1040" s="63"/>
      <c r="S1040" s="63"/>
      <c r="X1040" s="63"/>
      <c r="Y1040" s="63"/>
      <c r="Z1040" s="63"/>
      <c r="AA1040" s="62"/>
    </row>
    <row r="1041" spans="15:27" x14ac:dyDescent="0.25">
      <c r="O1041" s="62"/>
      <c r="P1041" s="63"/>
      <c r="Q1041" s="63"/>
      <c r="R1041" s="63"/>
      <c r="S1041" s="63"/>
      <c r="X1041" s="63"/>
      <c r="Y1041" s="63"/>
      <c r="Z1041" s="63"/>
      <c r="AA1041" s="62"/>
    </row>
    <row r="1042" spans="15:27" x14ac:dyDescent="0.25">
      <c r="O1042" s="62"/>
      <c r="P1042" s="63"/>
      <c r="Q1042" s="63"/>
      <c r="R1042" s="63"/>
      <c r="S1042" s="63"/>
      <c r="X1042" s="63"/>
      <c r="Y1042" s="63"/>
      <c r="Z1042" s="63"/>
      <c r="AA1042" s="62"/>
    </row>
    <row r="1043" spans="15:27" x14ac:dyDescent="0.25">
      <c r="O1043" s="62"/>
      <c r="P1043" s="63"/>
      <c r="Q1043" s="63"/>
      <c r="R1043" s="63"/>
      <c r="S1043" s="63"/>
      <c r="X1043" s="63"/>
      <c r="Y1043" s="63"/>
      <c r="Z1043" s="63"/>
      <c r="AA1043" s="62"/>
    </row>
    <row r="1044" spans="15:27" x14ac:dyDescent="0.25">
      <c r="O1044" s="62"/>
      <c r="P1044" s="63"/>
      <c r="Q1044" s="63"/>
      <c r="R1044" s="63"/>
      <c r="S1044" s="63"/>
      <c r="X1044" s="63"/>
      <c r="Y1044" s="63"/>
      <c r="Z1044" s="63"/>
      <c r="AA1044" s="62"/>
    </row>
    <row r="1045" spans="15:27" x14ac:dyDescent="0.25">
      <c r="O1045" s="62"/>
      <c r="P1045" s="63"/>
      <c r="Q1045" s="63"/>
      <c r="R1045" s="63"/>
      <c r="S1045" s="63"/>
      <c r="X1045" s="63"/>
      <c r="Y1045" s="63"/>
      <c r="Z1045" s="63"/>
      <c r="AA1045" s="62"/>
    </row>
    <row r="1046" spans="15:27" x14ac:dyDescent="0.25">
      <c r="O1046" s="62"/>
      <c r="P1046" s="63"/>
      <c r="Q1046" s="63"/>
      <c r="R1046" s="63"/>
      <c r="S1046" s="63"/>
      <c r="X1046" s="63"/>
      <c r="Y1046" s="63"/>
      <c r="Z1046" s="63"/>
      <c r="AA1046" s="62"/>
    </row>
    <row r="1047" spans="15:27" x14ac:dyDescent="0.25">
      <c r="O1047" s="62"/>
      <c r="P1047" s="63"/>
      <c r="Q1047" s="63"/>
      <c r="R1047" s="63"/>
      <c r="S1047" s="63"/>
      <c r="X1047" s="63"/>
      <c r="Y1047" s="63"/>
      <c r="Z1047" s="63"/>
      <c r="AA1047" s="62"/>
    </row>
    <row r="1048" spans="15:27" x14ac:dyDescent="0.25">
      <c r="O1048" s="62"/>
      <c r="P1048" s="63"/>
      <c r="Q1048" s="63"/>
      <c r="R1048" s="63"/>
      <c r="S1048" s="63"/>
      <c r="X1048" s="63"/>
      <c r="Y1048" s="63"/>
      <c r="Z1048" s="63"/>
      <c r="AA1048" s="62"/>
    </row>
    <row r="1049" spans="15:27" x14ac:dyDescent="0.25">
      <c r="O1049" s="62"/>
      <c r="P1049" s="63"/>
      <c r="Q1049" s="63"/>
      <c r="R1049" s="63"/>
      <c r="S1049" s="63"/>
      <c r="X1049" s="63"/>
      <c r="Y1049" s="63"/>
      <c r="Z1049" s="63"/>
      <c r="AA1049" s="62"/>
    </row>
    <row r="1050" spans="15:27" x14ac:dyDescent="0.25">
      <c r="O1050" s="62"/>
      <c r="P1050" s="63"/>
      <c r="Q1050" s="63"/>
      <c r="R1050" s="63"/>
      <c r="S1050" s="63"/>
      <c r="X1050" s="63"/>
      <c r="Y1050" s="63"/>
      <c r="Z1050" s="63"/>
      <c r="AA1050" s="62"/>
    </row>
    <row r="1051" spans="15:27" x14ac:dyDescent="0.25">
      <c r="O1051" s="62"/>
      <c r="P1051" s="63"/>
      <c r="Q1051" s="63"/>
      <c r="R1051" s="63"/>
      <c r="S1051" s="63"/>
      <c r="X1051" s="63"/>
      <c r="Y1051" s="63"/>
      <c r="Z1051" s="63"/>
      <c r="AA1051" s="62"/>
    </row>
    <row r="1052" spans="15:27" x14ac:dyDescent="0.25">
      <c r="O1052" s="62"/>
      <c r="P1052" s="63"/>
      <c r="Q1052" s="63"/>
      <c r="R1052" s="63"/>
      <c r="S1052" s="63"/>
      <c r="X1052" s="63"/>
      <c r="Y1052" s="63"/>
      <c r="Z1052" s="63"/>
      <c r="AA1052" s="62"/>
    </row>
    <row r="1053" spans="15:27" x14ac:dyDescent="0.25">
      <c r="O1053" s="62"/>
      <c r="P1053" s="63"/>
      <c r="Q1053" s="63"/>
      <c r="R1053" s="63"/>
      <c r="S1053" s="63"/>
      <c r="X1053" s="63"/>
      <c r="Y1053" s="63"/>
      <c r="Z1053" s="63"/>
      <c r="AA1053" s="62"/>
    </row>
    <row r="1054" spans="15:27" x14ac:dyDescent="0.25">
      <c r="O1054" s="62"/>
      <c r="P1054" s="63"/>
      <c r="Q1054" s="63"/>
      <c r="R1054" s="63"/>
      <c r="S1054" s="63"/>
      <c r="X1054" s="63"/>
      <c r="Y1054" s="63"/>
      <c r="Z1054" s="63"/>
      <c r="AA1054" s="62"/>
    </row>
    <row r="1055" spans="15:27" x14ac:dyDescent="0.25">
      <c r="O1055" s="62"/>
      <c r="P1055" s="63"/>
      <c r="Q1055" s="63"/>
      <c r="R1055" s="63"/>
      <c r="S1055" s="63"/>
      <c r="X1055" s="63"/>
      <c r="Y1055" s="63"/>
      <c r="Z1055" s="63"/>
      <c r="AA1055" s="62"/>
    </row>
    <row r="1056" spans="15:27" x14ac:dyDescent="0.25">
      <c r="O1056" s="62"/>
      <c r="P1056" s="63"/>
      <c r="Q1056" s="63"/>
      <c r="R1056" s="63"/>
      <c r="S1056" s="63"/>
      <c r="X1056" s="63"/>
      <c r="Y1056" s="63"/>
      <c r="Z1056" s="63"/>
      <c r="AA1056" s="62"/>
    </row>
    <row r="1057" spans="15:27" x14ac:dyDescent="0.25">
      <c r="O1057" s="62"/>
      <c r="P1057" s="63"/>
      <c r="Q1057" s="63"/>
      <c r="R1057" s="63"/>
      <c r="S1057" s="63"/>
      <c r="X1057" s="63"/>
      <c r="Y1057" s="63"/>
      <c r="Z1057" s="63"/>
      <c r="AA1057" s="62"/>
    </row>
    <row r="1058" spans="15:27" x14ac:dyDescent="0.25">
      <c r="O1058" s="62"/>
      <c r="P1058" s="63"/>
      <c r="Q1058" s="63"/>
      <c r="R1058" s="63"/>
      <c r="S1058" s="63"/>
      <c r="X1058" s="63"/>
      <c r="Y1058" s="63"/>
      <c r="Z1058" s="63"/>
      <c r="AA1058" s="62"/>
    </row>
    <row r="1059" spans="15:27" x14ac:dyDescent="0.25">
      <c r="O1059" s="62"/>
      <c r="P1059" s="63"/>
      <c r="Q1059" s="63"/>
      <c r="R1059" s="63"/>
      <c r="S1059" s="63"/>
      <c r="X1059" s="63"/>
      <c r="Y1059" s="63"/>
      <c r="Z1059" s="63"/>
      <c r="AA1059" s="62"/>
    </row>
    <row r="1060" spans="15:27" x14ac:dyDescent="0.25">
      <c r="O1060" s="62"/>
      <c r="P1060" s="63"/>
      <c r="Q1060" s="63"/>
      <c r="R1060" s="63"/>
      <c r="S1060" s="63"/>
      <c r="X1060" s="63"/>
      <c r="Y1060" s="63"/>
      <c r="Z1060" s="63"/>
      <c r="AA1060" s="62"/>
    </row>
    <row r="1061" spans="15:27" x14ac:dyDescent="0.25">
      <c r="O1061" s="62"/>
      <c r="P1061" s="63"/>
      <c r="Q1061" s="63"/>
      <c r="R1061" s="63"/>
      <c r="S1061" s="63"/>
      <c r="X1061" s="63"/>
      <c r="Y1061" s="63"/>
      <c r="Z1061" s="63"/>
      <c r="AA1061" s="62"/>
    </row>
    <row r="1062" spans="15:27" x14ac:dyDescent="0.25">
      <c r="O1062" s="62"/>
      <c r="P1062" s="63"/>
      <c r="Q1062" s="63"/>
      <c r="R1062" s="63"/>
      <c r="S1062" s="63"/>
      <c r="X1062" s="63"/>
      <c r="Y1062" s="63"/>
      <c r="Z1062" s="63"/>
      <c r="AA1062" s="62"/>
    </row>
    <row r="1063" spans="15:27" x14ac:dyDescent="0.25">
      <c r="O1063" s="62"/>
      <c r="P1063" s="63"/>
      <c r="Q1063" s="63"/>
      <c r="R1063" s="63"/>
      <c r="S1063" s="63"/>
      <c r="X1063" s="63"/>
      <c r="Y1063" s="63"/>
      <c r="Z1063" s="63"/>
      <c r="AA1063" s="62"/>
    </row>
    <row r="1064" spans="15:27" x14ac:dyDescent="0.25">
      <c r="O1064" s="62"/>
      <c r="P1064" s="63"/>
      <c r="Q1064" s="63"/>
      <c r="R1064" s="63"/>
      <c r="S1064" s="63"/>
      <c r="X1064" s="63"/>
      <c r="Y1064" s="63"/>
      <c r="Z1064" s="63"/>
      <c r="AA1064" s="62"/>
    </row>
    <row r="1065" spans="15:27" x14ac:dyDescent="0.25">
      <c r="O1065" s="62"/>
      <c r="P1065" s="63"/>
      <c r="Q1065" s="63"/>
      <c r="R1065" s="63"/>
      <c r="S1065" s="63"/>
      <c r="X1065" s="63"/>
      <c r="Y1065" s="63"/>
      <c r="Z1065" s="63"/>
      <c r="AA1065" s="62"/>
    </row>
    <row r="1066" spans="15:27" x14ac:dyDescent="0.25">
      <c r="O1066" s="62"/>
      <c r="P1066" s="63"/>
      <c r="Q1066" s="63"/>
      <c r="R1066" s="63"/>
      <c r="S1066" s="63"/>
      <c r="X1066" s="63"/>
      <c r="Y1066" s="63"/>
      <c r="Z1066" s="63"/>
      <c r="AA1066" s="62"/>
    </row>
    <row r="1067" spans="15:27" x14ac:dyDescent="0.25">
      <c r="O1067" s="62"/>
      <c r="P1067" s="63"/>
      <c r="Q1067" s="63"/>
      <c r="R1067" s="63"/>
      <c r="S1067" s="63"/>
      <c r="X1067" s="63"/>
      <c r="Y1067" s="63"/>
      <c r="Z1067" s="63"/>
      <c r="AA1067" s="62"/>
    </row>
    <row r="1068" spans="15:27" x14ac:dyDescent="0.25">
      <c r="O1068" s="62"/>
      <c r="P1068" s="63"/>
      <c r="Q1068" s="63"/>
      <c r="R1068" s="63"/>
      <c r="S1068" s="63"/>
      <c r="X1068" s="63"/>
      <c r="Y1068" s="63"/>
      <c r="Z1068" s="63"/>
      <c r="AA1068" s="62"/>
    </row>
    <row r="1069" spans="15:27" x14ac:dyDescent="0.25">
      <c r="O1069" s="62"/>
      <c r="P1069" s="63"/>
      <c r="Q1069" s="63"/>
      <c r="R1069" s="63"/>
      <c r="S1069" s="63"/>
      <c r="X1069" s="63"/>
      <c r="Y1069" s="63"/>
      <c r="Z1069" s="63"/>
      <c r="AA1069" s="62"/>
    </row>
    <row r="1070" spans="15:27" x14ac:dyDescent="0.25">
      <c r="O1070" s="62"/>
      <c r="P1070" s="63"/>
      <c r="Q1070" s="63"/>
      <c r="R1070" s="63"/>
      <c r="S1070" s="63"/>
      <c r="X1070" s="63"/>
      <c r="Y1070" s="63"/>
      <c r="Z1070" s="63"/>
      <c r="AA1070" s="62"/>
    </row>
    <row r="1071" spans="15:27" x14ac:dyDescent="0.25">
      <c r="O1071" s="62"/>
      <c r="P1071" s="63"/>
      <c r="Q1071" s="63"/>
      <c r="R1071" s="63"/>
      <c r="S1071" s="63"/>
      <c r="X1071" s="63"/>
      <c r="Y1071" s="63"/>
      <c r="Z1071" s="63"/>
      <c r="AA1071" s="62"/>
    </row>
    <row r="1072" spans="15:27" x14ac:dyDescent="0.25">
      <c r="O1072" s="62"/>
      <c r="P1072" s="63"/>
      <c r="Q1072" s="63"/>
      <c r="R1072" s="63"/>
      <c r="S1072" s="63"/>
      <c r="X1072" s="63"/>
      <c r="Y1072" s="63"/>
      <c r="Z1072" s="63"/>
      <c r="AA1072" s="62"/>
    </row>
    <row r="1073" spans="15:27" x14ac:dyDescent="0.25">
      <c r="O1073" s="62"/>
      <c r="P1073" s="63"/>
      <c r="Q1073" s="63"/>
      <c r="R1073" s="63"/>
      <c r="S1073" s="63"/>
      <c r="X1073" s="63"/>
      <c r="Y1073" s="63"/>
      <c r="Z1073" s="63"/>
      <c r="AA1073" s="62"/>
    </row>
    <row r="1074" spans="15:27" x14ac:dyDescent="0.25">
      <c r="O1074" s="62"/>
      <c r="P1074" s="63"/>
      <c r="Q1074" s="63"/>
      <c r="R1074" s="63"/>
      <c r="S1074" s="63"/>
      <c r="X1074" s="63"/>
      <c r="Y1074" s="63"/>
      <c r="Z1074" s="63"/>
      <c r="AA1074" s="62"/>
    </row>
    <row r="1075" spans="15:27" x14ac:dyDescent="0.25">
      <c r="O1075" s="62"/>
      <c r="P1075" s="63"/>
      <c r="Q1075" s="63"/>
      <c r="R1075" s="63"/>
      <c r="S1075" s="63"/>
      <c r="X1075" s="63"/>
      <c r="Y1075" s="63"/>
      <c r="Z1075" s="63"/>
      <c r="AA1075" s="62"/>
    </row>
    <row r="1076" spans="15:27" x14ac:dyDescent="0.25">
      <c r="O1076" s="62"/>
      <c r="P1076" s="63"/>
      <c r="Q1076" s="63"/>
      <c r="R1076" s="63"/>
      <c r="S1076" s="63"/>
      <c r="X1076" s="63"/>
      <c r="Y1076" s="63"/>
      <c r="Z1076" s="63"/>
      <c r="AA1076" s="62"/>
    </row>
    <row r="1077" spans="15:27" x14ac:dyDescent="0.25">
      <c r="O1077" s="62"/>
      <c r="P1077" s="63"/>
      <c r="Q1077" s="63"/>
      <c r="R1077" s="63"/>
      <c r="S1077" s="63"/>
      <c r="X1077" s="63"/>
      <c r="Y1077" s="63"/>
      <c r="Z1077" s="63"/>
      <c r="AA1077" s="62"/>
    </row>
    <row r="1078" spans="15:27" x14ac:dyDescent="0.25">
      <c r="O1078" s="62"/>
      <c r="P1078" s="63"/>
      <c r="Q1078" s="63"/>
      <c r="R1078" s="63"/>
      <c r="S1078" s="63"/>
      <c r="X1078" s="63"/>
      <c r="Y1078" s="63"/>
      <c r="Z1078" s="63"/>
      <c r="AA1078" s="62"/>
    </row>
    <row r="1079" spans="15:27" x14ac:dyDescent="0.25">
      <c r="O1079" s="62"/>
      <c r="P1079" s="63"/>
      <c r="Q1079" s="63"/>
      <c r="R1079" s="63"/>
      <c r="S1079" s="63"/>
      <c r="X1079" s="63"/>
      <c r="Y1079" s="63"/>
      <c r="Z1079" s="63"/>
      <c r="AA1079" s="62"/>
    </row>
    <row r="1080" spans="15:27" x14ac:dyDescent="0.25">
      <c r="O1080" s="62"/>
      <c r="P1080" s="63"/>
      <c r="Q1080" s="63"/>
      <c r="R1080" s="63"/>
      <c r="S1080" s="63"/>
      <c r="X1080" s="63"/>
      <c r="Y1080" s="63"/>
      <c r="Z1080" s="63"/>
      <c r="AA1080" s="62"/>
    </row>
    <row r="1081" spans="15:27" x14ac:dyDescent="0.25">
      <c r="O1081" s="62"/>
      <c r="P1081" s="63"/>
      <c r="Q1081" s="63"/>
      <c r="R1081" s="63"/>
      <c r="S1081" s="63"/>
      <c r="X1081" s="63"/>
      <c r="Y1081" s="63"/>
      <c r="Z1081" s="63"/>
      <c r="AA1081" s="62"/>
    </row>
    <row r="1082" spans="15:27" x14ac:dyDescent="0.25">
      <c r="O1082" s="62"/>
      <c r="P1082" s="63"/>
      <c r="Q1082" s="63"/>
      <c r="R1082" s="63"/>
      <c r="S1082" s="63"/>
      <c r="X1082" s="63"/>
      <c r="Y1082" s="63"/>
      <c r="Z1082" s="63"/>
      <c r="AA1082" s="62"/>
    </row>
    <row r="1083" spans="15:27" x14ac:dyDescent="0.25">
      <c r="O1083" s="62"/>
      <c r="P1083" s="63"/>
      <c r="Q1083" s="63"/>
      <c r="R1083" s="63"/>
      <c r="S1083" s="63"/>
      <c r="X1083" s="63"/>
      <c r="Y1083" s="63"/>
      <c r="Z1083" s="63"/>
      <c r="AA1083" s="62"/>
    </row>
    <row r="1084" spans="15:27" x14ac:dyDescent="0.25">
      <c r="O1084" s="62"/>
      <c r="P1084" s="63"/>
      <c r="Q1084" s="63"/>
      <c r="R1084" s="63"/>
      <c r="S1084" s="63"/>
      <c r="X1084" s="63"/>
      <c r="Y1084" s="63"/>
      <c r="Z1084" s="63"/>
      <c r="AA1084" s="62"/>
    </row>
    <row r="1085" spans="15:27" x14ac:dyDescent="0.25">
      <c r="O1085" s="62"/>
      <c r="P1085" s="63"/>
      <c r="Q1085" s="63"/>
      <c r="R1085" s="63"/>
      <c r="S1085" s="63"/>
      <c r="X1085" s="63"/>
      <c r="Y1085" s="63"/>
      <c r="Z1085" s="63"/>
      <c r="AA1085" s="62"/>
    </row>
    <row r="1086" spans="15:27" x14ac:dyDescent="0.25">
      <c r="O1086" s="62"/>
      <c r="P1086" s="63"/>
      <c r="Q1086" s="63"/>
      <c r="R1086" s="63"/>
      <c r="S1086" s="63"/>
      <c r="X1086" s="63"/>
      <c r="Y1086" s="63"/>
      <c r="Z1086" s="63"/>
      <c r="AA1086" s="62"/>
    </row>
    <row r="1087" spans="15:27" x14ac:dyDescent="0.25">
      <c r="O1087" s="62"/>
      <c r="P1087" s="63"/>
      <c r="Q1087" s="63"/>
      <c r="R1087" s="63"/>
      <c r="S1087" s="63"/>
      <c r="X1087" s="63"/>
      <c r="Y1087" s="63"/>
      <c r="Z1087" s="63"/>
      <c r="AA1087" s="62"/>
    </row>
    <row r="1088" spans="15:27" x14ac:dyDescent="0.25">
      <c r="O1088" s="62"/>
      <c r="P1088" s="63"/>
      <c r="Q1088" s="63"/>
      <c r="R1088" s="63"/>
      <c r="S1088" s="63"/>
      <c r="X1088" s="63"/>
      <c r="Y1088" s="63"/>
      <c r="Z1088" s="63"/>
      <c r="AA1088" s="62"/>
    </row>
    <row r="1089" spans="15:27" x14ac:dyDescent="0.25">
      <c r="O1089" s="62"/>
      <c r="P1089" s="63"/>
      <c r="Q1089" s="63"/>
      <c r="R1089" s="63"/>
      <c r="S1089" s="63"/>
      <c r="X1089" s="63"/>
      <c r="Y1089" s="63"/>
      <c r="Z1089" s="63"/>
      <c r="AA1089" s="62"/>
    </row>
    <row r="1090" spans="15:27" x14ac:dyDescent="0.25">
      <c r="O1090" s="62"/>
      <c r="P1090" s="63"/>
      <c r="Q1090" s="63"/>
      <c r="R1090" s="63"/>
      <c r="S1090" s="63"/>
      <c r="X1090" s="63"/>
      <c r="Y1090" s="63"/>
      <c r="Z1090" s="63"/>
      <c r="AA1090" s="62"/>
    </row>
    <row r="1091" spans="15:27" x14ac:dyDescent="0.25">
      <c r="O1091" s="62"/>
      <c r="P1091" s="63"/>
      <c r="Q1091" s="63"/>
      <c r="R1091" s="63"/>
      <c r="S1091" s="63"/>
      <c r="X1091" s="63"/>
      <c r="Y1091" s="63"/>
      <c r="Z1091" s="63"/>
      <c r="AA1091" s="62"/>
    </row>
    <row r="1092" spans="15:27" x14ac:dyDescent="0.25">
      <c r="O1092" s="62"/>
      <c r="P1092" s="63"/>
      <c r="Q1092" s="63"/>
      <c r="R1092" s="63"/>
      <c r="S1092" s="63"/>
      <c r="X1092" s="63"/>
      <c r="Y1092" s="63"/>
      <c r="Z1092" s="63"/>
      <c r="AA1092" s="62"/>
    </row>
    <row r="1093" spans="15:27" x14ac:dyDescent="0.25">
      <c r="O1093" s="62"/>
      <c r="P1093" s="63"/>
      <c r="Q1093" s="63"/>
      <c r="R1093" s="63"/>
      <c r="S1093" s="63"/>
      <c r="X1093" s="63"/>
      <c r="Y1093" s="63"/>
      <c r="Z1093" s="63"/>
      <c r="AA1093" s="62"/>
    </row>
    <row r="1094" spans="15:27" x14ac:dyDescent="0.25">
      <c r="O1094" s="62"/>
      <c r="P1094" s="63"/>
      <c r="Q1094" s="63"/>
      <c r="R1094" s="63"/>
      <c r="S1094" s="63"/>
      <c r="X1094" s="63"/>
      <c r="Y1094" s="63"/>
      <c r="Z1094" s="63"/>
      <c r="AA1094" s="62"/>
    </row>
    <row r="1095" spans="15:27" x14ac:dyDescent="0.25">
      <c r="O1095" s="62"/>
      <c r="P1095" s="63"/>
      <c r="Q1095" s="63"/>
      <c r="R1095" s="63"/>
      <c r="S1095" s="63"/>
      <c r="X1095" s="63"/>
      <c r="Y1095" s="63"/>
      <c r="Z1095" s="63"/>
      <c r="AA1095" s="62"/>
    </row>
    <row r="1096" spans="15:27" x14ac:dyDescent="0.25">
      <c r="O1096" s="62"/>
      <c r="P1096" s="63"/>
      <c r="Q1096" s="63"/>
      <c r="R1096" s="63"/>
      <c r="S1096" s="63"/>
      <c r="X1096" s="63"/>
      <c r="Y1096" s="63"/>
      <c r="Z1096" s="63"/>
      <c r="AA1096" s="62"/>
    </row>
    <row r="1097" spans="15:27" x14ac:dyDescent="0.25">
      <c r="O1097" s="62"/>
      <c r="P1097" s="63"/>
      <c r="Q1097" s="63"/>
      <c r="R1097" s="63"/>
      <c r="S1097" s="63"/>
      <c r="X1097" s="63"/>
      <c r="Y1097" s="63"/>
      <c r="Z1097" s="63"/>
      <c r="AA1097" s="62"/>
    </row>
    <row r="1098" spans="15:27" x14ac:dyDescent="0.25">
      <c r="O1098" s="62"/>
      <c r="P1098" s="63"/>
      <c r="Q1098" s="63"/>
      <c r="R1098" s="63"/>
      <c r="S1098" s="63"/>
      <c r="X1098" s="63"/>
      <c r="Y1098" s="63"/>
      <c r="Z1098" s="63"/>
      <c r="AA1098" s="62"/>
    </row>
    <row r="1099" spans="15:27" x14ac:dyDescent="0.25">
      <c r="O1099" s="62"/>
      <c r="P1099" s="63"/>
      <c r="Q1099" s="63"/>
      <c r="R1099" s="63"/>
      <c r="S1099" s="63"/>
      <c r="X1099" s="63"/>
      <c r="Y1099" s="63"/>
      <c r="Z1099" s="63"/>
      <c r="AA1099" s="62"/>
    </row>
    <row r="1100" spans="15:27" x14ac:dyDescent="0.25">
      <c r="O1100" s="62"/>
      <c r="P1100" s="63"/>
      <c r="Q1100" s="63"/>
      <c r="R1100" s="63"/>
      <c r="S1100" s="63"/>
      <c r="X1100" s="63"/>
      <c r="Y1100" s="63"/>
      <c r="Z1100" s="63"/>
      <c r="AA1100" s="62"/>
    </row>
    <row r="1101" spans="15:27" x14ac:dyDescent="0.25">
      <c r="O1101" s="62"/>
      <c r="P1101" s="63"/>
      <c r="Q1101" s="63"/>
      <c r="R1101" s="63"/>
      <c r="S1101" s="63"/>
      <c r="X1101" s="63"/>
      <c r="Y1101" s="63"/>
      <c r="Z1101" s="63"/>
      <c r="AA1101" s="62"/>
    </row>
    <row r="1102" spans="15:27" x14ac:dyDescent="0.25">
      <c r="O1102" s="62"/>
      <c r="P1102" s="63"/>
      <c r="Q1102" s="63"/>
      <c r="R1102" s="63"/>
      <c r="S1102" s="63"/>
      <c r="X1102" s="63"/>
      <c r="Y1102" s="63"/>
      <c r="Z1102" s="63"/>
      <c r="AA1102" s="62"/>
    </row>
    <row r="1103" spans="15:27" x14ac:dyDescent="0.25">
      <c r="O1103" s="62"/>
      <c r="P1103" s="63"/>
      <c r="Q1103" s="63"/>
      <c r="R1103" s="63"/>
      <c r="S1103" s="63"/>
      <c r="X1103" s="63"/>
      <c r="Y1103" s="63"/>
      <c r="Z1103" s="63"/>
      <c r="AA1103" s="62"/>
    </row>
    <row r="1104" spans="15:27" x14ac:dyDescent="0.25">
      <c r="O1104" s="62"/>
      <c r="P1104" s="63"/>
      <c r="Q1104" s="63"/>
      <c r="R1104" s="63"/>
      <c r="S1104" s="63"/>
      <c r="X1104" s="63"/>
      <c r="Y1104" s="63"/>
      <c r="Z1104" s="63"/>
      <c r="AA1104" s="62"/>
    </row>
    <row r="1105" spans="15:27" x14ac:dyDescent="0.25">
      <c r="O1105" s="62"/>
      <c r="P1105" s="63"/>
      <c r="Q1105" s="63"/>
      <c r="R1105" s="63"/>
      <c r="S1105" s="63"/>
      <c r="X1105" s="63"/>
      <c r="Y1105" s="63"/>
      <c r="Z1105" s="63"/>
      <c r="AA1105" s="62"/>
    </row>
    <row r="1106" spans="15:27" x14ac:dyDescent="0.25">
      <c r="O1106" s="62"/>
      <c r="P1106" s="63"/>
      <c r="Q1106" s="63"/>
      <c r="R1106" s="63"/>
      <c r="S1106" s="63"/>
      <c r="X1106" s="63"/>
      <c r="Y1106" s="63"/>
      <c r="Z1106" s="63"/>
      <c r="AA1106" s="62"/>
    </row>
    <row r="1107" spans="15:27" x14ac:dyDescent="0.25">
      <c r="O1107" s="62"/>
      <c r="P1107" s="63"/>
      <c r="Q1107" s="63"/>
      <c r="R1107" s="63"/>
      <c r="S1107" s="63"/>
      <c r="X1107" s="63"/>
      <c r="Y1107" s="63"/>
      <c r="Z1107" s="63"/>
      <c r="AA1107" s="62"/>
    </row>
    <row r="1108" spans="15:27" x14ac:dyDescent="0.25">
      <c r="O1108" s="62"/>
      <c r="P1108" s="63"/>
      <c r="Q1108" s="63"/>
      <c r="R1108" s="63"/>
      <c r="S1108" s="63"/>
      <c r="X1108" s="63"/>
      <c r="Y1108" s="63"/>
      <c r="Z1108" s="63"/>
      <c r="AA1108" s="62"/>
    </row>
    <row r="1109" spans="15:27" x14ac:dyDescent="0.25">
      <c r="O1109" s="62"/>
      <c r="P1109" s="63"/>
      <c r="Q1109" s="63"/>
      <c r="R1109" s="63"/>
      <c r="S1109" s="63"/>
      <c r="X1109" s="63"/>
      <c r="Y1109" s="63"/>
      <c r="Z1109" s="63"/>
      <c r="AA1109" s="62"/>
    </row>
    <row r="1110" spans="15:27" x14ac:dyDescent="0.25">
      <c r="O1110" s="62"/>
      <c r="P1110" s="63"/>
      <c r="Q1110" s="63"/>
      <c r="R1110" s="63"/>
      <c r="S1110" s="63"/>
      <c r="X1110" s="63"/>
      <c r="Y1110" s="63"/>
      <c r="Z1110" s="63"/>
      <c r="AA1110" s="62"/>
    </row>
    <row r="1111" spans="15:27" x14ac:dyDescent="0.25">
      <c r="O1111" s="62"/>
      <c r="P1111" s="63"/>
      <c r="Q1111" s="63"/>
      <c r="R1111" s="63"/>
      <c r="S1111" s="63"/>
      <c r="X1111" s="63"/>
      <c r="Y1111" s="63"/>
      <c r="Z1111" s="63"/>
      <c r="AA1111" s="62"/>
    </row>
    <row r="1112" spans="15:27" x14ac:dyDescent="0.25">
      <c r="O1112" s="62"/>
      <c r="P1112" s="63"/>
      <c r="Q1112" s="63"/>
      <c r="R1112" s="63"/>
      <c r="S1112" s="63"/>
      <c r="X1112" s="63"/>
      <c r="Y1112" s="63"/>
      <c r="Z1112" s="63"/>
      <c r="AA1112" s="62"/>
    </row>
    <row r="1113" spans="15:27" x14ac:dyDescent="0.25">
      <c r="O1113" s="62"/>
      <c r="P1113" s="63"/>
      <c r="Q1113" s="63"/>
      <c r="R1113" s="63"/>
      <c r="S1113" s="63"/>
      <c r="X1113" s="63"/>
      <c r="Y1113" s="63"/>
      <c r="Z1113" s="63"/>
      <c r="AA1113" s="62"/>
    </row>
    <row r="1114" spans="15:27" x14ac:dyDescent="0.25">
      <c r="O1114" s="62"/>
      <c r="P1114" s="63"/>
      <c r="Q1114" s="63"/>
      <c r="R1114" s="63"/>
      <c r="S1114" s="63"/>
      <c r="X1114" s="63"/>
      <c r="Y1114" s="63"/>
      <c r="Z1114" s="63"/>
      <c r="AA1114" s="62"/>
    </row>
    <row r="1115" spans="15:27" x14ac:dyDescent="0.25">
      <c r="O1115" s="62"/>
      <c r="P1115" s="63"/>
      <c r="Q1115" s="63"/>
      <c r="R1115" s="63"/>
      <c r="S1115" s="63"/>
      <c r="X1115" s="63"/>
      <c r="Y1115" s="63"/>
      <c r="Z1115" s="63"/>
      <c r="AA1115" s="62"/>
    </row>
    <row r="1116" spans="15:27" x14ac:dyDescent="0.25">
      <c r="O1116" s="62"/>
      <c r="P1116" s="63"/>
      <c r="Q1116" s="63"/>
      <c r="R1116" s="63"/>
      <c r="S1116" s="63"/>
      <c r="X1116" s="63"/>
      <c r="Y1116" s="63"/>
      <c r="Z1116" s="63"/>
      <c r="AA1116" s="62"/>
    </row>
    <row r="1117" spans="15:27" x14ac:dyDescent="0.25">
      <c r="O1117" s="62"/>
      <c r="P1117" s="63"/>
      <c r="Q1117" s="63"/>
      <c r="R1117" s="63"/>
      <c r="S1117" s="63"/>
      <c r="X1117" s="63"/>
      <c r="Y1117" s="63"/>
      <c r="Z1117" s="63"/>
      <c r="AA1117" s="62"/>
    </row>
    <row r="1118" spans="15:27" x14ac:dyDescent="0.25">
      <c r="O1118" s="62"/>
      <c r="P1118" s="63"/>
      <c r="Q1118" s="63"/>
      <c r="R1118" s="63"/>
      <c r="S1118" s="63"/>
      <c r="X1118" s="63"/>
      <c r="Y1118" s="63"/>
      <c r="Z1118" s="63"/>
      <c r="AA1118" s="62"/>
    </row>
    <row r="1119" spans="15:27" x14ac:dyDescent="0.25">
      <c r="O1119" s="62"/>
      <c r="P1119" s="63"/>
      <c r="Q1119" s="63"/>
      <c r="R1119" s="63"/>
      <c r="S1119" s="63"/>
      <c r="X1119" s="63"/>
      <c r="Y1119" s="63"/>
      <c r="Z1119" s="63"/>
      <c r="AA1119" s="62"/>
    </row>
    <row r="1120" spans="15:27" x14ac:dyDescent="0.25">
      <c r="O1120" s="62"/>
      <c r="P1120" s="63"/>
      <c r="Q1120" s="63"/>
      <c r="R1120" s="63"/>
      <c r="S1120" s="63"/>
      <c r="X1120" s="63"/>
      <c r="Y1120" s="63"/>
      <c r="Z1120" s="63"/>
      <c r="AA1120" s="62"/>
    </row>
    <row r="1121" spans="15:27" x14ac:dyDescent="0.25">
      <c r="O1121" s="62"/>
      <c r="P1121" s="63"/>
      <c r="Q1121" s="63"/>
      <c r="R1121" s="63"/>
      <c r="S1121" s="63"/>
      <c r="X1121" s="63"/>
      <c r="Y1121" s="63"/>
      <c r="Z1121" s="63"/>
      <c r="AA1121" s="62"/>
    </row>
    <row r="1122" spans="15:27" x14ac:dyDescent="0.25">
      <c r="O1122" s="62"/>
      <c r="P1122" s="63"/>
      <c r="Q1122" s="63"/>
      <c r="R1122" s="63"/>
      <c r="S1122" s="63"/>
      <c r="X1122" s="63"/>
      <c r="Y1122" s="63"/>
      <c r="Z1122" s="63"/>
      <c r="AA1122" s="62"/>
    </row>
    <row r="1123" spans="15:27" x14ac:dyDescent="0.25">
      <c r="O1123" s="62"/>
      <c r="P1123" s="63"/>
      <c r="Q1123" s="63"/>
      <c r="R1123" s="63"/>
      <c r="S1123" s="63"/>
      <c r="X1123" s="63"/>
      <c r="Y1123" s="63"/>
      <c r="Z1123" s="63"/>
      <c r="AA1123" s="62"/>
    </row>
    <row r="1124" spans="15:27" x14ac:dyDescent="0.25">
      <c r="O1124" s="62"/>
      <c r="P1124" s="63"/>
      <c r="Q1124" s="63"/>
      <c r="R1124" s="63"/>
      <c r="S1124" s="63"/>
      <c r="X1124" s="63"/>
      <c r="Y1124" s="63"/>
      <c r="Z1124" s="63"/>
      <c r="AA1124" s="62"/>
    </row>
    <row r="1125" spans="15:27" x14ac:dyDescent="0.25">
      <c r="O1125" s="62"/>
      <c r="P1125" s="63"/>
      <c r="Q1125" s="63"/>
      <c r="R1125" s="63"/>
      <c r="S1125" s="63"/>
      <c r="X1125" s="63"/>
      <c r="Y1125" s="63"/>
      <c r="Z1125" s="63"/>
      <c r="AA1125" s="62"/>
    </row>
    <row r="1126" spans="15:27" x14ac:dyDescent="0.25">
      <c r="O1126" s="62"/>
      <c r="P1126" s="63"/>
      <c r="Q1126" s="63"/>
      <c r="R1126" s="63"/>
      <c r="S1126" s="63"/>
      <c r="X1126" s="63"/>
      <c r="Y1126" s="63"/>
      <c r="Z1126" s="63"/>
      <c r="AA1126" s="62"/>
    </row>
    <row r="1127" spans="15:27" x14ac:dyDescent="0.25">
      <c r="O1127" s="62"/>
      <c r="P1127" s="63"/>
      <c r="Q1127" s="63"/>
      <c r="R1127" s="63"/>
      <c r="S1127" s="63"/>
      <c r="X1127" s="63"/>
      <c r="Y1127" s="63"/>
      <c r="Z1127" s="63"/>
      <c r="AA1127" s="62"/>
    </row>
    <row r="1128" spans="15:27" x14ac:dyDescent="0.25">
      <c r="O1128" s="62"/>
      <c r="P1128" s="63"/>
      <c r="Q1128" s="63"/>
      <c r="R1128" s="63"/>
      <c r="S1128" s="63"/>
      <c r="X1128" s="63"/>
      <c r="Y1128" s="63"/>
      <c r="Z1128" s="63"/>
      <c r="AA1128" s="62"/>
    </row>
    <row r="1129" spans="15:27" x14ac:dyDescent="0.25">
      <c r="O1129" s="62"/>
      <c r="P1129" s="63"/>
      <c r="Q1129" s="63"/>
      <c r="R1129" s="63"/>
      <c r="S1129" s="63"/>
      <c r="X1129" s="63"/>
      <c r="Y1129" s="63"/>
      <c r="Z1129" s="63"/>
      <c r="AA1129" s="62"/>
    </row>
    <row r="1130" spans="15:27" x14ac:dyDescent="0.25">
      <c r="O1130" s="62"/>
      <c r="P1130" s="63"/>
      <c r="Q1130" s="63"/>
      <c r="R1130" s="63"/>
      <c r="S1130" s="63"/>
      <c r="X1130" s="63"/>
      <c r="Y1130" s="63"/>
      <c r="Z1130" s="63"/>
      <c r="AA1130" s="62"/>
    </row>
    <row r="1131" spans="15:27" x14ac:dyDescent="0.25">
      <c r="O1131" s="62"/>
      <c r="P1131" s="63"/>
      <c r="Q1131" s="63"/>
      <c r="R1131" s="63"/>
      <c r="S1131" s="63"/>
      <c r="X1131" s="63"/>
      <c r="Y1131" s="63"/>
      <c r="Z1131" s="63"/>
      <c r="AA1131" s="62"/>
    </row>
    <row r="1132" spans="15:27" x14ac:dyDescent="0.25">
      <c r="O1132" s="62"/>
      <c r="P1132" s="63"/>
      <c r="Q1132" s="63"/>
      <c r="R1132" s="63"/>
      <c r="S1132" s="63"/>
      <c r="X1132" s="63"/>
      <c r="Y1132" s="63"/>
      <c r="Z1132" s="63"/>
      <c r="AA1132" s="62"/>
    </row>
    <row r="1133" spans="15:27" x14ac:dyDescent="0.25">
      <c r="O1133" s="62"/>
      <c r="P1133" s="63"/>
      <c r="Q1133" s="63"/>
      <c r="R1133" s="63"/>
      <c r="S1133" s="63"/>
      <c r="X1133" s="63"/>
      <c r="Y1133" s="63"/>
      <c r="Z1133" s="63"/>
      <c r="AA1133" s="62"/>
    </row>
    <row r="1134" spans="15:27" x14ac:dyDescent="0.25">
      <c r="O1134" s="62"/>
      <c r="P1134" s="63"/>
      <c r="Q1134" s="63"/>
      <c r="R1134" s="63"/>
      <c r="S1134" s="63"/>
      <c r="X1134" s="63"/>
      <c r="Y1134" s="63"/>
      <c r="Z1134" s="63"/>
      <c r="AA1134" s="62"/>
    </row>
    <row r="1135" spans="15:27" x14ac:dyDescent="0.25">
      <c r="O1135" s="62"/>
      <c r="P1135" s="63"/>
      <c r="Q1135" s="63"/>
      <c r="R1135" s="63"/>
      <c r="S1135" s="63"/>
      <c r="X1135" s="63"/>
      <c r="Y1135" s="63"/>
      <c r="Z1135" s="63"/>
      <c r="AA1135" s="62"/>
    </row>
    <row r="1136" spans="15:27" x14ac:dyDescent="0.25">
      <c r="O1136" s="62"/>
      <c r="P1136" s="63"/>
      <c r="Q1136" s="63"/>
      <c r="R1136" s="63"/>
      <c r="S1136" s="63"/>
      <c r="X1136" s="63"/>
      <c r="Y1136" s="63"/>
      <c r="Z1136" s="63"/>
      <c r="AA1136" s="62"/>
    </row>
    <row r="1137" spans="15:27" x14ac:dyDescent="0.25">
      <c r="O1137" s="62"/>
      <c r="P1137" s="63"/>
      <c r="Q1137" s="63"/>
      <c r="R1137" s="63"/>
      <c r="S1137" s="63"/>
      <c r="X1137" s="63"/>
      <c r="Y1137" s="63"/>
      <c r="Z1137" s="63"/>
      <c r="AA1137" s="62"/>
    </row>
    <row r="1138" spans="15:27" x14ac:dyDescent="0.25">
      <c r="O1138" s="62"/>
      <c r="P1138" s="63"/>
      <c r="Q1138" s="63"/>
      <c r="R1138" s="63"/>
      <c r="S1138" s="63"/>
      <c r="X1138" s="63"/>
      <c r="Y1138" s="63"/>
      <c r="Z1138" s="63"/>
      <c r="AA1138" s="62"/>
    </row>
    <row r="1139" spans="15:27" x14ac:dyDescent="0.25">
      <c r="O1139" s="62"/>
      <c r="P1139" s="63"/>
      <c r="Q1139" s="63"/>
      <c r="R1139" s="63"/>
      <c r="S1139" s="63"/>
      <c r="X1139" s="63"/>
      <c r="Y1139" s="63"/>
      <c r="Z1139" s="63"/>
      <c r="AA1139" s="62"/>
    </row>
    <row r="1140" spans="15:27" x14ac:dyDescent="0.25">
      <c r="O1140" s="62"/>
      <c r="P1140" s="63"/>
      <c r="Q1140" s="63"/>
      <c r="R1140" s="63"/>
      <c r="S1140" s="63"/>
      <c r="X1140" s="63"/>
      <c r="Y1140" s="63"/>
      <c r="Z1140" s="63"/>
      <c r="AA1140" s="62"/>
    </row>
    <row r="1141" spans="15:27" x14ac:dyDescent="0.25">
      <c r="O1141" s="62"/>
      <c r="P1141" s="63"/>
      <c r="Q1141" s="63"/>
      <c r="R1141" s="63"/>
      <c r="S1141" s="63"/>
      <c r="X1141" s="63"/>
      <c r="Y1141" s="63"/>
      <c r="Z1141" s="63"/>
      <c r="AA1141" s="62"/>
    </row>
    <row r="1142" spans="15:27" x14ac:dyDescent="0.25">
      <c r="O1142" s="62"/>
      <c r="P1142" s="63"/>
      <c r="Q1142" s="63"/>
      <c r="R1142" s="63"/>
      <c r="S1142" s="63"/>
      <c r="X1142" s="63"/>
      <c r="Y1142" s="63"/>
      <c r="Z1142" s="63"/>
      <c r="AA1142" s="62"/>
    </row>
    <row r="1143" spans="15:27" x14ac:dyDescent="0.25">
      <c r="O1143" s="62"/>
      <c r="P1143" s="63"/>
      <c r="Q1143" s="63"/>
      <c r="R1143" s="63"/>
      <c r="S1143" s="63"/>
      <c r="X1143" s="63"/>
      <c r="Y1143" s="63"/>
      <c r="Z1143" s="63"/>
      <c r="AA1143" s="62"/>
    </row>
    <row r="1144" spans="15:27" x14ac:dyDescent="0.25">
      <c r="O1144" s="62"/>
      <c r="P1144" s="63"/>
      <c r="Q1144" s="63"/>
      <c r="R1144" s="63"/>
      <c r="S1144" s="63"/>
      <c r="X1144" s="63"/>
      <c r="Y1144" s="63"/>
      <c r="Z1144" s="63"/>
      <c r="AA1144" s="62"/>
    </row>
    <row r="1145" spans="15:27" x14ac:dyDescent="0.25">
      <c r="O1145" s="62"/>
      <c r="P1145" s="63"/>
      <c r="Q1145" s="63"/>
      <c r="R1145" s="63"/>
      <c r="S1145" s="63"/>
      <c r="X1145" s="63"/>
      <c r="Y1145" s="63"/>
      <c r="Z1145" s="63"/>
      <c r="AA1145" s="62"/>
    </row>
    <row r="1146" spans="15:27" x14ac:dyDescent="0.25">
      <c r="O1146" s="62"/>
      <c r="P1146" s="63"/>
      <c r="Q1146" s="63"/>
      <c r="R1146" s="63"/>
      <c r="S1146" s="63"/>
      <c r="X1146" s="63"/>
      <c r="Y1146" s="63"/>
      <c r="Z1146" s="63"/>
      <c r="AA1146" s="62"/>
    </row>
    <row r="1147" spans="15:27" x14ac:dyDescent="0.25">
      <c r="O1147" s="62"/>
      <c r="P1147" s="63"/>
      <c r="Q1147" s="63"/>
      <c r="R1147" s="63"/>
      <c r="S1147" s="63"/>
      <c r="X1147" s="63"/>
      <c r="Y1147" s="63"/>
      <c r="Z1147" s="63"/>
      <c r="AA1147" s="62"/>
    </row>
    <row r="1148" spans="15:27" x14ac:dyDescent="0.25">
      <c r="O1148" s="62"/>
      <c r="P1148" s="63"/>
      <c r="Q1148" s="63"/>
      <c r="R1148" s="63"/>
      <c r="S1148" s="63"/>
      <c r="X1148" s="63"/>
      <c r="Y1148" s="63"/>
      <c r="Z1148" s="63"/>
      <c r="AA1148" s="62"/>
    </row>
    <row r="1149" spans="15:27" x14ac:dyDescent="0.25">
      <c r="O1149" s="62"/>
      <c r="P1149" s="63"/>
      <c r="Q1149" s="63"/>
      <c r="R1149" s="63"/>
      <c r="S1149" s="63"/>
      <c r="X1149" s="63"/>
      <c r="Y1149" s="63"/>
      <c r="Z1149" s="63"/>
      <c r="AA1149" s="62"/>
    </row>
    <row r="1150" spans="15:27" x14ac:dyDescent="0.25">
      <c r="O1150" s="62"/>
      <c r="P1150" s="63"/>
      <c r="Q1150" s="63"/>
      <c r="R1150" s="63"/>
      <c r="S1150" s="63"/>
      <c r="X1150" s="63"/>
      <c r="Y1150" s="63"/>
      <c r="Z1150" s="63"/>
      <c r="AA1150" s="62"/>
    </row>
    <row r="1151" spans="15:27" x14ac:dyDescent="0.25">
      <c r="O1151" s="62"/>
      <c r="P1151" s="63"/>
      <c r="Q1151" s="63"/>
      <c r="R1151" s="63"/>
      <c r="S1151" s="63"/>
      <c r="X1151" s="63"/>
      <c r="Y1151" s="63"/>
      <c r="Z1151" s="63"/>
      <c r="AA1151" s="62"/>
    </row>
    <row r="1152" spans="15:27" x14ac:dyDescent="0.25">
      <c r="O1152" s="62"/>
      <c r="P1152" s="63"/>
      <c r="Q1152" s="63"/>
      <c r="R1152" s="63"/>
      <c r="S1152" s="63"/>
      <c r="X1152" s="63"/>
      <c r="Y1152" s="63"/>
      <c r="Z1152" s="63"/>
      <c r="AA1152" s="62"/>
    </row>
    <row r="1153" spans="15:27" x14ac:dyDescent="0.25">
      <c r="O1153" s="62"/>
      <c r="P1153" s="63"/>
      <c r="Q1153" s="63"/>
      <c r="R1153" s="63"/>
      <c r="S1153" s="63"/>
      <c r="X1153" s="63"/>
      <c r="Y1153" s="63"/>
      <c r="Z1153" s="63"/>
      <c r="AA1153" s="62"/>
    </row>
  </sheetData>
  <sheetProtection algorithmName="SHA-512" hashValue="6I3xjkakhF1pE/eTUSE14pBPM6qtKNFZz4LozCJgMPUTuAFGPDkQWLZ54b5mGiGdVpx36a+FFIieJfN/MNr5sQ==" saltValue="xkL/KfPngSXEmK6ETD48Rg==" spinCount="100000" sheet="1" selectLockedCells="1"/>
  <sortState xmlns:xlrd2="http://schemas.microsoft.com/office/spreadsheetml/2017/richdata2" ref="AC45:AC399">
    <sortCondition ref="AC45:AC399"/>
  </sortState>
  <dataConsolidate/>
  <mergeCells count="3">
    <mergeCell ref="E2:F2"/>
    <mergeCell ref="A1:B1"/>
    <mergeCell ref="A20:B20"/>
  </mergeCells>
  <dataValidations xWindow="328" yWindow="741" count="4">
    <dataValidation type="list" allowBlank="1" showInputMessage="1" showErrorMessage="1" promptTitle="Scenario" prompt="Met het scrolmenu kunt u kiezen uit twee scenario's. Slechtweer is het vast ingestelde slechtweer-scenario. Op de stand handmatig kan zelf een scenario onder de kolom handmatig worden gedefinieerd." sqref="C20" xr:uid="{00000000-0002-0000-0000-000000000000}">
      <formula1>"Slechtweer,Handmatig"</formula1>
    </dataValidation>
    <dataValidation allowBlank="1" showInputMessage="1" showErrorMessage="1" promptTitle="Onbenutte belastingcapaciteit" prompt="Schatting op basis van ingevoerde tarieven en woz waarden CBS  " sqref="G15 C33" xr:uid="{00000000-0002-0000-0000-000001000000}"/>
    <dataValidation allowBlank="1" showInputMessage="1" showErrorMessage="1" promptTitle="Investeringsvolume" prompt="Hier kan de gemiddelde investeringsruimte vanaf 2020 voor de scenario's Handmatig en Slechtweer worden aangepast. Bij een positief percentage wordt de investeringsruimte kleiner. Bij een negatief percentage groter. " sqref="I19 E37" xr:uid="{00000000-0002-0000-0000-000003000000}"/>
    <dataValidation type="list" allowBlank="1" showInputMessage="1" showErrorMessage="1" sqref="C3" xr:uid="{BBC0FF7B-171B-4DB0-A7D3-003E5B18E038}">
      <formula1>$E$17:$E$18</formula1>
    </dataValidation>
  </dataValidation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G55"/>
  <sheetViews>
    <sheetView showGridLines="0" zoomScale="77" zoomScaleNormal="77" workbookViewId="0">
      <selection activeCell="C45" sqref="C45"/>
    </sheetView>
  </sheetViews>
  <sheetFormatPr defaultColWidth="9.08984375" defaultRowHeight="12.5" x14ac:dyDescent="0.25"/>
  <cols>
    <col min="1" max="1" width="53.6328125" style="5" bestFit="1" customWidth="1"/>
    <col min="2" max="2" width="21" style="5" customWidth="1"/>
    <col min="3" max="3" width="18.54296875" style="5" customWidth="1"/>
    <col min="4" max="4" width="9.08984375" style="5"/>
    <col min="5" max="5" width="50.453125" style="5" bestFit="1" customWidth="1"/>
    <col min="6" max="6" width="19" style="5" customWidth="1"/>
    <col min="7" max="7" width="20.54296875" style="5" customWidth="1"/>
    <col min="8" max="16384" width="9.08984375" style="5"/>
  </cols>
  <sheetData>
    <row r="1" spans="1:7" ht="13" x14ac:dyDescent="0.3">
      <c r="A1" s="1" t="s">
        <v>84</v>
      </c>
      <c r="B1" s="40">
        <f>'Financiele conditie'!C1</f>
        <v>2025</v>
      </c>
      <c r="C1" s="40"/>
      <c r="D1" s="40"/>
    </row>
    <row r="2" spans="1:7" ht="13.25" x14ac:dyDescent="0.25">
      <c r="A2" s="1" t="s">
        <v>472</v>
      </c>
      <c r="B2" s="42" t="str">
        <f>Macrogegevens!A2</f>
        <v>Zwijndrecht</v>
      </c>
      <c r="C2" s="41"/>
      <c r="D2" s="41"/>
    </row>
    <row r="3" spans="1:7" ht="13.25" x14ac:dyDescent="0.25">
      <c r="A3" s="1"/>
      <c r="B3" s="47" t="s">
        <v>93</v>
      </c>
      <c r="C3" s="43" t="s">
        <v>93</v>
      </c>
      <c r="D3" s="1"/>
      <c r="F3" s="47" t="s">
        <v>93</v>
      </c>
      <c r="G3" s="43" t="s">
        <v>93</v>
      </c>
    </row>
    <row r="4" spans="1:7" ht="13.25" x14ac:dyDescent="0.25">
      <c r="A4" s="45" t="s">
        <v>90</v>
      </c>
      <c r="B4" s="48">
        <f>SUM(B1,-1)</f>
        <v>2024</v>
      </c>
      <c r="C4" s="44">
        <f>B1</f>
        <v>2025</v>
      </c>
      <c r="D4" s="39"/>
      <c r="E4" s="45" t="s">
        <v>91</v>
      </c>
      <c r="F4" s="48">
        <f>SUM(B1,-1)</f>
        <v>2024</v>
      </c>
      <c r="G4" s="44">
        <f>B1</f>
        <v>2025</v>
      </c>
    </row>
    <row r="5" spans="1:7" ht="13.25" x14ac:dyDescent="0.25">
      <c r="A5" s="126" t="s">
        <v>531</v>
      </c>
      <c r="B5" s="49"/>
      <c r="C5" s="39"/>
      <c r="D5" s="39"/>
      <c r="E5" s="126" t="s">
        <v>534</v>
      </c>
      <c r="F5" s="50"/>
      <c r="G5" s="20"/>
    </row>
    <row r="6" spans="1:7" x14ac:dyDescent="0.25">
      <c r="A6" s="77" t="s">
        <v>530</v>
      </c>
      <c r="B6" s="107">
        <f>VLOOKUP('Financiele conditie'!B2,'Kengetallen 2023'!$A$2:$T$344,2,0)*1000</f>
        <v>2240000</v>
      </c>
      <c r="C6" s="297">
        <f>SUM(C9,-C8)</f>
        <v>230219706.66666666</v>
      </c>
      <c r="E6" s="77" t="s">
        <v>448</v>
      </c>
      <c r="F6" s="125">
        <f>SUM(F30,-F21,-F19,-F17,-F13,-F8)</f>
        <v>66357000</v>
      </c>
      <c r="G6" s="20">
        <f>SUM(G30,-G21,-G19,-G17,-G13,-G8)</f>
        <v>63014047.584404469</v>
      </c>
    </row>
    <row r="7" spans="1:7" x14ac:dyDescent="0.25">
      <c r="A7" s="77" t="s">
        <v>456</v>
      </c>
      <c r="B7" s="107">
        <f>VLOOKUP('Financiele conditie'!B2,'Kengetallen 2023'!A2:T344,4,0)*1000</f>
        <v>220151000</v>
      </c>
      <c r="C7" s="297"/>
      <c r="F7" s="78"/>
    </row>
    <row r="8" spans="1:7" ht="13.25" x14ac:dyDescent="0.25">
      <c r="A8" s="77" t="s">
        <v>705</v>
      </c>
      <c r="B8" s="107">
        <f>VLOOKUP('Financiele conditie'!B2,'Kengetallen 2023'!A2:T344,3,0)*1000</f>
        <v>24141000</v>
      </c>
      <c r="C8" s="20">
        <f>SUM($B$8,-'Investeringen &amp; financiering'!$D$6,-'Investeringen &amp; financiering'!$D$7)</f>
        <v>24141000</v>
      </c>
      <c r="E8" s="77" t="s">
        <v>445</v>
      </c>
      <c r="F8" s="107">
        <f>VLOOKUP('Financiele conditie'!B2,'Kengetallen 2023'!$A$2:'Kengetallen 2023'!$T$344,15,0)*1000</f>
        <v>32215000</v>
      </c>
      <c r="G8" s="20">
        <f>SUM(F8,G37)</f>
        <v>32215000</v>
      </c>
    </row>
    <row r="9" spans="1:7" ht="13" x14ac:dyDescent="0.3">
      <c r="A9" s="1" t="s">
        <v>457</v>
      </c>
      <c r="B9" s="53">
        <f>SUM(B6,B7,B8)</f>
        <v>246532000</v>
      </c>
      <c r="C9" s="51">
        <f>SUM(B9,-'Investeringen &amp; financiering'!C6,-'Investeringen &amp; financiering'!C7,-'Investeringen &amp; financiering'!D6,-'Investeringen &amp; financiering'!D7,-C35,C39)</f>
        <v>254360706.66666666</v>
      </c>
      <c r="E9" s="1" t="s">
        <v>583</v>
      </c>
      <c r="F9" s="53">
        <f>SUM(F6,F8)</f>
        <v>98572000</v>
      </c>
      <c r="G9" s="51">
        <f>SUM(G6,G8)</f>
        <v>95229047.584404469</v>
      </c>
    </row>
    <row r="10" spans="1:7" ht="13.25" x14ac:dyDescent="0.25">
      <c r="A10" s="1"/>
      <c r="B10" s="125"/>
      <c r="C10" s="51"/>
      <c r="F10" s="49"/>
    </row>
    <row r="11" spans="1:7" ht="13.25" x14ac:dyDescent="0.25">
      <c r="A11" s="1" t="s">
        <v>85</v>
      </c>
      <c r="B11" s="107">
        <f>VLOOKUP('Financiele conditie'!B2,'Kengetallen 2023'!A2:T344,5,0)*1000</f>
        <v>1619000</v>
      </c>
      <c r="C11" s="51">
        <f>SUM(B11,-'Investeringen &amp; financiering'!G6,-'Investeringen &amp; financiering'!G7,C40)</f>
        <v>1686428.1312205263</v>
      </c>
      <c r="E11" s="77" t="s">
        <v>447</v>
      </c>
      <c r="F11" s="107">
        <f>VLOOKUP('Financiele conditie'!B2,'Kengetallen 2023'!$A$2:'Kengetallen 2023'!$T$344,16,0)*1000</f>
        <v>153561000</v>
      </c>
      <c r="G11" s="51"/>
    </row>
    <row r="12" spans="1:7" ht="13.25" x14ac:dyDescent="0.25">
      <c r="A12" s="77"/>
      <c r="B12" s="125"/>
      <c r="C12" s="20"/>
      <c r="E12" s="77" t="s">
        <v>446</v>
      </c>
      <c r="F12" s="107">
        <f>VLOOKUP('Financiele conditie'!B2,'Kengetallen 2023'!$A$2:'Kengetallen 2023'!$T$344,17,0)*1000</f>
        <v>0</v>
      </c>
      <c r="G12" s="51"/>
    </row>
    <row r="13" spans="1:7" ht="13" x14ac:dyDescent="0.3">
      <c r="A13" s="77" t="s">
        <v>86</v>
      </c>
      <c r="B13" s="107">
        <f>VLOOKUP('Financiele conditie'!B2,'Kengetallen 2023'!A2:T344,6,0)*1000</f>
        <v>2140000</v>
      </c>
      <c r="C13" s="20">
        <f>SUM(B13,-'Investeringen &amp; financiering'!C30,C41)</f>
        <v>2140000</v>
      </c>
      <c r="E13" s="1" t="s">
        <v>450</v>
      </c>
      <c r="F13" s="53">
        <f>SUM(F11,F12)</f>
        <v>153561000</v>
      </c>
      <c r="G13" s="51">
        <f>SUM(F13,Macrogegevens!N4,-Macrogegevens!N5,F21,-G21,F19,-G19,F17,-G17,-B28,C28,-B26,C26,-B24,C24,-B17,C17,-B15,C15)</f>
        <v>164800087.21348274</v>
      </c>
    </row>
    <row r="14" spans="1:7" ht="13" x14ac:dyDescent="0.3">
      <c r="A14" s="77" t="s">
        <v>87</v>
      </c>
      <c r="B14" s="107">
        <f>VLOOKUP('Financiele conditie'!B2,'Kengetallen 2023'!A2:T344,7,0)*1000</f>
        <v>4820000</v>
      </c>
      <c r="C14" s="20">
        <f>SUM(B14,-'Investeringen &amp; financiering'!D30,C42)</f>
        <v>4820000</v>
      </c>
      <c r="F14" s="49"/>
      <c r="G14" s="39"/>
    </row>
    <row r="15" spans="1:7" ht="13" x14ac:dyDescent="0.3">
      <c r="A15" s="1" t="s">
        <v>665</v>
      </c>
      <c r="B15" s="53">
        <f>SUM($B$13,$B$14)</f>
        <v>6960000</v>
      </c>
      <c r="C15" s="51">
        <f>SUM(C13,C14)</f>
        <v>6960000</v>
      </c>
      <c r="F15" s="49"/>
      <c r="G15" s="39"/>
    </row>
    <row r="16" spans="1:7" ht="13" x14ac:dyDescent="0.3">
      <c r="A16" s="1"/>
      <c r="B16" s="53"/>
      <c r="C16" s="51"/>
      <c r="E16" s="126" t="s">
        <v>533</v>
      </c>
      <c r="F16" s="49"/>
      <c r="G16" s="39"/>
    </row>
    <row r="17" spans="1:7" ht="13" x14ac:dyDescent="0.3">
      <c r="A17" s="1" t="s">
        <v>88</v>
      </c>
      <c r="B17" s="107">
        <f>VLOOKUP('Financiele conditie'!B2,'Kengetallen 2023'!A2:T344,8,0)*1000</f>
        <v>0</v>
      </c>
      <c r="C17" s="51">
        <f>SUM(B17,-'Investeringen &amp; financiering'!E30,C43)</f>
        <v>0</v>
      </c>
      <c r="E17" s="1" t="s">
        <v>578</v>
      </c>
      <c r="F17" s="107">
        <f>VLOOKUP('Financiele conditie'!B2,'Kengetallen 2023'!$A$2:'Kengetallen 2023'!$T$344,18,0)*1000</f>
        <v>12000000</v>
      </c>
      <c r="G17" s="51">
        <f>SUM(F17,'Investeringen &amp; financiering'!K30)</f>
        <v>12000000</v>
      </c>
    </row>
    <row r="18" spans="1:7" ht="13" x14ac:dyDescent="0.3">
      <c r="A18" s="1"/>
      <c r="B18" s="49"/>
      <c r="C18" s="51"/>
      <c r="E18" s="1"/>
      <c r="F18" s="49"/>
      <c r="G18" s="20"/>
    </row>
    <row r="19" spans="1:7" ht="13" x14ac:dyDescent="0.3">
      <c r="A19" s="126" t="s">
        <v>532</v>
      </c>
      <c r="B19" s="49"/>
      <c r="E19" s="1" t="s">
        <v>30</v>
      </c>
      <c r="F19" s="107">
        <f>VLOOKUP('Financiele conditie'!B2,'Kengetallen 2023'!$A$2:'Kengetallen 2023'!$T$344,19,0)*1000</f>
        <v>6165000</v>
      </c>
      <c r="G19" s="51">
        <f>SUM(F19,'Investeringen &amp; financiering'!L30)</f>
        <v>6165000</v>
      </c>
    </row>
    <row r="20" spans="1:7" ht="13" x14ac:dyDescent="0.3">
      <c r="A20" s="77" t="s">
        <v>458</v>
      </c>
      <c r="B20" s="107">
        <f>VLOOKUP('Financiele conditie'!B2,'Kengetallen 2023'!A2:T344,9,0)*1000</f>
        <v>19453000</v>
      </c>
      <c r="C20" s="20">
        <f>SUM(B20,'Investeringen &amp; financiering'!D6,-'Investeringen &amp; financiering'!E6,-C45)</f>
        <v>19453000</v>
      </c>
      <c r="E20" s="1"/>
      <c r="F20" s="53"/>
      <c r="G20" s="51"/>
    </row>
    <row r="21" spans="1:7" ht="13" x14ac:dyDescent="0.3">
      <c r="A21" s="77" t="s">
        <v>24</v>
      </c>
      <c r="B21" s="107">
        <f>VLOOKUP('Financiele conditie'!B2,'Kengetallen 2023'!A2:T344,10,0)*1000</f>
        <v>0</v>
      </c>
      <c r="C21" s="20">
        <f>SUM(B21,-'Investeringen &amp; financiering'!F6,-'Investeringen &amp; financiering'!F7)</f>
        <v>0</v>
      </c>
      <c r="E21" s="1" t="s">
        <v>26</v>
      </c>
      <c r="F21" s="107">
        <f>VLOOKUP('Financiele conditie'!B2,'Kengetallen 2023'!$A$2:'Kengetallen 2023'!$T$344,20,0)*1000</f>
        <v>27458000</v>
      </c>
      <c r="G21" s="76">
        <f>SUM(F21,'Investeringen &amp; financiering'!M30)</f>
        <v>27458000</v>
      </c>
    </row>
    <row r="22" spans="1:7" ht="13" x14ac:dyDescent="0.3">
      <c r="A22" s="1" t="s">
        <v>449</v>
      </c>
      <c r="B22" s="53">
        <f>SUM(B20,B21)</f>
        <v>19453000</v>
      </c>
      <c r="C22" s="51">
        <f>SUM(C20,C21)</f>
        <v>19453000</v>
      </c>
      <c r="F22" s="49"/>
      <c r="G22" s="39"/>
    </row>
    <row r="23" spans="1:7" ht="13" x14ac:dyDescent="0.3">
      <c r="B23" s="50"/>
      <c r="F23" s="53"/>
      <c r="G23" s="51"/>
    </row>
    <row r="24" spans="1:7" ht="13" x14ac:dyDescent="0.3">
      <c r="A24" s="1" t="s">
        <v>550</v>
      </c>
      <c r="B24" s="107">
        <f>VLOOKUP('Financiele conditie'!B2,'Kengetallen 2023'!A2:T344,11,0)*1000</f>
        <v>17612000</v>
      </c>
      <c r="C24" s="51">
        <f>SUM(B24,-'Investeringen &amp; financiering'!F30)</f>
        <v>17612000</v>
      </c>
      <c r="F24" s="53"/>
      <c r="G24" s="51"/>
    </row>
    <row r="25" spans="1:7" ht="13" x14ac:dyDescent="0.3">
      <c r="B25" s="50"/>
      <c r="F25" s="53"/>
      <c r="G25" s="51"/>
    </row>
    <row r="26" spans="1:7" ht="13" x14ac:dyDescent="0.3">
      <c r="A26" s="1" t="s">
        <v>551</v>
      </c>
      <c r="B26" s="107">
        <f>VLOOKUP('Financiele conditie'!B2,'Kengetallen 2023'!A2:T344,12,0)*1000</f>
        <v>852000</v>
      </c>
      <c r="C26" s="95">
        <f>SUM(B26,-'Investeringen &amp; financiering'!G30)</f>
        <v>852000</v>
      </c>
      <c r="F26" s="53"/>
      <c r="G26" s="51"/>
    </row>
    <row r="27" spans="1:7" ht="13" x14ac:dyDescent="0.3">
      <c r="B27" s="50"/>
      <c r="F27" s="49"/>
      <c r="G27" s="39"/>
    </row>
    <row r="28" spans="1:7" ht="13" x14ac:dyDescent="0.3">
      <c r="A28" s="45" t="s">
        <v>25</v>
      </c>
      <c r="B28" s="154">
        <f>VLOOKUP('Financiele conditie'!B2,'Kengetallen 2023'!A2:T344,13,0)*1000</f>
        <v>4728000</v>
      </c>
      <c r="C28" s="52">
        <f>SUM(B28,-'Investeringen &amp; financiering'!H30)</f>
        <v>4728000</v>
      </c>
      <c r="E28" s="46"/>
      <c r="F28" s="79"/>
      <c r="G28" s="96"/>
    </row>
    <row r="29" spans="1:7" ht="13" x14ac:dyDescent="0.3">
      <c r="B29" s="50"/>
      <c r="F29" s="49"/>
    </row>
    <row r="30" spans="1:7" ht="13" x14ac:dyDescent="0.3">
      <c r="A30" s="1" t="s">
        <v>89</v>
      </c>
      <c r="B30" s="53">
        <f>SUM(B9,B11,B15,B17,B22,B24,B26,B28)</f>
        <v>297756000</v>
      </c>
      <c r="C30" s="51">
        <f>SUM(C9,C11,C15,C17,C22,C24,C26,C28)</f>
        <v>305652134.79788721</v>
      </c>
      <c r="E30" s="1" t="s">
        <v>89</v>
      </c>
      <c r="F30" s="53">
        <f>B30</f>
        <v>297756000</v>
      </c>
      <c r="G30" s="51">
        <f>C30</f>
        <v>305652134.79788721</v>
      </c>
    </row>
    <row r="31" spans="1:7" x14ac:dyDescent="0.25">
      <c r="B31" s="50"/>
    </row>
    <row r="34" spans="1:7" ht="13" x14ac:dyDescent="0.3">
      <c r="A34" s="1" t="s">
        <v>19</v>
      </c>
      <c r="C34" s="45" t="s">
        <v>903</v>
      </c>
      <c r="E34" s="1" t="s">
        <v>19</v>
      </c>
      <c r="F34" s="79" t="s">
        <v>904</v>
      </c>
      <c r="G34" s="138" t="s">
        <v>905</v>
      </c>
    </row>
    <row r="35" spans="1:7" x14ac:dyDescent="0.25">
      <c r="A35" s="5" t="s">
        <v>912</v>
      </c>
      <c r="C35" s="109">
        <f>VLOOKUP('Financiele conditie'!B2,Uitgaven!B2:R344,5,0)*1000</f>
        <v>8882000</v>
      </c>
      <c r="E35" s="5" t="s">
        <v>487</v>
      </c>
      <c r="F35" s="105">
        <f>VLOOKUP('Financiele conditie'!B2,'Kengetallen 2023'!A2:X344,23,0)*1000</f>
        <v>173602000</v>
      </c>
      <c r="G35" s="148">
        <f>VLOOKUP('Financiele conditie'!B2,Inkomsten!B2:W345,17,0)*1000</f>
        <v>192121000</v>
      </c>
    </row>
    <row r="36" spans="1:7" x14ac:dyDescent="0.25">
      <c r="E36" s="5" t="s">
        <v>488</v>
      </c>
      <c r="F36" s="109">
        <f>VLOOKUP('Financiele conditie'!B2,'Kengetallen 2023'!A2:X344,24,0)*1000</f>
        <v>188195000</v>
      </c>
      <c r="G36" s="109">
        <f>VLOOKUP('Financiele conditie'!B2,Uitgaven!B2:C344,2,0)*1000</f>
        <v>195464000</v>
      </c>
    </row>
    <row r="37" spans="1:7" x14ac:dyDescent="0.25">
      <c r="E37" s="5" t="s">
        <v>452</v>
      </c>
      <c r="F37" s="80"/>
      <c r="G37" s="109">
        <v>0</v>
      </c>
    </row>
    <row r="38" spans="1:7" x14ac:dyDescent="0.25">
      <c r="C38" s="20"/>
      <c r="E38" s="5" t="s">
        <v>72</v>
      </c>
      <c r="F38" s="115">
        <f>F6/F30</f>
        <v>0.22285697013662192</v>
      </c>
      <c r="G38" s="4">
        <f>G6/G30</f>
        <v>0.20616262872193769</v>
      </c>
    </row>
    <row r="39" spans="1:7" x14ac:dyDescent="0.25">
      <c r="A39" s="103" t="s">
        <v>479</v>
      </c>
      <c r="B39" s="104"/>
      <c r="C39" s="105">
        <v>0</v>
      </c>
      <c r="E39" s="5" t="s">
        <v>76</v>
      </c>
      <c r="F39" s="115">
        <f>SUM(F13,F17,F19,F21)/F30</f>
        <v>0.66895041577667624</v>
      </c>
      <c r="G39" s="4">
        <f>SUM(G13,G17,G19,G21)/G30</f>
        <v>0.6884397759977211</v>
      </c>
    </row>
    <row r="40" spans="1:7" x14ac:dyDescent="0.25">
      <c r="A40" s="106" t="s">
        <v>466</v>
      </c>
      <c r="C40" s="107">
        <v>0</v>
      </c>
      <c r="E40" s="5" t="s">
        <v>478</v>
      </c>
      <c r="F40" s="99">
        <f>SUM(B24,B26,B28)/SUM(F17,F19,F21)</f>
        <v>0.50834009162045457</v>
      </c>
      <c r="G40" s="100">
        <f>SUM(C24,C26,C28)/SUM(G17,G19,G21)</f>
        <v>0.50834009162045457</v>
      </c>
    </row>
    <row r="41" spans="1:7" x14ac:dyDescent="0.25">
      <c r="A41" s="106" t="s">
        <v>97</v>
      </c>
      <c r="C41" s="107">
        <f>'Investeringen &amp; financiering'!C30</f>
        <v>142666.66666666666</v>
      </c>
      <c r="E41" s="5" t="s">
        <v>704</v>
      </c>
      <c r="F41" s="115">
        <f>SUM(F17,-B26)/F35</f>
        <v>6.421585004781051E-2</v>
      </c>
      <c r="G41" s="4">
        <f>SUM(G17,-C26)/G35</f>
        <v>5.80259315743724E-2</v>
      </c>
    </row>
    <row r="42" spans="1:7" x14ac:dyDescent="0.25">
      <c r="A42" s="106" t="s">
        <v>98</v>
      </c>
      <c r="C42" s="107">
        <f>'Investeringen &amp; financiering'!D30</f>
        <v>321333.33333333331</v>
      </c>
      <c r="E42" s="5" t="s">
        <v>484</v>
      </c>
      <c r="F42" s="115">
        <f>SUM(F13,F17,F19,F21,-B15,-B17,-B24,-B26,-B28)/F35</f>
        <v>0.97367541848596217</v>
      </c>
      <c r="G42" s="4">
        <f>SUM(G13,G17,G19,G21,-C15,-C17,-C24,-C26,-C28)/G35</f>
        <v>0.938320575124441</v>
      </c>
    </row>
    <row r="43" spans="1:7" x14ac:dyDescent="0.25">
      <c r="A43" s="106" t="s">
        <v>473</v>
      </c>
      <c r="C43" s="107">
        <f>'Investeringen &amp; financiering'!E30</f>
        <v>0</v>
      </c>
      <c r="E43" s="5" t="s">
        <v>71</v>
      </c>
      <c r="F43" s="115">
        <f>B15/F35</f>
        <v>4.0091704012626579E-2</v>
      </c>
      <c r="G43" s="4">
        <f>C15/G35</f>
        <v>3.6227169335991377E-2</v>
      </c>
    </row>
    <row r="44" spans="1:7" x14ac:dyDescent="0.25">
      <c r="A44" s="106" t="s">
        <v>535</v>
      </c>
      <c r="C44" s="107">
        <v>0</v>
      </c>
      <c r="E44" s="5" t="s">
        <v>580</v>
      </c>
      <c r="F44" s="115">
        <f>B22/F35</f>
        <v>0.11205516065483116</v>
      </c>
      <c r="G44" s="116">
        <f>C22/G35</f>
        <v>0.1012538972834828</v>
      </c>
    </row>
    <row r="45" spans="1:7" x14ac:dyDescent="0.25">
      <c r="A45" s="108" t="s">
        <v>494</v>
      </c>
      <c r="B45" s="46"/>
      <c r="C45" s="154">
        <f>VLOOKUP('Financiele conditie'!B2,Uitgaven!B2:R344,3,0)*1000</f>
        <v>17817000</v>
      </c>
      <c r="E45" s="5" t="s">
        <v>563</v>
      </c>
      <c r="F45" s="115">
        <f>SUM(F42,0.12*F43,-0.7*F44)</f>
        <v>0.90004781050909555</v>
      </c>
      <c r="G45" s="4">
        <f>SUM(G42,0.12*G43,-0.7*G44)</f>
        <v>0.87179010734632201</v>
      </c>
    </row>
    <row r="46" spans="1:7" x14ac:dyDescent="0.25">
      <c r="E46" s="5" t="s">
        <v>568</v>
      </c>
      <c r="F46" s="115">
        <f>SUM(F35,-F36)/F35</f>
        <v>-8.4060091473600537E-2</v>
      </c>
      <c r="G46" s="4">
        <f>SUM(G35,-G36)/G35</f>
        <v>-1.7400492398019999E-2</v>
      </c>
    </row>
    <row r="47" spans="1:7" x14ac:dyDescent="0.25">
      <c r="E47" s="5" t="s">
        <v>564</v>
      </c>
      <c r="F47" s="115">
        <f>SUM(B9,-VLOOKUP(Balansprognose!B2,'Data investeringen'!B2:AC344,27,0)*1000)/(4*F35)</f>
        <v>7.3655545443024856E-2</v>
      </c>
      <c r="G47" s="4">
        <f>SUM(C9,-VLOOKUP(Balansprognose!B2,'Data investeringen'!B2:AC344,28,0)*1000)/(4*G35)</f>
        <v>6.3708166554758014E-2</v>
      </c>
    </row>
    <row r="48" spans="1:7" x14ac:dyDescent="0.25">
      <c r="E48" s="5" t="s">
        <v>908</v>
      </c>
      <c r="F48" s="4">
        <f>SUM(SUM(F13,F17,F19,F21,-B15,-B17,-B24,-B26,-B28),-(VLOOKUP(B2,'Kengetallen 2023'!A2:U344,21)*1000))/F35</f>
        <v>0</v>
      </c>
      <c r="G48" s="276">
        <f>SUM(-SUM(G13,G17,G19,G21,-C15,-C17,-C24,-C26,-C28),SUM(F13,F17,F19,F21,-B15,-B17,-B24,-B26,-B28))/G35</f>
        <v>-5.8500045354140037E-2</v>
      </c>
    </row>
    <row r="49" spans="1:1" x14ac:dyDescent="0.25">
      <c r="A49" s="90"/>
    </row>
    <row r="50" spans="1:1" x14ac:dyDescent="0.25">
      <c r="A50" s="90"/>
    </row>
    <row r="52" spans="1:1" x14ac:dyDescent="0.25">
      <c r="A52" s="20"/>
    </row>
    <row r="53" spans="1:1" x14ac:dyDescent="0.25">
      <c r="A53" s="20"/>
    </row>
    <row r="54" spans="1:1" x14ac:dyDescent="0.25">
      <c r="A54" s="139"/>
    </row>
    <row r="55" spans="1:1" x14ac:dyDescent="0.25">
      <c r="A55" s="90"/>
    </row>
  </sheetData>
  <sheetProtection algorithmName="SHA-512" hashValue="xeY9Ck839NVXUj0PbAHLIbnb6uyBXZuWjuz6Ts9uUYtCt0EQj50gIlK+d72IhalotWwVTtBYMlCNX1ENId+n6A==" saltValue="Xm3yEyW4JY3Fkv43rIYtmQ==" spinCount="100000" sheet="1" selectLockedCells="1"/>
  <mergeCells count="1">
    <mergeCell ref="C6:C7"/>
  </mergeCells>
  <dataValidations xWindow="911" yWindow="697" count="18">
    <dataValidation allowBlank="1" showInputMessage="1" showErrorMessage="1" promptTitle="Boekwinst / boekverlies" prompt="Vul de boekwinst of het boekverlies in dat in 2025 wordt behaald bij de verkoop van materiele vaste activa. Vul bij winst een positief getal in en bij verlies een negatief getal in.      " sqref="C39" xr:uid="{00000000-0002-0000-0100-000001000000}"/>
    <dataValidation allowBlank="1" showInputMessage="1" showErrorMessage="1" promptTitle="Boekwinst / boekverlies" prompt="Vul de boekwinst of het boekverlies in dat wordt behaald bij de verkoop, het afstoten of liquideren van deelnemingen in 2025. Vul bij winst een positief getal en bij verlies een negatief getal in." sqref="C40" xr:uid="{00000000-0002-0000-0100-000002000000}"/>
    <dataValidation operator="greaterThanOrEqual" allowBlank="1" showInputMessage="1" showErrorMessage="1" errorTitle="Foutieve invoer" error="U hebt een negatief bedrag ingevuld." promptTitle="Verstrekken nieuwe leningen " prompt="Vul voor de te verstrekken nieuwe leningen aan verbonden partijen in 2025 een positief bedrag in. Aflossingen op oude leningen moeten op het blad Investeringen &amp; financiering worden ingevuld.  " sqref="C41" xr:uid="{00000000-0002-0000-0100-000003000000}"/>
    <dataValidation operator="greaterThanOrEqual" allowBlank="1" showInputMessage="1" showErrorMessage="1" errorTitle="Foutieve invoer" error="U hebt een negatief bedrag ingevuld." promptTitle="Verstrekken nieuwe leningen" prompt="Vul voor de te verstrekken nieuwe leningen aan derden in 2025 een positief bedrag in. Aflossingen op leningen aan derden moeten op het blad Investeringen &amp; financiering worden ingevuld." sqref="C42" xr:uid="{00000000-0002-0000-0100-000004000000}"/>
    <dataValidation type="whole" operator="greaterThanOrEqual" allowBlank="1" showInputMessage="1" showErrorMessage="1" errorTitle="Foutieve invoer" error="U hebt een negatief bedrag ingevuld." promptTitle="Nieuwe langlopende uitzettingen" prompt="Vul voor de nieuwe langlopende uitzettingen die in 2025 worden geplaatst, een positief bedrag in. Hieronder vallen ook langlopende uitzettingen bij de schatkist.   " sqref="C43" xr:uid="{00000000-0002-0000-0100-000005000000}">
      <formula1>0</formula1>
    </dataValidation>
    <dataValidation allowBlank="1" showErrorMessage="1" sqref="G48" xr:uid="{00000000-0002-0000-0100-000006000000}"/>
    <dataValidation type="whole" operator="greaterThanOrEqual" allowBlank="1" showInputMessage="1" showErrorMessage="1" errorTitle="Foutieve invoer" error="U hebt een negatief bedrag ingevuld" promptTitle="Voorraad NIEGG eindbalans" prompt="Voer hier de waardestijging (positief) in die ontstaat bij de overboeking in 2025 van Niet in Exploitatie Genomen Grond naar Onderhanden werk. " sqref="C44" xr:uid="{00000000-0002-0000-0100-000007000000}">
      <formula1>0</formula1>
    </dataValidation>
    <dataValidation type="whole" operator="lessThanOrEqual" allowBlank="1" showInputMessage="1" showErrorMessage="1" errorTitle="positief getal ingevoerd" error="U dient een negatief getal in te voeren" promptTitle="Mutatie onderhanden werk" prompt="Voer eerst op blad Investeringen &amp; financiering de investeringen onderhanden werk in en corrigeer hierboven afname NIEG grond. Vul dan pas hier de afname (negatief) van het onderhanden werk (kostprijs verkopen) in voor stand eindbalans 2017." sqref="C46" xr:uid="{00000000-0002-0000-0100-000008000000}">
      <formula1>0</formula1>
    </dataValidation>
    <dataValidation allowBlank="1" showInputMessage="1" showErrorMessage="1" promptTitle="Mutatie voorzieningen 2025" prompt="Voer het bedrag in waarmee de voorzieningen in 2025 toenemen (positief bedrag) of afnemen (negatief bedrag)." sqref="G37" xr:uid="{00000000-0002-0000-0100-000009000000}"/>
    <dataValidation operator="greaterThanOrEqual" allowBlank="1" showInputMessage="1" showErrorMessage="1" errorTitle="Foutieve invoer" error="U hebt een negatief bedrag ingevuld. Vul een positief bedrag in." promptTitle="Afname voorraad onderhanden werk" prompt="Vul een positief bedrag in voor de afname van de voorraad onderhanden werk als gevolg van de verwachte verkopen in 2025. Vul op het blad Investeringen &amp; financiering de opbrengst uit deze verkopen in." sqref="C45" xr:uid="{00000000-0002-0000-0100-00000A000000}"/>
    <dataValidation allowBlank="1" sqref="C36 F6" xr:uid="{00000000-0002-0000-0100-00000B000000}"/>
    <dataValidation allowBlank="1" showInputMessage="1" promptTitle="Afschrijvingslasten " prompt="Vul de afschrijvingskosten van de immateriele en materiele activa in van het lopende boekjaar. Hieronder vallen ook de afschrijvingskosten die worden gedekt uit bestemmingsreserves." sqref="C35" xr:uid="{00000000-0002-0000-0100-00000C000000}"/>
    <dataValidation allowBlank="1" showInputMessage="1" promptTitle="Baten voor mutatie reserves 2024" prompt="Vul een positief bedrag in voor de hoogte van de baten voor mutatie van de reserves van het rekeningjaar 2024." sqref="F36" xr:uid="{00000000-0002-0000-0100-00000D000000}"/>
    <dataValidation allowBlank="1" showInputMessage="1" promptTitle="Baten voor mutatie reserves 2025" prompt="Voer een positief bedrag in voor de hoogte van de baten voor mutatie van de reserves van het begrotingsjaar 2025." sqref="G35" xr:uid="{00000000-0002-0000-0100-00000F000000}"/>
    <dataValidation allowBlank="1" showInputMessage="1" promptTitle="Lasten v. mutatie reserves 2025" prompt="Voer een positief bedrag in voor de hoogte van de lasten voor mutatie van de reserves van het begrotingsjaar 2025." sqref="G36" xr:uid="{00000000-0002-0000-0100-000010000000}"/>
    <dataValidation allowBlank="1" showInputMessage="1" promptTitle="Balans 2024" prompt="Schrijf de balansstanden over met de gegevens uit de (voorlopige) jaarrekening 2024" sqref="F21 B17 B20:B21 B24 B26 B28 F8 F11:F12 F17 F19" xr:uid="{0B3E6E69-CC11-4D7B-AEAE-4CEAEEEA2D04}"/>
    <dataValidation allowBlank="1" showInputMessage="1" promptTitle="Balans 2024" prompt="Schrijf de balansstanden over met de gegevens uit de (voorlopige) jaarrekening 2024  " sqref="B11 B13:B14 B6:B8" xr:uid="{A0FB0E85-2E42-4FAA-97DF-1246A09BE791}"/>
    <dataValidation allowBlank="1" showInputMessage="1" promptTitle="Baten voor mutatie reserves 2024" prompt="Vul een positief bedrag in voor de hoogte van de baten voor mutatie van de reserves van het rekeningjaar 2024" sqref="F35" xr:uid="{1E8FC24A-936C-47F1-BA94-A3C3B60253E6}"/>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1:AD99"/>
  <sheetViews>
    <sheetView showGridLines="0" zoomScale="85" zoomScaleNormal="85" workbookViewId="0">
      <selection activeCell="M30" sqref="M30"/>
    </sheetView>
  </sheetViews>
  <sheetFormatPr defaultColWidth="9.08984375" defaultRowHeight="12.5" x14ac:dyDescent="0.25"/>
  <cols>
    <col min="1" max="1" width="3" style="5" customWidth="1"/>
    <col min="2" max="2" width="37.6328125" style="5" bestFit="1" customWidth="1"/>
    <col min="3" max="3" width="34.08984375" style="5" bestFit="1" customWidth="1"/>
    <col min="4" max="4" width="31" style="5" bestFit="1" customWidth="1"/>
    <col min="5" max="5" width="30.54296875" style="5" customWidth="1"/>
    <col min="6" max="6" width="31" style="5" customWidth="1"/>
    <col min="7" max="7" width="37.54296875" style="5" bestFit="1" customWidth="1"/>
    <col min="8" max="8" width="32" style="5" customWidth="1"/>
    <col min="9" max="9" width="24.453125" style="5" customWidth="1"/>
    <col min="10" max="10" width="24.54296875" style="5" customWidth="1"/>
    <col min="11" max="11" width="30.90625" style="5" customWidth="1"/>
    <col min="12" max="12" width="26.36328125" style="5" customWidth="1"/>
    <col min="13" max="13" width="26.453125" style="5" customWidth="1"/>
    <col min="14" max="14" width="21.453125" style="3" hidden="1" customWidth="1"/>
    <col min="15" max="15" width="25.54296875" style="3" hidden="1" customWidth="1"/>
    <col min="16" max="17" width="16.08984375" style="3" hidden="1" customWidth="1"/>
    <col min="18" max="18" width="27.6328125" style="3" hidden="1" customWidth="1"/>
    <col min="19" max="19" width="19.36328125" style="3" hidden="1" customWidth="1"/>
    <col min="20" max="20" width="25.36328125" style="3" hidden="1" customWidth="1"/>
    <col min="21" max="21" width="61.08984375" style="3" hidden="1" customWidth="1"/>
    <col min="22" max="22" width="16.36328125" style="3" hidden="1" customWidth="1"/>
    <col min="23" max="23" width="16.6328125" style="5" hidden="1" customWidth="1"/>
    <col min="24" max="24" width="8.36328125" style="5" hidden="1" customWidth="1"/>
    <col min="25" max="25" width="10.36328125" style="5" hidden="1" customWidth="1"/>
    <col min="26" max="26" width="23" style="5" hidden="1" customWidth="1"/>
    <col min="27" max="27" width="22.453125" style="5" hidden="1" customWidth="1"/>
    <col min="28" max="28" width="15.08984375" style="5" hidden="1" customWidth="1"/>
    <col min="29" max="29" width="9.08984375" style="5" hidden="1" customWidth="1"/>
    <col min="30" max="16384" width="9.08984375" style="5"/>
  </cols>
  <sheetData>
    <row r="1" spans="1:30" ht="13" x14ac:dyDescent="0.3">
      <c r="A1" s="296" t="s">
        <v>84</v>
      </c>
      <c r="B1" s="296"/>
      <c r="C1" s="38">
        <f>Macrogegevens!C2</f>
        <v>2025</v>
      </c>
      <c r="H1" s="1"/>
      <c r="J1" s="1"/>
      <c r="K1" s="1"/>
      <c r="L1" s="1"/>
      <c r="N1" s="5"/>
      <c r="O1" s="2" t="s">
        <v>52</v>
      </c>
      <c r="R1" s="2" t="s">
        <v>53</v>
      </c>
      <c r="U1" s="227" t="s">
        <v>0</v>
      </c>
      <c r="V1" s="231"/>
      <c r="W1" s="231" t="s">
        <v>41</v>
      </c>
      <c r="X1" s="233"/>
      <c r="Y1" s="236" t="s">
        <v>19</v>
      </c>
      <c r="Z1" s="237" t="s">
        <v>99</v>
      </c>
      <c r="AA1" s="237" t="s">
        <v>101</v>
      </c>
      <c r="AB1" s="238" t="s">
        <v>100</v>
      </c>
    </row>
    <row r="2" spans="1:30" ht="13" x14ac:dyDescent="0.3">
      <c r="A2" s="1" t="s">
        <v>81</v>
      </c>
      <c r="C2" s="5" t="s">
        <v>481</v>
      </c>
      <c r="D2" s="62" t="s">
        <v>490</v>
      </c>
      <c r="E2" s="5" t="s">
        <v>491</v>
      </c>
      <c r="F2" s="5" t="s">
        <v>24</v>
      </c>
      <c r="G2" s="5" t="s">
        <v>23</v>
      </c>
      <c r="I2" s="9"/>
      <c r="K2" s="9"/>
      <c r="L2" s="9"/>
      <c r="M2" s="9"/>
      <c r="N2" s="9" t="s">
        <v>482</v>
      </c>
      <c r="O2" s="3" t="s">
        <v>39</v>
      </c>
      <c r="P2" s="3" t="s">
        <v>40</v>
      </c>
      <c r="Q2" s="3" t="s">
        <v>55</v>
      </c>
      <c r="R2" s="3" t="s">
        <v>49</v>
      </c>
      <c r="S2" s="3" t="s">
        <v>40</v>
      </c>
      <c r="T2" s="3" t="s">
        <v>80</v>
      </c>
      <c r="U2" s="221" t="s">
        <v>1</v>
      </c>
      <c r="W2" s="7">
        <f>Macrogegevens!C4</f>
        <v>2.3E-2</v>
      </c>
      <c r="X2" s="7">
        <f>SUM(1,W2)</f>
        <v>1.0229999999999999</v>
      </c>
      <c r="Y2" s="106">
        <v>1997</v>
      </c>
      <c r="Z2" s="27">
        <v>5.5800000000000002E-2</v>
      </c>
      <c r="AA2" s="27">
        <f>SUM(Z2,0.6%)</f>
        <v>6.1800000000000001E-2</v>
      </c>
      <c r="AB2" s="234">
        <f t="shared" ref="AB2:AB29" si="0">SUM(AA2,0.8%)</f>
        <v>6.9800000000000001E-2</v>
      </c>
    </row>
    <row r="3" spans="1:30" ht="13.25" x14ac:dyDescent="0.25">
      <c r="B3" s="13" t="s">
        <v>973</v>
      </c>
      <c r="C3" s="8">
        <f>SUM(Balansprognose!B6,Balansprognose!B7)</f>
        <v>222391000</v>
      </c>
      <c r="D3" s="8">
        <f>SUM(Balansprognose!B8)</f>
        <v>24141000</v>
      </c>
      <c r="E3" s="8">
        <f>Balansprognose!B20</f>
        <v>19453000</v>
      </c>
      <c r="F3" s="28">
        <f>Balansprognose!B21</f>
        <v>0</v>
      </c>
      <c r="G3" s="8">
        <f>Balansprognose!B11</f>
        <v>1619000</v>
      </c>
      <c r="H3" s="20"/>
      <c r="I3" s="9"/>
      <c r="K3" s="9"/>
      <c r="L3" s="9"/>
      <c r="M3" s="9"/>
      <c r="N3" s="9"/>
      <c r="O3" s="11"/>
      <c r="U3" s="221" t="s">
        <v>489</v>
      </c>
      <c r="W3" s="7">
        <f>SUM(Macrogegevens!C6,-W5)</f>
        <v>9.9780626029756271E-3</v>
      </c>
      <c r="X3" s="3"/>
      <c r="Y3" s="106">
        <f t="shared" ref="Y3:Y28" si="1">SUM(Y2,1)</f>
        <v>1998</v>
      </c>
      <c r="Z3" s="27">
        <v>4.6199999999999998E-2</v>
      </c>
      <c r="AA3" s="27">
        <f>SUM(Z3,0.6%)</f>
        <v>5.2199999999999996E-2</v>
      </c>
      <c r="AB3" s="234">
        <f t="shared" si="0"/>
        <v>6.0199999999999997E-2</v>
      </c>
    </row>
    <row r="4" spans="1:30" ht="13.25" x14ac:dyDescent="0.25">
      <c r="B4" s="13" t="s">
        <v>974</v>
      </c>
      <c r="C4" s="147">
        <f>SUM(1,-Macrogegevens!C37)*371.9</f>
        <v>371.9</v>
      </c>
      <c r="D4" s="8"/>
      <c r="E4" s="8"/>
      <c r="F4" s="8"/>
      <c r="G4" s="8"/>
      <c r="K4" s="9"/>
      <c r="L4" s="9"/>
      <c r="N4" s="5"/>
      <c r="O4" s="11"/>
      <c r="U4" s="221" t="s">
        <v>2</v>
      </c>
      <c r="W4" s="7">
        <f>Macrogegevens!C7</f>
        <v>3.9E-2</v>
      </c>
      <c r="X4" s="3"/>
      <c r="Y4" s="106">
        <f t="shared" si="1"/>
        <v>1999</v>
      </c>
      <c r="Z4" s="27">
        <v>4.65E-2</v>
      </c>
      <c r="AA4" s="27">
        <f t="shared" ref="AA4:AA29" si="2">SUM(Z4,0.6%)</f>
        <v>5.2499999999999998E-2</v>
      </c>
      <c r="AB4" s="234">
        <f t="shared" si="0"/>
        <v>6.0499999999999998E-2</v>
      </c>
    </row>
    <row r="5" spans="1:30" ht="13.25" hidden="1" x14ac:dyDescent="0.25">
      <c r="B5" s="13" t="s">
        <v>451</v>
      </c>
      <c r="C5" s="4">
        <f>Balansprognose!C35/C3</f>
        <v>3.9938666582730417E-2</v>
      </c>
      <c r="D5" s="8"/>
      <c r="E5" s="8"/>
      <c r="F5" s="4"/>
      <c r="G5" s="4"/>
      <c r="J5" s="3"/>
      <c r="K5" s="6"/>
      <c r="L5" s="6"/>
      <c r="N5" s="5"/>
      <c r="O5" s="11"/>
      <c r="U5" s="221" t="s">
        <v>16</v>
      </c>
      <c r="W5" s="7">
        <f>Macrogegevens!C11</f>
        <v>4.0219373970243714E-3</v>
      </c>
      <c r="X5" s="3"/>
      <c r="Y5" s="106">
        <f t="shared" si="1"/>
        <v>2000</v>
      </c>
      <c r="Z5" s="27">
        <v>5.4100000000000002E-2</v>
      </c>
      <c r="AA5" s="27">
        <f t="shared" si="2"/>
        <v>6.0100000000000001E-2</v>
      </c>
      <c r="AB5" s="234">
        <f t="shared" si="0"/>
        <v>6.8099999999999994E-2</v>
      </c>
    </row>
    <row r="6" spans="1:30" ht="13.25" x14ac:dyDescent="0.25">
      <c r="B6" s="5" t="s">
        <v>857</v>
      </c>
      <c r="C6" s="150">
        <f>Macrogegevens!T5*-C4</f>
        <v>-16710706.666666666</v>
      </c>
      <c r="D6" s="150">
        <v>0</v>
      </c>
      <c r="E6" s="150">
        <f>-VLOOKUP('Financiele conditie'!B2,'Data investeringen'!B2:V344,7,0)*1000</f>
        <v>-17817000</v>
      </c>
      <c r="F6" s="150">
        <f>-SUM(F3*SUM(1,Macrogegevens!C4,Macrogegevens!C12),-F3)</f>
        <v>0</v>
      </c>
      <c r="G6" s="150">
        <f>-SUM(G3*SUM(1,Macrogegevens!C5,Macrogegevens!C6,-Macrogegevens!C11,Macrogegevens!C12),-G3)</f>
        <v>-67428.131220526295</v>
      </c>
      <c r="K6" s="9"/>
      <c r="L6" s="9"/>
      <c r="N6" s="5"/>
      <c r="O6" s="30">
        <f>SUM(C6:G6,C7,E7,F7,G7)</f>
        <v>-15860134.797887191</v>
      </c>
      <c r="P6" s="15">
        <f>W10*0.5*O6</f>
        <v>-285482.4263619695</v>
      </c>
      <c r="Q6" s="15">
        <f>SUM(O6:P6)</f>
        <v>-16145617.22424916</v>
      </c>
      <c r="R6" s="30">
        <f>SUM(C6:G6,C7,E7,F7,G7)</f>
        <v>-15860134.797887191</v>
      </c>
      <c r="S6" s="15">
        <f>W10*R6*0.5</f>
        <v>-285482.4263619695</v>
      </c>
      <c r="T6" s="15">
        <f>SUM(R6:S6)</f>
        <v>-16145617.22424916</v>
      </c>
      <c r="U6" s="221" t="s">
        <v>21</v>
      </c>
      <c r="W6" s="7">
        <f>Macrogegevens!C12</f>
        <v>5.6699492688749627E-3</v>
      </c>
      <c r="X6" s="3"/>
      <c r="Y6" s="106">
        <f t="shared" si="1"/>
        <v>2001</v>
      </c>
      <c r="Z6" s="27">
        <v>4.9599999999999998E-2</v>
      </c>
      <c r="AA6" s="27">
        <f t="shared" si="2"/>
        <v>5.5599999999999997E-2</v>
      </c>
      <c r="AB6" s="234">
        <f t="shared" si="0"/>
        <v>6.359999999999999E-2</v>
      </c>
    </row>
    <row r="7" spans="1:30" ht="13.25" x14ac:dyDescent="0.25">
      <c r="B7" s="5" t="s">
        <v>485</v>
      </c>
      <c r="C7" s="10">
        <v>0</v>
      </c>
      <c r="D7" s="10">
        <v>0</v>
      </c>
      <c r="E7" s="10">
        <f>VLOOKUP('Financiele conditie'!B2,'Data investeringen'!B2:V344,6,0)*1000</f>
        <v>18735000</v>
      </c>
      <c r="F7" s="10">
        <v>0</v>
      </c>
      <c r="G7" s="10">
        <v>0</v>
      </c>
      <c r="L7" s="9"/>
      <c r="N7" s="28">
        <f>SUM(C7,E7,F7,G7)</f>
        <v>18735000</v>
      </c>
      <c r="O7" s="15"/>
      <c r="P7" s="15"/>
      <c r="Q7" s="15"/>
      <c r="R7" s="15"/>
      <c r="S7" s="15"/>
      <c r="T7" s="15"/>
      <c r="U7" s="221" t="s">
        <v>29</v>
      </c>
      <c r="W7" s="7">
        <f>Macrogegevens!C17</f>
        <v>4.0999999999999995E-2</v>
      </c>
      <c r="X7" s="3"/>
      <c r="Y7" s="106">
        <f t="shared" si="1"/>
        <v>2002</v>
      </c>
      <c r="Z7" s="27">
        <v>4.8899999999999999E-2</v>
      </c>
      <c r="AA7" s="27">
        <f t="shared" si="2"/>
        <v>5.4899999999999997E-2</v>
      </c>
      <c r="AB7" s="234">
        <f t="shared" si="0"/>
        <v>6.2899999999999998E-2</v>
      </c>
      <c r="AD7" s="124"/>
    </row>
    <row r="8" spans="1:30" ht="13.25" hidden="1" x14ac:dyDescent="0.25">
      <c r="B8" s="5" t="s">
        <v>857</v>
      </c>
      <c r="C8" s="29">
        <f>-C4*Macrogegevens!T6*SUM(1,Macrogegevens!C5,Macrogegevens!C6,-Macrogegevens!C11)</f>
        <v>-17410083.25668937</v>
      </c>
      <c r="D8" s="29"/>
      <c r="E8" s="29">
        <f>-VLOOKUP(Macrogegevens!$A$2,'Data investeringen'!$B$2:$X$351,3,0)*1000</f>
        <v>-5360700</v>
      </c>
      <c r="F8" s="29">
        <f>-SUM(SUM(F3,-F6)*SUM(1,Macrogegevens!C4,Macrogegevens!C12),-SUM(F3,-F6))</f>
        <v>0</v>
      </c>
      <c r="G8" s="29">
        <f>-SUM(SUM(G3,-G6)*SUM(1,Macrogegevens!C5,Macrogegevens!C6,-Macrogegevens!C11,Macrogegevens!C12),-SUM(G3,-G6))</f>
        <v>-70236.37883009552</v>
      </c>
      <c r="L8" s="9"/>
      <c r="N8" s="5"/>
      <c r="O8" s="30">
        <f>SUM(C8:G9)</f>
        <v>-18891499.635519464</v>
      </c>
      <c r="P8" s="15">
        <f>SUM(Q6,0.5*O8)*W10</f>
        <v>-921289.21351232019</v>
      </c>
      <c r="Q8" s="15">
        <f>SUM(O8:P8)</f>
        <v>-19812788.849031784</v>
      </c>
      <c r="R8" s="30">
        <f>SUM(C8:H9)</f>
        <v>-18891499.635519464</v>
      </c>
      <c r="S8" s="15">
        <f>SUM(W10*T6,SUM(W10,W21)*R8*0.5)</f>
        <v>-968517.96260111884</v>
      </c>
      <c r="T8" s="15">
        <f>SUM(R8:S8)</f>
        <v>-19860017.598120581</v>
      </c>
      <c r="U8" s="221" t="s">
        <v>36</v>
      </c>
      <c r="W8" s="7">
        <f>Macrogegevens!C14</f>
        <v>2.2000000000000002E-2</v>
      </c>
      <c r="X8" s="3"/>
      <c r="Y8" s="106">
        <f t="shared" si="1"/>
        <v>2003</v>
      </c>
      <c r="Z8" s="27">
        <v>4.1200000000000001E-2</v>
      </c>
      <c r="AA8" s="27">
        <f t="shared" si="2"/>
        <v>4.7199999999999999E-2</v>
      </c>
      <c r="AB8" s="234">
        <f t="shared" si="0"/>
        <v>5.5199999999999999E-2</v>
      </c>
    </row>
    <row r="9" spans="1:30" ht="13.25" hidden="1" x14ac:dyDescent="0.25">
      <c r="B9" s="5" t="s">
        <v>485</v>
      </c>
      <c r="C9" s="8"/>
      <c r="D9" s="28"/>
      <c r="E9" s="8">
        <f>VLOOKUP(Macrogegevens!A2,'Data investeringen'!B2:X351,2,0)*X15*1000</f>
        <v>3949520</v>
      </c>
      <c r="F9" s="8"/>
      <c r="G9" s="8"/>
      <c r="N9" s="28">
        <f>SUM(C9:H9)</f>
        <v>3949520</v>
      </c>
      <c r="O9" s="15"/>
      <c r="P9" s="15"/>
      <c r="Q9" s="15"/>
      <c r="R9" s="15"/>
      <c r="S9" s="15"/>
      <c r="T9" s="15"/>
      <c r="U9" s="221" t="s">
        <v>28</v>
      </c>
      <c r="W9" s="7">
        <f>Macrogegevens!C15</f>
        <v>2.4E-2</v>
      </c>
      <c r="X9" s="3"/>
      <c r="Y9" s="106">
        <f t="shared" si="1"/>
        <v>2004</v>
      </c>
      <c r="Z9" s="27">
        <v>4.0899999999999999E-2</v>
      </c>
      <c r="AA9" s="27">
        <f t="shared" si="2"/>
        <v>4.6899999999999997E-2</v>
      </c>
      <c r="AB9" s="234">
        <f t="shared" si="0"/>
        <v>5.4899999999999997E-2</v>
      </c>
    </row>
    <row r="10" spans="1:30" ht="13.25" hidden="1" x14ac:dyDescent="0.25">
      <c r="B10" s="5" t="s">
        <v>547</v>
      </c>
      <c r="C10" s="29">
        <f>-C4*Macrogegevens!T7*SUM(1,Macrogegevens!C5,Macrogegevens!C6,-Macrogegevens!C11)</f>
        <v>-17508797.545521688</v>
      </c>
      <c r="D10" s="29"/>
      <c r="E10" s="29">
        <f>E8</f>
        <v>-5360700</v>
      </c>
      <c r="F10" s="29">
        <f>-SUM(SUM(F3,-F6,-F8)*SUM(1,Macrogegevens!C4,Macrogegevens!C12),-SUM(F3,-F6,-F8))</f>
        <v>0</v>
      </c>
      <c r="G10" s="29">
        <f>-SUM(SUM(G3,-G6,-G8)*SUM(1,Macrogegevens!C5,Macrogegevens!C6,-Macrogegevens!C11,Macrogegevens!C12),-SUM(G3,-G6,-G8))</f>
        <v>-73161.584369447082</v>
      </c>
      <c r="N10" s="5"/>
      <c r="O10" s="30">
        <f>SUM(C10:G11)</f>
        <v>-18993139.129891135</v>
      </c>
      <c r="P10" s="15">
        <f>SUM(Q6,Q8,0.5*O10)*W10</f>
        <v>-1636379.1229761546</v>
      </c>
      <c r="Q10" s="15">
        <f>SUM(O10:P10)</f>
        <v>-20629518.252867289</v>
      </c>
      <c r="R10" s="30">
        <f>SUM(C10:H11)</f>
        <v>-18993139.129891135</v>
      </c>
      <c r="S10" s="15">
        <f>SUM(W10*T6,SUM(W10,W21)*T8,SUM(W10,W22)*R10*0.5)</f>
        <v>-1832345.1415834096</v>
      </c>
      <c r="T10" s="15">
        <f>SUM(R10:S10)</f>
        <v>-20825484.271474544</v>
      </c>
      <c r="U10" s="221" t="s">
        <v>22</v>
      </c>
      <c r="W10" s="7">
        <f>Macrogegevens!C16</f>
        <v>3.6000000000000004E-2</v>
      </c>
      <c r="X10" s="3"/>
      <c r="Y10" s="106">
        <f t="shared" si="1"/>
        <v>2005</v>
      </c>
      <c r="Z10" s="27">
        <v>3.3700000000000001E-2</v>
      </c>
      <c r="AA10" s="27">
        <f t="shared" si="2"/>
        <v>3.9699999999999999E-2</v>
      </c>
      <c r="AB10" s="234">
        <f t="shared" si="0"/>
        <v>4.7699999999999999E-2</v>
      </c>
    </row>
    <row r="11" spans="1:30" ht="13.25" hidden="1" x14ac:dyDescent="0.25">
      <c r="B11" s="5" t="s">
        <v>548</v>
      </c>
      <c r="C11" s="8"/>
      <c r="E11" s="8">
        <f>VLOOKUP(Macrogegevens!A2,'Data investeringen'!B2:X351,2,0)*X16*1000</f>
        <v>3949520</v>
      </c>
      <c r="F11" s="8"/>
      <c r="G11" s="8"/>
      <c r="N11" s="28">
        <f>SUM(C11:H11)</f>
        <v>3949520</v>
      </c>
      <c r="O11" s="15"/>
      <c r="P11" s="15"/>
      <c r="Q11" s="15"/>
      <c r="R11" s="15"/>
      <c r="S11" s="15"/>
      <c r="T11" s="15"/>
      <c r="U11" s="228" t="s">
        <v>451</v>
      </c>
      <c r="V11" s="229"/>
      <c r="W11" s="230">
        <f>C5</f>
        <v>3.9938666582730417E-2</v>
      </c>
      <c r="X11" s="229"/>
      <c r="Y11" s="106">
        <f t="shared" si="1"/>
        <v>2006</v>
      </c>
      <c r="Z11" s="27">
        <v>3.78E-2</v>
      </c>
      <c r="AA11" s="27">
        <f t="shared" si="2"/>
        <v>4.3799999999999999E-2</v>
      </c>
      <c r="AB11" s="234">
        <f t="shared" si="0"/>
        <v>5.1799999999999999E-2</v>
      </c>
    </row>
    <row r="12" spans="1:30" ht="13.25" hidden="1" x14ac:dyDescent="0.25">
      <c r="B12" s="5" t="s">
        <v>858</v>
      </c>
      <c r="C12" s="29">
        <f>-C4*Macrogegevens!T8*SUM(1,Macrogegevens!C5,Macrogegevens!C6,-Macrogegevens!C11)</f>
        <v>-17608071.539363801</v>
      </c>
      <c r="D12" s="28"/>
      <c r="E12" s="29">
        <f>E8</f>
        <v>-5360700</v>
      </c>
      <c r="F12" s="29">
        <f>-SUM(SUM(F3,-F6,-F8,-F10)*SUM(1,Macrogegevens!C4,Macrogegevens!C12),-SUM(F3,-F6,-F8,-F10))</f>
        <v>0</v>
      </c>
      <c r="G12" s="29">
        <f>-SUM(SUM(G3,-G6,-G8,-G10)*SUM(1,Macrogegevens!C5,Macrogegevens!C6,-Macrogegevens!C11,Macrogegevens!C12),-SUM(G3,-G6,-G8,-G10))</f>
        <v>-76208.61890382925</v>
      </c>
      <c r="N12" s="5"/>
      <c r="O12" s="30">
        <f>SUM(C12:G13)</f>
        <v>-18693296.158267632</v>
      </c>
      <c r="P12" s="15">
        <f>SUM(Q6,Q8,Q10,0.5*O12)*W10</f>
        <v>-2373644.6065901541</v>
      </c>
      <c r="Q12" s="15">
        <f>SUM(O12:P12)</f>
        <v>-21066940.764857788</v>
      </c>
      <c r="R12" s="30">
        <f>SUM(C12:H13)</f>
        <v>-18693296.158267632</v>
      </c>
      <c r="S12" s="15">
        <f>SUM(W10*T6,SUM(W10,W21)*T8,SUM(W10,W22)*T10,SUM(W10,W23)*R12*0.5)</f>
        <v>-2830154.2701195674</v>
      </c>
      <c r="T12" s="15">
        <f>SUM(R12:S12)</f>
        <v>-21523450.428387199</v>
      </c>
      <c r="W12" s="3"/>
      <c r="X12" s="3"/>
      <c r="Y12" s="106">
        <f t="shared" si="1"/>
        <v>2007</v>
      </c>
      <c r="Z12" s="27">
        <v>4.2900000000000001E-2</v>
      </c>
      <c r="AA12" s="27">
        <f t="shared" si="2"/>
        <v>4.8899999999999999E-2</v>
      </c>
      <c r="AB12" s="234">
        <f t="shared" si="0"/>
        <v>5.6899999999999999E-2</v>
      </c>
    </row>
    <row r="13" spans="1:30" ht="13.25" hidden="1" x14ac:dyDescent="0.25">
      <c r="B13" s="5" t="s">
        <v>603</v>
      </c>
      <c r="C13" s="8"/>
      <c r="D13" s="28"/>
      <c r="E13" s="8">
        <f>SUM(E11,1/4*$V$35)</f>
        <v>4351684</v>
      </c>
      <c r="F13" s="8"/>
      <c r="G13" s="8"/>
      <c r="N13" s="28">
        <f>SUM(C13:H13)</f>
        <v>4351684</v>
      </c>
      <c r="O13" s="15"/>
      <c r="P13" s="15"/>
      <c r="Q13" s="15"/>
      <c r="R13" s="15"/>
      <c r="S13" s="15"/>
      <c r="T13" s="15"/>
      <c r="W13" s="3"/>
      <c r="X13" s="3"/>
      <c r="Y13" s="106">
        <f t="shared" si="1"/>
        <v>2008</v>
      </c>
      <c r="Z13" s="27">
        <v>4.2299999999999997E-2</v>
      </c>
      <c r="AA13" s="27">
        <f t="shared" si="2"/>
        <v>4.8299999999999996E-2</v>
      </c>
      <c r="AB13" s="234">
        <f t="shared" si="0"/>
        <v>5.6299999999999996E-2</v>
      </c>
    </row>
    <row r="14" spans="1:30" ht="13.25" hidden="1" x14ac:dyDescent="0.25">
      <c r="B14" s="5" t="s">
        <v>604</v>
      </c>
      <c r="C14" s="29">
        <f>-C4*Macrogegevens!T9*SUM(1,Macrogegevens!C5,Macrogegevens!C6,-Macrogegevens!C11)</f>
        <v>-17707908.411714714</v>
      </c>
      <c r="D14" s="29"/>
      <c r="E14" s="29">
        <f>E8</f>
        <v>-5360700</v>
      </c>
      <c r="F14" s="29">
        <f>-SUM(SUM(F3,-F6,-F8,-F10,-F12)*SUM(1,Macrogegevens!C4,Macrogegevens!C12),-SUM(F3,-F6,-F8,-F10,-F12))</f>
        <v>0</v>
      </c>
      <c r="G14" s="29">
        <f>-SUM(SUM(G3,-G6,-G8,-G10,-G12)*SUM(1,Macrogegevens!C5,Macrogegevens!C6,-Macrogegevens!C11,Macrogegevens!C12),-SUM(G3,-G6,-G8,-G10,-G12))</f>
        <v>-79382.556368673453</v>
      </c>
      <c r="I14" s="1"/>
      <c r="J14" s="1"/>
      <c r="K14" s="1"/>
      <c r="L14" s="1"/>
      <c r="M14" s="1"/>
      <c r="N14" s="1"/>
      <c r="O14" s="30">
        <f>SUM(C14:G15)</f>
        <v>-18394142.968083389</v>
      </c>
      <c r="P14" s="15">
        <f>SUM(Q6,Q8,Q10,Q12,0.5*O14)*W10</f>
        <v>-3126669.716701718</v>
      </c>
      <c r="Q14" s="15">
        <f>SUM(O14:P14)</f>
        <v>-21520812.684785105</v>
      </c>
      <c r="R14" s="30">
        <f>SUM(C14:H15)</f>
        <v>-18394142.968083389</v>
      </c>
      <c r="S14" s="15">
        <f>SUM(W10*T6,SUM(W10,W21)*T8,SUM(W10,W22)*T10,SUM(W10,W23)*SUM(T12,R14*0.5))</f>
        <v>-3920221.8356176168</v>
      </c>
      <c r="T14" s="15">
        <f>SUM(R14:S14)</f>
        <v>-22314364.803701006</v>
      </c>
      <c r="U14" s="227" t="s">
        <v>27</v>
      </c>
      <c r="V14" s="231"/>
      <c r="W14" s="231" t="s">
        <v>41</v>
      </c>
      <c r="X14" s="231"/>
      <c r="Y14" s="106">
        <f t="shared" si="1"/>
        <v>2009</v>
      </c>
      <c r="Z14" s="27">
        <v>3.6900000000000002E-2</v>
      </c>
      <c r="AA14" s="27">
        <f t="shared" si="2"/>
        <v>4.2900000000000001E-2</v>
      </c>
      <c r="AB14" s="234">
        <f t="shared" si="0"/>
        <v>5.0900000000000001E-2</v>
      </c>
    </row>
    <row r="15" spans="1:30" hidden="1" x14ac:dyDescent="0.25">
      <c r="B15" s="5" t="s">
        <v>605</v>
      </c>
      <c r="C15" s="8"/>
      <c r="D15" s="8"/>
      <c r="E15" s="8">
        <f>SUM(E11,2/4*$V$35)</f>
        <v>4753848</v>
      </c>
      <c r="F15" s="8"/>
      <c r="G15" s="8"/>
      <c r="J15" s="9"/>
      <c r="K15" s="9"/>
      <c r="L15" s="9"/>
      <c r="M15" s="9"/>
      <c r="N15" s="28">
        <f>SUM(C15:H15)</f>
        <v>4753848</v>
      </c>
      <c r="O15" s="15"/>
      <c r="P15" s="15"/>
      <c r="Q15" s="15"/>
      <c r="R15" s="15"/>
      <c r="S15" s="15"/>
      <c r="T15" s="15"/>
      <c r="U15" s="221" t="s">
        <v>712</v>
      </c>
      <c r="W15" s="6">
        <f>Macrogegevens!C25</f>
        <v>0.2</v>
      </c>
      <c r="X15" s="6">
        <f>SUM(1,-W15)</f>
        <v>0.8</v>
      </c>
      <c r="Y15" s="106">
        <f t="shared" si="1"/>
        <v>2010</v>
      </c>
      <c r="Z15" s="27">
        <v>2.9899999999999999E-2</v>
      </c>
      <c r="AA15" s="27">
        <f t="shared" si="2"/>
        <v>3.5900000000000001E-2</v>
      </c>
      <c r="AB15" s="234">
        <f t="shared" si="0"/>
        <v>4.3900000000000002E-2</v>
      </c>
    </row>
    <row r="16" spans="1:30" hidden="1" x14ac:dyDescent="0.25">
      <c r="B16" s="5" t="s">
        <v>657</v>
      </c>
      <c r="C16" s="29">
        <f>-C4*Macrogegevens!T10*SUM(1,Macrogegevens!C5,Macrogegevens!C6,-Macrogegevens!C11)</f>
        <v>-17808311.354067016</v>
      </c>
      <c r="D16" s="29"/>
      <c r="E16" s="29">
        <f>E8</f>
        <v>-5360700</v>
      </c>
      <c r="F16" s="29">
        <f>-SUM(SUM(F3,-F6,-F8,-F10,-F12,-F14)*SUM(1,Macrogegevens!C4,Macrogegevens!C12),-SUM(F3,-F6,-F8,-F10,-F12,-F14))</f>
        <v>0</v>
      </c>
      <c r="G16" s="29">
        <f>-SUM(SUM(G3,-G6,-G8,-G10,-G12,-G14)*SUM(1,Macrogegevens!$C$5,Macrogegevens!C6,-Macrogegevens!C11,Macrogegevens!$C$12),-SUM(G3,-G6,-G8,-G10,-G12,-G14))</f>
        <v>-82688.682018733816</v>
      </c>
      <c r="J16" s="9"/>
      <c r="K16" s="9"/>
      <c r="L16" s="9"/>
      <c r="M16" s="9"/>
      <c r="N16" s="9"/>
      <c r="O16" s="30">
        <f>SUM(C16:G17)</f>
        <v>-18095688.036085751</v>
      </c>
      <c r="P16" s="15">
        <f>SUM(Q6,Q8,Q10,Q12,Q14,0.5*O16)*W10</f>
        <v>-3896046.7845780249</v>
      </c>
      <c r="Q16" s="15">
        <f>SUM(O16:P16)</f>
        <v>-21991734.820663776</v>
      </c>
      <c r="R16" s="30">
        <f>SUM(C16:H17)</f>
        <v>-18095688.036085751</v>
      </c>
      <c r="S16" s="15">
        <f>SUM(W10*T6,SUM(W10,W21)*T8,SUM(W10,W22)*T10,SUM(W10,W23)*SUM(T12,T14,R16*0.5))</f>
        <v>-5050643.8398404289</v>
      </c>
      <c r="T16" s="15">
        <f>SUM(R16:S16)</f>
        <v>-23146331.875926182</v>
      </c>
      <c r="U16" s="221" t="s">
        <v>713</v>
      </c>
      <c r="W16" s="6">
        <f>Macrogegevens!C26</f>
        <v>0.2</v>
      </c>
      <c r="X16" s="6">
        <f>SUM(1,-W16)</f>
        <v>0.8</v>
      </c>
      <c r="Y16" s="106">
        <f t="shared" si="1"/>
        <v>2011</v>
      </c>
      <c r="Z16" s="27">
        <v>2.98E-2</v>
      </c>
      <c r="AA16" s="27">
        <f t="shared" si="2"/>
        <v>3.5799999999999998E-2</v>
      </c>
      <c r="AB16" s="234">
        <f t="shared" si="0"/>
        <v>4.3799999999999999E-2</v>
      </c>
    </row>
    <row r="17" spans="1:28" hidden="1" x14ac:dyDescent="0.25">
      <c r="B17" s="5" t="s">
        <v>658</v>
      </c>
      <c r="C17" s="8"/>
      <c r="D17" s="8"/>
      <c r="E17" s="8">
        <f>SUM(E11,3/4*V35)</f>
        <v>5156012</v>
      </c>
      <c r="F17" s="8"/>
      <c r="G17" s="8"/>
      <c r="J17" s="9"/>
      <c r="K17" s="9"/>
      <c r="L17" s="9"/>
      <c r="M17" s="9"/>
      <c r="N17" s="28">
        <f>SUM(C17:H17)</f>
        <v>5156012</v>
      </c>
      <c r="O17" s="15"/>
      <c r="P17" s="15"/>
      <c r="Q17" s="15"/>
      <c r="R17" s="15"/>
      <c r="S17" s="15"/>
      <c r="T17" s="15"/>
      <c r="U17" s="221"/>
      <c r="W17" s="6"/>
      <c r="X17" s="6"/>
      <c r="Y17" s="106">
        <f t="shared" si="1"/>
        <v>2012</v>
      </c>
      <c r="Z17" s="27">
        <v>1.9300000000000001E-2</v>
      </c>
      <c r="AA17" s="27">
        <f t="shared" si="2"/>
        <v>2.5300000000000003E-2</v>
      </c>
      <c r="AB17" s="234">
        <f t="shared" si="0"/>
        <v>3.3300000000000003E-2</v>
      </c>
    </row>
    <row r="18" spans="1:28" hidden="1" x14ac:dyDescent="0.25">
      <c r="B18" s="5" t="s">
        <v>812</v>
      </c>
      <c r="C18" s="29">
        <f>-C4*Macrogegevens!T11*SUM(1,Macrogegevens!C5,Macrogegevens!C6,-Macrogegevens!C11)</f>
        <v>-17909283.576008908</v>
      </c>
      <c r="D18" s="29"/>
      <c r="E18" s="29">
        <f>E8</f>
        <v>-5360700</v>
      </c>
      <c r="F18" s="29">
        <f>-SUM(SUM(F3,-F6,-F8,-F10,-F12,-F14,-F16)*SUM(1,Macrogegevens!C4,Macrogegevens!C12),-SUM(F3,-F6,-F8,-F10,-F12,-F14,-F16))</f>
        <v>0</v>
      </c>
      <c r="G18" s="29">
        <f>-SUM(SUM(G3,-G6,-G8,-G10,-G12,-G14,-G16)*SUM(1,Macrogegevens!C5,Macrogegevens!C6,-Macrogegevens!C11,Macrogegevens!C12),-SUM(G3,-G6,-G8,-G10,-G12,-G14,-G16))</f>
        <v>-86132.501229117624</v>
      </c>
      <c r="J18" s="6"/>
      <c r="K18" s="6"/>
      <c r="L18" s="6"/>
      <c r="M18" s="6"/>
      <c r="N18" s="5"/>
      <c r="O18" s="30">
        <f>SUM(C18:G19)</f>
        <v>-17797940.077238027</v>
      </c>
      <c r="P18" s="15">
        <f>SUM(Q6,Q8,Q10,Q12,Q14,Q16,0.5*O18)*W10</f>
        <v>-4682389.774862662</v>
      </c>
      <c r="Q18" s="15">
        <f>SUM(O18:P18)</f>
        <v>-22480329.852100689</v>
      </c>
      <c r="R18" s="30">
        <f>SUM(C18:H19)</f>
        <v>-17797940.077238027</v>
      </c>
      <c r="S18" s="15">
        <f>SUM(W10*T6,SUM(W10,W21)*T8,SUM(W10,W22)*T10,SUM(W10,W23)*SUM(T12,T14,T16,R18*0.5))</f>
        <v>-6223514.1925620474</v>
      </c>
      <c r="T18" s="15">
        <f>SUM(R18:S18)</f>
        <v>-24021454.269800074</v>
      </c>
      <c r="U18" s="221"/>
      <c r="W18" s="6"/>
      <c r="X18" s="6"/>
      <c r="Y18" s="106">
        <f t="shared" si="1"/>
        <v>2013</v>
      </c>
      <c r="Z18" s="27">
        <v>1.9599999999999999E-2</v>
      </c>
      <c r="AA18" s="27">
        <f t="shared" si="2"/>
        <v>2.5599999999999998E-2</v>
      </c>
      <c r="AB18" s="234">
        <f t="shared" si="0"/>
        <v>3.3599999999999998E-2</v>
      </c>
    </row>
    <row r="19" spans="1:28" hidden="1" x14ac:dyDescent="0.25">
      <c r="B19" s="5" t="s">
        <v>813</v>
      </c>
      <c r="C19" s="8"/>
      <c r="D19" s="8"/>
      <c r="E19" s="8">
        <f>SUM(E11,V35)</f>
        <v>5558176</v>
      </c>
      <c r="F19" s="8"/>
      <c r="G19" s="8"/>
      <c r="N19" s="28">
        <f>SUM(C19:H19)</f>
        <v>5558176</v>
      </c>
      <c r="O19" s="15"/>
      <c r="P19" s="15"/>
      <c r="Q19" s="15"/>
      <c r="R19" s="15"/>
      <c r="S19" s="15"/>
      <c r="T19" s="15"/>
      <c r="U19" s="221" t="s">
        <v>43</v>
      </c>
      <c r="W19" s="6">
        <f>Macrogegevens!C27</f>
        <v>0.12</v>
      </c>
      <c r="X19" s="6">
        <f>SUM(1,-W19)</f>
        <v>0.88</v>
      </c>
      <c r="Y19" s="106">
        <f t="shared" si="1"/>
        <v>2014</v>
      </c>
      <c r="Z19" s="27">
        <v>1.4500000000000001E-2</v>
      </c>
      <c r="AA19" s="27">
        <f t="shared" si="2"/>
        <v>2.0500000000000001E-2</v>
      </c>
      <c r="AB19" s="234">
        <f t="shared" si="0"/>
        <v>2.8500000000000001E-2</v>
      </c>
    </row>
    <row r="20" spans="1:28" hidden="1" x14ac:dyDescent="0.25">
      <c r="B20" s="5" t="s">
        <v>814</v>
      </c>
      <c r="C20" s="29">
        <f>-C4*Macrogegevens!T12*SUM(1,Macrogegevens!C5,Macrogegevens!C6,-Macrogegevens!C11)</f>
        <v>-18010828.305326775</v>
      </c>
      <c r="D20" s="29"/>
      <c r="E20" s="29">
        <f>E8</f>
        <v>-5360700</v>
      </c>
      <c r="F20" s="29">
        <f>-SUM(SUM(F3,-F6,-F8,-F10,-F12,-F14,-F16,-F18)*SUM(1,Macrogegevens!C4,Macrogegevens!C12),-SUM(F3,-F6,-F8,-F10,-F12,-F14,-F16,-F18))</f>
        <v>0</v>
      </c>
      <c r="G20" s="29">
        <f>-SUM(SUM(G3,-G6,-G8,-G10,-G12,-G14,-G16,-G18)*SUM(1,Macrogegevens!C5,Macrogegevens!C6,-Macrogegevens!C11,Macrogegevens!C12),-SUM(G3,-G6,-G8,-G10,-G12,-G14,-G16,-G18))</f>
        <v>-89719.748662860133</v>
      </c>
      <c r="N20" s="5"/>
      <c r="O20" s="30">
        <f>SUM(C20:G21)</f>
        <v>-17903072.053989634</v>
      </c>
      <c r="P20" s="15">
        <f>SUM(Q6,Q8,Q10,Q12,Q14,Q16,Q18,0.5*O20)*W10</f>
        <v>-5493574.0251198169</v>
      </c>
      <c r="Q20" s="15">
        <f>SUM(O20:P20)</f>
        <v>-23396646.079109453</v>
      </c>
      <c r="R20" s="30">
        <f>SUM(C20:H21)</f>
        <v>-17903072.053989634</v>
      </c>
      <c r="S20" s="15">
        <f>SUM(W10*T6,SUM(W10,W21)*T8,SUM(W10,W22)*T10,SUM(W10,W23)*SUM(T12,T14,T16,T18,R20*0.5))</f>
        <v>-7451289.2257290175</v>
      </c>
      <c r="T20" s="15">
        <f>SUM(R20:S20)</f>
        <v>-25354361.279718652</v>
      </c>
      <c r="U20" s="221" t="s">
        <v>42</v>
      </c>
      <c r="W20" s="6">
        <f>Macrogegevens!C28</f>
        <v>0.12</v>
      </c>
      <c r="X20" s="6">
        <f>SUM(1,-W20)</f>
        <v>0.88</v>
      </c>
      <c r="Y20" s="106">
        <f t="shared" si="1"/>
        <v>2015</v>
      </c>
      <c r="Z20" s="27">
        <v>6.8999999999999999E-3</v>
      </c>
      <c r="AA20" s="27">
        <f t="shared" si="2"/>
        <v>1.29E-2</v>
      </c>
      <c r="AB20" s="234">
        <f t="shared" si="0"/>
        <v>2.0900000000000002E-2</v>
      </c>
    </row>
    <row r="21" spans="1:28" hidden="1" x14ac:dyDescent="0.25">
      <c r="B21" s="5" t="s">
        <v>815</v>
      </c>
      <c r="C21" s="8"/>
      <c r="D21" s="8"/>
      <c r="E21" s="8">
        <f>SUM(E11,V35)</f>
        <v>5558176</v>
      </c>
      <c r="F21" s="8"/>
      <c r="G21" s="8"/>
      <c r="N21" s="28">
        <f>SUM(C21:H21)</f>
        <v>5558176</v>
      </c>
      <c r="O21" s="15"/>
      <c r="P21" s="15"/>
      <c r="Q21" s="15"/>
      <c r="R21" s="15"/>
      <c r="S21" s="15"/>
      <c r="T21" s="15"/>
      <c r="U21" s="221" t="s">
        <v>651</v>
      </c>
      <c r="W21" s="14">
        <f>Macrogegevens!C30</f>
        <v>5.0000000000000001E-3</v>
      </c>
      <c r="X21" s="3"/>
      <c r="Y21" s="106">
        <f t="shared" si="1"/>
        <v>2016</v>
      </c>
      <c r="Z21" s="27">
        <v>2.8999999999999998E-3</v>
      </c>
      <c r="AA21" s="27">
        <f t="shared" si="2"/>
        <v>8.8999999999999999E-3</v>
      </c>
      <c r="AB21" s="234">
        <f t="shared" si="0"/>
        <v>1.6899999999999998E-2</v>
      </c>
    </row>
    <row r="22" spans="1:28" hidden="1" x14ac:dyDescent="0.25">
      <c r="B22" s="5" t="s">
        <v>859</v>
      </c>
      <c r="C22" s="29">
        <f>-C4*Macrogegevens!T13*SUM(1,Macrogegevens!C5,Macrogegevens!C6,-Macrogegevens!C11)</f>
        <v>-18112948.788108394</v>
      </c>
      <c r="D22" s="29"/>
      <c r="E22" s="29">
        <f>E8</f>
        <v>-5360700</v>
      </c>
      <c r="F22" s="29">
        <f>-SUM(SUM(F3,-F6,-F8,-F10,-F12,-F14,-F16,-F18,-F20)*SUM(1,Macrogegevens!C4,Macrogegevens!C12),-SUM(F3,-F6,-F8,-F10,-F12,-F14,-F16,-F18,-F20))</f>
        <v>0</v>
      </c>
      <c r="G22" s="29">
        <f>-SUM(SUM(G3,-G6,-G8,-G10,-G12,-G14,-G16,-G18,-G20)*SUM(1,Macrogegevens!C5,Macrogegevens!C6,-Macrogegevens!C11,Macrogegevens!C12),-SUM(G3,-G6,-G8,-G10,-G12,-G14,-G16,-G18,-G20))</f>
        <v>-93456.397820310201</v>
      </c>
      <c r="N22" s="5"/>
      <c r="O22" s="30">
        <f>SUM(C22:G23)</f>
        <v>-18008929.185928702</v>
      </c>
      <c r="P22" s="15">
        <f>SUM(Q6,Q8,Q10,Q12,Q14,Q16,Q18,Q20,0.5*O22)*W10</f>
        <v>-6337758.7123426599</v>
      </c>
      <c r="Q22" s="15">
        <f>SUM(O22:P22)</f>
        <v>-24346687.898271363</v>
      </c>
      <c r="R22" s="30">
        <f>SUM(C22:H23)</f>
        <v>-18008929.185928702</v>
      </c>
      <c r="S22" s="15">
        <f>SUM(W10*T6,SUM(W10,W21)*T8,SUM(W10,W22)*T10,SUM(W10,W23)*SUM(T12,T14,T16,T18,T20,R22*0.5))</f>
        <v>-8747061.0078591146</v>
      </c>
      <c r="T22" s="15">
        <f>SUM(R22:S22)</f>
        <v>-26755990.193787817</v>
      </c>
      <c r="U22" s="221" t="s">
        <v>652</v>
      </c>
      <c r="W22" s="14">
        <f>Macrogegevens!C31</f>
        <v>0.01</v>
      </c>
      <c r="X22" s="3"/>
      <c r="Y22" s="106">
        <f t="shared" si="1"/>
        <v>2017</v>
      </c>
      <c r="Z22" s="27">
        <v>5.1999999999999998E-3</v>
      </c>
      <c r="AA22" s="27">
        <f t="shared" si="2"/>
        <v>1.12E-2</v>
      </c>
      <c r="AB22" s="234">
        <f t="shared" si="0"/>
        <v>1.9200000000000002E-2</v>
      </c>
    </row>
    <row r="23" spans="1:28" hidden="1" x14ac:dyDescent="0.25">
      <c r="B23" s="5" t="s">
        <v>860</v>
      </c>
      <c r="C23" s="8"/>
      <c r="D23" s="8"/>
      <c r="E23" s="8">
        <f>SUM(E11,V35)</f>
        <v>5558176</v>
      </c>
      <c r="F23" s="8"/>
      <c r="G23" s="8"/>
      <c r="N23" s="28">
        <f>SUM(C23:H23)</f>
        <v>5558176</v>
      </c>
      <c r="O23" s="15"/>
      <c r="P23" s="15"/>
      <c r="Q23" s="15"/>
      <c r="R23" s="15"/>
      <c r="S23" s="15"/>
      <c r="T23" s="15"/>
      <c r="U23" s="221" t="s">
        <v>653</v>
      </c>
      <c r="W23" s="14">
        <f>Macrogegevens!C32</f>
        <v>1.4999999999999999E-2</v>
      </c>
      <c r="X23" s="3"/>
      <c r="Y23" s="106">
        <f t="shared" si="1"/>
        <v>2018</v>
      </c>
      <c r="Z23" s="27">
        <v>5.7999999999999996E-3</v>
      </c>
      <c r="AA23" s="27">
        <f t="shared" si="2"/>
        <v>1.18E-2</v>
      </c>
      <c r="AB23" s="234">
        <f t="shared" si="0"/>
        <v>1.9799999999999998E-2</v>
      </c>
    </row>
    <row r="24" spans="1:28" hidden="1" x14ac:dyDescent="0.25">
      <c r="B24" s="5" t="s">
        <v>861</v>
      </c>
      <c r="C24" s="29">
        <f>-C4*Macrogegevens!T14*SUM(1,Macrogegevens!C5,Macrogegevens!C6,-Macrogegevens!C11)</f>
        <v>-18215648.288846698</v>
      </c>
      <c r="D24" s="29"/>
      <c r="E24" s="29">
        <f>E8</f>
        <v>-5360700</v>
      </c>
      <c r="F24" s="29">
        <f>-SUM(SUM(F3,-F6,-F8,-F10,-F12,-F14,-F16,-F18,-F20,-F22)*SUM(1,Macrogegevens!C4,Macrogegevens!C12),-SUM(F3,-F6,-F8,-F10,-F12,-F14,-F16,-F18,-F20,-F22))</f>
        <v>0</v>
      </c>
      <c r="G24" s="29">
        <f>-SUM(SUM(G3,-G6,-G8,-G10,-G12,-G14,-G16,-G18,-G20,-G22)*SUM(1,Macrogegevens!C5,Macrogegevens!C6,-Macrogegevens!C11,Macrogegevens!C12),-SUM(G3,-G6,-G8,-G10,-G12,-G14,-G16,-G18,-G20,-G22))</f>
        <v>-97348.670986230951</v>
      </c>
      <c r="N24" s="5"/>
      <c r="O24" s="30">
        <f>SUM(C24:G25)</f>
        <v>-18115520.959832929</v>
      </c>
      <c r="P24" s="15">
        <f>SUM(Q6,Q8,Q10,Q12,Q14,Q16,Q18,Q20,Q22,0.5*O24)*W10</f>
        <v>-7216158.128610705</v>
      </c>
      <c r="Q24" s="15">
        <f>SUM(O24:P24)</f>
        <v>-25331679.088443633</v>
      </c>
      <c r="R24" s="30">
        <f>SUM(C24:H25)</f>
        <v>-18115520.959832929</v>
      </c>
      <c r="S24" s="15">
        <f>SUM(W10*T6,SUM(W10,W21)*T8,SUM(W10,W22)*T10,SUM(W10,W23)*SUM(T12,T14,T16,T18,T20,T22,R24*0.5))</f>
        <v>-10114334.597976852</v>
      </c>
      <c r="T24" s="15">
        <f>SUM(R24:S24)</f>
        <v>-28229855.557809781</v>
      </c>
      <c r="U24" s="108" t="s">
        <v>493</v>
      </c>
      <c r="V24" s="46"/>
      <c r="W24" s="232">
        <f>Macrogegevens!C37</f>
        <v>0</v>
      </c>
      <c r="X24" s="232">
        <f>SUM(1,-W24)</f>
        <v>1</v>
      </c>
      <c r="Y24" s="106">
        <f t="shared" si="1"/>
        <v>2019</v>
      </c>
      <c r="Z24" s="27">
        <v>-6.9999999999999999E-4</v>
      </c>
      <c r="AA24" s="27">
        <f t="shared" si="2"/>
        <v>5.3E-3</v>
      </c>
      <c r="AB24" s="234">
        <f t="shared" si="0"/>
        <v>1.3299999999999999E-2</v>
      </c>
    </row>
    <row r="25" spans="1:28" hidden="1" x14ac:dyDescent="0.25">
      <c r="B25" s="5" t="s">
        <v>862</v>
      </c>
      <c r="C25" s="8"/>
      <c r="D25" s="8"/>
      <c r="E25" s="8">
        <f>SUM(E11,V35)</f>
        <v>5558176</v>
      </c>
      <c r="F25" s="8"/>
      <c r="G25" s="8"/>
      <c r="N25" s="28">
        <f>SUM(C25:H25)</f>
        <v>5558176</v>
      </c>
      <c r="O25" s="11"/>
      <c r="P25" s="11"/>
      <c r="W25" s="3"/>
      <c r="X25" s="3"/>
      <c r="Y25" s="106">
        <f t="shared" si="1"/>
        <v>2020</v>
      </c>
      <c r="Z25" s="27">
        <v>-3.8E-3</v>
      </c>
      <c r="AA25" s="27">
        <f t="shared" si="2"/>
        <v>2.2000000000000001E-3</v>
      </c>
      <c r="AB25" s="234">
        <f t="shared" si="0"/>
        <v>1.0200000000000001E-2</v>
      </c>
    </row>
    <row r="26" spans="1:28" x14ac:dyDescent="0.25">
      <c r="N26" s="5"/>
      <c r="W26" s="3"/>
      <c r="Y26" s="106">
        <f t="shared" si="1"/>
        <v>2021</v>
      </c>
      <c r="Z26" s="27">
        <v>-3.0000000000000001E-3</v>
      </c>
      <c r="AA26" s="27">
        <f t="shared" si="2"/>
        <v>3.0000000000000001E-3</v>
      </c>
      <c r="AB26" s="234">
        <f t="shared" si="0"/>
        <v>1.0999999999999999E-2</v>
      </c>
    </row>
    <row r="27" spans="1:28" x14ac:dyDescent="0.25">
      <c r="N27" s="5"/>
      <c r="W27" s="3"/>
      <c r="Y27" s="106">
        <f t="shared" si="1"/>
        <v>2022</v>
      </c>
      <c r="Z27" s="27">
        <v>1.5800000000000002E-2</v>
      </c>
      <c r="AA27" s="27">
        <f t="shared" si="2"/>
        <v>2.18E-2</v>
      </c>
      <c r="AB27" s="234">
        <f t="shared" si="0"/>
        <v>2.98E-2</v>
      </c>
    </row>
    <row r="28" spans="1:28" ht="13" x14ac:dyDescent="0.3">
      <c r="A28" s="3"/>
      <c r="B28" s="3"/>
      <c r="C28" s="3" t="s">
        <v>31</v>
      </c>
      <c r="D28" s="3" t="s">
        <v>32</v>
      </c>
      <c r="E28" s="3" t="s">
        <v>33</v>
      </c>
      <c r="F28" s="3" t="s">
        <v>575</v>
      </c>
      <c r="G28" s="3" t="s">
        <v>576</v>
      </c>
      <c r="H28" s="3" t="s">
        <v>25</v>
      </c>
      <c r="I28" s="3" t="s">
        <v>34</v>
      </c>
      <c r="J28" s="3" t="s">
        <v>35</v>
      </c>
      <c r="K28" s="3" t="s">
        <v>577</v>
      </c>
      <c r="L28" s="3" t="s">
        <v>30</v>
      </c>
      <c r="M28" s="3" t="s">
        <v>26</v>
      </c>
      <c r="N28" s="3" t="s">
        <v>37</v>
      </c>
      <c r="O28" s="3" t="s">
        <v>38</v>
      </c>
      <c r="P28" s="3" t="s">
        <v>39</v>
      </c>
      <c r="Q28" s="3" t="s">
        <v>40</v>
      </c>
      <c r="R28" s="3" t="s">
        <v>54</v>
      </c>
      <c r="S28" s="3" t="s">
        <v>92</v>
      </c>
      <c r="T28" s="3" t="s">
        <v>79</v>
      </c>
      <c r="U28" s="227" t="s">
        <v>460</v>
      </c>
      <c r="V28" s="220"/>
      <c r="W28" s="3"/>
      <c r="Y28" s="106">
        <f t="shared" si="1"/>
        <v>2023</v>
      </c>
      <c r="Z28" s="27">
        <v>2.7799999999999998E-2</v>
      </c>
      <c r="AA28" s="27">
        <f t="shared" si="2"/>
        <v>3.3799999999999997E-2</v>
      </c>
      <c r="AB28" s="234">
        <f t="shared" si="0"/>
        <v>4.1799999999999997E-2</v>
      </c>
    </row>
    <row r="29" spans="1:28" x14ac:dyDescent="0.25">
      <c r="A29" s="3"/>
      <c r="B29" s="3" t="s">
        <v>973</v>
      </c>
      <c r="C29" s="11">
        <f>Balansprognose!$B$13</f>
        <v>2140000</v>
      </c>
      <c r="D29" s="11">
        <f>Balansprognose!$B$14</f>
        <v>4820000</v>
      </c>
      <c r="E29" s="11">
        <f>Balansprognose!$B$17</f>
        <v>0</v>
      </c>
      <c r="F29" s="11">
        <f>Balansprognose!$B$24</f>
        <v>17612000</v>
      </c>
      <c r="G29" s="11">
        <f>Balansprognose!$B$26</f>
        <v>852000</v>
      </c>
      <c r="H29" s="11">
        <f>Balansprognose!$B$28</f>
        <v>4728000</v>
      </c>
      <c r="I29" s="153">
        <f>-Balansprognose!$F$11</f>
        <v>-153561000</v>
      </c>
      <c r="J29" s="153">
        <f>-Balansprognose!$F$12</f>
        <v>0</v>
      </c>
      <c r="K29" s="153">
        <f>-Balansprognose!$F$17</f>
        <v>-12000000</v>
      </c>
      <c r="L29" s="153">
        <f>-Balansprognose!$F$19</f>
        <v>-6165000</v>
      </c>
      <c r="M29" s="153">
        <f>-Balansprognose!$F$21</f>
        <v>-27458000</v>
      </c>
      <c r="N29" s="15"/>
      <c r="O29" s="15"/>
      <c r="P29" s="15">
        <f>SUM(C29:O29)</f>
        <v>-169032000</v>
      </c>
      <c r="Q29" s="15"/>
      <c r="R29" s="15"/>
      <c r="U29" s="221"/>
      <c r="V29" s="32"/>
      <c r="W29" s="3"/>
      <c r="Y29" s="106">
        <v>2024</v>
      </c>
      <c r="Z29" s="27">
        <v>2.6200000000000001E-2</v>
      </c>
      <c r="AA29" s="27">
        <f t="shared" si="2"/>
        <v>3.2199999999999999E-2</v>
      </c>
      <c r="AB29" s="234">
        <f t="shared" si="0"/>
        <v>4.02E-2</v>
      </c>
    </row>
    <row r="30" spans="1:28" x14ac:dyDescent="0.25">
      <c r="A30" s="3"/>
      <c r="B30" s="3" t="s">
        <v>659</v>
      </c>
      <c r="C30" s="10">
        <f>C29/$Z$54</f>
        <v>142666.66666666666</v>
      </c>
      <c r="D30" s="10">
        <f>D29/$Z$54</f>
        <v>321333.33333333331</v>
      </c>
      <c r="E30" s="10">
        <f>E29/$Z$54</f>
        <v>0</v>
      </c>
      <c r="F30" s="152">
        <v>0</v>
      </c>
      <c r="G30" s="152">
        <v>0</v>
      </c>
      <c r="H30" s="152">
        <v>0</v>
      </c>
      <c r="I30" s="159">
        <f>I29/$Z$54</f>
        <v>-10237400</v>
      </c>
      <c r="J30" s="159">
        <f>J29/$Z$54</f>
        <v>0</v>
      </c>
      <c r="K30" s="152">
        <v>0</v>
      </c>
      <c r="L30" s="152">
        <v>0</v>
      </c>
      <c r="M30" s="152">
        <v>0</v>
      </c>
      <c r="N30" s="37">
        <f>SUM(-Balansprognose!C41,-Balansprognose!C42,-Balansprognose!C43)</f>
        <v>-464000</v>
      </c>
      <c r="O30" s="11">
        <f>-SUM(C30,D30,E30,F30,G30,H30,I30,J30,K30,L30,M30,N30)</f>
        <v>10237400</v>
      </c>
      <c r="P30" s="15">
        <f>SUM(P29,R30)</f>
        <v>-172284709.00799999</v>
      </c>
      <c r="Q30" s="15">
        <f>SUM(S30,T30)</f>
        <v>-3252709.0079999999</v>
      </c>
      <c r="R30" s="15">
        <f>SUM(C30,D30,E30,F30,G30,H30,I30,J30,K30,L30,M30,N30,O30,Q30)</f>
        <v>-3252709.0079999999</v>
      </c>
      <c r="S30" s="15">
        <f>SUM((SUM(I29,-I30)*I31),(SUM(J29,-J30)*J31),(SUM(K29,-K30)*K31),(-O30*O31))</f>
        <v>-3451160.6880000001</v>
      </c>
      <c r="T30" s="30">
        <f>SUM((SUM(C29,-C30)*C31),(SUM(D29,-D30)*D31),(SUM(E29,-E30)*E31),(SUM(G29,-G30)*G31),(-N30*N31))</f>
        <v>198451.68</v>
      </c>
      <c r="U30" s="222" t="s">
        <v>461</v>
      </c>
      <c r="V30" s="223">
        <f>$E$10</f>
        <v>-5360700</v>
      </c>
      <c r="W30" s="3"/>
      <c r="Y30" s="106"/>
      <c r="AB30" s="50"/>
    </row>
    <row r="31" spans="1:28" hidden="1" x14ac:dyDescent="0.25">
      <c r="A31" s="3"/>
      <c r="B31" s="3" t="s">
        <v>863</v>
      </c>
      <c r="C31" s="14">
        <f>$AB$54</f>
        <v>2.4080000000000001E-2</v>
      </c>
      <c r="D31" s="14">
        <f>$AB$54</f>
        <v>2.4080000000000001E-2</v>
      </c>
      <c r="E31" s="14">
        <f>$AB$54</f>
        <v>2.4080000000000001E-2</v>
      </c>
      <c r="F31" s="14">
        <v>0</v>
      </c>
      <c r="G31" s="14">
        <f>SUM(W8,W21)</f>
        <v>2.7000000000000003E-2</v>
      </c>
      <c r="H31" s="14">
        <v>0</v>
      </c>
      <c r="I31" s="14">
        <f>$AA$54</f>
        <v>1.908E-2</v>
      </c>
      <c r="J31" s="14">
        <f>$AA$54</f>
        <v>1.908E-2</v>
      </c>
      <c r="K31" s="14">
        <f>SUM($W$9,$W$21)</f>
        <v>2.9000000000000001E-2</v>
      </c>
      <c r="L31" s="14">
        <v>0</v>
      </c>
      <c r="M31" s="14">
        <v>0</v>
      </c>
      <c r="N31" s="7">
        <f>$W$7</f>
        <v>4.0999999999999995E-2</v>
      </c>
      <c r="O31" s="7">
        <f>$W$10</f>
        <v>3.6000000000000004E-2</v>
      </c>
      <c r="P31" s="14">
        <f>Q30/P30</f>
        <v>1.8879847356905954E-2</v>
      </c>
      <c r="R31" s="7">
        <f>$W$10</f>
        <v>3.6000000000000004E-2</v>
      </c>
      <c r="U31" s="222" t="s">
        <v>462</v>
      </c>
      <c r="V31" s="224">
        <f>$E$11</f>
        <v>3949520</v>
      </c>
      <c r="W31" s="3"/>
      <c r="Y31" s="106"/>
      <c r="AB31" s="50"/>
    </row>
    <row r="32" spans="1:28" hidden="1" x14ac:dyDescent="0.25">
      <c r="A32" s="3"/>
      <c r="B32" s="3" t="s">
        <v>659</v>
      </c>
      <c r="C32" s="11">
        <f>SUM((C29/$Z$54)*$X$19,C29*$W$19)</f>
        <v>382346.66666666663</v>
      </c>
      <c r="D32" s="11">
        <f>SUM((D29/$Z$54)*$X$20,D29*$W$20)</f>
        <v>861173.33333333326</v>
      </c>
      <c r="E32" s="11">
        <f>E29/$Z$54</f>
        <v>0</v>
      </c>
      <c r="F32" s="11"/>
      <c r="G32" s="11"/>
      <c r="H32" s="11"/>
      <c r="I32" s="36">
        <f>I29/$Z$54</f>
        <v>-10237400</v>
      </c>
      <c r="J32" s="36">
        <f>J29/$Z$54</f>
        <v>0</v>
      </c>
      <c r="K32" s="11"/>
      <c r="L32" s="11"/>
      <c r="M32" s="11"/>
      <c r="N32" s="37">
        <f>SUM(-C34*$X$19,-D34*$X$20)</f>
        <v>-359321.59999999998</v>
      </c>
      <c r="O32" s="11">
        <f>-SUM(C32,-C29*$W$19,D32,-D29*$W$20,E32,I32,J32,N32)</f>
        <v>10188401.6</v>
      </c>
      <c r="P32" s="15">
        <f>SUM(P30,R32)</f>
        <v>-176578684.098288</v>
      </c>
      <c r="Q32" s="15">
        <f>SUM(S32,T32)</f>
        <v>-3507773.4902880001</v>
      </c>
      <c r="R32" s="15">
        <f>SUM(C32,-C29*$W$19*2,D32,-D29*$W$20*2,N32,Q32)</f>
        <v>-4293975.0902880002</v>
      </c>
      <c r="S32" s="15">
        <f>SUM((SUM(I29,-I30,-I32)*I33),(SUM(J29,-J30,-J32)*J33),(SUM(K29,-K30)*K33),(-O30*O31),(-O32*O33),(R30*R31))</f>
        <v>-3690759.5227451432</v>
      </c>
      <c r="T32" s="30">
        <f>SUM((SUM(C29,-C30,-C32)*C33),(SUM(D29,-D30,-D32)*D33),(SUM(E29,-E30,-E32)*E33),(SUM(G29,-G30)*G33),(-N30*N31),(-N32*N33))</f>
        <v>182986.03245714289</v>
      </c>
      <c r="U32" s="225" t="s">
        <v>463</v>
      </c>
      <c r="V32" s="118">
        <f>-SUM(V30,V31)</f>
        <v>1411180</v>
      </c>
      <c r="W32" s="3"/>
      <c r="Y32" s="106"/>
      <c r="AB32" s="50"/>
    </row>
    <row r="33" spans="1:28" hidden="1" x14ac:dyDescent="0.25">
      <c r="A33" s="3"/>
      <c r="B33" s="3" t="s">
        <v>864</v>
      </c>
      <c r="C33" s="14">
        <f>$AB$55</f>
        <v>2.2878571428571432E-2</v>
      </c>
      <c r="D33" s="14">
        <f>$AB$55</f>
        <v>2.2878571428571432E-2</v>
      </c>
      <c r="E33" s="14">
        <f>$AB$55</f>
        <v>2.2878571428571432E-2</v>
      </c>
      <c r="F33" s="14">
        <v>0</v>
      </c>
      <c r="G33" s="14">
        <f>SUM(W8,W22)</f>
        <v>3.2000000000000001E-2</v>
      </c>
      <c r="H33" s="14">
        <v>0</v>
      </c>
      <c r="I33" s="14">
        <f>$AA$55</f>
        <v>1.7878571428571431E-2</v>
      </c>
      <c r="J33" s="14">
        <f>$AA$55</f>
        <v>1.7878571428571431E-2</v>
      </c>
      <c r="K33" s="14">
        <f>SUM($W$9,$W$22)</f>
        <v>3.4000000000000002E-2</v>
      </c>
      <c r="L33" s="14">
        <v>0</v>
      </c>
      <c r="M33" s="14">
        <v>0</v>
      </c>
      <c r="N33" s="7">
        <f>SUM($W$7,$W$21)</f>
        <v>4.5999999999999992E-2</v>
      </c>
      <c r="O33" s="7">
        <f>SUM($W$10,$W$21)</f>
        <v>4.1000000000000002E-2</v>
      </c>
      <c r="P33" s="14">
        <f>Q32/P32</f>
        <v>1.9865214808914806E-2</v>
      </c>
      <c r="Q33" s="11"/>
      <c r="R33" s="7">
        <f>SUM($W$10,$W$21)</f>
        <v>4.1000000000000002E-2</v>
      </c>
      <c r="U33" s="225" t="s">
        <v>608</v>
      </c>
      <c r="V33" s="120">
        <f>V31*0.05</f>
        <v>197476</v>
      </c>
      <c r="W33" s="3"/>
      <c r="Y33" s="106"/>
      <c r="AB33" s="50"/>
    </row>
    <row r="34" spans="1:28" hidden="1" x14ac:dyDescent="0.25">
      <c r="A34" s="3"/>
      <c r="B34" s="3" t="s">
        <v>865</v>
      </c>
      <c r="C34" s="11">
        <f>(C29/$Z$54)*$X$19</f>
        <v>125546.66666666666</v>
      </c>
      <c r="D34" s="11">
        <f>(D29/$Z$54)*$X$20</f>
        <v>282773.33333333331</v>
      </c>
      <c r="E34" s="11">
        <f>E29/$Z$54</f>
        <v>0</v>
      </c>
      <c r="F34" s="11"/>
      <c r="G34" s="11"/>
      <c r="H34" s="11"/>
      <c r="I34" s="36">
        <f>I29/$Z$54</f>
        <v>-10237400</v>
      </c>
      <c r="J34" s="36">
        <f>J29/$Z$54</f>
        <v>0</v>
      </c>
      <c r="K34" s="11"/>
      <c r="L34" s="11"/>
      <c r="M34" s="11"/>
      <c r="N34" s="37">
        <f>SUM(-C34,-D34)</f>
        <v>-408320</v>
      </c>
      <c r="O34" s="11">
        <f>-SUM(C34,D34,E34,I34,J34,N34)</f>
        <v>10237400</v>
      </c>
      <c r="P34" s="15">
        <f>SUM(P32,R34)</f>
        <v>-180431980.5132778</v>
      </c>
      <c r="Q34" s="15">
        <f>SUM(S34,T34)</f>
        <v>-3853296.4149898081</v>
      </c>
      <c r="R34" s="15">
        <f>SUM(C34,D34,N34,Q34)</f>
        <v>-3853296.4149898081</v>
      </c>
      <c r="S34" s="15">
        <f>SUM((SUM(I29,-I30,-I32,-I34)*I35),(SUM(J29,-J30,-J32,-J34)*J35),(SUM(K29,-K30)*K35),(-O30*O31),(-O32*O33),(-O34*O35),(R30*R31),(R32*R33))</f>
        <v>-4045346.9685898083</v>
      </c>
      <c r="T34" s="30">
        <f>SUM((SUM(C29,-C30,-C32,-C34)*C35),(SUM(D29,-D30,-D32,-D34)*D35),(SUM(E29,-E30,-E32,-E34)*E35),(SUM(G29,-G30)*G35),(-N30*N31),(-N32*N33),(-N34*N35))</f>
        <v>192050.55360000001</v>
      </c>
      <c r="U34" s="225" t="s">
        <v>609</v>
      </c>
      <c r="V34" s="118">
        <f>SUM(V32,V33)</f>
        <v>1608656</v>
      </c>
      <c r="W34" s="3"/>
      <c r="Y34" s="106"/>
      <c r="AB34" s="50"/>
    </row>
    <row r="35" spans="1:28" hidden="1" x14ac:dyDescent="0.25">
      <c r="A35" s="3"/>
      <c r="B35" s="3" t="s">
        <v>866</v>
      </c>
      <c r="C35" s="14">
        <f>$AB$56</f>
        <v>2.1500000000000002E-2</v>
      </c>
      <c r="D35" s="14">
        <f>$AB$56</f>
        <v>2.1500000000000002E-2</v>
      </c>
      <c r="E35" s="14">
        <f>$AB$56</f>
        <v>2.1500000000000002E-2</v>
      </c>
      <c r="F35" s="14">
        <v>0</v>
      </c>
      <c r="G35" s="14">
        <f>SUM(W8,W23)</f>
        <v>3.7000000000000005E-2</v>
      </c>
      <c r="H35" s="14">
        <v>0</v>
      </c>
      <c r="I35" s="14">
        <f>$AA$56</f>
        <v>1.6500000000000001E-2</v>
      </c>
      <c r="J35" s="14">
        <f>$AA$56</f>
        <v>1.6500000000000001E-2</v>
      </c>
      <c r="K35" s="14">
        <f>SUM($W$9,$W$23)</f>
        <v>3.9E-2</v>
      </c>
      <c r="L35" s="14">
        <v>0</v>
      </c>
      <c r="M35" s="14">
        <v>0</v>
      </c>
      <c r="N35" s="7">
        <f>SUM($W$7,$W$22)</f>
        <v>5.0999999999999997E-2</v>
      </c>
      <c r="O35" s="7">
        <f>SUM($W$10,$W$22)</f>
        <v>4.6000000000000006E-2</v>
      </c>
      <c r="P35" s="14">
        <f>Q34/P34</f>
        <v>2.1355950336676862E-2</v>
      </c>
      <c r="R35" s="7">
        <f>SUM($W$10,$W$22)</f>
        <v>4.6000000000000006E-2</v>
      </c>
      <c r="U35" s="226" t="s">
        <v>607</v>
      </c>
      <c r="V35" s="121">
        <f>IF(Macrogegevens!$C$12&gt;0,V34,V32)</f>
        <v>1608656</v>
      </c>
      <c r="W35" s="3"/>
      <c r="Y35" s="108"/>
      <c r="Z35" s="46"/>
      <c r="AA35" s="46"/>
      <c r="AB35" s="235"/>
    </row>
    <row r="36" spans="1:28" hidden="1" x14ac:dyDescent="0.25">
      <c r="A36" s="3"/>
      <c r="B36" s="3" t="s">
        <v>606</v>
      </c>
      <c r="C36" s="11">
        <f>(C29/$Z$54)*$X$19</f>
        <v>125546.66666666666</v>
      </c>
      <c r="D36" s="11">
        <f>(D29/$Z$54)*$X$20</f>
        <v>282773.33333333331</v>
      </c>
      <c r="E36" s="11">
        <f>E29/$Z$54</f>
        <v>0</v>
      </c>
      <c r="F36" s="11"/>
      <c r="G36" s="11"/>
      <c r="H36" s="11"/>
      <c r="I36" s="36">
        <f>I29/$Z$54</f>
        <v>-10237400</v>
      </c>
      <c r="J36" s="36">
        <f>J29/$Z$54</f>
        <v>0</v>
      </c>
      <c r="K36" s="11"/>
      <c r="L36" s="11"/>
      <c r="M36" s="11"/>
      <c r="N36" s="37">
        <f>SUM(-C36,-D36)</f>
        <v>-408320</v>
      </c>
      <c r="O36" s="11">
        <f>-SUM(C36,D36,E36,I36,J36,N36)</f>
        <v>10237400</v>
      </c>
      <c r="P36" s="15">
        <f>SUM(P34,R36)</f>
        <v>-184722303.07935715</v>
      </c>
      <c r="Q36" s="15">
        <f>SUM(S36,T36)</f>
        <v>-4290322.5660793399</v>
      </c>
      <c r="R36" s="15">
        <f>SUM(C36,D36,N36,Q36)</f>
        <v>-4290322.5660793399</v>
      </c>
      <c r="S36" s="15">
        <f>SUM((SUM(I29,-I30,-I32,-I34,-I36)*I37),(SUM(J29,-J30,-J32,-J34,-J36)*J37),(SUM(K29,-K30)*K37),(-O30*O31),(-O32*O33),(-O34*O35),(-O36*O37),(R30*R31),(R32*R33),(R34*R35))</f>
        <v>-4493207.2103460068</v>
      </c>
      <c r="T36" s="30">
        <f>SUM((SUM(C29,-C30,-C32,-C34,-C36)*C37),(SUM(D29,-D30,-D32,-D34,-D36)*D37),(SUM(E29,-E30,-E32,-E34,-E36)*E37),(SUM(G29,-G30)*G37),(-N30*N31),(-N32*N33),(-N34*N35),(-N36*N37))</f>
        <v>202884.64426666667</v>
      </c>
      <c r="U36" s="15"/>
      <c r="W36" s="3"/>
    </row>
    <row r="37" spans="1:28" hidden="1" x14ac:dyDescent="0.25">
      <c r="A37" s="3"/>
      <c r="B37" s="3" t="s">
        <v>867</v>
      </c>
      <c r="C37" s="14">
        <f>$AB$57</f>
        <v>2.0766666666666669E-2</v>
      </c>
      <c r="D37" s="14">
        <f>$AB$57</f>
        <v>2.0766666666666669E-2</v>
      </c>
      <c r="E37" s="14">
        <f>$AB$57</f>
        <v>2.0766666666666669E-2</v>
      </c>
      <c r="F37" s="14">
        <v>0</v>
      </c>
      <c r="G37" s="14">
        <f>SUM(W8,W23)</f>
        <v>3.7000000000000005E-2</v>
      </c>
      <c r="H37" s="14">
        <v>0</v>
      </c>
      <c r="I37" s="14">
        <f>$AA$57</f>
        <v>1.5766666666666668E-2</v>
      </c>
      <c r="J37" s="14">
        <f>$AA$57</f>
        <v>1.5766666666666668E-2</v>
      </c>
      <c r="K37" s="14">
        <f>SUM($W$9,$W$23)</f>
        <v>3.9E-2</v>
      </c>
      <c r="L37" s="14">
        <v>0</v>
      </c>
      <c r="M37" s="14">
        <v>0</v>
      </c>
      <c r="N37" s="7">
        <f>SUM($W$7,$W$23)</f>
        <v>5.5999999999999994E-2</v>
      </c>
      <c r="O37" s="7">
        <f>SUM($W$10,$W$23)</f>
        <v>5.1000000000000004E-2</v>
      </c>
      <c r="P37" s="14">
        <f>Q36/P36</f>
        <v>2.322579620629896E-2</v>
      </c>
      <c r="R37" s="7">
        <f>SUM($W$10,$W$23)</f>
        <v>5.1000000000000004E-2</v>
      </c>
      <c r="W37" s="3"/>
    </row>
    <row r="38" spans="1:28" hidden="1" x14ac:dyDescent="0.25">
      <c r="A38" s="3"/>
      <c r="B38" s="3" t="s">
        <v>868</v>
      </c>
      <c r="C38" s="11">
        <f>(C29/$Z$54)*$X$19</f>
        <v>125546.66666666666</v>
      </c>
      <c r="D38" s="11">
        <f>(D29/$Z$54)*$X$20</f>
        <v>282773.33333333331</v>
      </c>
      <c r="E38" s="11">
        <f>E29/$Z$54</f>
        <v>0</v>
      </c>
      <c r="F38" s="11"/>
      <c r="G38" s="11"/>
      <c r="H38" s="11"/>
      <c r="I38" s="36">
        <f>I29/$Z$54</f>
        <v>-10237400</v>
      </c>
      <c r="J38" s="36">
        <f>J29/$Z$54</f>
        <v>0</v>
      </c>
      <c r="K38" s="11"/>
      <c r="L38" s="11"/>
      <c r="M38" s="11"/>
      <c r="N38" s="37">
        <f>SUM(-C38,-D38)</f>
        <v>-408320</v>
      </c>
      <c r="O38" s="11">
        <f>-SUM(C38,D38,E38,I38,J38,N38)</f>
        <v>10237400</v>
      </c>
      <c r="P38" s="15">
        <f>SUM(P36,R38)</f>
        <v>-189489827.55557925</v>
      </c>
      <c r="Q38" s="16">
        <f>SUM(S38,T38)</f>
        <v>-4767524.4762221118</v>
      </c>
      <c r="R38" s="15">
        <f>SUM(C38,D38,N38,Q38)</f>
        <v>-4767524.4762221118</v>
      </c>
      <c r="S38" s="15">
        <f>SUM((SUM(I29,-I30,-I32,-I34,-I36,-I38)*I39),(SUM(J29,-J30,-J32,-J34,-J36,-J38)*J39),(SUM(K29,-K30)*K39),(-O30*O31),(-O32*O33),(-O34*O35),(-O36*O37),(-O38*O39),(R30*R31),(R32*R33),(R34*R35),(R36*R37))</f>
        <v>-4981195.2363675665</v>
      </c>
      <c r="T38" s="30">
        <f>SUM((SUM(C29,-C30,-C32,-C34,-C36,-C38)*C39),(SUM(D29,-D30,-D32,-D34,-D36,-D38)*D39),(SUM(E29,-E30,-E32,-E34,-E36,-E38)*E39),(SUM(G29,-G30)*G39),(-N30*N31),(-N32*N33),(-N34*N35),(-N36*N37),(-N38*N39))</f>
        <v>213670.76014545449</v>
      </c>
      <c r="U38" s="15"/>
      <c r="W38" s="3"/>
    </row>
    <row r="39" spans="1:28" hidden="1" x14ac:dyDescent="0.25">
      <c r="A39" s="3"/>
      <c r="B39" s="3" t="s">
        <v>816</v>
      </c>
      <c r="C39" s="14">
        <f>$AB$58</f>
        <v>1.9872727272727271E-2</v>
      </c>
      <c r="D39" s="14">
        <f>$AB$58</f>
        <v>1.9872727272727271E-2</v>
      </c>
      <c r="E39" s="14">
        <f>$AB$58</f>
        <v>1.9872727272727271E-2</v>
      </c>
      <c r="F39" s="14">
        <v>0</v>
      </c>
      <c r="G39" s="14">
        <f>SUM(W8,W23)</f>
        <v>3.7000000000000005E-2</v>
      </c>
      <c r="H39" s="14">
        <v>0</v>
      </c>
      <c r="I39" s="14">
        <f>$AA$58</f>
        <v>1.487272727272727E-2</v>
      </c>
      <c r="J39" s="14">
        <f>$AA$58</f>
        <v>1.487272727272727E-2</v>
      </c>
      <c r="K39" s="14">
        <f>SUM($W$9,$W$23)</f>
        <v>3.9E-2</v>
      </c>
      <c r="L39" s="14">
        <v>0</v>
      </c>
      <c r="M39" s="14">
        <v>0</v>
      </c>
      <c r="N39" s="7">
        <f>SUM($W$7,$W$23)</f>
        <v>5.5999999999999994E-2</v>
      </c>
      <c r="O39" s="7">
        <f>SUM($W$10,$W$23)</f>
        <v>5.1000000000000004E-2</v>
      </c>
      <c r="P39" s="14">
        <f>Q38/P38</f>
        <v>2.5159791096562953E-2</v>
      </c>
      <c r="R39" s="7">
        <f>SUM($W$10,$W$23)</f>
        <v>5.1000000000000004E-2</v>
      </c>
      <c r="W39" s="3"/>
    </row>
    <row r="40" spans="1:28" hidden="1" x14ac:dyDescent="0.25">
      <c r="A40" s="3"/>
      <c r="B40" s="3" t="s">
        <v>660</v>
      </c>
      <c r="C40" s="11">
        <f>(C29/$Z$54)*$X$19</f>
        <v>125546.66666666666</v>
      </c>
      <c r="D40" s="11">
        <f>(D29/$Z$54)*$X$20</f>
        <v>282773.33333333331</v>
      </c>
      <c r="E40" s="11">
        <f>E29/$Z$54</f>
        <v>0</v>
      </c>
      <c r="F40" s="11"/>
      <c r="G40" s="11"/>
      <c r="H40" s="11"/>
      <c r="I40" s="36">
        <f>I29/$Z$54</f>
        <v>-10237400</v>
      </c>
      <c r="J40" s="36">
        <f>J29/$Z$54</f>
        <v>0</v>
      </c>
      <c r="K40" s="11"/>
      <c r="L40" s="11"/>
      <c r="M40" s="11"/>
      <c r="N40" s="37">
        <f>SUM(-C40,-D40)</f>
        <v>-408320</v>
      </c>
      <c r="O40" s="11">
        <f>-SUM(C40,D40,E40,I40,J40,N40)</f>
        <v>10237400</v>
      </c>
      <c r="P40" s="15">
        <f>SUM(P38,R40)</f>
        <v>-194805782.47881597</v>
      </c>
      <c r="Q40" s="16">
        <f>SUM(S40,T40)</f>
        <v>-5315954.9232367137</v>
      </c>
      <c r="R40" s="15">
        <f>SUM(C40,D40,N40,Q40)</f>
        <v>-5315954.9232367137</v>
      </c>
      <c r="S40" s="15">
        <f>SUM((SUM(I29,-I30,-I32,-I34,-I36,-I38,-I40)*I41),(SUM(J29,-J30,-J32,-J34,-J36,-J38,-J40)*J41),(SUM(K29,-K30)*K41),(-O30*O31),(-O32*O33),(-O34*O35),(-O36*O37),(-O38*O39),(-O40*O41),(R30*R31),(R32*R33),(R34*R35),(R36*R37),(R38*R39))</f>
        <v>-5542340.5488367137</v>
      </c>
      <c r="T40" s="30">
        <f>SUM((SUM(C29,-C30,-C32,-C34,-C36,-C38,-C40)*C41),(SUM(D29,-D30,-D32,-D34,-D36,-D38,-D40)*D41),(SUM(E29,-E30,-E32,-E34,-E36,-E38,-E40)*E41),(SUM(G29,-G30)*G41),(-N30*N31),(-N32*N33),(-N34*N35),(-N36*N37),(-N38*N39),(-N40*N41))</f>
        <v>226385.62559999997</v>
      </c>
      <c r="U40" s="15"/>
      <c r="W40" s="3"/>
    </row>
    <row r="41" spans="1:28" hidden="1" x14ac:dyDescent="0.25">
      <c r="A41" s="3"/>
      <c r="B41" s="3" t="s">
        <v>869</v>
      </c>
      <c r="C41" s="14">
        <f>$AB$59</f>
        <v>1.9310000000000001E-2</v>
      </c>
      <c r="D41" s="14">
        <f>$AB$59</f>
        <v>1.9310000000000001E-2</v>
      </c>
      <c r="E41" s="14">
        <f>$AB$59</f>
        <v>1.9310000000000001E-2</v>
      </c>
      <c r="F41" s="14">
        <v>0</v>
      </c>
      <c r="G41" s="14">
        <f>SUM(W8,W23)</f>
        <v>3.7000000000000005E-2</v>
      </c>
      <c r="H41" s="14">
        <v>0</v>
      </c>
      <c r="I41" s="14">
        <f>$AA$59</f>
        <v>1.431E-2</v>
      </c>
      <c r="J41" s="14">
        <f>$AA$59</f>
        <v>1.431E-2</v>
      </c>
      <c r="K41" s="14">
        <f>SUM($W$9,$W$23)</f>
        <v>3.9E-2</v>
      </c>
      <c r="L41" s="14">
        <v>0</v>
      </c>
      <c r="M41" s="14">
        <v>0</v>
      </c>
      <c r="N41" s="7">
        <f>SUM($W$7,$W$23)</f>
        <v>5.5999999999999994E-2</v>
      </c>
      <c r="O41" s="7">
        <f>SUM($W$10,$W$23)</f>
        <v>5.1000000000000004E-2</v>
      </c>
      <c r="P41" s="14">
        <f>Q40/P40</f>
        <v>2.7288486284100903E-2</v>
      </c>
      <c r="R41" s="7">
        <f>SUM($W$10,$W$23)</f>
        <v>5.1000000000000004E-2</v>
      </c>
      <c r="W41" s="3"/>
    </row>
    <row r="42" spans="1:28" hidden="1" x14ac:dyDescent="0.25">
      <c r="A42" s="3"/>
      <c r="B42" s="3" t="s">
        <v>870</v>
      </c>
      <c r="C42" s="11">
        <f>(C29/$Z$54)*$X$19</f>
        <v>125546.66666666666</v>
      </c>
      <c r="D42" s="11">
        <f>(D29/$Z$54)*$X$20</f>
        <v>282773.33333333331</v>
      </c>
      <c r="E42" s="11">
        <f>E29/$Z$54</f>
        <v>0</v>
      </c>
      <c r="F42" s="11"/>
      <c r="G42" s="11"/>
      <c r="H42" s="11"/>
      <c r="I42" s="36">
        <f>I29/$Z$54</f>
        <v>-10237400</v>
      </c>
      <c r="J42" s="36">
        <f>J29/$Z$54</f>
        <v>0</v>
      </c>
      <c r="K42" s="11"/>
      <c r="L42" s="11"/>
      <c r="M42" s="11"/>
      <c r="N42" s="37">
        <f>SUM(-C42,-D42)</f>
        <v>-408320</v>
      </c>
      <c r="O42" s="11">
        <f>-SUM(C42,D42,E42,I42,J42,N42)</f>
        <v>10237400</v>
      </c>
      <c r="P42" s="15">
        <f>SUM(P40,R42)</f>
        <v>-200765807.88513777</v>
      </c>
      <c r="Q42" s="16">
        <f>SUM(S42,T42)</f>
        <v>-5960025.4063217863</v>
      </c>
      <c r="R42" s="15">
        <f>SUM(C42,D42,N42,Q42)</f>
        <v>-5960025.4063217863</v>
      </c>
      <c r="S42" s="15">
        <f>SUM((SUM(I29,-I30,-I32,-I34,-I36,-I38,-I40,-I42)*I43),(SUM(J29,-J30,-J32,-J34,-J36,-J38,-J40,-J42)*J43),(SUM(K29,-K30)*K43),(-O30*O31),(-O32*O33),(-O34*O35),(-O36*O37),(-O38*O39),(-O40*O41),(-O42*O43),(R30*R31),(R32*R33),(R34*R35),(R36*R37),(R38*R39),(R40*R41))</f>
        <v>-6201895.3305884525</v>
      </c>
      <c r="T42" s="30">
        <f>SUM((SUM(C29,-C30,-C32,-C34,-C36,-C38,-C40,-C42)*C43),(SUM(D29,-D30,-D32,-D34,-D36,-D38,-D40,-D42)*D43),(SUM(E29,-E30,-E32,-E34,-E36,-E38,-E40,-E42)*E43),(SUM(G29,-G30)*G43),(-N30*N31),(-N32*N33),(-N34*N35),(-N36*N37),(-N38*N39),(-N40*N41),(-N42*N43))</f>
        <v>241869.92426666658</v>
      </c>
      <c r="U42" s="15"/>
      <c r="W42" s="3"/>
    </row>
    <row r="43" spans="1:28" hidden="1" x14ac:dyDescent="0.25">
      <c r="A43" s="3"/>
      <c r="B43" s="3" t="s">
        <v>871</v>
      </c>
      <c r="C43" s="14">
        <f>$AB$60</f>
        <v>1.9466666666666667E-2</v>
      </c>
      <c r="D43" s="14">
        <f>$AB$60</f>
        <v>1.9466666666666667E-2</v>
      </c>
      <c r="E43" s="14">
        <f>$AB$60</f>
        <v>1.9466666666666667E-2</v>
      </c>
      <c r="F43" s="14">
        <v>0</v>
      </c>
      <c r="G43" s="14">
        <f>SUM(W8,W23)</f>
        <v>3.7000000000000005E-2</v>
      </c>
      <c r="H43" s="14">
        <v>0</v>
      </c>
      <c r="I43" s="14">
        <f>$AA$60</f>
        <v>1.4466666666666666E-2</v>
      </c>
      <c r="J43" s="14">
        <f>$AA$60</f>
        <v>1.4466666666666666E-2</v>
      </c>
      <c r="K43" s="14">
        <f>SUM($W$9,$W$23)</f>
        <v>3.9E-2</v>
      </c>
      <c r="L43" s="14">
        <v>0</v>
      </c>
      <c r="M43" s="14">
        <v>0</v>
      </c>
      <c r="N43" s="7">
        <f>SUM($W$7,$W$23)</f>
        <v>5.5999999999999994E-2</v>
      </c>
      <c r="O43" s="7">
        <f>SUM($W$10,$W$23)</f>
        <v>5.1000000000000004E-2</v>
      </c>
      <c r="P43" s="14">
        <f>Q42/P42</f>
        <v>2.9686456419569407E-2</v>
      </c>
      <c r="R43" s="7">
        <f>SUM($W$10,$W$23)</f>
        <v>5.1000000000000004E-2</v>
      </c>
      <c r="W43" s="3"/>
    </row>
    <row r="44" spans="1:28" hidden="1" x14ac:dyDescent="0.25">
      <c r="A44" s="3"/>
      <c r="B44" s="3" t="s">
        <v>817</v>
      </c>
      <c r="C44" s="11">
        <f>(C29/$Z$54)*$X$19</f>
        <v>125546.66666666666</v>
      </c>
      <c r="D44" s="11">
        <f>(D29/$Z$54)*$X$20</f>
        <v>282773.33333333331</v>
      </c>
      <c r="E44" s="11">
        <f>E29/$Z$54</f>
        <v>0</v>
      </c>
      <c r="F44" s="11"/>
      <c r="G44" s="11"/>
      <c r="H44" s="11"/>
      <c r="I44" s="36">
        <f>I29/$Z$54</f>
        <v>-10237400</v>
      </c>
      <c r="J44" s="36">
        <f>J29/$Z$54</f>
        <v>0</v>
      </c>
      <c r="K44" s="11"/>
      <c r="L44" s="11"/>
      <c r="M44" s="11"/>
      <c r="N44" s="37">
        <f>SUM(-C44,-D44)</f>
        <v>-408320</v>
      </c>
      <c r="O44" s="11">
        <f>-SUM(C44,D44,E44,I44,J44,N44)</f>
        <v>10237400</v>
      </c>
      <c r="P44" s="15">
        <f>SUM(P42,R44)</f>
        <v>-207436798.19768196</v>
      </c>
      <c r="Q44" s="16">
        <f>SUM(S44,T44)</f>
        <v>-6670990.3125441968</v>
      </c>
      <c r="R44" s="15">
        <f>SUM(C44,D44,N44,Q44)</f>
        <v>-6670990.3125441968</v>
      </c>
      <c r="S44" s="15">
        <f>SUM((SUM(I29,-I30,-I32,-I34,-I36,-I38,-I40,-I42,-I44)*I45),(SUM(J29,-J30,-J32,-J34,-J36,-J38,-J40,-J42,-J44)*J45),(SUM(K29,-K30)*K45),(-O30*O31),(-O32*O33),(-O34*O35),(-O36*O37),(-O38*O39),(-O40*O41),(-O42*O43),(-O44*O45),(R30*R31),(R32*R33),(R34*R35),(R36*R37),(R38*R39),(R40*R41),(R42*R43))</f>
        <v>-6929727.6421441967</v>
      </c>
      <c r="T44" s="30">
        <f>SUM((SUM(C29,-C30,-C32,-C34,-C36,-C38,-C40,-C42,-C44)*C45),(SUM(D29,-D30,-D32,-D34,-D36,-D38,-D40,-D42,-D44)*D45),(SUM(E29,-E30,-E32,-E34,-E36,-E38,-E40,-E42,-E44)*E45),(SUM(G29,-G30)*G45),(-N30*N31),(-N32*N33),(-N34*N35),(-N36*N37),(-N38*N39),(-N40*N41),(-N42*N43),(-N44*N45))</f>
        <v>258737.32959999994</v>
      </c>
      <c r="U44" s="15"/>
      <c r="W44" s="3"/>
    </row>
    <row r="45" spans="1:28" hidden="1" x14ac:dyDescent="0.25">
      <c r="A45" s="3"/>
      <c r="B45" s="3" t="s">
        <v>818</v>
      </c>
      <c r="C45" s="14">
        <f>$AB$61</f>
        <v>2.01625E-2</v>
      </c>
      <c r="D45" s="14">
        <f>$AB$61</f>
        <v>2.01625E-2</v>
      </c>
      <c r="E45" s="14">
        <f>$AB$61</f>
        <v>2.01625E-2</v>
      </c>
      <c r="F45" s="14">
        <v>0</v>
      </c>
      <c r="G45" s="14">
        <f>SUM(W8,W23)</f>
        <v>3.7000000000000005E-2</v>
      </c>
      <c r="H45" s="14">
        <v>0</v>
      </c>
      <c r="I45" s="14">
        <f>$AA$61</f>
        <v>1.5162499999999999E-2</v>
      </c>
      <c r="J45" s="14">
        <f>$AA$61</f>
        <v>1.5162499999999999E-2</v>
      </c>
      <c r="K45" s="14">
        <f>SUM($W$9,$W$23)</f>
        <v>3.9E-2</v>
      </c>
      <c r="L45" s="14">
        <v>0</v>
      </c>
      <c r="M45" s="14">
        <v>0</v>
      </c>
      <c r="N45" s="7">
        <f>SUM($W$7,$W$23)</f>
        <v>5.5999999999999994E-2</v>
      </c>
      <c r="O45" s="7">
        <f>SUM($W$10,$W$23)</f>
        <v>5.1000000000000004E-2</v>
      </c>
      <c r="P45" s="14">
        <f>Q44/P44</f>
        <v>3.2159146161651192E-2</v>
      </c>
      <c r="R45" s="7">
        <f>SUM($W$10,$W$23)</f>
        <v>5.1000000000000004E-2</v>
      </c>
      <c r="W45" s="3"/>
    </row>
    <row r="46" spans="1:28" hidden="1" x14ac:dyDescent="0.25">
      <c r="A46" s="3"/>
      <c r="B46" s="3" t="s">
        <v>872</v>
      </c>
      <c r="C46" s="11">
        <f>(C29/$Z$54)*$X$19</f>
        <v>125546.66666666666</v>
      </c>
      <c r="D46" s="11">
        <f>(D29/$Z$54)*$X$20</f>
        <v>282773.33333333331</v>
      </c>
      <c r="E46" s="11">
        <f>E29/$Z$54</f>
        <v>0</v>
      </c>
      <c r="F46" s="11"/>
      <c r="G46" s="11"/>
      <c r="H46" s="11"/>
      <c r="I46" s="36">
        <f>I29/$Z$54</f>
        <v>-10237400</v>
      </c>
      <c r="J46" s="36">
        <f>J29/$Z$54</f>
        <v>0</v>
      </c>
      <c r="K46" s="11"/>
      <c r="L46" s="11"/>
      <c r="M46" s="11"/>
      <c r="N46" s="37">
        <f>SUM(-C46,-D46)</f>
        <v>-408320</v>
      </c>
      <c r="O46" s="11">
        <f>-SUM(C46,D46,E46,I46,J46,N46)</f>
        <v>10237400</v>
      </c>
      <c r="P46" s="15">
        <f>SUM(P44,R46)</f>
        <v>-214833673.95766592</v>
      </c>
      <c r="Q46" s="16">
        <f>SUM(S46,T46)</f>
        <v>-7396875.7599839512</v>
      </c>
      <c r="R46" s="15">
        <f>SUM(C46,D46,N46,Q46)</f>
        <v>-7396875.7599839512</v>
      </c>
      <c r="S46" s="15">
        <f>SUM((SUM(I29,-I30,-I32,-I34,-I36,-I38,-I40,-I42,-I44,-I46)*I47),(SUM(J29,-J30,-J32,-J34,-J36,-J38,-J40,-J42,-J44,-J46)*J47),(SUM(K29,-K30)*K47),(-O30*O31),(-O32*O33),(-O34*O35),(-O36*O37),(-O38*O39),(-O40*O41),(-O42*O43),(-O44*O45),(-O46*O47),(R30*R31),(R32*R33),(R34*R35),(R36*R37),(R38*R39),(R40*R41),(R42*R43),(R44*R45))</f>
        <v>-7671601.5684410939</v>
      </c>
      <c r="T46" s="30">
        <f>SUM((SUM(C29,-C30,-C32,-C34,-C36,-C38,-C40,-C42,-C44,-C46)*C47),(SUM(D29,-D30,-D32,-D34,-D36,-D38,-D40,-D42,-D44,-D46)*D47),(SUM(E29,-E30,-E32,-E34,-E36,-E38,-E40,-E42,-E44,-E46)*E47),(SUM(G29,-G30)*G47),(-N30*N31),(-N32*N33),(-N34*N35),(-N36*N37),(-N38*N39),(-N40*N41),(-N42*N43),(-N44*N45),(-N46*N47))</f>
        <v>274725.80845714279</v>
      </c>
      <c r="U46" s="15"/>
      <c r="W46" s="3"/>
    </row>
    <row r="47" spans="1:28" hidden="1" x14ac:dyDescent="0.25">
      <c r="A47" s="3"/>
      <c r="B47" s="3" t="s">
        <v>873</v>
      </c>
      <c r="C47" s="14">
        <f>$AB$62</f>
        <v>2.072857142857143E-2</v>
      </c>
      <c r="D47" s="14">
        <f>$AB$62</f>
        <v>2.072857142857143E-2</v>
      </c>
      <c r="E47" s="14">
        <f>$AB$62</f>
        <v>2.072857142857143E-2</v>
      </c>
      <c r="F47" s="14">
        <v>0</v>
      </c>
      <c r="G47" s="14">
        <f>SUM(W8,W23)</f>
        <v>3.7000000000000005E-2</v>
      </c>
      <c r="H47" s="14">
        <v>0</v>
      </c>
      <c r="I47" s="14">
        <f>$AA$62</f>
        <v>1.5728571428571429E-2</v>
      </c>
      <c r="J47" s="14">
        <f>$AA$62</f>
        <v>1.5728571428571429E-2</v>
      </c>
      <c r="K47" s="14">
        <f>SUM($W$9,$W$23)</f>
        <v>3.9E-2</v>
      </c>
      <c r="L47" s="14">
        <v>0</v>
      </c>
      <c r="M47" s="14">
        <v>0</v>
      </c>
      <c r="N47" s="7">
        <f>SUM($W$7,$W$23)</f>
        <v>5.5999999999999994E-2</v>
      </c>
      <c r="O47" s="7">
        <f>SUM($W$10,$W$23)</f>
        <v>5.1000000000000004E-2</v>
      </c>
      <c r="P47" s="14">
        <f>Q46/P46</f>
        <v>3.4430709225973313E-2</v>
      </c>
      <c r="R47" s="7">
        <f>SUM($W$10,$W$23)</f>
        <v>5.1000000000000004E-2</v>
      </c>
      <c r="W47" s="3"/>
    </row>
    <row r="48" spans="1:28" hidden="1" x14ac:dyDescent="0.25">
      <c r="A48" s="3"/>
      <c r="B48" s="3" t="s">
        <v>874</v>
      </c>
      <c r="C48" s="11">
        <f>(C29/$Z$54)*$X$19</f>
        <v>125546.66666666666</v>
      </c>
      <c r="D48" s="11">
        <f>(D29/$Z$54)*$X$20</f>
        <v>282773.33333333331</v>
      </c>
      <c r="E48" s="11">
        <f>E29/$Z$54</f>
        <v>0</v>
      </c>
      <c r="F48" s="3"/>
      <c r="G48" s="3"/>
      <c r="H48" s="3"/>
      <c r="I48" s="36">
        <f>I29/$Z$54</f>
        <v>-10237400</v>
      </c>
      <c r="J48" s="36">
        <f>J29/$Z$54</f>
        <v>0</v>
      </c>
      <c r="K48" s="3"/>
      <c r="L48" s="3"/>
      <c r="M48" s="3"/>
      <c r="N48" s="37">
        <f>SUM(-C48,-D48)</f>
        <v>-408320</v>
      </c>
      <c r="O48" s="11">
        <f>-SUM(C48,D48,E48,I48,J48,N48)</f>
        <v>10237400</v>
      </c>
      <c r="P48" s="15">
        <f>SUM(P46,R48)</f>
        <v>-222986691.06740904</v>
      </c>
      <c r="Q48" s="16">
        <f>SUM(S48,T48)</f>
        <v>-8153017.1097431332</v>
      </c>
      <c r="R48" s="15">
        <f>SUM(C48,D48,N48,Q48)</f>
        <v>-8153017.1097431332</v>
      </c>
      <c r="S48" s="15">
        <f>SUM((SUM(I29,-I30,-I32,-I34,-I36,-I38,-I40,-I42,-I44,-I46,-I48)*I49),(SUM(J29,-J30,-J32,-J34,-J36,-J38,-J40,-J42,-J44,-J46,-J48)*J49),(SUM(K29,-K30)*K49),(-O30*O31),(-O32*O33),(-O34*O35),(-O36*O37),(-O38*O39),(-O40*O41),(-O42*O43),(-O44*O45),(-O46*O47),(-O48*O49),(R30*R31),(R32*R33),(R34*R35),(R36*R37),(R38*R39),(R40*R41),(R42*R43),(R44*R45),(R46*R47))</f>
        <v>-8443445.2526764665</v>
      </c>
      <c r="T48" s="30">
        <f>SUM((SUM(C29,-C30,-C32,-C34,-C36,-C38,-C40,-C42,-C44,-C46,-C48)*C49),(SUM(D29,-D30,-D32,-D34,-D36,-D38,-D40,-D42,-D44,-D46,-D48)*D49),(SUM(E29,-E30,-E32,-E34,-E36,-E38,-E40,-E42,-E44,-E46,-E48)*E49),(SUM(G29,-G30)*G49),(-N30*N31),(-N32*N33),(-N34*N35),(-N36*N37),(-N38*N39),(-N40*N41),(-N42*N43),(-N44*N45),(-N46*N47),(-N48*N49))</f>
        <v>290428.14293333323</v>
      </c>
      <c r="U48" s="15"/>
      <c r="W48" s="3"/>
    </row>
    <row r="49" spans="1:28" hidden="1" x14ac:dyDescent="0.25">
      <c r="A49" s="3"/>
      <c r="B49" s="3" t="s">
        <v>875</v>
      </c>
      <c r="C49" s="14">
        <f>$AB$63</f>
        <v>2.1383333333333334E-2</v>
      </c>
      <c r="D49" s="14">
        <f>$AB$63</f>
        <v>2.1383333333333334E-2</v>
      </c>
      <c r="E49" s="14">
        <f>$AB$63</f>
        <v>2.1383333333333334E-2</v>
      </c>
      <c r="F49" s="14">
        <v>0</v>
      </c>
      <c r="G49" s="14">
        <f>SUM(W8,W23)</f>
        <v>3.7000000000000005E-2</v>
      </c>
      <c r="H49" s="14">
        <v>0</v>
      </c>
      <c r="I49" s="14">
        <f>$AA$63</f>
        <v>1.6383333333333333E-2</v>
      </c>
      <c r="J49" s="14">
        <f>$AA$63</f>
        <v>1.6383333333333333E-2</v>
      </c>
      <c r="K49" s="14">
        <f>SUM($W$9,$W$23)</f>
        <v>3.9E-2</v>
      </c>
      <c r="L49" s="14">
        <v>0</v>
      </c>
      <c r="M49" s="14">
        <v>0</v>
      </c>
      <c r="N49" s="7">
        <f>SUM($W$7,$W$23)</f>
        <v>5.5999999999999994E-2</v>
      </c>
      <c r="O49" s="7">
        <f>SUM($W$10,$W$23)</f>
        <v>5.1000000000000004E-2</v>
      </c>
      <c r="P49" s="14">
        <f>Q48/P48</f>
        <v>3.6562796957592729E-2</v>
      </c>
      <c r="R49" s="7">
        <f>SUM($W$10,$W$23)</f>
        <v>5.1000000000000004E-2</v>
      </c>
      <c r="W49" s="3"/>
    </row>
    <row r="50" spans="1:28" hidden="1" x14ac:dyDescent="0.25">
      <c r="C50" s="4"/>
      <c r="D50" s="4"/>
      <c r="E50" s="9"/>
      <c r="F50" s="4"/>
      <c r="G50" s="4"/>
      <c r="H50" s="4"/>
      <c r="I50" s="9"/>
      <c r="J50" s="9"/>
      <c r="K50" s="4"/>
      <c r="L50" s="4"/>
      <c r="M50" s="4"/>
      <c r="N50" s="7"/>
      <c r="O50" s="7"/>
      <c r="P50" s="6"/>
      <c r="W50" s="3"/>
    </row>
    <row r="51" spans="1:28" x14ac:dyDescent="0.25">
      <c r="W51" s="3"/>
    </row>
    <row r="52" spans="1:28" x14ac:dyDescent="0.25">
      <c r="Y52" s="236" t="s">
        <v>103</v>
      </c>
      <c r="Z52" s="242">
        <v>15</v>
      </c>
      <c r="AA52" s="237" t="s">
        <v>101</v>
      </c>
      <c r="AB52" s="238" t="s">
        <v>100</v>
      </c>
    </row>
    <row r="53" spans="1:28" x14ac:dyDescent="0.25">
      <c r="Y53" s="239" t="s">
        <v>102</v>
      </c>
      <c r="Z53" s="165"/>
      <c r="AB53" s="50"/>
    </row>
    <row r="54" spans="1:28" x14ac:dyDescent="0.25">
      <c r="U54" s="15"/>
      <c r="Y54" s="106">
        <f>SUM(Y28,1)</f>
        <v>2024</v>
      </c>
      <c r="Z54" s="5">
        <f>Z52</f>
        <v>15</v>
      </c>
      <c r="AA54" s="27">
        <f>SUM(AA15*1/Z54,AA16*1/Z54,AA17*1/$Z$54,AA18*1/$Z$54,AA19*1/$Z$54,AA20*1/$Z$54,AA21*1/$Z$54,AA22*1/$Z$54,AA23*1/$Z$54,AA24*1/$Z$54,AA25*1/$Z$54,AA26*1/$Z$54,AA27*1/Z54,AA28*1/Z54,AA29*1/Z54)</f>
        <v>1.908E-2</v>
      </c>
      <c r="AB54" s="234">
        <f t="shared" ref="AB54:AB63" si="3">SUM(AA54,0.5%)</f>
        <v>2.4080000000000001E-2</v>
      </c>
    </row>
    <row r="55" spans="1:28" x14ac:dyDescent="0.25">
      <c r="W55" s="8"/>
      <c r="Y55" s="106">
        <f>SUM(Y54,1)</f>
        <v>2025</v>
      </c>
      <c r="Z55" s="5">
        <f>SUM(Z52,-1)</f>
        <v>14</v>
      </c>
      <c r="AA55" s="27">
        <f>SUM(AA16*1/Z55,AA17*1/Z55,AA18*1/$Z$55,AA19*1/$Z$55,AA20*1/$Z$55,AA21*1/$Z$55,AA22*1/$Z$55,AA23*1/$Z$55,AA24*1/$Z$55,AA25*1/$Z$55,AA26*1/$Z$55,AA27*1/Z55,AA28*1/Z55,AA29*1/Z55)</f>
        <v>1.7878571428571431E-2</v>
      </c>
      <c r="AB55" s="234">
        <f t="shared" si="3"/>
        <v>2.2878571428571432E-2</v>
      </c>
    </row>
    <row r="56" spans="1:28" ht="12.65" customHeight="1" x14ac:dyDescent="0.25">
      <c r="U56" s="15"/>
      <c r="W56" s="28"/>
      <c r="Y56" s="106">
        <f t="shared" ref="Y56:Y63" si="4">SUM(Y55,1)</f>
        <v>2026</v>
      </c>
      <c r="Z56" s="5">
        <f>SUM(Z52,-2)</f>
        <v>13</v>
      </c>
      <c r="AA56" s="27">
        <f>SUM(AA17*1/Z56,AA18*1/Z56,$AA$19*1/Z56,$AA$20*1/Z56,$AA$21*1/Z56,$AA$22*1/Z56,$AA$23*1/Z56,$AA$24*1/Z56,$AA$25*1/Z56,$AA$26*1/Z56,AA27*1/Z56,AA28*1/Z56,AA29*1/Z56)</f>
        <v>1.6500000000000001E-2</v>
      </c>
      <c r="AB56" s="234">
        <f t="shared" si="3"/>
        <v>2.1500000000000002E-2</v>
      </c>
    </row>
    <row r="57" spans="1:28" x14ac:dyDescent="0.25">
      <c r="Y57" s="106">
        <f t="shared" si="4"/>
        <v>2027</v>
      </c>
      <c r="Z57" s="5">
        <f>SUM(Z52,-3)</f>
        <v>12</v>
      </c>
      <c r="AA57" s="27">
        <f>SUM(AA18*1/Z57,AA19*1/Z57,$AA$20*1/Z57,$AA$21*1/Z57,$AA$22*1/Z57,$AA$23*1/Z57,$AA$24*1/Z57,$AA$25*1/Z57,$AA$26*1/Z57,AA27*1/Z57,AA28*1/Z57,AA29*1/Z57)</f>
        <v>1.5766666666666668E-2</v>
      </c>
      <c r="AB57" s="234">
        <f t="shared" si="3"/>
        <v>2.0766666666666669E-2</v>
      </c>
    </row>
    <row r="58" spans="1:28" x14ac:dyDescent="0.25">
      <c r="U58" s="15"/>
      <c r="Y58" s="106">
        <f t="shared" si="4"/>
        <v>2028</v>
      </c>
      <c r="Z58" s="5">
        <f>SUM(Z52,-4)</f>
        <v>11</v>
      </c>
      <c r="AA58" s="27">
        <f>SUM(AA19*1/Z58,AA20*1/Z58,$AA$21*1/Z58,$AA$22*1/Z58,$AA$23*1/Z58,$AA$24*1/Z58,$AA$25*1/Z58,$AA$26*1/Z58,AA27*1/Z58,AA28*1/Z58,AA29*1/Z58)</f>
        <v>1.487272727272727E-2</v>
      </c>
      <c r="AB58" s="234">
        <f t="shared" si="3"/>
        <v>1.9872727272727271E-2</v>
      </c>
    </row>
    <row r="59" spans="1:28" x14ac:dyDescent="0.25">
      <c r="Y59" s="106">
        <f t="shared" si="4"/>
        <v>2029</v>
      </c>
      <c r="Z59" s="5">
        <f>SUM(Z52,-5)</f>
        <v>10</v>
      </c>
      <c r="AA59" s="27">
        <f>SUM(AA20*1/Z59,AA21*1/Z59,$AA$22*1/Z59,$AA$23*1/Z59,$AA$24*1/Z59,$AA$25*1/Z59,$AA$26*1/Z59,AA27*1/Z59,AA28*1/Z59,AA29*1/Z59)</f>
        <v>1.431E-2</v>
      </c>
      <c r="AB59" s="234">
        <f t="shared" si="3"/>
        <v>1.9310000000000001E-2</v>
      </c>
    </row>
    <row r="60" spans="1:28" x14ac:dyDescent="0.25">
      <c r="U60" s="15"/>
      <c r="Y60" s="106">
        <f t="shared" si="4"/>
        <v>2030</v>
      </c>
      <c r="Z60" s="5">
        <f>SUM(Z52,-6)</f>
        <v>9</v>
      </c>
      <c r="AA60" s="27">
        <f>SUM(AA21*1/Z60,AA22*1/Z60,$AA$23*1/Z60,$AA$24*1/Z60,$AA$25*1/Z60,$AA$26*1/Z60,AA27*1/Z60,AA28*1/Z60,AA29*1/Z60)</f>
        <v>1.4466666666666666E-2</v>
      </c>
      <c r="AB60" s="234">
        <f t="shared" si="3"/>
        <v>1.9466666666666667E-2</v>
      </c>
    </row>
    <row r="61" spans="1:28" x14ac:dyDescent="0.25">
      <c r="Y61" s="106">
        <f t="shared" si="4"/>
        <v>2031</v>
      </c>
      <c r="Z61" s="5">
        <f>SUM(Z52,-7)</f>
        <v>8</v>
      </c>
      <c r="AA61" s="27">
        <f>SUM(AA22*1/Z61,AA23*1/Z61,$AA$24*1/Z61,$AA$25*1/Z61,$AA$26*1/Z61,AA27*1/Z61,AA28*1/Z61,AA29*1/Z61)</f>
        <v>1.5162499999999999E-2</v>
      </c>
      <c r="AB61" s="234">
        <f t="shared" si="3"/>
        <v>2.01625E-2</v>
      </c>
    </row>
    <row r="62" spans="1:28" x14ac:dyDescent="0.25">
      <c r="U62" s="15"/>
      <c r="Y62" s="106">
        <f t="shared" si="4"/>
        <v>2032</v>
      </c>
      <c r="Z62" s="5">
        <f>SUM(Z52,-8)</f>
        <v>7</v>
      </c>
      <c r="AA62" s="27">
        <f>SUM(AA23*1/$Z$62,AA24*1/$Z$62,AA25*1/$Z$62,AA26*1/$Z$62,AA27*1/Z62,AA28*1/Z62,AA29*1/Z62)</f>
        <v>1.5728571428571429E-2</v>
      </c>
      <c r="AB62" s="234">
        <f t="shared" si="3"/>
        <v>2.072857142857143E-2</v>
      </c>
    </row>
    <row r="63" spans="1:28" x14ac:dyDescent="0.25">
      <c r="Y63" s="108">
        <f t="shared" si="4"/>
        <v>2033</v>
      </c>
      <c r="Z63" s="46">
        <f>SUM(Z52,-9)</f>
        <v>6</v>
      </c>
      <c r="AA63" s="240">
        <f>((AA24*1/$Z$63)+(AA25*1/$Z$63)+(AA26*1/$Z$63)+(AA27*1/$Z$63)+(AA28*1/Z63)+(AA29*1/Z63))</f>
        <v>1.6383333333333333E-2</v>
      </c>
      <c r="AB63" s="241">
        <f t="shared" si="3"/>
        <v>2.1383333333333334E-2</v>
      </c>
    </row>
    <row r="64" spans="1:28" x14ac:dyDescent="0.25">
      <c r="U64" s="15"/>
    </row>
    <row r="66" spans="1:26" x14ac:dyDescent="0.25">
      <c r="U66" s="97"/>
    </row>
    <row r="68" spans="1:26" x14ac:dyDescent="0.25">
      <c r="U68" s="15"/>
    </row>
    <row r="70" spans="1:26" x14ac:dyDescent="0.25">
      <c r="U70" s="15"/>
    </row>
    <row r="72" spans="1:26" x14ac:dyDescent="0.25">
      <c r="U72" s="97"/>
    </row>
    <row r="74" spans="1:26" x14ac:dyDescent="0.25">
      <c r="V74" s="29"/>
    </row>
    <row r="76" spans="1:26" s="3" customFormat="1" ht="14.25" customHeight="1" x14ac:dyDescent="0.25">
      <c r="A76" s="5"/>
      <c r="B76" s="5"/>
      <c r="C76" s="5"/>
      <c r="D76" s="5"/>
      <c r="E76" s="5"/>
      <c r="F76" s="5"/>
      <c r="G76" s="5"/>
      <c r="H76" s="5"/>
      <c r="I76" s="5"/>
      <c r="J76" s="5"/>
      <c r="K76" s="5"/>
      <c r="L76" s="5"/>
      <c r="M76" s="5"/>
      <c r="Z76" s="5"/>
    </row>
    <row r="77" spans="1:26" s="3" customFormat="1" x14ac:dyDescent="0.25">
      <c r="A77" s="5"/>
      <c r="B77" s="5"/>
      <c r="C77" s="5"/>
      <c r="D77" s="5"/>
      <c r="E77" s="5"/>
      <c r="F77" s="5"/>
      <c r="G77" s="5"/>
      <c r="H77" s="5"/>
      <c r="I77" s="5"/>
      <c r="J77" s="5"/>
      <c r="K77" s="5"/>
      <c r="L77" s="5"/>
      <c r="M77" s="5"/>
    </row>
    <row r="78" spans="1:26" s="3" customFormat="1" x14ac:dyDescent="0.25">
      <c r="A78" s="5"/>
      <c r="B78" s="5"/>
      <c r="C78" s="5"/>
      <c r="D78" s="5"/>
      <c r="E78" s="5"/>
      <c r="F78" s="5"/>
      <c r="G78" s="5"/>
      <c r="H78" s="5"/>
      <c r="I78" s="5"/>
      <c r="J78" s="5"/>
      <c r="K78" s="5"/>
      <c r="L78" s="5"/>
      <c r="M78" s="5"/>
    </row>
    <row r="79" spans="1:26" s="3" customFormat="1" x14ac:dyDescent="0.25">
      <c r="A79" s="5"/>
      <c r="B79" s="5"/>
      <c r="C79" s="5"/>
      <c r="D79" s="5"/>
      <c r="E79" s="5"/>
      <c r="F79" s="5"/>
      <c r="G79" s="5"/>
      <c r="H79" s="5"/>
      <c r="I79" s="5"/>
      <c r="J79" s="5"/>
      <c r="K79" s="5"/>
      <c r="L79" s="5"/>
      <c r="M79" s="5"/>
    </row>
    <row r="80" spans="1:26" s="3" customFormat="1" x14ac:dyDescent="0.25">
      <c r="A80" s="5"/>
      <c r="B80" s="5"/>
      <c r="C80" s="5"/>
      <c r="D80" s="5"/>
      <c r="E80" s="5"/>
      <c r="F80" s="5"/>
      <c r="G80" s="5"/>
      <c r="H80" s="5"/>
      <c r="I80" s="5"/>
      <c r="J80" s="5"/>
      <c r="K80" s="5"/>
      <c r="L80" s="5"/>
      <c r="M80" s="5"/>
    </row>
    <row r="81" spans="1:13" s="3" customFormat="1" x14ac:dyDescent="0.25">
      <c r="A81" s="5"/>
      <c r="B81" s="5"/>
      <c r="C81" s="5"/>
      <c r="D81" s="5"/>
      <c r="E81" s="5"/>
      <c r="F81" s="5"/>
      <c r="G81" s="5"/>
      <c r="H81" s="5"/>
      <c r="I81" s="5"/>
      <c r="J81" s="5"/>
      <c r="K81" s="5"/>
      <c r="L81" s="5"/>
      <c r="M81" s="5"/>
    </row>
    <row r="82" spans="1:13" s="3" customFormat="1" x14ac:dyDescent="0.25">
      <c r="A82" s="5"/>
      <c r="B82" s="5"/>
      <c r="C82" s="5"/>
      <c r="D82" s="5"/>
      <c r="E82" s="5"/>
      <c r="F82" s="5"/>
      <c r="G82" s="5"/>
      <c r="H82" s="5"/>
      <c r="I82" s="5"/>
      <c r="J82" s="5"/>
      <c r="K82" s="5"/>
      <c r="L82" s="5"/>
      <c r="M82" s="5"/>
    </row>
    <row r="83" spans="1:13" s="3" customFormat="1" x14ac:dyDescent="0.25">
      <c r="A83" s="5"/>
      <c r="B83" s="5"/>
      <c r="C83" s="5"/>
      <c r="D83" s="5"/>
      <c r="E83" s="5"/>
      <c r="F83" s="5"/>
      <c r="G83" s="5"/>
      <c r="H83" s="5"/>
      <c r="I83" s="5"/>
      <c r="J83" s="5"/>
      <c r="K83" s="5"/>
      <c r="L83" s="5"/>
      <c r="M83" s="5"/>
    </row>
    <row r="84" spans="1:13" s="3" customFormat="1" x14ac:dyDescent="0.25">
      <c r="A84" s="5"/>
      <c r="B84" s="5"/>
      <c r="C84" s="5"/>
      <c r="D84" s="5"/>
      <c r="E84" s="5"/>
      <c r="F84" s="5"/>
      <c r="G84" s="5"/>
      <c r="H84" s="5"/>
      <c r="I84" s="5"/>
      <c r="J84" s="5"/>
      <c r="K84" s="5"/>
      <c r="L84" s="5"/>
      <c r="M84" s="5"/>
    </row>
    <row r="85" spans="1:13" s="3" customFormat="1" x14ac:dyDescent="0.25">
      <c r="A85" s="5"/>
      <c r="B85" s="5"/>
      <c r="C85" s="5"/>
      <c r="D85" s="5"/>
      <c r="E85" s="5"/>
      <c r="F85" s="5"/>
      <c r="G85" s="5"/>
      <c r="H85" s="5"/>
      <c r="I85" s="5"/>
      <c r="J85" s="5"/>
      <c r="K85" s="5"/>
      <c r="L85" s="5"/>
      <c r="M85" s="5"/>
    </row>
    <row r="86" spans="1:13" s="3" customFormat="1" x14ac:dyDescent="0.25">
      <c r="A86" s="5"/>
      <c r="B86" s="5"/>
      <c r="C86" s="5"/>
      <c r="D86" s="5"/>
      <c r="E86" s="5"/>
      <c r="F86" s="5"/>
      <c r="G86" s="5"/>
      <c r="H86" s="5"/>
      <c r="I86" s="5"/>
      <c r="J86" s="5"/>
      <c r="K86" s="5"/>
      <c r="L86" s="5"/>
      <c r="M86" s="5"/>
    </row>
    <row r="87" spans="1:13" s="3" customFormat="1" x14ac:dyDescent="0.25">
      <c r="A87" s="5"/>
      <c r="B87" s="5"/>
      <c r="C87" s="5"/>
      <c r="D87" s="5"/>
      <c r="E87" s="5"/>
      <c r="F87" s="5"/>
      <c r="G87" s="5"/>
      <c r="H87" s="5"/>
      <c r="I87" s="5"/>
      <c r="J87" s="5"/>
      <c r="K87" s="5"/>
      <c r="L87" s="5"/>
      <c r="M87" s="5"/>
    </row>
    <row r="88" spans="1:13" s="3" customFormat="1" x14ac:dyDescent="0.25">
      <c r="A88" s="5"/>
      <c r="B88" s="5"/>
      <c r="C88" s="5"/>
      <c r="D88" s="5"/>
      <c r="E88" s="5"/>
      <c r="F88" s="5"/>
      <c r="G88" s="5"/>
      <c r="H88" s="5"/>
      <c r="I88" s="5"/>
      <c r="J88" s="5"/>
      <c r="K88" s="5"/>
      <c r="L88" s="5"/>
      <c r="M88" s="5"/>
    </row>
    <row r="89" spans="1:13" s="3" customFormat="1" x14ac:dyDescent="0.25">
      <c r="A89" s="5"/>
      <c r="B89" s="5"/>
      <c r="C89" s="5"/>
      <c r="D89" s="5"/>
      <c r="E89" s="5"/>
      <c r="F89" s="5"/>
      <c r="G89" s="5"/>
      <c r="H89" s="5"/>
      <c r="I89" s="5"/>
      <c r="J89" s="5"/>
      <c r="K89" s="5"/>
      <c r="L89" s="5"/>
      <c r="M89" s="5"/>
    </row>
    <row r="90" spans="1:13" s="3" customFormat="1" x14ac:dyDescent="0.25">
      <c r="A90" s="5"/>
      <c r="B90" s="5"/>
      <c r="C90" s="5"/>
      <c r="D90" s="5"/>
      <c r="E90" s="5"/>
      <c r="F90" s="5"/>
      <c r="G90" s="5"/>
      <c r="H90" s="5"/>
      <c r="I90" s="5"/>
      <c r="J90" s="5"/>
      <c r="K90" s="5"/>
      <c r="L90" s="5"/>
      <c r="M90" s="5"/>
    </row>
    <row r="91" spans="1:13" s="3" customFormat="1" x14ac:dyDescent="0.25">
      <c r="A91" s="5"/>
      <c r="B91" s="5"/>
      <c r="C91" s="5"/>
      <c r="D91" s="5"/>
      <c r="E91" s="5"/>
      <c r="F91" s="5"/>
      <c r="G91" s="5"/>
      <c r="H91" s="5"/>
      <c r="I91" s="5"/>
      <c r="J91" s="5"/>
      <c r="K91" s="5"/>
      <c r="L91" s="5"/>
      <c r="M91" s="5"/>
    </row>
    <row r="92" spans="1:13" s="3" customFormat="1" x14ac:dyDescent="0.25">
      <c r="A92" s="5"/>
      <c r="B92" s="5"/>
      <c r="C92" s="5"/>
      <c r="D92" s="5"/>
      <c r="E92" s="5"/>
      <c r="F92" s="5"/>
      <c r="G92" s="5"/>
      <c r="H92" s="5"/>
      <c r="I92" s="5"/>
      <c r="J92" s="5"/>
      <c r="K92" s="5"/>
      <c r="L92" s="5"/>
      <c r="M92" s="5"/>
    </row>
    <row r="93" spans="1:13" s="3" customFormat="1" x14ac:dyDescent="0.25">
      <c r="A93" s="5"/>
      <c r="B93" s="5"/>
      <c r="C93" s="5"/>
      <c r="D93" s="5"/>
      <c r="E93" s="5"/>
      <c r="F93" s="5"/>
      <c r="G93" s="5"/>
      <c r="H93" s="5"/>
      <c r="I93" s="5"/>
      <c r="J93" s="5"/>
      <c r="K93" s="5"/>
      <c r="L93" s="5"/>
      <c r="M93" s="5"/>
    </row>
    <row r="94" spans="1:13" s="3" customFormat="1" x14ac:dyDescent="0.25">
      <c r="A94" s="5"/>
      <c r="B94" s="5"/>
      <c r="C94" s="5"/>
      <c r="D94" s="5"/>
      <c r="E94" s="5"/>
      <c r="F94" s="5"/>
      <c r="G94" s="5"/>
      <c r="H94" s="5"/>
      <c r="I94" s="5"/>
      <c r="J94" s="5"/>
      <c r="K94" s="5"/>
      <c r="L94" s="5"/>
      <c r="M94" s="5"/>
    </row>
    <row r="95" spans="1:13" s="3" customFormat="1" x14ac:dyDescent="0.25">
      <c r="A95" s="5"/>
      <c r="B95" s="5"/>
      <c r="C95" s="5"/>
      <c r="D95" s="5"/>
      <c r="E95" s="5"/>
      <c r="F95" s="5"/>
      <c r="G95" s="5"/>
      <c r="H95" s="5"/>
      <c r="I95" s="5"/>
      <c r="J95" s="5"/>
      <c r="K95" s="5"/>
      <c r="L95" s="5"/>
      <c r="M95" s="5"/>
    </row>
    <row r="96" spans="1:13" s="3" customFormat="1" x14ac:dyDescent="0.25">
      <c r="A96" s="5"/>
      <c r="B96" s="5"/>
      <c r="C96" s="5"/>
      <c r="D96" s="5"/>
      <c r="E96" s="5"/>
      <c r="F96" s="5"/>
      <c r="G96" s="5"/>
      <c r="H96" s="5"/>
      <c r="I96" s="5"/>
      <c r="J96" s="5"/>
      <c r="K96" s="5"/>
      <c r="L96" s="5"/>
      <c r="M96" s="5"/>
    </row>
    <row r="97" spans="1:26" s="3" customFormat="1" x14ac:dyDescent="0.25">
      <c r="A97" s="5"/>
      <c r="B97" s="5"/>
      <c r="C97" s="5"/>
      <c r="D97" s="5"/>
      <c r="E97" s="5"/>
      <c r="F97" s="5"/>
      <c r="G97" s="5"/>
      <c r="H97" s="5"/>
      <c r="I97" s="5"/>
      <c r="J97" s="5"/>
      <c r="K97" s="5"/>
      <c r="L97" s="5"/>
      <c r="M97" s="5"/>
    </row>
    <row r="98" spans="1:26" s="3" customFormat="1" x14ac:dyDescent="0.25">
      <c r="A98" s="5"/>
      <c r="B98" s="5"/>
      <c r="C98" s="5"/>
      <c r="D98" s="5"/>
      <c r="E98" s="5"/>
      <c r="F98" s="5"/>
      <c r="G98" s="5"/>
      <c r="H98" s="5"/>
      <c r="I98" s="5"/>
      <c r="J98" s="5"/>
      <c r="K98" s="5"/>
      <c r="L98" s="5"/>
      <c r="M98" s="5"/>
    </row>
    <row r="99" spans="1:26" x14ac:dyDescent="0.25">
      <c r="Z99" s="3"/>
    </row>
  </sheetData>
  <sheetProtection algorithmName="SHA-512" hashValue="GniQ9mYuXKXjFvMFKZCcU6AgEDeuhOSlnCFDHQ0CspDS1MEnkAbmMzMsQ4pJSuhknGDP01W2P9pk/OhBfCxTFw==" saltValue="mfK4cAEF7kOTrBbdTNjWiQ==" spinCount="100000" sheet="1" selectLockedCells="1"/>
  <customSheetViews>
    <customSheetView guid="{B41B624D-DA5C-4FA3-85F1-D5B8087B6A65}">
      <pageMargins left="0.7" right="0.7" top="0.75" bottom="0.75" header="0.3" footer="0.3"/>
    </customSheetView>
  </customSheetViews>
  <mergeCells count="1">
    <mergeCell ref="A1:B1"/>
  </mergeCells>
  <conditionalFormatting sqref="C12">
    <cfRule type="cellIs" dxfId="172" priority="1245" operator="greaterThan">
      <formula>0</formula>
    </cfRule>
  </conditionalFormatting>
  <conditionalFormatting sqref="C10:D10">
    <cfRule type="cellIs" dxfId="171" priority="185" operator="greaterThan">
      <formula>0</formula>
    </cfRule>
  </conditionalFormatting>
  <conditionalFormatting sqref="C6:E6">
    <cfRule type="cellIs" dxfId="170" priority="7" operator="greaterThan">
      <formula>0</formula>
    </cfRule>
  </conditionalFormatting>
  <conditionalFormatting sqref="C14:E14">
    <cfRule type="cellIs" dxfId="169" priority="923" operator="greaterThan">
      <formula>0</formula>
    </cfRule>
  </conditionalFormatting>
  <conditionalFormatting sqref="C16:E16">
    <cfRule type="cellIs" dxfId="168" priority="912" operator="greaterThan">
      <formula>0</formula>
    </cfRule>
  </conditionalFormatting>
  <conditionalFormatting sqref="C18:E18">
    <cfRule type="cellIs" dxfId="167" priority="901" operator="greaterThan">
      <formula>0</formula>
    </cfRule>
  </conditionalFormatting>
  <conditionalFormatting sqref="C20:E20">
    <cfRule type="cellIs" dxfId="166" priority="890" operator="greaterThan">
      <formula>0</formula>
    </cfRule>
  </conditionalFormatting>
  <conditionalFormatting sqref="C22:E22">
    <cfRule type="cellIs" dxfId="165" priority="879" operator="greaterThan">
      <formula>0</formula>
    </cfRule>
  </conditionalFormatting>
  <conditionalFormatting sqref="C24:E24">
    <cfRule type="cellIs" dxfId="164" priority="868" operator="greaterThan">
      <formula>0</formula>
    </cfRule>
  </conditionalFormatting>
  <conditionalFormatting sqref="C8:G8">
    <cfRule type="cellIs" dxfId="163" priority="89" operator="greaterThan">
      <formula>0</formula>
    </cfRule>
  </conditionalFormatting>
  <conditionalFormatting sqref="D14">
    <cfRule type="cellIs" dxfId="162" priority="924" operator="greaterThan">
      <formula>" € - "</formula>
    </cfRule>
    <cfRule type="cellIs" dxfId="161" priority="920" operator="greaterThan">
      <formula>0</formula>
    </cfRule>
    <cfRule type="cellIs" dxfId="160" priority="919" operator="greaterThan">
      <formula>0</formula>
    </cfRule>
    <cfRule type="cellIs" dxfId="159" priority="917" operator="greaterThan">
      <formula>0</formula>
    </cfRule>
  </conditionalFormatting>
  <conditionalFormatting sqref="D16">
    <cfRule type="cellIs" dxfId="158" priority="913" operator="greaterThan">
      <formula>" € - "</formula>
    </cfRule>
    <cfRule type="cellIs" dxfId="157" priority="906" operator="greaterThan">
      <formula>0</formula>
    </cfRule>
    <cfRule type="cellIs" dxfId="156" priority="908" operator="greaterThan">
      <formula>0</formula>
    </cfRule>
    <cfRule type="cellIs" dxfId="155" priority="909" operator="greaterThan">
      <formula>0</formula>
    </cfRule>
  </conditionalFormatting>
  <conditionalFormatting sqref="D18">
    <cfRule type="cellIs" dxfId="154" priority="902" operator="greaterThan">
      <formula>" € - "</formula>
    </cfRule>
    <cfRule type="cellIs" dxfId="153" priority="898" operator="greaterThan">
      <formula>0</formula>
    </cfRule>
    <cfRule type="cellIs" dxfId="152" priority="897" operator="greaterThan">
      <formula>0</formula>
    </cfRule>
    <cfRule type="cellIs" dxfId="151" priority="895" operator="greaterThan">
      <formula>0</formula>
    </cfRule>
  </conditionalFormatting>
  <conditionalFormatting sqref="D20">
    <cfRule type="cellIs" dxfId="150" priority="887" operator="greaterThan">
      <formula>0</formula>
    </cfRule>
    <cfRule type="cellIs" dxfId="149" priority="891" operator="greaterThan">
      <formula>" € - "</formula>
    </cfRule>
    <cfRule type="cellIs" dxfId="148" priority="886" operator="greaterThan">
      <formula>0</formula>
    </cfRule>
    <cfRule type="cellIs" dxfId="147" priority="884" operator="greaterThan">
      <formula>0</formula>
    </cfRule>
  </conditionalFormatting>
  <conditionalFormatting sqref="D22">
    <cfRule type="cellIs" dxfId="146" priority="876" operator="greaterThan">
      <formula>0</formula>
    </cfRule>
    <cfRule type="cellIs" dxfId="145" priority="875" operator="greaterThan">
      <formula>0</formula>
    </cfRule>
    <cfRule type="cellIs" dxfId="144" priority="873" operator="greaterThan">
      <formula>0</formula>
    </cfRule>
    <cfRule type="cellIs" dxfId="143" priority="880" operator="greaterThan">
      <formula>" € - "</formula>
    </cfRule>
  </conditionalFormatting>
  <conditionalFormatting sqref="D24">
    <cfRule type="cellIs" dxfId="142" priority="864" operator="greaterThan">
      <formula>0</formula>
    </cfRule>
    <cfRule type="cellIs" dxfId="141" priority="865" operator="greaterThan">
      <formula>0</formula>
    </cfRule>
    <cfRule type="cellIs" dxfId="140" priority="862" operator="greaterThan">
      <formula>0</formula>
    </cfRule>
    <cfRule type="cellIs" dxfId="139" priority="869" operator="greaterThan">
      <formula>" € - "</formula>
    </cfRule>
  </conditionalFormatting>
  <conditionalFormatting sqref="D14:G14">
    <cfRule type="cellIs" dxfId="138" priority="60" operator="greaterThan">
      <formula>0</formula>
    </cfRule>
    <cfRule type="cellIs" dxfId="137" priority="64" operator="greaterThan">
      <formula>" € - "</formula>
    </cfRule>
  </conditionalFormatting>
  <conditionalFormatting sqref="D16:G16">
    <cfRule type="cellIs" dxfId="136" priority="51" operator="greaterThan">
      <formula>0</formula>
    </cfRule>
    <cfRule type="cellIs" dxfId="135" priority="55" operator="greaterThan">
      <formula>" € - "</formula>
    </cfRule>
  </conditionalFormatting>
  <conditionalFormatting sqref="D18:G18">
    <cfRule type="cellIs" dxfId="134" priority="42" operator="greaterThan">
      <formula>0</formula>
    </cfRule>
    <cfRule type="cellIs" dxfId="133" priority="46" operator="greaterThan">
      <formula>" € - "</formula>
    </cfRule>
  </conditionalFormatting>
  <conditionalFormatting sqref="D20:G20">
    <cfRule type="cellIs" dxfId="132" priority="37" operator="greaterThan">
      <formula>" € - "</formula>
    </cfRule>
    <cfRule type="cellIs" dxfId="131" priority="33" operator="greaterThan">
      <formula>0</formula>
    </cfRule>
  </conditionalFormatting>
  <conditionalFormatting sqref="D22:G22">
    <cfRule type="cellIs" dxfId="130" priority="24" operator="greaterThan">
      <formula>0</formula>
    </cfRule>
    <cfRule type="cellIs" dxfId="129" priority="28" operator="greaterThan">
      <formula>" € - "</formula>
    </cfRule>
  </conditionalFormatting>
  <conditionalFormatting sqref="D24:G24">
    <cfRule type="cellIs" dxfId="128" priority="19" operator="greaterThan">
      <formula>" € - "</formula>
    </cfRule>
    <cfRule type="cellIs" dxfId="127" priority="15" operator="greaterThan">
      <formula>0</formula>
    </cfRule>
  </conditionalFormatting>
  <conditionalFormatting sqref="E6">
    <cfRule type="cellIs" dxfId="126" priority="3" operator="greaterThan">
      <formula>0</formula>
    </cfRule>
    <cfRule type="cellIs" dxfId="125" priority="4" operator="greaterThan">
      <formula>0</formula>
    </cfRule>
    <cfRule type="cellIs" dxfId="124" priority="1" operator="greaterThan">
      <formula>0</formula>
    </cfRule>
  </conditionalFormatting>
  <conditionalFormatting sqref="E8">
    <cfRule type="cellIs" dxfId="123" priority="1103" operator="greaterThan">
      <formula>" € - "</formula>
    </cfRule>
  </conditionalFormatting>
  <conditionalFormatting sqref="E10">
    <cfRule type="cellIs" dxfId="122" priority="1091" operator="greaterThan">
      <formula>0</formula>
    </cfRule>
    <cfRule type="cellIs" dxfId="121" priority="1088" operator="greaterThan">
      <formula>0</formula>
    </cfRule>
    <cfRule type="cellIs" dxfId="120" priority="1092" operator="greaterThan">
      <formula>" € - "</formula>
    </cfRule>
    <cfRule type="cellIs" dxfId="119" priority="1087" operator="greaterThan">
      <formula>0</formula>
    </cfRule>
  </conditionalFormatting>
  <conditionalFormatting sqref="E12">
    <cfRule type="cellIs" dxfId="118" priority="1081" operator="greaterThan">
      <formula>" € - "</formula>
    </cfRule>
    <cfRule type="cellIs" dxfId="117" priority="1080" operator="greaterThan">
      <formula>0</formula>
    </cfRule>
    <cfRule type="cellIs" dxfId="116" priority="1077" operator="greaterThan">
      <formula>0</formula>
    </cfRule>
    <cfRule type="cellIs" dxfId="115" priority="1076" operator="greaterThan">
      <formula>0</formula>
    </cfRule>
  </conditionalFormatting>
  <conditionalFormatting sqref="E14">
    <cfRule type="cellIs" dxfId="114" priority="1065" operator="greaterThan">
      <formula>0</formula>
    </cfRule>
    <cfRule type="cellIs" dxfId="113" priority="1070" operator="greaterThan">
      <formula>" € - "</formula>
    </cfRule>
    <cfRule type="cellIs" dxfId="112" priority="1069" operator="greaterThan">
      <formula>0</formula>
    </cfRule>
    <cfRule type="cellIs" dxfId="111" priority="1066" operator="greaterThan">
      <formula>0</formula>
    </cfRule>
  </conditionalFormatting>
  <conditionalFormatting sqref="E16">
    <cfRule type="cellIs" dxfId="110" priority="1058" operator="greaterThan">
      <formula>0</formula>
    </cfRule>
    <cfRule type="cellIs" dxfId="109" priority="1055" operator="greaterThan">
      <formula>0</formula>
    </cfRule>
    <cfRule type="cellIs" dxfId="108" priority="1054" operator="greaterThan">
      <formula>0</formula>
    </cfRule>
    <cfRule type="cellIs" dxfId="107" priority="1059" operator="greaterThan">
      <formula>" € - "</formula>
    </cfRule>
  </conditionalFormatting>
  <conditionalFormatting sqref="E18">
    <cfRule type="cellIs" dxfId="106" priority="1048" operator="greaterThan">
      <formula>" € - "</formula>
    </cfRule>
    <cfRule type="cellIs" dxfId="105" priority="1047" operator="greaterThan">
      <formula>0</formula>
    </cfRule>
    <cfRule type="cellIs" dxfId="104" priority="1043" operator="greaterThan">
      <formula>0</formula>
    </cfRule>
    <cfRule type="cellIs" dxfId="103" priority="1044" operator="greaterThan">
      <formula>0</formula>
    </cfRule>
  </conditionalFormatting>
  <conditionalFormatting sqref="E20">
    <cfRule type="cellIs" dxfId="102" priority="1033" operator="greaterThan">
      <formula>0</formula>
    </cfRule>
    <cfRule type="cellIs" dxfId="101" priority="1032" operator="greaterThan">
      <formula>0</formula>
    </cfRule>
    <cfRule type="cellIs" dxfId="100" priority="1037" operator="greaterThan">
      <formula>" € - "</formula>
    </cfRule>
    <cfRule type="cellIs" dxfId="99" priority="1036" operator="greaterThan">
      <formula>0</formula>
    </cfRule>
  </conditionalFormatting>
  <conditionalFormatting sqref="E22">
    <cfRule type="cellIs" dxfId="98" priority="1026" operator="greaterThan">
      <formula>" € - "</formula>
    </cfRule>
    <cfRule type="cellIs" dxfId="97" priority="1025" operator="greaterThan">
      <formula>0</formula>
    </cfRule>
    <cfRule type="cellIs" dxfId="96" priority="1022" operator="greaterThan">
      <formula>0</formula>
    </cfRule>
    <cfRule type="cellIs" dxfId="95" priority="1021" operator="greaterThan">
      <formula>0</formula>
    </cfRule>
  </conditionalFormatting>
  <conditionalFormatting sqref="E24">
    <cfRule type="cellIs" dxfId="94" priority="1015" operator="greaterThan">
      <formula>" € - "</formula>
    </cfRule>
    <cfRule type="cellIs" dxfId="93" priority="1014" operator="greaterThan">
      <formula>0</formula>
    </cfRule>
    <cfRule type="cellIs" dxfId="92" priority="1011" operator="greaterThan">
      <formula>0</formula>
    </cfRule>
    <cfRule type="cellIs" dxfId="91" priority="1010" operator="greaterThan">
      <formula>0</formula>
    </cfRule>
  </conditionalFormatting>
  <conditionalFormatting sqref="E8:F8">
    <cfRule type="cellIs" dxfId="90" priority="990" operator="greaterThan">
      <formula>0</formula>
    </cfRule>
    <cfRule type="cellIs" dxfId="89" priority="991" operator="greaterThan">
      <formula>0</formula>
    </cfRule>
    <cfRule type="cellIs" dxfId="88" priority="1102" operator="greaterThan">
      <formula>0</formula>
    </cfRule>
  </conditionalFormatting>
  <conditionalFormatting sqref="E10:F10">
    <cfRule type="cellIs" dxfId="87" priority="437" operator="greaterThan">
      <formula>0</formula>
    </cfRule>
  </conditionalFormatting>
  <conditionalFormatting sqref="E12:F12">
    <cfRule type="cellIs" dxfId="86" priority="161" operator="greaterThan">
      <formula>0</formula>
    </cfRule>
  </conditionalFormatting>
  <conditionalFormatting sqref="E6:G6">
    <cfRule type="cellIs" dxfId="85" priority="5" operator="greaterThan">
      <formula>0</formula>
    </cfRule>
    <cfRule type="cellIs" dxfId="84" priority="9" operator="greaterThan">
      <formula>" € - "</formula>
    </cfRule>
  </conditionalFormatting>
  <conditionalFormatting sqref="E8:G8">
    <cfRule type="cellIs" dxfId="83" priority="87" operator="greaterThan">
      <formula>0</formula>
    </cfRule>
    <cfRule type="cellIs" dxfId="82" priority="91" operator="greaterThan">
      <formula>" € - "</formula>
    </cfRule>
  </conditionalFormatting>
  <conditionalFormatting sqref="E10:G10">
    <cfRule type="cellIs" dxfId="81" priority="78" operator="greaterThan">
      <formula>0</formula>
    </cfRule>
    <cfRule type="cellIs" dxfId="80" priority="82" operator="greaterThan">
      <formula>" € - "</formula>
    </cfRule>
  </conditionalFormatting>
  <conditionalFormatting sqref="E12:G12">
    <cfRule type="cellIs" dxfId="79" priority="73" operator="greaterThan">
      <formula>" € - "</formula>
    </cfRule>
    <cfRule type="cellIs" dxfId="78" priority="69" operator="greaterThan">
      <formula>0</formula>
    </cfRule>
  </conditionalFormatting>
  <conditionalFormatting sqref="F6">
    <cfRule type="cellIs" dxfId="77" priority="167" operator="greaterThan">
      <formula>0</formula>
    </cfRule>
    <cfRule type="cellIs" dxfId="76" priority="170" operator="greaterThan">
      <formula>0</formula>
    </cfRule>
    <cfRule type="cellIs" dxfId="75" priority="166" operator="greaterThan">
      <formula>0</formula>
    </cfRule>
  </conditionalFormatting>
  <conditionalFormatting sqref="F10">
    <cfRule type="cellIs" dxfId="74" priority="433" operator="greaterThan">
      <formula>0</formula>
    </cfRule>
    <cfRule type="cellIs" dxfId="73" priority="434" operator="greaterThan">
      <formula>0</formula>
    </cfRule>
  </conditionalFormatting>
  <conditionalFormatting sqref="F12">
    <cfRule type="cellIs" dxfId="72" priority="158" operator="greaterThan">
      <formula>0</formula>
    </cfRule>
    <cfRule type="cellIs" dxfId="71" priority="157" operator="greaterThan">
      <formula>0</formula>
    </cfRule>
  </conditionalFormatting>
  <conditionalFormatting sqref="F14">
    <cfRule type="cellIs" dxfId="70" priority="149" operator="greaterThan">
      <formula>0</formula>
    </cfRule>
    <cfRule type="cellIs" dxfId="69" priority="148" operator="greaterThan">
      <formula>0</formula>
    </cfRule>
    <cfRule type="cellIs" dxfId="68" priority="152" operator="greaterThan">
      <formula>0</formula>
    </cfRule>
  </conditionalFormatting>
  <conditionalFormatting sqref="F16">
    <cfRule type="cellIs" dxfId="67" priority="139" operator="greaterThan">
      <formula>0</formula>
    </cfRule>
    <cfRule type="cellIs" dxfId="66" priority="140" operator="greaterThan">
      <formula>0</formula>
    </cfRule>
    <cfRule type="cellIs" dxfId="65" priority="143" operator="greaterThan">
      <formula>0</formula>
    </cfRule>
  </conditionalFormatting>
  <conditionalFormatting sqref="F18">
    <cfRule type="cellIs" dxfId="64" priority="130" operator="greaterThan">
      <formula>0</formula>
    </cfRule>
    <cfRule type="cellIs" dxfId="63" priority="134" operator="greaterThan">
      <formula>0</formula>
    </cfRule>
    <cfRule type="cellIs" dxfId="62" priority="131" operator="greaterThan">
      <formula>0</formula>
    </cfRule>
  </conditionalFormatting>
  <conditionalFormatting sqref="F20">
    <cfRule type="cellIs" dxfId="61" priority="121" operator="greaterThan">
      <formula>0</formula>
    </cfRule>
    <cfRule type="cellIs" dxfId="60" priority="122" operator="greaterThan">
      <formula>0</formula>
    </cfRule>
    <cfRule type="cellIs" dxfId="59" priority="125" operator="greaterThan">
      <formula>0</formula>
    </cfRule>
  </conditionalFormatting>
  <conditionalFormatting sqref="F22">
    <cfRule type="cellIs" dxfId="58" priority="112" operator="greaterThan">
      <formula>0</formula>
    </cfRule>
    <cfRule type="cellIs" dxfId="57" priority="113" operator="greaterThan">
      <formula>0</formula>
    </cfRule>
    <cfRule type="cellIs" dxfId="56" priority="116" operator="greaterThan">
      <formula>0</formula>
    </cfRule>
  </conditionalFormatting>
  <conditionalFormatting sqref="F24">
    <cfRule type="cellIs" dxfId="55" priority="103" operator="greaterThan">
      <formula>0</formula>
    </cfRule>
    <cfRule type="cellIs" dxfId="54" priority="107" operator="greaterThan">
      <formula>0</formula>
    </cfRule>
    <cfRule type="cellIs" dxfId="53" priority="104" operator="greaterThan">
      <formula>0</formula>
    </cfRule>
  </conditionalFormatting>
  <conditionalFormatting sqref="F6:G6">
    <cfRule type="cellIs" dxfId="52" priority="98" operator="greaterThan">
      <formula>0</formula>
    </cfRule>
  </conditionalFormatting>
  <conditionalFormatting sqref="F10:G10">
    <cfRule type="cellIs" dxfId="51" priority="80" operator="greaterThan">
      <formula>0</formula>
    </cfRule>
  </conditionalFormatting>
  <conditionalFormatting sqref="F12:G12">
    <cfRule type="cellIs" dxfId="50" priority="71" operator="greaterThan">
      <formula>0</formula>
    </cfRule>
  </conditionalFormatting>
  <conditionalFormatting sqref="F14:G14">
    <cfRule type="cellIs" dxfId="49" priority="62" operator="greaterThan">
      <formula>0</formula>
    </cfRule>
  </conditionalFormatting>
  <conditionalFormatting sqref="F16:G16">
    <cfRule type="cellIs" dxfId="48" priority="53" operator="greaterThan">
      <formula>0</formula>
    </cfRule>
  </conditionalFormatting>
  <conditionalFormatting sqref="F18:G18">
    <cfRule type="cellIs" dxfId="47" priority="44" operator="greaterThan">
      <formula>0</formula>
    </cfRule>
  </conditionalFormatting>
  <conditionalFormatting sqref="F20:G20">
    <cfRule type="cellIs" dxfId="46" priority="35" operator="greaterThan">
      <formula>0</formula>
    </cfRule>
  </conditionalFormatting>
  <conditionalFormatting sqref="F22:G22">
    <cfRule type="cellIs" dxfId="45" priority="26" operator="greaterThan">
      <formula>0</formula>
    </cfRule>
  </conditionalFormatting>
  <conditionalFormatting sqref="F24:G24">
    <cfRule type="cellIs" dxfId="44" priority="17" operator="greaterThan">
      <formula>0</formula>
    </cfRule>
  </conditionalFormatting>
  <conditionalFormatting sqref="G6">
    <cfRule type="cellIs" dxfId="43" priority="95" operator="greaterThan">
      <formula>0</formula>
    </cfRule>
    <cfRule type="cellIs" dxfId="42" priority="94" operator="greaterThan">
      <formula>0</formula>
    </cfRule>
    <cfRule type="cellIs" dxfId="41" priority="92" operator="greaterThan">
      <formula>0</formula>
    </cfRule>
  </conditionalFormatting>
  <conditionalFormatting sqref="G8">
    <cfRule type="cellIs" dxfId="40" priority="86" operator="greaterThan">
      <formula>0</formula>
    </cfRule>
    <cfRule type="cellIs" dxfId="39" priority="85" operator="greaterThan">
      <formula>0</formula>
    </cfRule>
    <cfRule type="cellIs" dxfId="38" priority="83" operator="greaterThan">
      <formula>0</formula>
    </cfRule>
  </conditionalFormatting>
  <conditionalFormatting sqref="G10">
    <cfRule type="cellIs" dxfId="37" priority="77" operator="greaterThan">
      <formula>0</formula>
    </cfRule>
    <cfRule type="cellIs" dxfId="36" priority="76" operator="greaterThan">
      <formula>0</formula>
    </cfRule>
    <cfRule type="cellIs" dxfId="35" priority="74" operator="greaterThan">
      <formula>0</formula>
    </cfRule>
  </conditionalFormatting>
  <conditionalFormatting sqref="G12">
    <cfRule type="cellIs" dxfId="34" priority="67" operator="greaterThan">
      <formula>0</formula>
    </cfRule>
    <cfRule type="cellIs" dxfId="33" priority="68" operator="greaterThan">
      <formula>0</formula>
    </cfRule>
    <cfRule type="cellIs" dxfId="32" priority="65" operator="greaterThan">
      <formula>0</formula>
    </cfRule>
  </conditionalFormatting>
  <conditionalFormatting sqref="G14">
    <cfRule type="cellIs" dxfId="31" priority="59" operator="greaterThan">
      <formula>0</formula>
    </cfRule>
    <cfRule type="cellIs" dxfId="30" priority="58" operator="greaterThan">
      <formula>0</formula>
    </cfRule>
    <cfRule type="cellIs" dxfId="29" priority="56" operator="greaterThan">
      <formula>0</formula>
    </cfRule>
  </conditionalFormatting>
  <conditionalFormatting sqref="G16">
    <cfRule type="cellIs" dxfId="28" priority="50" operator="greaterThan">
      <formula>0</formula>
    </cfRule>
    <cfRule type="cellIs" dxfId="27" priority="49" operator="greaterThan">
      <formula>0</formula>
    </cfRule>
    <cfRule type="cellIs" dxfId="26" priority="47" operator="greaterThan">
      <formula>0</formula>
    </cfRule>
  </conditionalFormatting>
  <conditionalFormatting sqref="G18">
    <cfRule type="cellIs" dxfId="25" priority="40" operator="greaterThan">
      <formula>0</formula>
    </cfRule>
    <cfRule type="cellIs" dxfId="24" priority="38" operator="greaterThan">
      <formula>0</formula>
    </cfRule>
    <cfRule type="cellIs" dxfId="23" priority="41" operator="greaterThan">
      <formula>0</formula>
    </cfRule>
  </conditionalFormatting>
  <conditionalFormatting sqref="G20">
    <cfRule type="cellIs" dxfId="22" priority="32" operator="greaterThan">
      <formula>0</formula>
    </cfRule>
    <cfRule type="cellIs" dxfId="21" priority="31" operator="greaterThan">
      <formula>0</formula>
    </cfRule>
    <cfRule type="cellIs" dxfId="20" priority="29" operator="greaterThan">
      <formula>0</formula>
    </cfRule>
  </conditionalFormatting>
  <conditionalFormatting sqref="G22">
    <cfRule type="cellIs" dxfId="19" priority="23" operator="greaterThan">
      <formula>0</formula>
    </cfRule>
    <cfRule type="cellIs" dxfId="18" priority="22" operator="greaterThan">
      <formula>0</formula>
    </cfRule>
    <cfRule type="cellIs" dxfId="17" priority="20" operator="greaterThan">
      <formula>0</formula>
    </cfRule>
  </conditionalFormatting>
  <conditionalFormatting sqref="G24">
    <cfRule type="cellIs" dxfId="16" priority="14" operator="greaterThan">
      <formula>0</formula>
    </cfRule>
    <cfRule type="cellIs" dxfId="15" priority="13" operator="greaterThan">
      <formula>0</formula>
    </cfRule>
    <cfRule type="cellIs" dxfId="14" priority="11" operator="greaterThan">
      <formula>0</formula>
    </cfRule>
  </conditionalFormatting>
  <conditionalFormatting sqref="V30">
    <cfRule type="cellIs" dxfId="13" priority="578" operator="greaterThan">
      <formula>" € - "</formula>
    </cfRule>
    <cfRule type="cellIs" dxfId="12" priority="575" operator="greaterThan">
      <formula>" € - "</formula>
    </cfRule>
    <cfRule type="cellIs" dxfId="11" priority="574" operator="greaterThan">
      <formula>0</formula>
    </cfRule>
    <cfRule type="cellIs" dxfId="10" priority="572" operator="greaterThan">
      <formula>0</formula>
    </cfRule>
    <cfRule type="cellIs" dxfId="9" priority="571" operator="greaterThan">
      <formula>0</formula>
    </cfRule>
    <cfRule type="cellIs" dxfId="8" priority="570" operator="greaterThan">
      <formula>0</formula>
    </cfRule>
    <cfRule type="cellIs" dxfId="7" priority="568" operator="greaterThan">
      <formula>0</formula>
    </cfRule>
  </conditionalFormatting>
  <conditionalFormatting sqref="V74">
    <cfRule type="cellIs" dxfId="6" priority="459" operator="greaterThan">
      <formula>" € - "</formula>
    </cfRule>
    <cfRule type="cellIs" dxfId="5" priority="456" operator="greaterThan">
      <formula>0</formula>
    </cfRule>
    <cfRule type="cellIs" dxfId="4" priority="458" operator="greaterThan">
      <formula>0</formula>
    </cfRule>
    <cfRule type="cellIs" dxfId="3" priority="452" operator="greaterThan">
      <formula>0</formula>
    </cfRule>
    <cfRule type="cellIs" dxfId="2" priority="454" operator="greaterThan">
      <formula>0</formula>
    </cfRule>
    <cfRule type="cellIs" dxfId="1" priority="455" operator="greaterThan">
      <formula>0</formula>
    </cfRule>
    <cfRule type="cellIs" dxfId="0" priority="462" operator="greaterThan">
      <formula>" € - "</formula>
    </cfRule>
  </conditionalFormatting>
  <dataValidations xWindow="856" yWindow="417" count="22">
    <dataValidation type="decimal" operator="lessThanOrEqual" allowBlank="1" showInputMessage="1" showErrorMessage="1" errorTitle="Fout teken" error="U hebt een positief bedrag ingevuld" promptTitle="Investeringen materiele activa" prompt="Voer voor de omvang van de investeringen in (im-)materiele activa inclusief bijdragen aan activa van derden van het begrotingsjaar 2025 een negatief bedrag in. " sqref="C6" xr:uid="{00000000-0002-0000-0200-000000000000}">
      <formula1>0</formula1>
    </dataValidation>
    <dataValidation type="whole" operator="greaterThanOrEqual" allowBlank="1" showInputMessage="1" showErrorMessage="1" promptTitle="Verkoop (im-)materiele activa" prompt="Voer voor de omvang van de bruto verkoopopbrengst uit de verkoop van (im-)materiele activa in het begrotingsjaar 2025 een positief bedrag in. Vul pas erna de boekwinst of het boekverlies in op het blad Balansprognose." sqref="C7" xr:uid="{00000000-0002-0000-0200-000001000000}">
      <formula1>0</formula1>
    </dataValidation>
    <dataValidation type="whole" operator="lessThanOrEqual" allowBlank="1" showInputMessage="1" showErrorMessage="1" errorTitle="Fout teken" error="U hebt een positief bedrag ingevuld" promptTitle="Nieuwe kapitaalverstrekkingen" prompt="Voer het bedrag (negatief) in voor de nieuwe kapitaalverstrekkingen aan verbonden partijen en aan derden in het begrotingsjaar 2017." sqref="H6" xr:uid="{00000000-0002-0000-0200-000002000000}">
      <formula1>0</formula1>
    </dataValidation>
    <dataValidation type="whole" operator="greaterThanOrEqual" allowBlank="1" showInputMessage="1" showErrorMessage="1" errorTitle="Fout teken" error="U hebt een negatief bedrag ingevuld. Een boekverlies vult u in op het blad Balansprognose " promptTitle="Verkoop deelnemingen" prompt="Voer het bedrag (positief) in voor de bruto opbrengst uit de verkoop of liquidatie van deelnemingen in het begrotingsjaar 2017. Vul pas er na de boekwinst of het boekverlies in op het blad Balansprognose. " sqref="H7" xr:uid="{00000000-0002-0000-0200-000003000000}">
      <formula1>0</formula1>
    </dataValidation>
    <dataValidation operator="lessThanOrEqual" allowBlank="1" showInputMessage="1" showErrorMessage="1" errorTitle="Fout teken" error="U hebt een positief bedrag ingevuld " promptTitle="Investeringen bouwgrond" prompt="Voer het bedrag (negatief) in voor de investeringen in de aankoop van grond (niet in exploitatie). Vul pas er na op het blad Balansprognose de afname van niet in exploitatie genomen (bouw-)grond door overboeking naar onderhanden werk._x000a_ " sqref="D10 D8" xr:uid="{00000000-0002-0000-0200-000004000000}"/>
    <dataValidation type="whole" operator="greaterThanOrEqual" allowBlank="1" showInputMessage="1" showErrorMessage="1" errorTitle="Fout teken" error="U hebt een negatiefg bedrag ingevuld" promptTitle="Opbrengst bouwgrondexploitatie " prompt="Vul een positief bedrag in voor de verwachte overboeking in 2025 van niet in exploitatie genomen grond naar onderhanden werk (exclusief de waardestijging). Vul erna op het blad Balansprognose linksonder de waardestijging bij deze overboeking in. " sqref="D7" xr:uid="{00000000-0002-0000-0200-000013000000}">
      <formula1>0</formula1>
    </dataValidation>
    <dataValidation type="whole" operator="greaterThanOrEqual" allowBlank="1" showInputMessage="1" showErrorMessage="1" errorTitle="Foutieve invoer" error="U hebt een negatief bedrag ingevuld. Een boekverlies vult u in op het blad Balansprognose." promptTitle="Verkoop deelnemingen" prompt="Vul voor de bruto opbrengst uit de verkoop of liquidatie van deelnemingen in 2025 een positief bedrag in. Vul erna de boekwinst of het boekverlies in op het blad Balansprognose. " sqref="G7" xr:uid="{00000000-0002-0000-0200-000014000000}">
      <formula1>0</formula1>
    </dataValidation>
    <dataValidation type="decimal" operator="lessThanOrEqual" allowBlank="1" showInputMessage="1" showErrorMessage="1" errorTitle="Fout teken" error="U hebt een positief bedrag ingevuld " promptTitle="Investeringen aankoop bouwgrond" prompt="Vul een negatief bedrag in voor de aankoop van strategische gronden / bouwgronden in 2025." sqref="D6" xr:uid="{00000000-0002-0000-0200-000015000000}">
      <formula1>0</formula1>
    </dataValidation>
    <dataValidation operator="lessThanOrEqual" allowBlank="1" showInputMessage="1" promptTitle="Investeringen in kapitaal" prompt="Vul voor de investeringen in 2025 in kapitaalverstrekkingen aan deelnemingen een negatief bedrag in." sqref="G6" xr:uid="{00000000-0002-0000-0200-000016000000}"/>
    <dataValidation operator="greaterThanOrEqual" allowBlank="1" showInputMessage="1" showErrorMessage="1" promptTitle="Aflossing uitgezette leningen" prompt="Vul voor de aflossingen op leningen aan verbonden partijen in 2025 een positief bedrag in. Vul erna op het blad Balansprognose de verstrekking van nieuwe leningen aan verbonden partijen in." sqref="C30" xr:uid="{00000000-0002-0000-0200-000017000000}"/>
    <dataValidation operator="greaterThanOrEqual" allowBlank="1" showInputMessage="1" showErrorMessage="1" promptTitle="Aflossing uitgezette leningen" prompt="Vul voor de aflossingen op de verstrekte leningen aan derden in 2025 een positief bedrag in. Vul erna op het blad Balansprognose de verstrekking van nieuwe leningen aan derden in. " sqref="D30" xr:uid="{00000000-0002-0000-0200-000018000000}"/>
    <dataValidation operator="greaterThanOrEqual" allowBlank="1" showInputMessage="1" showErrorMessage="1" promptTitle="Vrijval lanlopende uitzettingen" prompt="Vul voor de langlopende uitzettingen die in 2025 vrijvallen een positief bedrag in. Vul erna op het blad Balansprognose het bedrag van de nieuwe langlopende uitzettingen in.  " sqref="E30" xr:uid="{00000000-0002-0000-0200-000019000000}"/>
    <dataValidation allowBlank="1" showInputMessage="1" showErrorMessage="1" promptTitle="Mutatie vorderingen" prompt="Vul het bedrag in waarmee de vorderingen in 2025 muteren. Vul voor een afname een posief bedrag in. Vul voor een toename van de vorderingen een negatief bedrag in." sqref="F30" xr:uid="{00000000-0002-0000-0200-00001A000000}"/>
    <dataValidation allowBlank="1" showInputMessage="1" showErrorMessage="1" promptTitle="Mutatie liquide middelen" prompt="Vul het bedrag in waarmee de omvang van de kortlopende uitzettingen en liquide middelen in 2025 muteren. Vul bij een afname een positief bedrag in. Vul bij een toename een negatief bedrag in. " sqref="G30" xr:uid="{00000000-0002-0000-0200-00001B000000}"/>
    <dataValidation allowBlank="1" showInputMessage="1" showErrorMessage="1" promptTitle="Mutatie overlopende activa" prompt="Vul het bedrag in waarmee de overlopende activa in 2025 muteren. Vul voor een afname een positief bedrag in. Vul voor een toename een negatief bedrag in." sqref="H30" xr:uid="{00000000-0002-0000-0200-00001C000000}"/>
    <dataValidation allowBlank="1" showInputMessage="1" showErrorMessage="1" promptTitle="Mutatie kortlopende schulden" prompt="Vul het bedrag in waarmee de kortlopende schulden inclusief rekeningcourant kredieten in 2025 muteren. Vul voor een toename een positief bedrag in. Voer voor een afname een negatief bedrag in.  " sqref="K30" xr:uid="{00000000-0002-0000-0200-00001D000000}"/>
    <dataValidation allowBlank="1" showInputMessage="1" showErrorMessage="1" promptTitle="Mutatie crediteuren" prompt="Vul het bedrag in waarmee de post crediteuren in 2025 muteert. Vul bij een toename een positief bedrag in. Vul bij een afname een negatief bedrag in.   " sqref="L30" xr:uid="{00000000-0002-0000-0200-00001E000000}"/>
    <dataValidation allowBlank="1" showInputMessage="1" showErrorMessage="1" promptTitle="Mutatie overlopende passiva" prompt="Vul het bedrag in waarmee de overlopende passiva in 2025 muteren. Vul bij een toename een positief bedrag in. Vul bij een afname een negatief bedrag in." sqref="M30" xr:uid="{00000000-0002-0000-0200-00001F000000}"/>
    <dataValidation allowBlank="1" showInputMessage="1" showErrorMessage="1" promptTitle="Investeringen onderhanden werk" prompt="Vul voor de investeringen in onderhanden werk bouwgrondexploitatie in 2025 een negatief bedrag in." sqref="E6" xr:uid="{00000000-0002-0000-0200-000020000000}"/>
    <dataValidation allowBlank="1" showInputMessage="1" showErrorMessage="1" promptTitle="Opbrengst bouwgrondexploitatie" prompt="Vul voor de bruto opbrengsten uit de bouwgrondexploitatie in 2025 een positief bedrag in. Vul erna op het blad Balansprognose de afname van de voorraad onderhanden werk bouwgrondexploitatie in." sqref="E7" xr:uid="{00000000-0002-0000-0200-000021000000}"/>
    <dataValidation allowBlank="1" showInputMessage="1" showErrorMessage="1" promptTitle="Investeringen nieuwe voorraden" prompt="Vul voor de uitgaven in 2025 voor het aanvullen van de overige voorraden een negatief bedrag in." sqref="F6" xr:uid="{00000000-0002-0000-0200-000022000000}"/>
    <dataValidation allowBlank="1" showInputMessage="1" showErrorMessage="1" promptTitle="Afname voorraden" prompt="Vul voor het verbruik van de overige voorraden in 2025 een positief bedrag in." sqref="F7" xr:uid="{00000000-0002-0000-0200-000023000000}"/>
  </dataValidations>
  <pageMargins left="0.7" right="0.7" top="0.75" bottom="0.75" header="0.3" footer="0.3"/>
  <pageSetup paperSize="9" orientation="portrait"/>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dimension ref="A1:W93"/>
  <sheetViews>
    <sheetView showGridLines="0" topLeftCell="C1" zoomScale="80" zoomScaleNormal="80" workbookViewId="0">
      <selection activeCell="C18" sqref="C18"/>
    </sheetView>
  </sheetViews>
  <sheetFormatPr defaultColWidth="9.08984375" defaultRowHeight="12.5" x14ac:dyDescent="0.25"/>
  <cols>
    <col min="1" max="1" width="3" style="12" customWidth="1"/>
    <col min="2" max="2" width="99.6328125" style="174" bestFit="1" customWidth="1"/>
    <col min="3" max="3" width="17.90625" style="3" bestFit="1" customWidth="1"/>
    <col min="4" max="4" width="9.08984375" style="3" customWidth="1"/>
    <col min="5" max="5" width="3.453125" style="12" customWidth="1"/>
    <col min="6" max="6" width="125.90625" style="174" bestFit="1" customWidth="1"/>
    <col min="7" max="7" width="20.6328125" style="3" customWidth="1"/>
    <col min="8" max="8" width="18.6328125" style="3" hidden="1" customWidth="1"/>
    <col min="9" max="9" width="39.36328125" style="3" hidden="1" customWidth="1"/>
    <col min="10" max="10" width="18.6328125" style="3" hidden="1" customWidth="1"/>
    <col min="11" max="11" width="25" style="3" hidden="1" customWidth="1"/>
    <col min="12" max="12" width="40.6328125" style="3" hidden="1" customWidth="1"/>
    <col min="13" max="13" width="18.6328125" style="3" hidden="1" customWidth="1"/>
    <col min="14" max="14" width="23.453125" style="3" hidden="1" customWidth="1"/>
    <col min="15" max="15" width="18.6328125" style="3" customWidth="1"/>
    <col min="16" max="16" width="45.90625" style="3" customWidth="1"/>
    <col min="17" max="17" width="13.36328125" style="3" customWidth="1"/>
    <col min="18" max="18" width="37.6328125" style="3" customWidth="1"/>
    <col min="19" max="21" width="9.08984375" style="3" customWidth="1"/>
    <col min="22" max="22" width="14.453125" style="3" bestFit="1" customWidth="1"/>
    <col min="23" max="23" width="12.6328125" style="3" bestFit="1" customWidth="1"/>
    <col min="24" max="26" width="9.08984375" style="3" customWidth="1"/>
    <col min="27" max="16384" width="9.08984375" style="3"/>
  </cols>
  <sheetData>
    <row r="1" spans="1:23" ht="15.9" customHeight="1" x14ac:dyDescent="0.3">
      <c r="A1" s="298" t="s">
        <v>74</v>
      </c>
      <c r="B1" s="298"/>
      <c r="C1" s="1">
        <f>Macrogegevens!C2</f>
        <v>2025</v>
      </c>
      <c r="D1" s="1"/>
      <c r="E1" s="296" t="s">
        <v>75</v>
      </c>
      <c r="F1" s="296"/>
      <c r="G1" s="1">
        <f>Macrogegevens!C2</f>
        <v>2025</v>
      </c>
      <c r="H1" s="2"/>
      <c r="I1" s="2" t="s">
        <v>0</v>
      </c>
      <c r="L1" s="2" t="s">
        <v>27</v>
      </c>
      <c r="P1" s="38" t="s">
        <v>511</v>
      </c>
      <c r="Q1" s="112"/>
      <c r="R1" s="5"/>
      <c r="S1" s="5"/>
    </row>
    <row r="2" spans="1:23" ht="15.9" customHeight="1" x14ac:dyDescent="0.3">
      <c r="A2" s="43" t="s">
        <v>4</v>
      </c>
      <c r="B2" s="38" t="s">
        <v>962</v>
      </c>
      <c r="C2" s="4">
        <f>SUM(1,SUM(J3,J10,J6),0.19%)</f>
        <v>1.0435480118718505</v>
      </c>
      <c r="D2" s="5"/>
      <c r="E2" s="43" t="s">
        <v>4</v>
      </c>
      <c r="F2" s="38" t="s">
        <v>968</v>
      </c>
      <c r="G2" s="27">
        <f>SUM(1,J4,J6)</f>
        <v>1.0446699492688749</v>
      </c>
      <c r="I2" s="3" t="s">
        <v>1</v>
      </c>
      <c r="J2" s="7">
        <f>Macrogegevens!C4</f>
        <v>2.3E-2</v>
      </c>
      <c r="L2" s="3" t="s">
        <v>710</v>
      </c>
      <c r="M2" s="14">
        <f>Macrogegevens!C21</f>
        <v>0.2</v>
      </c>
      <c r="N2" s="14">
        <f>SUM(1,-M2)</f>
        <v>0.8</v>
      </c>
      <c r="P2" s="113" t="s">
        <v>792</v>
      </c>
      <c r="Q2" s="4">
        <f>SUM(C3,C4,C15,C35,C36,C46,C47,C48)/C74</f>
        <v>0.68885754290264989</v>
      </c>
      <c r="R2" s="5" t="s">
        <v>61</v>
      </c>
      <c r="S2" s="116">
        <f>C3/C74</f>
        <v>0.54479266191618825</v>
      </c>
      <c r="U2" s="151" t="s">
        <v>19</v>
      </c>
      <c r="V2" s="151" t="s">
        <v>769</v>
      </c>
      <c r="W2" s="151" t="s">
        <v>771</v>
      </c>
    </row>
    <row r="3" spans="1:23" ht="15.9" customHeight="1" x14ac:dyDescent="0.25">
      <c r="A3" s="165">
        <v>1</v>
      </c>
      <c r="B3" s="170" t="s">
        <v>61</v>
      </c>
      <c r="C3" s="10">
        <f>VLOOKUP(Macrogegevens!$A$2,Inkomsten!B2:L357,3,0)</f>
        <v>104666111</v>
      </c>
      <c r="D3" s="5"/>
      <c r="E3" s="165">
        <v>1</v>
      </c>
      <c r="F3" s="170" t="s">
        <v>639</v>
      </c>
      <c r="G3" s="10">
        <f>VLOOKUP('Financiele conditie'!B2,Uitgaven!B2:T357,6,0)*1000</f>
        <v>25157000</v>
      </c>
      <c r="I3" s="3" t="s">
        <v>489</v>
      </c>
      <c r="J3" s="7">
        <f>SUM(Macrogegevens!C6,-J5)</f>
        <v>9.9780626029756271E-3</v>
      </c>
      <c r="L3" s="3" t="s">
        <v>711</v>
      </c>
      <c r="M3" s="14">
        <f>Macrogegevens!C22</f>
        <v>0.11</v>
      </c>
      <c r="N3" s="14">
        <f>SUM(1,-M3)</f>
        <v>0.89</v>
      </c>
      <c r="P3" s="90" t="s">
        <v>793</v>
      </c>
      <c r="Q3" s="4">
        <f>SUM(C25,C54)/C74</f>
        <v>6.5901176862498106E-2</v>
      </c>
      <c r="R3" s="90" t="s">
        <v>496</v>
      </c>
      <c r="S3" s="116">
        <f>C35/C74</f>
        <v>0.10571462776063002</v>
      </c>
      <c r="U3" s="151">
        <v>2025</v>
      </c>
      <c r="V3" s="157">
        <v>0</v>
      </c>
      <c r="W3" s="157">
        <v>0</v>
      </c>
    </row>
    <row r="4" spans="1:23" ht="15.9" customHeight="1" x14ac:dyDescent="0.4">
      <c r="A4" s="165">
        <v>2</v>
      </c>
      <c r="B4" s="170" t="s">
        <v>833</v>
      </c>
      <c r="C4" s="57">
        <f>VLOOKUP(Macrogegevens!$A$2,Inkomsten!B2:L357,7,0)</f>
        <v>860920</v>
      </c>
      <c r="D4" s="5"/>
      <c r="E4" s="165">
        <v>2</v>
      </c>
      <c r="F4" s="170" t="s">
        <v>640</v>
      </c>
      <c r="G4" s="10">
        <f>VLOOKUP('Financiele conditie'!B2,Uitgaven!B2:R357,13,0)*1000</f>
        <v>38695000</v>
      </c>
      <c r="I4" s="3" t="s">
        <v>2</v>
      </c>
      <c r="J4" s="7">
        <f>Macrogegevens!C7</f>
        <v>3.9E-2</v>
      </c>
      <c r="M4" s="14"/>
      <c r="N4" s="14"/>
      <c r="P4" s="90" t="s">
        <v>794</v>
      </c>
      <c r="Q4" s="4">
        <f>C10/C74</f>
        <v>3.8293575403001233E-2</v>
      </c>
      <c r="R4" s="90" t="s">
        <v>497</v>
      </c>
      <c r="S4" s="116">
        <f>SUM(C4,C15,C36,C46,C47,C48)/C74</f>
        <v>3.8350253225831639E-2</v>
      </c>
      <c r="U4" s="151">
        <v>2026</v>
      </c>
      <c r="V4" s="157">
        <v>0</v>
      </c>
      <c r="W4" s="157">
        <v>0</v>
      </c>
    </row>
    <row r="5" spans="1:23" ht="15.9" customHeight="1" x14ac:dyDescent="0.25">
      <c r="A5" s="165">
        <v>3</v>
      </c>
      <c r="B5" s="171"/>
      <c r="C5" s="10"/>
      <c r="D5" s="5"/>
      <c r="E5" s="165">
        <v>3</v>
      </c>
      <c r="F5" s="171"/>
      <c r="G5" s="10">
        <v>0</v>
      </c>
      <c r="I5" s="3" t="s">
        <v>56</v>
      </c>
      <c r="J5" s="7">
        <f>Macrogegevens!C11</f>
        <v>4.0219373970243714E-3</v>
      </c>
      <c r="L5" s="3" t="s">
        <v>765</v>
      </c>
      <c r="M5" s="14">
        <f>Macrogegevens!C23</f>
        <v>0.01</v>
      </c>
      <c r="N5" s="14">
        <f>SUM(1,M24)</f>
        <v>1.0087703770109251</v>
      </c>
      <c r="P5" s="90" t="s">
        <v>795</v>
      </c>
      <c r="Q5" s="4">
        <f>C11/C74</f>
        <v>3.8959822195387281E-2</v>
      </c>
      <c r="U5" s="151">
        <v>2027</v>
      </c>
      <c r="V5" s="157">
        <v>0</v>
      </c>
      <c r="W5" s="157">
        <v>0</v>
      </c>
    </row>
    <row r="6" spans="1:23" ht="15.9" customHeight="1" x14ac:dyDescent="0.25">
      <c r="A6" s="165"/>
      <c r="B6" s="170"/>
      <c r="C6" s="8"/>
      <c r="D6" s="5"/>
      <c r="E6" s="165">
        <v>4</v>
      </c>
      <c r="F6" s="171"/>
      <c r="G6" s="24">
        <v>0</v>
      </c>
      <c r="I6" s="3" t="s">
        <v>57</v>
      </c>
      <c r="J6" s="7">
        <f>Macrogegevens!C12</f>
        <v>5.6699492688749627E-3</v>
      </c>
      <c r="L6" s="3" t="s">
        <v>766</v>
      </c>
      <c r="M6" s="14">
        <f>Macrogegevens!C24</f>
        <v>0.01</v>
      </c>
      <c r="N6" s="14">
        <f>SUM(1,M25)</f>
        <v>1.0087703770109251</v>
      </c>
      <c r="P6" s="90" t="s">
        <v>796</v>
      </c>
      <c r="Q6" s="4">
        <f>C71/C74</f>
        <v>9.7516669182442312E-2</v>
      </c>
      <c r="R6" s="90"/>
      <c r="S6" s="4"/>
      <c r="U6" s="151">
        <v>2028</v>
      </c>
      <c r="V6" s="157">
        <v>0</v>
      </c>
      <c r="W6" s="157">
        <v>0</v>
      </c>
    </row>
    <row r="7" spans="1:23" ht="15.9" customHeight="1" x14ac:dyDescent="0.25">
      <c r="A7" s="165"/>
      <c r="B7" s="170" t="s">
        <v>7</v>
      </c>
      <c r="C7" s="8">
        <f>SUM(C3:C5)</f>
        <v>105527031</v>
      </c>
      <c r="D7" s="5"/>
      <c r="E7" s="165"/>
      <c r="F7" s="170"/>
      <c r="G7" s="5"/>
      <c r="I7" s="3" t="s">
        <v>22</v>
      </c>
      <c r="J7" s="7">
        <f>Macrogegevens!C16</f>
        <v>3.6000000000000004E-2</v>
      </c>
      <c r="M7" s="14"/>
      <c r="N7" s="6"/>
      <c r="P7" s="90" t="s">
        <v>797</v>
      </c>
      <c r="Q7" s="4">
        <f>SUM(C14,C18,C26,C55)/C74</f>
        <v>2.1236616507305291E-3</v>
      </c>
      <c r="R7" s="90"/>
      <c r="S7" s="90"/>
      <c r="U7" s="151">
        <v>2029</v>
      </c>
      <c r="V7" s="157">
        <v>0</v>
      </c>
      <c r="W7" s="157">
        <v>0</v>
      </c>
    </row>
    <row r="8" spans="1:23" ht="15.9" customHeight="1" x14ac:dyDescent="0.25">
      <c r="B8" s="170"/>
      <c r="C8" s="8"/>
      <c r="D8" s="5"/>
      <c r="E8" s="165"/>
      <c r="F8" s="170" t="s">
        <v>7</v>
      </c>
      <c r="G8" s="8">
        <f>SUM(G3:G6)</f>
        <v>63852000</v>
      </c>
      <c r="I8" s="5" t="s">
        <v>590</v>
      </c>
      <c r="J8" s="7">
        <f>Macrogegevens!C8</f>
        <v>2.2000000000000002E-2</v>
      </c>
      <c r="L8" s="3" t="s">
        <v>781</v>
      </c>
      <c r="M8" s="7">
        <f>Macrogegevens!C35</f>
        <v>5.0200000000000002E-2</v>
      </c>
      <c r="P8" s="90" t="s">
        <v>798</v>
      </c>
      <c r="Q8" s="4">
        <f>SUM(C12,C43,C44,C45)/C74</f>
        <v>2.0174785681940026E-2</v>
      </c>
      <c r="R8" s="90"/>
      <c r="S8" s="90"/>
      <c r="U8" s="151">
        <v>2030</v>
      </c>
      <c r="V8" s="157">
        <v>0</v>
      </c>
      <c r="W8" s="157">
        <v>0</v>
      </c>
    </row>
    <row r="9" spans="1:23" ht="15.9" customHeight="1" x14ac:dyDescent="0.3">
      <c r="A9" s="43" t="s">
        <v>5</v>
      </c>
      <c r="B9" s="38" t="s">
        <v>963</v>
      </c>
      <c r="C9" s="4">
        <f>SUM(1,(0.5*J8),(0.5*J4),J6)</f>
        <v>1.036169949268875</v>
      </c>
      <c r="D9" s="5"/>
      <c r="E9" s="165"/>
      <c r="F9" s="170"/>
      <c r="G9" s="5"/>
      <c r="I9" s="3" t="s">
        <v>656</v>
      </c>
      <c r="J9" s="7">
        <f>Macrogegevens!C13</f>
        <v>3.7999999999999999E-2</v>
      </c>
      <c r="L9" s="3" t="s">
        <v>707</v>
      </c>
      <c r="M9" s="14">
        <f>Macrogegevens!C30</f>
        <v>5.0000000000000001E-3</v>
      </c>
      <c r="P9" s="5" t="s">
        <v>799</v>
      </c>
      <c r="Q9" s="4">
        <f>SUM(C27,C70)/C74</f>
        <v>1.9646560240681654E-3</v>
      </c>
      <c r="R9" s="90"/>
      <c r="S9" s="90"/>
      <c r="U9" s="151">
        <v>2031</v>
      </c>
      <c r="V9" s="157">
        <v>0</v>
      </c>
      <c r="W9" s="157">
        <v>0</v>
      </c>
    </row>
    <row r="10" spans="1:23" ht="15.9" customHeight="1" x14ac:dyDescent="0.4">
      <c r="A10" s="166">
        <v>4</v>
      </c>
      <c r="B10" s="172" t="s">
        <v>64</v>
      </c>
      <c r="C10" s="57">
        <f>VLOOKUP(Macrogegevens!$A$2,'Data belastingen 2025'!$B$2:$O$357,9,0)*1000</f>
        <v>7357000</v>
      </c>
      <c r="D10" s="5"/>
      <c r="E10" s="43" t="s">
        <v>5</v>
      </c>
      <c r="F10" s="38" t="s">
        <v>969</v>
      </c>
      <c r="G10" s="27">
        <f>SUM(1,J2,J6,SUM(J9,-J5))</f>
        <v>1.0626480118718504</v>
      </c>
      <c r="I10" s="3" t="s">
        <v>570</v>
      </c>
      <c r="J10" s="7">
        <f>Macrogegevens!C5</f>
        <v>2.6000000000000002E-2</v>
      </c>
      <c r="K10" s="81" t="s">
        <v>453</v>
      </c>
      <c r="L10" s="3" t="s">
        <v>708</v>
      </c>
      <c r="M10" s="14">
        <f>Macrogegevens!C31</f>
        <v>0.01</v>
      </c>
      <c r="N10" s="26"/>
      <c r="P10" s="3" t="s">
        <v>800</v>
      </c>
      <c r="Q10" s="14">
        <f>SUM(1,-Q2,-Q3,-Q4,-Q5,-Q6,-Q7,-Q8,-Q9)</f>
        <v>4.6208110097282443E-2</v>
      </c>
      <c r="U10" s="151">
        <v>2032</v>
      </c>
      <c r="V10" s="157">
        <v>0</v>
      </c>
      <c r="W10" s="157">
        <v>0</v>
      </c>
    </row>
    <row r="11" spans="1:23" s="21" customFormat="1" ht="15.9" customHeight="1" x14ac:dyDescent="0.4">
      <c r="A11" s="166">
        <v>5</v>
      </c>
      <c r="B11" s="172" t="s">
        <v>63</v>
      </c>
      <c r="C11" s="57">
        <f>VLOOKUP(Macrogegevens!$A$2,'Data belastingen 2025'!$B$2:$O$357,10,0)*1000</f>
        <v>7485000</v>
      </c>
      <c r="D11" s="23"/>
      <c r="E11" s="165">
        <v>5</v>
      </c>
      <c r="F11" s="170" t="s">
        <v>884</v>
      </c>
      <c r="G11" s="10">
        <f>VLOOKUP('Financiele conditie'!B2,Uitgaven!B2:R357,15,0)*1000</f>
        <v>26827000</v>
      </c>
      <c r="I11" s="21" t="s">
        <v>77</v>
      </c>
      <c r="J11" s="26">
        <f>IF(Macrogegevens!C18="Hoog",85%,K11)</f>
        <v>0.72499999999999998</v>
      </c>
      <c r="K11" s="82">
        <f>IF(Macrogegevens!C18="Midden",72.5%,60%)</f>
        <v>0.72499999999999998</v>
      </c>
      <c r="L11" s="21" t="s">
        <v>709</v>
      </c>
      <c r="M11" s="26">
        <f>Macrogegevens!C32</f>
        <v>1.4999999999999999E-2</v>
      </c>
      <c r="N11" s="26"/>
      <c r="U11" s="270">
        <v>2033</v>
      </c>
      <c r="V11" s="271">
        <v>0</v>
      </c>
      <c r="W11" s="157">
        <v>0</v>
      </c>
    </row>
    <row r="12" spans="1:23" s="21" customFormat="1" ht="15.9" customHeight="1" x14ac:dyDescent="0.4">
      <c r="A12" s="167">
        <v>6</v>
      </c>
      <c r="B12" s="172" t="s">
        <v>634</v>
      </c>
      <c r="C12" s="57">
        <f>VLOOKUP(Macrogegevens!$A$2,'Data belastingen 2025'!$B$2:$O$357,12,0)*1000</f>
        <v>690000</v>
      </c>
      <c r="D12" s="23"/>
      <c r="E12" s="165">
        <v>6</v>
      </c>
      <c r="F12" s="170" t="s">
        <v>961</v>
      </c>
      <c r="G12" s="10">
        <f>VLOOKUP('Financiele conditie'!B2,Uitgaven!B2:R345,14,0)*1000</f>
        <v>21403000</v>
      </c>
      <c r="I12" s="21" t="s">
        <v>444</v>
      </c>
      <c r="J12" s="98">
        <f>SUM(VLOOKUP(Macrogegevens!$A$2,'Data belastingen 2025'!$B$2:$T$347,19,0))</f>
        <v>1633533.8222111333</v>
      </c>
      <c r="L12" s="21" t="s">
        <v>47</v>
      </c>
      <c r="M12" s="25">
        <f>Macrogegevens!C36</f>
        <v>1</v>
      </c>
      <c r="U12" s="270"/>
      <c r="V12" s="270"/>
      <c r="W12" s="270"/>
    </row>
    <row r="13" spans="1:23" s="21" customFormat="1" ht="15.9" customHeight="1" x14ac:dyDescent="0.25">
      <c r="A13" s="167">
        <v>7</v>
      </c>
      <c r="B13" s="172" t="s">
        <v>67</v>
      </c>
      <c r="C13" s="24">
        <v>0</v>
      </c>
      <c r="D13" s="23"/>
      <c r="E13" s="165">
        <v>7</v>
      </c>
      <c r="F13" s="171"/>
      <c r="G13" s="10">
        <v>0</v>
      </c>
      <c r="I13" s="21" t="s">
        <v>469</v>
      </c>
      <c r="J13" s="84">
        <v>0</v>
      </c>
      <c r="L13" s="21" t="s">
        <v>470</v>
      </c>
      <c r="M13" s="98">
        <f>SUM(VLOOKUP(Macrogegevens!$A$2,'Data belastingen 2025'!$B$2:$U$345,20,0))</f>
        <v>1633533.8222111333</v>
      </c>
      <c r="N13" s="98">
        <f>IF(M13&lt;M15,0.2*M13,0)</f>
        <v>326706.76444222667</v>
      </c>
      <c r="U13" s="270"/>
      <c r="V13" s="270" t="s">
        <v>770</v>
      </c>
      <c r="W13" s="270"/>
    </row>
    <row r="14" spans="1:23" ht="15.9" customHeight="1" x14ac:dyDescent="0.25">
      <c r="A14" s="167">
        <v>8</v>
      </c>
      <c r="B14" s="172" t="s">
        <v>495</v>
      </c>
      <c r="C14" s="10">
        <f>VLOOKUP(Macrogegevens!$A$2,'Data belastingen 2025'!$B$2:$O$357,8,0)*1000</f>
        <v>89000</v>
      </c>
      <c r="D14" s="5"/>
      <c r="E14" s="165"/>
      <c r="F14" s="170"/>
      <c r="G14" s="8"/>
      <c r="I14" s="3" t="s">
        <v>18</v>
      </c>
      <c r="J14" s="18">
        <f>Balansprognose!G35</f>
        <v>192121000</v>
      </c>
      <c r="L14" s="3" t="s">
        <v>471</v>
      </c>
      <c r="M14" s="11">
        <f>SUM(G67,-C4,-C10,-C11,-C12,-C15,-C35,-C36,-C43,-C44,-C45,-C46,-C47,-C48)</f>
        <v>118776689.75343183</v>
      </c>
      <c r="U14" s="151"/>
      <c r="V14" s="272">
        <v>0</v>
      </c>
      <c r="W14" s="151"/>
    </row>
    <row r="15" spans="1:23" ht="15.9" customHeight="1" x14ac:dyDescent="0.4">
      <c r="A15" s="167">
        <v>9</v>
      </c>
      <c r="B15" s="172" t="s">
        <v>82</v>
      </c>
      <c r="C15" s="57">
        <f>VLOOKUP(Macrogegevens!$A$2,Inkomsten!B2:L357,11,0)</f>
        <v>2423000</v>
      </c>
      <c r="D15" s="5"/>
      <c r="E15" s="165"/>
      <c r="F15" s="170" t="s">
        <v>8</v>
      </c>
      <c r="G15" s="8">
        <f>SUM(G11:G13)</f>
        <v>48230000</v>
      </c>
      <c r="H15" s="2"/>
      <c r="I15" s="3" t="s">
        <v>824</v>
      </c>
      <c r="J15" s="7">
        <f>Macrogegevens!C9</f>
        <v>3.6000000000000004E-2</v>
      </c>
      <c r="L15" s="3" t="s">
        <v>545</v>
      </c>
      <c r="M15" s="30">
        <f>Macrogegevens!D36</f>
        <v>30222966.117486387</v>
      </c>
    </row>
    <row r="16" spans="1:23" ht="15.9" customHeight="1" x14ac:dyDescent="0.3">
      <c r="A16" s="167">
        <v>10</v>
      </c>
      <c r="B16" s="172" t="s">
        <v>68</v>
      </c>
      <c r="C16" s="10">
        <v>0</v>
      </c>
      <c r="D16" s="5"/>
      <c r="E16" s="165"/>
      <c r="F16" s="170"/>
      <c r="G16" s="8"/>
      <c r="H16" s="12"/>
      <c r="I16" s="169" t="s">
        <v>768</v>
      </c>
      <c r="J16" s="7"/>
    </row>
    <row r="17" spans="1:18" ht="15.5" customHeight="1" x14ac:dyDescent="0.3">
      <c r="A17" s="167">
        <v>11</v>
      </c>
      <c r="B17" s="172" t="s">
        <v>542</v>
      </c>
      <c r="C17" s="10">
        <v>0</v>
      </c>
      <c r="D17" s="5"/>
      <c r="E17" s="43" t="s">
        <v>6</v>
      </c>
      <c r="F17" s="38" t="s">
        <v>970</v>
      </c>
      <c r="G17" s="27">
        <f>SUM(1,(0.4*J8),(0.6*J15),J6)</f>
        <v>1.036069949268875</v>
      </c>
      <c r="I17" s="3">
        <v>2024</v>
      </c>
      <c r="J17" s="18">
        <f t="shared" ref="J17:J25" si="0">V3</f>
        <v>0</v>
      </c>
      <c r="L17" s="3" t="s">
        <v>586</v>
      </c>
      <c r="M17" s="4">
        <f>SUM(C3,C4,C15,C16,C36,C37,C46,C47,C48)/C67</f>
        <v>0.64689408151326155</v>
      </c>
    </row>
    <row r="18" spans="1:18" ht="15" customHeight="1" x14ac:dyDescent="0.25">
      <c r="A18" s="167">
        <v>12</v>
      </c>
      <c r="B18" s="172" t="s">
        <v>820</v>
      </c>
      <c r="C18" s="10">
        <f>VLOOKUP(Macrogegevens!$A$2,'Data belastingen 2024'!$B$2:$O$357,6,0)*1000</f>
        <v>102000</v>
      </c>
      <c r="D18" s="165"/>
      <c r="E18" s="165">
        <v>8</v>
      </c>
      <c r="F18" s="170" t="s">
        <v>641</v>
      </c>
      <c r="G18" s="10">
        <f>VLOOKUP('Financiele conditie'!B2,Uitgaven!B2:R357,7,0)*1000</f>
        <v>13259000</v>
      </c>
      <c r="I18" s="3">
        <v>2025</v>
      </c>
      <c r="J18" s="18">
        <f t="shared" si="0"/>
        <v>0</v>
      </c>
      <c r="L18" s="3" t="s">
        <v>588</v>
      </c>
      <c r="M18" s="4">
        <f>Q10</f>
        <v>4.6208110097282443E-2</v>
      </c>
    </row>
    <row r="19" spans="1:18" ht="14.5" customHeight="1" x14ac:dyDescent="0.25">
      <c r="A19" s="165">
        <v>13</v>
      </c>
      <c r="B19" s="171"/>
      <c r="C19" s="10">
        <v>0</v>
      </c>
      <c r="D19" s="165"/>
      <c r="E19" s="165">
        <v>9</v>
      </c>
      <c r="F19" s="170" t="s">
        <v>642</v>
      </c>
      <c r="G19" s="10">
        <f>VLOOKUP('Financiele conditie'!B2,Uitgaven!B2:R357,8,0)*1000</f>
        <v>5017000</v>
      </c>
      <c r="I19" s="3">
        <v>2026</v>
      </c>
      <c r="J19" s="18">
        <f t="shared" si="0"/>
        <v>0</v>
      </c>
      <c r="L19" s="3" t="s">
        <v>587</v>
      </c>
      <c r="M19" s="14">
        <f>M2*SUM(M17,-S3)</f>
        <v>0.10823589075052631</v>
      </c>
    </row>
    <row r="20" spans="1:18" ht="15" customHeight="1" x14ac:dyDescent="0.25">
      <c r="A20" s="165">
        <v>14</v>
      </c>
      <c r="B20" s="170" t="s">
        <v>455</v>
      </c>
      <c r="C20" s="251">
        <f>SUM($C$67,-$C$7,-C10,-C11,-C12,-C13,-C14,-C15,-C16,-C17,-C18,-C19,-C32,-C39,-$C$51,-C58)</f>
        <v>5552548.3199999928</v>
      </c>
      <c r="D20" s="165"/>
      <c r="E20" s="165">
        <v>10</v>
      </c>
      <c r="F20" s="174" t="s">
        <v>643</v>
      </c>
      <c r="G20" s="10">
        <f>VLOOKUP('Financiele conditie'!B2,Uitgaven!B2:R357,11,0)*1000</f>
        <v>2483000</v>
      </c>
      <c r="I20" s="3">
        <v>2027</v>
      </c>
      <c r="J20" s="18">
        <f t="shared" si="0"/>
        <v>0</v>
      </c>
      <c r="L20" s="3" t="s">
        <v>661</v>
      </c>
      <c r="M20" s="14">
        <f>M3*M18</f>
        <v>5.0828921107010684E-3</v>
      </c>
    </row>
    <row r="21" spans="1:18" ht="15.9" customHeight="1" x14ac:dyDescent="0.25">
      <c r="A21" s="165"/>
      <c r="B21" s="170"/>
      <c r="C21" s="8"/>
      <c r="D21" s="165"/>
      <c r="E21" s="165">
        <v>11</v>
      </c>
      <c r="F21" s="171"/>
      <c r="G21" s="10"/>
      <c r="I21" s="3">
        <v>2028</v>
      </c>
      <c r="J21" s="18">
        <f t="shared" si="0"/>
        <v>0</v>
      </c>
      <c r="L21" s="3" t="s">
        <v>654</v>
      </c>
      <c r="M21" s="4">
        <f>SUM(M19:M20)</f>
        <v>0.11331878286122737</v>
      </c>
      <c r="N21" s="14">
        <f>SUM(1,-M21)</f>
        <v>0.88668121713877257</v>
      </c>
    </row>
    <row r="22" spans="1:18" ht="15.9" customHeight="1" x14ac:dyDescent="0.25">
      <c r="A22" s="165"/>
      <c r="B22" s="170" t="s">
        <v>8</v>
      </c>
      <c r="C22" s="8">
        <f>SUM(C10:C20)</f>
        <v>23698548.319999993</v>
      </c>
      <c r="D22" s="165"/>
      <c r="E22" s="165">
        <v>12</v>
      </c>
      <c r="F22" s="171"/>
      <c r="G22" s="10">
        <v>0</v>
      </c>
      <c r="I22" s="3">
        <v>2029</v>
      </c>
      <c r="J22" s="18">
        <f t="shared" si="0"/>
        <v>0</v>
      </c>
      <c r="M22" s="15"/>
    </row>
    <row r="23" spans="1:18" ht="15.9" customHeight="1" x14ac:dyDescent="0.3">
      <c r="A23" s="165"/>
      <c r="B23" s="170"/>
      <c r="C23" s="8"/>
      <c r="D23" s="5"/>
      <c r="E23" s="43"/>
      <c r="F23" s="38"/>
      <c r="G23" s="4"/>
      <c r="I23" s="3">
        <v>2030</v>
      </c>
      <c r="J23" s="18">
        <f t="shared" si="0"/>
        <v>0</v>
      </c>
      <c r="L23" s="3" t="s">
        <v>589</v>
      </c>
      <c r="M23" s="14">
        <f>SUM(G67,-C35)/G67</f>
        <v>0.87703770109251256</v>
      </c>
    </row>
    <row r="24" spans="1:18" ht="15.9" customHeight="1" x14ac:dyDescent="0.3">
      <c r="A24" s="43" t="s">
        <v>6</v>
      </c>
      <c r="B24" s="38" t="s">
        <v>964</v>
      </c>
      <c r="C24" s="4">
        <f>SUM(1,J2,SUM(J3,J6))</f>
        <v>1.0386480118718504</v>
      </c>
      <c r="D24" s="5"/>
      <c r="E24" s="165"/>
      <c r="F24" s="170" t="s">
        <v>9</v>
      </c>
      <c r="G24" s="8">
        <f>SUM(G18:G22)</f>
        <v>20759000</v>
      </c>
      <c r="I24" s="3">
        <v>2031</v>
      </c>
      <c r="J24" s="18">
        <f t="shared" si="0"/>
        <v>0</v>
      </c>
      <c r="L24" s="3" t="s">
        <v>635</v>
      </c>
      <c r="M24" s="14">
        <f>M5*M23</f>
        <v>8.7703770109251265E-3</v>
      </c>
      <c r="N24" s="14"/>
    </row>
    <row r="25" spans="1:18" ht="15.9" customHeight="1" x14ac:dyDescent="0.25">
      <c r="A25" s="165">
        <v>15</v>
      </c>
      <c r="B25" s="170" t="s">
        <v>62</v>
      </c>
      <c r="C25" s="10">
        <f>VLOOKUP(Macrogegevens!$A$2,'Data belastingen 2025'!$B$2:$O$357,3,0)*1000</f>
        <v>6230000</v>
      </c>
      <c r="D25" s="5"/>
      <c r="E25" s="165"/>
      <c r="F25" s="170"/>
      <c r="G25" s="8"/>
      <c r="I25" s="3">
        <v>2032</v>
      </c>
      <c r="J25" s="18">
        <f t="shared" si="0"/>
        <v>0</v>
      </c>
      <c r="K25" s="15"/>
      <c r="L25" s="15" t="s">
        <v>655</v>
      </c>
      <c r="M25" s="14">
        <f>M6*M23</f>
        <v>8.7703770109251265E-3</v>
      </c>
      <c r="N25" s="14"/>
    </row>
    <row r="26" spans="1:18" ht="15.9" customHeight="1" x14ac:dyDescent="0.3">
      <c r="A26" s="165">
        <v>16</v>
      </c>
      <c r="B26" s="170" t="s">
        <v>66</v>
      </c>
      <c r="C26" s="10">
        <f>VLOOKUP(Macrogegevens!$A$2,'Data belastingen 2025'!$B$2:$O$357,7,0)*1000</f>
        <v>0</v>
      </c>
      <c r="D26" s="5"/>
      <c r="E26" s="43" t="s">
        <v>14</v>
      </c>
      <c r="F26" s="38" t="s">
        <v>971</v>
      </c>
      <c r="G26" s="27">
        <f>SUM(1,(0.5*J8),(0.5*J15),J3,J6)</f>
        <v>1.0446480118718506</v>
      </c>
      <c r="K26" s="15"/>
      <c r="L26" s="15"/>
      <c r="M26" s="14"/>
    </row>
    <row r="27" spans="1:18" ht="15.9" customHeight="1" x14ac:dyDescent="0.25">
      <c r="A27" s="165">
        <v>17</v>
      </c>
      <c r="B27" s="170" t="s">
        <v>731</v>
      </c>
      <c r="C27" s="10">
        <f>VLOOKUP(Macrogegevens!$A$2,Inkomsten!$B$2:$Y$357,15,0)*1000</f>
        <v>179000</v>
      </c>
      <c r="D27" s="5"/>
      <c r="E27" s="165">
        <v>13</v>
      </c>
      <c r="F27" s="170" t="s">
        <v>743</v>
      </c>
      <c r="G27" s="10">
        <f>VLOOKUP('Financiele conditie'!B2,Uitgaven!B2:R357,9,0)*1000</f>
        <v>5444000</v>
      </c>
    </row>
    <row r="28" spans="1:18" ht="15.9" customHeight="1" x14ac:dyDescent="0.3">
      <c r="A28" s="165">
        <v>18</v>
      </c>
      <c r="B28" s="170" t="s">
        <v>730</v>
      </c>
      <c r="C28" s="10">
        <f>VLOOKUP(Macrogegevens!$A$2,Inkomsten!$B$2:$Y$357,14,0)*1000</f>
        <v>2172000</v>
      </c>
      <c r="D28" s="5"/>
      <c r="E28" s="165">
        <v>14</v>
      </c>
      <c r="F28" s="170" t="s">
        <v>644</v>
      </c>
      <c r="G28" s="10">
        <f>VLOOKUP('Financiele conditie'!B2,Uitgaven!B2:R357,10,0)*1000</f>
        <v>1050000</v>
      </c>
      <c r="H28" s="2" t="s">
        <v>45</v>
      </c>
      <c r="P28" s="133" t="s">
        <v>541</v>
      </c>
      <c r="Q28" s="205">
        <f>C1</f>
        <v>2025</v>
      </c>
    </row>
    <row r="29" spans="1:18" ht="15.9" customHeight="1" x14ac:dyDescent="0.25">
      <c r="A29" s="165">
        <v>19</v>
      </c>
      <c r="B29" s="170" t="s">
        <v>729</v>
      </c>
      <c r="C29" s="10">
        <f>VLOOKUP(Macrogegevens!$A$2,Inkomsten!$B$2:$Y$357,13,0)*1000</f>
        <v>1153000</v>
      </c>
      <c r="D29" s="5"/>
      <c r="E29" s="165">
        <v>15</v>
      </c>
      <c r="F29" s="171"/>
      <c r="G29" s="10">
        <v>0</v>
      </c>
      <c r="H29" s="12" t="s">
        <v>19</v>
      </c>
      <c r="I29" s="12" t="s">
        <v>18</v>
      </c>
      <c r="J29" s="12" t="s">
        <v>20</v>
      </c>
      <c r="K29" s="12" t="s">
        <v>44</v>
      </c>
      <c r="L29" s="12" t="s">
        <v>46</v>
      </c>
      <c r="M29" s="12" t="s">
        <v>3</v>
      </c>
      <c r="N29" s="3" t="s">
        <v>48</v>
      </c>
      <c r="P29" s="209" t="s">
        <v>536</v>
      </c>
      <c r="Q29" s="131">
        <f>Q2</f>
        <v>0.68885754290264989</v>
      </c>
    </row>
    <row r="30" spans="1:18" ht="15.9" customHeight="1" x14ac:dyDescent="0.25">
      <c r="A30" s="165">
        <v>20</v>
      </c>
      <c r="B30" s="171"/>
      <c r="C30" s="10">
        <v>0</v>
      </c>
      <c r="D30" s="5"/>
      <c r="E30" s="168">
        <v>16</v>
      </c>
      <c r="F30" s="171"/>
      <c r="G30" s="10">
        <v>0</v>
      </c>
      <c r="H30" s="3">
        <f>Macrogegevens!C2</f>
        <v>2025</v>
      </c>
      <c r="I30" s="22">
        <f>C67</f>
        <v>173187548.31999999</v>
      </c>
      <c r="J30" s="22">
        <f>G67</f>
        <v>165172578.75343183</v>
      </c>
      <c r="K30" s="15">
        <v>0</v>
      </c>
      <c r="L30" s="15">
        <f>SUM(I30,-J30,K30)</f>
        <v>8014969.566568166</v>
      </c>
      <c r="M30" s="15">
        <f>J7*0.5*L30</f>
        <v>144269.45219822699</v>
      </c>
      <c r="N30" s="15">
        <f t="shared" ref="N30:N39" si="1">SUM(L30:M30)</f>
        <v>8159239.018766393</v>
      </c>
      <c r="P30" s="210" t="s">
        <v>557</v>
      </c>
      <c r="Q30" s="74">
        <f>$M$14/$G$74</f>
        <v>0.60766529771943589</v>
      </c>
    </row>
    <row r="31" spans="1:18" s="21" customFormat="1" ht="13.25" customHeight="1" x14ac:dyDescent="0.25">
      <c r="A31" s="165"/>
      <c r="B31" s="170"/>
      <c r="C31" s="8"/>
      <c r="D31" s="23"/>
      <c r="E31" s="165"/>
      <c r="F31" s="170"/>
      <c r="G31" s="5"/>
      <c r="H31" s="3">
        <f t="shared" ref="H31:H39" si="2">SUM(H30,1)</f>
        <v>2026</v>
      </c>
      <c r="I31" s="22">
        <f>SUM(SUM(C67*N21,J13,J17)*C66,N13*C24)</f>
        <v>160373588.79366285</v>
      </c>
      <c r="J31" s="22">
        <f>SUM(G67*N5,J13,W3)*G66</f>
        <v>174434221.88219398</v>
      </c>
      <c r="K31" s="22">
        <f>SUM((M8*M12*SUM(M13,M14))*(G66^1),-N13*C24)</f>
        <v>5988696.2759224325</v>
      </c>
      <c r="L31" s="22">
        <f t="shared" ref="L31:L39" si="3">SUM(I31,-J31,K31)</f>
        <v>-8071936.812608704</v>
      </c>
      <c r="M31" s="22">
        <f>SUM(SUM(J7,M9)*0.5*L31,J7*N30)</f>
        <v>128257.90001711174</v>
      </c>
      <c r="N31" s="22">
        <f t="shared" si="1"/>
        <v>-7943678.9125915924</v>
      </c>
      <c r="P31" s="210" t="s">
        <v>555</v>
      </c>
      <c r="Q31" s="74">
        <f>J12/C74</f>
        <v>8.502630228924132E-3</v>
      </c>
    </row>
    <row r="32" spans="1:18" ht="13.25" customHeight="1" x14ac:dyDescent="0.25">
      <c r="A32" s="165"/>
      <c r="B32" s="170" t="s">
        <v>9</v>
      </c>
      <c r="C32" s="8">
        <f>SUM(C25:C30)</f>
        <v>9734000</v>
      </c>
      <c r="D32" s="5"/>
      <c r="F32" s="170" t="s">
        <v>11</v>
      </c>
      <c r="G32" s="11">
        <f>SUM(G27:G30)</f>
        <v>6494000</v>
      </c>
      <c r="H32" s="3">
        <f t="shared" si="2"/>
        <v>2027</v>
      </c>
      <c r="I32" s="15">
        <f>SUM(SUM(C67*N21,J13,J18)*(C66^2),2*N13*(C24^2))</f>
        <v>167484037.42086193</v>
      </c>
      <c r="J32" s="15">
        <f>SUM(G67*N6,J13,W4)*(G66^2)</f>
        <v>182613598.59612292</v>
      </c>
      <c r="K32" s="15">
        <f>SUM((M8*M12*SUM(M13,M14))*(G66^2)*2,-2*N13*(C24^2))</f>
        <v>12544617.373362297</v>
      </c>
      <c r="L32" s="15">
        <f t="shared" si="3"/>
        <v>-2584943.8018986937</v>
      </c>
      <c r="M32" s="15">
        <f>SUM(SUM(J7,M10)*0.5*L32,J7*N30,SUM(J7,M9)*N31)</f>
        <v>-91411.938184335071</v>
      </c>
      <c r="N32" s="15">
        <f t="shared" si="1"/>
        <v>-2676355.7400830286</v>
      </c>
      <c r="P32" s="210" t="s">
        <v>553</v>
      </c>
      <c r="Q32" s="74">
        <f>SUM($C$74,-$G$74)/$C$74</f>
        <v>-1.7400492398019999E-2</v>
      </c>
      <c r="R32" s="11"/>
    </row>
    <row r="33" spans="1:17" ht="15.9" customHeight="1" x14ac:dyDescent="0.25">
      <c r="A33" s="165"/>
      <c r="B33" s="170"/>
      <c r="C33" s="8"/>
      <c r="D33" s="5"/>
      <c r="H33" s="3">
        <f t="shared" si="2"/>
        <v>2028</v>
      </c>
      <c r="I33" s="15">
        <f>SUM(SUM(C67*N21,J13,J19)*(C66^3),3*N13*(C24^3))</f>
        <v>174906509.167925</v>
      </c>
      <c r="J33" s="15">
        <f>SUM(G67*N6,J13,W5)*(G66^3)</f>
        <v>191176513.60148615</v>
      </c>
      <c r="K33" s="15">
        <f>SUM((M8*M12*SUM(M13,M14))*(G66^3)*3,-3*N13*(C24^3))</f>
        <v>19707984.11661138</v>
      </c>
      <c r="L33" s="15">
        <f t="shared" si="3"/>
        <v>3437979.6830502339</v>
      </c>
      <c r="M33" s="15">
        <f>SUM(SUM(J7,M11)*0.5*L33,J7*N30,SUM(J7,M9)*N31,SUM(J7,M10)*N32)</f>
        <v>-67402.112866703494</v>
      </c>
      <c r="N33" s="15">
        <f t="shared" si="1"/>
        <v>3370577.5701835304</v>
      </c>
      <c r="P33" s="210" t="s">
        <v>554</v>
      </c>
      <c r="Q33" s="132">
        <f>$G$70/$C$74</f>
        <v>1.8698743222074564E-2</v>
      </c>
    </row>
    <row r="34" spans="1:17" ht="15.9" customHeight="1" x14ac:dyDescent="0.3">
      <c r="A34" s="43" t="s">
        <v>10</v>
      </c>
      <c r="B34" s="38" t="s">
        <v>965</v>
      </c>
      <c r="C34" s="4">
        <f>SUM(1,J4,J6)</f>
        <v>1.0446699492688749</v>
      </c>
      <c r="D34" s="5"/>
      <c r="E34" s="175" t="s">
        <v>10</v>
      </c>
      <c r="F34" s="176" t="s">
        <v>972</v>
      </c>
      <c r="G34" s="252">
        <f>SUM(1,(0.5*$J$2),(0.5*$J$15),$J$6)</f>
        <v>1.0351699492688751</v>
      </c>
      <c r="H34" s="3">
        <f t="shared" si="2"/>
        <v>2029</v>
      </c>
      <c r="I34" s="15">
        <f>SUM(SUM(C67*N21,J13,J20)*(C66^4),4*N13*(C24^4))</f>
        <v>182654584.08011729</v>
      </c>
      <c r="J34" s="15">
        <f>SUM(G67*N6,J13,W6)*(G66^4)</f>
        <v>200140951.35188454</v>
      </c>
      <c r="K34" s="15">
        <f>SUM((M8*M12*SUM(M13,M14))*(G66^4)*4,-4*N13*(C24^4))</f>
        <v>27521548.695545673</v>
      </c>
      <c r="L34" s="15">
        <f t="shared" si="3"/>
        <v>10035181.423778415</v>
      </c>
      <c r="M34" s="15">
        <f>SUM(SUM(J7,M11)*SUM(0.5*L34,N33),J7*N30,SUM(J7,M9)*N31,SUM(J7,M10)*N32)</f>
        <v>272725.98760122521</v>
      </c>
      <c r="N34" s="15">
        <f t="shared" si="1"/>
        <v>10307907.411379639</v>
      </c>
      <c r="P34" s="210" t="s">
        <v>556</v>
      </c>
      <c r="Q34" s="132">
        <f>SUM($C$74,-$G$74,$G$72)/$C$74</f>
        <v>2.8830788929893141E-2</v>
      </c>
    </row>
    <row r="35" spans="1:17" s="86" customFormat="1" ht="15.9" customHeight="1" x14ac:dyDescent="0.4">
      <c r="A35" s="168">
        <v>21</v>
      </c>
      <c r="B35" s="173" t="s">
        <v>70</v>
      </c>
      <c r="C35" s="57">
        <f>VLOOKUP(Macrogegevens!$A$2,Inkomsten!B2:L357,8,0)</f>
        <v>20310000</v>
      </c>
      <c r="D35" s="85"/>
      <c r="E35" s="168">
        <v>17</v>
      </c>
      <c r="F35" s="170" t="s">
        <v>645</v>
      </c>
      <c r="G35" s="10">
        <f>VLOOKUP('Financiele conditie'!$B$2,Uitgaven!$B$2:$R$357,12,0)*1000</f>
        <v>9027000</v>
      </c>
      <c r="H35" s="86">
        <f t="shared" si="2"/>
        <v>2030</v>
      </c>
      <c r="I35" s="87">
        <f>SUM(SUM(C67*N21,J13,J21)*(C66^5),5*N13*(C24^5))</f>
        <v>190742429.30637178</v>
      </c>
      <c r="J35" s="87">
        <f>SUM(G67*N6,J13,W7)*(G66^5)</f>
        <v>209525739.60803747</v>
      </c>
      <c r="K35" s="87">
        <f>SUM((M8*M12*SUM(M13,M14))*(G66^5)*5,-5*N13*(C24^5))</f>
        <v>36030743.845462628</v>
      </c>
      <c r="L35" s="87">
        <f t="shared" si="3"/>
        <v>17247433.543796934</v>
      </c>
      <c r="M35" s="87">
        <f>SUM(SUM(J7,M11)*SUM(0.5*L35,N33,N34),J7*N30,SUM(J7,M9)*N31,SUM(J7,M10)*N32)</f>
        <v>982341.69464205916</v>
      </c>
      <c r="N35" s="87">
        <f t="shared" si="1"/>
        <v>18229775.238438994</v>
      </c>
      <c r="P35" s="211" t="s">
        <v>572</v>
      </c>
      <c r="Q35" s="213">
        <f>SUM(G67,-C4,-C10,-C11,-C12,-C15,-C26,-C29,-C35,-C36,-C43,-C44,-C45,-C46,-C47,-C48,-C55)/VLOOKUP('Financiele conditie'!B2,'Data macro'!B2:F344,5,0)</f>
        <v>2627.7235844546067</v>
      </c>
    </row>
    <row r="36" spans="1:17" s="86" customFormat="1" ht="15.9" customHeight="1" x14ac:dyDescent="0.4">
      <c r="A36" s="168">
        <v>22</v>
      </c>
      <c r="B36" s="173" t="s">
        <v>638</v>
      </c>
      <c r="C36" s="57">
        <f>VLOOKUP(Macrogegevens!$A$2,Inkomsten!B2:L357,6,0)</f>
        <v>3633969</v>
      </c>
      <c r="D36" s="85"/>
      <c r="E36" s="168">
        <v>18</v>
      </c>
      <c r="F36" s="170" t="s">
        <v>646</v>
      </c>
      <c r="G36" s="10">
        <f>VLOOKUP('Financiele conditie'!$B$2,Uitgaven!$B$2:$R$357,16,0)*1000</f>
        <v>13271000</v>
      </c>
      <c r="H36" s="86">
        <f t="shared" si="2"/>
        <v>2031</v>
      </c>
      <c r="I36" s="87">
        <f>SUM(SUM(C67*N21,J13,J22)*(C66^6),5*N13*(C24^6))</f>
        <v>198774649.9993284</v>
      </c>
      <c r="J36" s="87">
        <f>SUM(G67*N6,J13,W8)*(G66^6)</f>
        <v>219350588.98120773</v>
      </c>
      <c r="K36" s="87">
        <f>SUM((M8*M12*SUM(M13,M14))*(G66^6)*5,-5*N13*(C24^6))</f>
        <v>37736533.715476766</v>
      </c>
      <c r="L36" s="87">
        <f t="shared" si="3"/>
        <v>17160594.733597443</v>
      </c>
      <c r="M36" s="87">
        <f>SUM(SUM(J7,M11)*SUM(0.5*L36,N33,N34,N35),J7*N30,SUM(J7,M9)*N31,SUM(J7,M10)*N32)</f>
        <v>1909845.842142361</v>
      </c>
      <c r="N36" s="87">
        <f t="shared" si="1"/>
        <v>19070440.575739805</v>
      </c>
      <c r="P36" s="3"/>
      <c r="Q36" s="3"/>
    </row>
    <row r="37" spans="1:17" s="86" customFormat="1" ht="15.9" customHeight="1" x14ac:dyDescent="0.25">
      <c r="A37" s="168">
        <v>23</v>
      </c>
      <c r="B37" s="171"/>
      <c r="C37" s="10">
        <v>0</v>
      </c>
      <c r="D37" s="85"/>
      <c r="E37" s="168">
        <v>19</v>
      </c>
      <c r="F37" s="170" t="s">
        <v>647</v>
      </c>
      <c r="G37" s="10">
        <f>VLOOKUP('Financiele conditie'!$B$2,Uitgaven!$B$2:$R$357,17,0)*1000</f>
        <v>1320000</v>
      </c>
      <c r="H37" s="86">
        <f t="shared" si="2"/>
        <v>2032</v>
      </c>
      <c r="I37" s="87">
        <f>SUM(SUM(C67*N21,J13,J23)*(C66^7),5*N13*(C24^7))</f>
        <v>207145133.8232179</v>
      </c>
      <c r="J37" s="87">
        <f>SUM(G67*N6,J13,W9)*(G66^7)</f>
        <v>229636134.33085358</v>
      </c>
      <c r="K37" s="87">
        <f>SUM((M8*M12*SUM(M13,M14))*(G66^7)*5,-5*N13*(C24^7))</f>
        <v>39522938.635780014</v>
      </c>
      <c r="L37" s="87">
        <f t="shared" si="3"/>
        <v>17031938.128144331</v>
      </c>
      <c r="M37" s="87">
        <f>SUM(SUM(J7,M11)*SUM(0.5*L37,N33,N34,N35,N36),J7*N30,SUM(J7,M9)*N31,SUM(J7,M10)*N32)</f>
        <v>2879157.5680660368</v>
      </c>
      <c r="N37" s="87">
        <f t="shared" si="1"/>
        <v>19911095.696210369</v>
      </c>
      <c r="P37" s="3"/>
      <c r="Q37" s="3"/>
    </row>
    <row r="38" spans="1:17" s="21" customFormat="1" ht="15.9" customHeight="1" x14ac:dyDescent="0.25">
      <c r="A38" s="165"/>
      <c r="B38" s="170"/>
      <c r="C38" s="8"/>
      <c r="D38" s="23"/>
      <c r="E38" s="165">
        <v>20</v>
      </c>
      <c r="F38" s="171"/>
      <c r="G38" s="10">
        <v>0</v>
      </c>
      <c r="H38" s="3">
        <f t="shared" si="2"/>
        <v>2033</v>
      </c>
      <c r="I38" s="15">
        <f>SUM(SUM(C67*N21,J13,J24)*(C66^8),5*N13*(C24^8))</f>
        <v>215868127.07196024</v>
      </c>
      <c r="J38" s="15">
        <f>SUM(G67*N6,J13,W10)*(G66^8)</f>
        <v>240403978.10345316</v>
      </c>
      <c r="K38" s="22">
        <f>SUM((M8*M12*SUM(M13,M14))*(G66^8)*5,-5*N13*(C24^8))</f>
        <v>41393763.029239178</v>
      </c>
      <c r="L38" s="22">
        <f t="shared" si="3"/>
        <v>16857911.997746259</v>
      </c>
      <c r="M38" s="22">
        <f>SUM(SUM(J7,M11)*SUM(0.5*L38,N33,N34,N35,N36,N37),J7*N30,SUM(J7,M9)*N31,SUM(J7,M10)*N32)</f>
        <v>3890185.7822476146</v>
      </c>
      <c r="N38" s="22">
        <f t="shared" si="1"/>
        <v>20748097.779993873</v>
      </c>
    </row>
    <row r="39" spans="1:17" ht="15.9" customHeight="1" x14ac:dyDescent="0.25">
      <c r="A39" s="165"/>
      <c r="B39" s="170" t="s">
        <v>11</v>
      </c>
      <c r="C39" s="8">
        <f>SUM(C35:C37)</f>
        <v>23943969</v>
      </c>
      <c r="D39" s="5"/>
      <c r="E39" s="165">
        <v>21</v>
      </c>
      <c r="F39" s="170" t="s">
        <v>454</v>
      </c>
      <c r="G39" s="8">
        <f>SUM(G67,-G8,-G15,-G24,-G30,-G35,-G36,-G37,-G38)</f>
        <v>8713578.7534318268</v>
      </c>
      <c r="H39" s="3">
        <f t="shared" si="2"/>
        <v>2034</v>
      </c>
      <c r="I39" s="15">
        <f>SUM(SUM(C67*N21,J13,J25)*(C66^9),5*N13*(C24^9))</f>
        <v>224958476.07233807</v>
      </c>
      <c r="J39" s="15">
        <f>SUM(G67*N6,J13,W11)*(G66^9)</f>
        <v>251676735.70352584</v>
      </c>
      <c r="K39" s="15">
        <f>SUM((M8*M12*SUM(M13,M14))*(G66^9)*5,-5*N13*(C24^9))</f>
        <v>43352990.651086092</v>
      </c>
      <c r="L39" s="15">
        <f t="shared" si="3"/>
        <v>16634731.019898325</v>
      </c>
      <c r="M39" s="15">
        <f>SUM(SUM(J7,M11)*SUM(0.5*L39,N33,N34,N35,N36,N37,N38),J7*N30,SUM(J7,M9)*N31,SUM(J7,M10)*N32)</f>
        <v>4942647.6540921787</v>
      </c>
      <c r="N39" s="15">
        <f t="shared" si="1"/>
        <v>21577378.673990503</v>
      </c>
    </row>
    <row r="40" spans="1:17" ht="15.9" customHeight="1" x14ac:dyDescent="0.25">
      <c r="A40" s="165"/>
      <c r="B40" s="170"/>
      <c r="C40" s="8"/>
      <c r="D40" s="5"/>
      <c r="E40" s="165"/>
      <c r="F40" s="170"/>
      <c r="G40" s="5"/>
    </row>
    <row r="41" spans="1:17" ht="15.9" customHeight="1" x14ac:dyDescent="0.3">
      <c r="A41" s="43"/>
      <c r="B41" s="38"/>
      <c r="C41" s="4"/>
      <c r="D41" s="5"/>
      <c r="E41" s="165"/>
      <c r="F41" s="170" t="s">
        <v>11</v>
      </c>
      <c r="G41" s="8">
        <f>SUM(G34:G39)</f>
        <v>32331579.788601778</v>
      </c>
      <c r="H41" s="18">
        <f>IF(G41&lt;0,-G41,G41)</f>
        <v>32331579.788601778</v>
      </c>
    </row>
    <row r="42" spans="1:17" ht="15.9" customHeight="1" x14ac:dyDescent="0.3">
      <c r="A42" s="43" t="s">
        <v>12</v>
      </c>
      <c r="B42" s="38" t="s">
        <v>966</v>
      </c>
      <c r="C42" s="4">
        <f>SUM(1,(0.3*J8),(0.7*J4),J6)</f>
        <v>1.039569949268875</v>
      </c>
      <c r="D42" s="5"/>
      <c r="E42" s="165"/>
      <c r="F42" s="38"/>
      <c r="G42" s="38"/>
    </row>
    <row r="43" spans="1:17" ht="15.9" customHeight="1" x14ac:dyDescent="0.4">
      <c r="A43" s="167">
        <v>24</v>
      </c>
      <c r="B43" s="172" t="s">
        <v>65</v>
      </c>
      <c r="C43" s="57">
        <f>VLOOKUP(Macrogegevens!$A$2,'Data belastingen 2025'!$B$2:$O$357,11,0)*1000</f>
        <v>943000</v>
      </c>
      <c r="D43" s="5"/>
      <c r="E43" s="43"/>
      <c r="F43" s="38"/>
      <c r="G43" s="38"/>
    </row>
    <row r="44" spans="1:17" ht="15.9" customHeight="1" x14ac:dyDescent="0.4">
      <c r="A44" s="165">
        <v>25</v>
      </c>
      <c r="B44" s="170" t="s">
        <v>668</v>
      </c>
      <c r="C44" s="57">
        <f>VLOOKUP(Macrogegevens!$A$2,'Data belastingen 2025'!$B$2:$O$357,13,0)*1000</f>
        <v>1459000</v>
      </c>
      <c r="D44" s="5"/>
      <c r="E44" s="165"/>
      <c r="F44" s="38"/>
      <c r="G44" s="38"/>
    </row>
    <row r="45" spans="1:17" ht="15.9" customHeight="1" x14ac:dyDescent="0.4">
      <c r="A45" s="165">
        <v>26</v>
      </c>
      <c r="B45" s="170" t="s">
        <v>585</v>
      </c>
      <c r="C45" s="57">
        <f>VLOOKUP(Macrogegevens!$A$2,'Data belastingen 2025'!$B$2:$O$357,14,0)*1000</f>
        <v>784000</v>
      </c>
      <c r="D45" s="5"/>
      <c r="E45" s="165"/>
      <c r="F45" s="38"/>
      <c r="G45" s="38"/>
    </row>
    <row r="46" spans="1:17" ht="15.9" customHeight="1" x14ac:dyDescent="0.4">
      <c r="A46" s="165">
        <v>27</v>
      </c>
      <c r="B46" s="170" t="s">
        <v>69</v>
      </c>
      <c r="C46" s="57">
        <f>VLOOKUP(Macrogegevens!$A$2,Inkomsten!B2:L357,10,0)</f>
        <v>450000</v>
      </c>
      <c r="D46" s="5"/>
      <c r="E46" s="165"/>
      <c r="F46" s="38"/>
      <c r="G46" s="38"/>
    </row>
    <row r="47" spans="1:17" ht="15.9" customHeight="1" x14ac:dyDescent="0.4">
      <c r="A47" s="165">
        <v>28</v>
      </c>
      <c r="B47" s="170" t="s">
        <v>552</v>
      </c>
      <c r="C47" s="57">
        <f>VLOOKUP(Macrogegevens!$A$2,Inkomsten!B2:L357,5,0)</f>
        <v>0</v>
      </c>
      <c r="D47" s="5"/>
      <c r="E47" s="165"/>
      <c r="F47" s="38"/>
      <c r="G47" s="38"/>
    </row>
    <row r="48" spans="1:17" ht="15.9" customHeight="1" x14ac:dyDescent="0.4">
      <c r="A48" s="165">
        <v>29</v>
      </c>
      <c r="B48" s="171"/>
      <c r="C48" s="57">
        <v>0</v>
      </c>
      <c r="D48" s="5"/>
      <c r="E48" s="165"/>
      <c r="F48" s="38"/>
      <c r="G48" s="38"/>
    </row>
    <row r="49" spans="1:8" ht="15.9" customHeight="1" x14ac:dyDescent="0.3">
      <c r="A49" s="165">
        <v>30</v>
      </c>
      <c r="B49" s="171"/>
      <c r="C49" s="10">
        <v>0</v>
      </c>
      <c r="D49" s="5"/>
      <c r="E49" s="165"/>
      <c r="F49" s="38"/>
      <c r="G49" s="38"/>
    </row>
    <row r="50" spans="1:8" ht="15.9" customHeight="1" x14ac:dyDescent="0.3">
      <c r="A50" s="165"/>
      <c r="B50" s="170"/>
      <c r="D50" s="5"/>
      <c r="E50" s="165"/>
      <c r="F50" s="38"/>
      <c r="G50" s="38"/>
    </row>
    <row r="51" spans="1:8" ht="15.9" customHeight="1" x14ac:dyDescent="0.3">
      <c r="A51" s="165"/>
      <c r="B51" s="170" t="s">
        <v>13</v>
      </c>
      <c r="C51" s="8">
        <f>SUM(C43:C49)</f>
        <v>3636000</v>
      </c>
      <c r="D51" s="5"/>
      <c r="E51" s="165"/>
      <c r="F51" s="38"/>
      <c r="G51" s="38"/>
    </row>
    <row r="52" spans="1:8" ht="15.9" customHeight="1" x14ac:dyDescent="0.3">
      <c r="D52" s="5"/>
      <c r="E52" s="165"/>
      <c r="F52" s="38"/>
      <c r="G52" s="38"/>
    </row>
    <row r="53" spans="1:8" ht="15.9" customHeight="1" x14ac:dyDescent="0.3">
      <c r="A53" s="43" t="s">
        <v>14</v>
      </c>
      <c r="B53" s="38" t="s">
        <v>967</v>
      </c>
      <c r="C53" s="4">
        <f>SUM(1,J2,J3,J6)</f>
        <v>1.0386480118718506</v>
      </c>
      <c r="D53" s="5"/>
      <c r="E53" s="165"/>
      <c r="F53" s="170"/>
      <c r="G53" s="8"/>
    </row>
    <row r="54" spans="1:8" ht="15.9" customHeight="1" x14ac:dyDescent="0.25">
      <c r="A54" s="165">
        <v>31</v>
      </c>
      <c r="B54" s="170" t="s">
        <v>527</v>
      </c>
      <c r="C54" s="10">
        <f>VLOOKUP(Macrogegevens!$A$2,'Data belastingen 2025'!$B$2:$O$357,4,0)*1000</f>
        <v>6431000</v>
      </c>
      <c r="D54" s="5"/>
      <c r="E54" s="165"/>
      <c r="F54" s="170"/>
      <c r="G54" s="5"/>
    </row>
    <row r="55" spans="1:8" ht="15.9" customHeight="1" x14ac:dyDescent="0.3">
      <c r="A55" s="165">
        <v>32</v>
      </c>
      <c r="B55" s="170" t="s">
        <v>780</v>
      </c>
      <c r="C55" s="10">
        <f>VLOOKUP(Macrogegevens!$A$2,'Data belastingen 2025'!$B$2:$O$357,5,0)*1000</f>
        <v>217000</v>
      </c>
      <c r="D55" s="5"/>
      <c r="E55" s="43"/>
      <c r="F55" s="38"/>
      <c r="G55" s="38"/>
    </row>
    <row r="56" spans="1:8" ht="15.9" customHeight="1" x14ac:dyDescent="0.3">
      <c r="A56" s="165">
        <v>33</v>
      </c>
      <c r="B56" s="171"/>
      <c r="C56" s="10">
        <v>0</v>
      </c>
      <c r="D56" s="5"/>
      <c r="E56" s="165"/>
      <c r="F56" s="170"/>
      <c r="G56" s="38"/>
    </row>
    <row r="57" spans="1:8" ht="15.9" customHeight="1" x14ac:dyDescent="0.3">
      <c r="A57" s="165"/>
      <c r="D57" s="5"/>
      <c r="E57" s="165"/>
      <c r="F57" s="38"/>
      <c r="G57" s="38"/>
    </row>
    <row r="58" spans="1:8" ht="15.9" customHeight="1" x14ac:dyDescent="0.3">
      <c r="A58" s="165"/>
      <c r="B58" s="170" t="s">
        <v>15</v>
      </c>
      <c r="C58" s="8">
        <f>SUM(C54:C56)</f>
        <v>6648000</v>
      </c>
      <c r="D58" s="5"/>
      <c r="E58" s="165"/>
      <c r="F58" s="38"/>
      <c r="G58" s="38"/>
    </row>
    <row r="59" spans="1:8" ht="15.9" customHeight="1" x14ac:dyDescent="0.3">
      <c r="A59" s="43"/>
      <c r="B59" s="38"/>
      <c r="C59" s="4"/>
      <c r="D59" s="5"/>
      <c r="E59" s="165"/>
      <c r="F59" s="38"/>
      <c r="G59" s="38"/>
    </row>
    <row r="60" spans="1:8" ht="15.9" customHeight="1" x14ac:dyDescent="0.3">
      <c r="D60" s="5"/>
      <c r="E60" s="165"/>
      <c r="F60" s="38"/>
      <c r="G60" s="38"/>
      <c r="H60" s="18">
        <f>IF(C22&lt;0,-C22,C22)</f>
        <v>23698548.319999993</v>
      </c>
    </row>
    <row r="61" spans="1:8" ht="15.9" customHeight="1" x14ac:dyDescent="0.3">
      <c r="A61" s="165"/>
      <c r="D61" s="5"/>
      <c r="E61" s="165"/>
      <c r="F61" s="38"/>
      <c r="G61" s="38"/>
    </row>
    <row r="62" spans="1:8" ht="15.9" customHeight="1" x14ac:dyDescent="0.3">
      <c r="E62" s="165"/>
      <c r="F62" s="38"/>
      <c r="G62" s="38"/>
    </row>
    <row r="63" spans="1:8" ht="15.9" customHeight="1" x14ac:dyDescent="0.4">
      <c r="A63" s="165"/>
      <c r="E63" s="43"/>
      <c r="F63" s="170"/>
      <c r="G63" s="17"/>
    </row>
    <row r="64" spans="1:8" ht="15.9" customHeight="1" x14ac:dyDescent="0.25">
      <c r="A64" s="165"/>
      <c r="B64" s="170"/>
      <c r="C64" s="8"/>
      <c r="E64" s="165"/>
      <c r="F64" s="170"/>
      <c r="G64" s="8"/>
    </row>
    <row r="65" spans="1:8" ht="15.9" customHeight="1" x14ac:dyDescent="0.25">
      <c r="A65" s="165"/>
      <c r="B65" s="170"/>
      <c r="C65" s="8"/>
      <c r="E65" s="165"/>
      <c r="F65" s="170"/>
      <c r="G65" s="5"/>
    </row>
    <row r="66" spans="1:8" ht="15.9" customHeight="1" x14ac:dyDescent="0.3">
      <c r="A66" s="38" t="s">
        <v>17</v>
      </c>
      <c r="C66" s="27">
        <f>SUM((C2*C7),(C9*H60),(C24*C32),(C34*C39),(C42*C51),(C53*C58))/SUM(C7,H60,C32,C39,C51,C58)</f>
        <v>1.0421465151890392</v>
      </c>
      <c r="E66" s="38" t="s">
        <v>498</v>
      </c>
      <c r="F66" s="170"/>
      <c r="G66" s="27">
        <f>SUM((G2*G8),(G10*G15),(G17*G24),(G34*H41),(G26*G32))/SUM(G8,G15,G24,H41,G32)</f>
        <v>1.0468908946058357</v>
      </c>
    </row>
    <row r="67" spans="1:8" ht="15.9" customHeight="1" x14ac:dyDescent="0.3">
      <c r="A67" s="38" t="s">
        <v>499</v>
      </c>
      <c r="C67" s="8">
        <f>SUM(C74,-C70,-C71,-C72,-C73)</f>
        <v>173187548.31999999</v>
      </c>
      <c r="E67" s="38" t="s">
        <v>503</v>
      </c>
      <c r="F67" s="170"/>
      <c r="G67" s="8">
        <f>SUM(G74,-G70,-G71,-G72,-G73)</f>
        <v>165172578.75343183</v>
      </c>
    </row>
    <row r="68" spans="1:8" ht="15.9" customHeight="1" x14ac:dyDescent="0.3">
      <c r="A68" s="43"/>
      <c r="B68" s="38"/>
      <c r="C68" s="4"/>
      <c r="E68" s="165"/>
      <c r="F68" s="170"/>
      <c r="G68" s="5"/>
    </row>
    <row r="69" spans="1:8" ht="15.9" customHeight="1" x14ac:dyDescent="0.25">
      <c r="A69" s="165"/>
      <c r="E69" s="165"/>
      <c r="F69" s="170"/>
      <c r="G69" s="5"/>
    </row>
    <row r="70" spans="1:8" ht="15.9" customHeight="1" x14ac:dyDescent="0.3">
      <c r="A70" s="178" t="s">
        <v>500</v>
      </c>
      <c r="B70" s="177"/>
      <c r="C70" s="117">
        <f>'Investeringen &amp; financiering'!T30</f>
        <v>198451.68</v>
      </c>
      <c r="E70" s="178" t="s">
        <v>504</v>
      </c>
      <c r="F70" s="183"/>
      <c r="G70" s="119">
        <f>SUM(-'Investeringen &amp; financiering'!S6,-'Investeringen &amp; financiering'!S30,-H70,H73)</f>
        <v>3592421.2465681876</v>
      </c>
      <c r="H70" s="19">
        <f>J7*0.5*SUM(Balansprognose!G35,-Balansprognose!G36,-C70,-C71,-C72,G71,G72,-'Investeringen &amp; financiering'!S6,-'Investeringen &amp; financiering'!S30)</f>
        <v>146865.44581851547</v>
      </c>
    </row>
    <row r="71" spans="1:8" ht="15.9" customHeight="1" x14ac:dyDescent="0.3">
      <c r="A71" s="179" t="s">
        <v>502</v>
      </c>
      <c r="C71" s="118">
        <f>VLOOKUP(Macrogegevens!$A$2,'Data investeringen'!B2:H344,6,0)*1000</f>
        <v>18735000</v>
      </c>
      <c r="E71" s="179" t="s">
        <v>505</v>
      </c>
      <c r="F71" s="170"/>
      <c r="G71" s="120">
        <f>Balansprognose!C45</f>
        <v>17817000</v>
      </c>
      <c r="H71" s="19">
        <f>J7*0.5*SUM(C67,-G67)</f>
        <v>144269.45219822699</v>
      </c>
    </row>
    <row r="72" spans="1:8" ht="15.9" customHeight="1" x14ac:dyDescent="0.3">
      <c r="A72" s="179" t="s">
        <v>501</v>
      </c>
      <c r="B72" s="170"/>
      <c r="C72" s="118">
        <f>SUM(Balansprognose!C39,Balansprognose!C40)</f>
        <v>0</v>
      </c>
      <c r="E72" s="179" t="s">
        <v>506</v>
      </c>
      <c r="F72" s="170"/>
      <c r="G72" s="120">
        <f>Balansprognose!C35</f>
        <v>8882000</v>
      </c>
      <c r="H72" s="19">
        <f>SUM(H70,-H71)</f>
        <v>2595.993620288471</v>
      </c>
    </row>
    <row r="73" spans="1:8" ht="15.9" customHeight="1" x14ac:dyDescent="0.3">
      <c r="A73" s="180" t="s">
        <v>509</v>
      </c>
      <c r="B73" s="182"/>
      <c r="C73" s="121">
        <f>Balansprognose!C44</f>
        <v>0</v>
      </c>
      <c r="E73" s="180" t="s">
        <v>507</v>
      </c>
      <c r="F73" s="182"/>
      <c r="G73" s="121">
        <f>Balansprognose!G37</f>
        <v>0</v>
      </c>
      <c r="H73" s="111">
        <f>SUM(J7*0.5*H70,-0.5*J7*G73)</f>
        <v>2643.5780247332787</v>
      </c>
    </row>
    <row r="74" spans="1:8" ht="15.9" customHeight="1" x14ac:dyDescent="0.3">
      <c r="A74" s="181" t="s">
        <v>508</v>
      </c>
      <c r="B74" s="170"/>
      <c r="C74" s="11">
        <f>Balansprognose!G35</f>
        <v>192121000</v>
      </c>
      <c r="E74" s="181" t="s">
        <v>666</v>
      </c>
      <c r="F74" s="170"/>
      <c r="G74" s="11">
        <f>Balansprognose!G36</f>
        <v>195464000</v>
      </c>
      <c r="H74" s="122">
        <f>SUM(H72,-H73)/C74</f>
        <v>-2.4767935022619944E-7</v>
      </c>
    </row>
    <row r="75" spans="1:8" ht="15.9" customHeight="1" x14ac:dyDescent="0.3">
      <c r="A75" s="43"/>
      <c r="E75" s="165"/>
      <c r="F75" s="170"/>
      <c r="G75" s="5"/>
    </row>
    <row r="76" spans="1:8" x14ac:dyDescent="0.25">
      <c r="A76" s="165"/>
    </row>
    <row r="77" spans="1:8" x14ac:dyDescent="0.25">
      <c r="A77" s="165"/>
    </row>
    <row r="78" spans="1:8" x14ac:dyDescent="0.25">
      <c r="A78" s="165"/>
    </row>
    <row r="79" spans="1:8" x14ac:dyDescent="0.25">
      <c r="A79" s="165"/>
      <c r="B79" s="170"/>
      <c r="C79" s="8"/>
    </row>
    <row r="80" spans="1:8" x14ac:dyDescent="0.25">
      <c r="A80" s="165"/>
      <c r="B80" s="170"/>
      <c r="C80" s="251"/>
    </row>
    <row r="81" spans="1:9" x14ac:dyDescent="0.25">
      <c r="A81" s="165"/>
      <c r="B81" s="170"/>
      <c r="C81" s="8"/>
    </row>
    <row r="82" spans="1:9" x14ac:dyDescent="0.25">
      <c r="B82" s="170"/>
    </row>
    <row r="83" spans="1:9" x14ac:dyDescent="0.25">
      <c r="B83" s="170"/>
    </row>
    <row r="84" spans="1:9" ht="13" x14ac:dyDescent="0.3">
      <c r="A84" s="43"/>
      <c r="B84" s="170"/>
      <c r="C84" s="8"/>
    </row>
    <row r="85" spans="1:9" ht="13" x14ac:dyDescent="0.3">
      <c r="A85" s="181"/>
      <c r="B85" s="181"/>
      <c r="C85" s="30"/>
      <c r="E85" s="181"/>
      <c r="G85" s="11"/>
      <c r="I85" s="15"/>
    </row>
    <row r="86" spans="1:9" ht="13" x14ac:dyDescent="0.3">
      <c r="A86" s="181"/>
      <c r="C86" s="30"/>
      <c r="E86" s="181"/>
      <c r="G86" s="11"/>
    </row>
    <row r="87" spans="1:9" ht="13" x14ac:dyDescent="0.3">
      <c r="A87" s="181"/>
      <c r="C87" s="30"/>
      <c r="E87" s="181"/>
      <c r="G87" s="11"/>
      <c r="I87" s="114"/>
    </row>
    <row r="88" spans="1:9" ht="13" x14ac:dyDescent="0.3">
      <c r="A88" s="181"/>
      <c r="C88" s="30"/>
      <c r="E88" s="181"/>
      <c r="G88" s="30"/>
    </row>
    <row r="89" spans="1:9" ht="13" x14ac:dyDescent="0.3">
      <c r="A89" s="181"/>
      <c r="C89" s="11"/>
      <c r="E89" s="181"/>
      <c r="G89" s="11"/>
      <c r="H89" s="122"/>
    </row>
    <row r="90" spans="1:9" ht="13" x14ac:dyDescent="0.3">
      <c r="A90" s="43"/>
      <c r="C90" s="8"/>
    </row>
    <row r="91" spans="1:9" x14ac:dyDescent="0.25">
      <c r="C91" s="7"/>
    </row>
    <row r="92" spans="1:9" ht="13" x14ac:dyDescent="0.3">
      <c r="A92" s="43"/>
      <c r="C92" s="11"/>
    </row>
    <row r="93" spans="1:9" ht="13" x14ac:dyDescent="0.3">
      <c r="A93" s="169"/>
      <c r="C93" s="11"/>
    </row>
  </sheetData>
  <sheetProtection algorithmName="SHA-512" hashValue="57aXGyfRHRH4ccrQ/2gpf+A0oir5NkIjirXaIQEc1y6caXZuNbIyMTIN/QC6bDZRHYidfj0cICvfF8OlvBuKIw==" saltValue="60CoHxy/oQ/FjcDBHmw29g==" spinCount="100000" sheet="1" selectLockedCells="1"/>
  <customSheetViews>
    <customSheetView guid="{B41B624D-DA5C-4FA3-85F1-D5B8087B6A65}" topLeftCell="C1">
      <selection activeCell="J15" sqref="J15"/>
      <pageMargins left="0.7" right="0.7" top="0.75" bottom="0.75" header="0.3" footer="0.3"/>
      <pageSetup paperSize="9" orientation="portrait" r:id="rId1"/>
    </customSheetView>
  </customSheetViews>
  <mergeCells count="2">
    <mergeCell ref="A1:B1"/>
    <mergeCell ref="E1:F1"/>
  </mergeCells>
  <dataValidations count="1">
    <dataValidation allowBlank="1" showErrorMessage="1" sqref="J12 M13 Q31" xr:uid="{00000000-0002-0000-0300-000000000000}"/>
  </dataValidations>
  <pageMargins left="0.7" right="0.7" top="0.75" bottom="0.75" header="0.3" footer="0.3"/>
  <pageSetup paperSize="9"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B2614-926B-4BCF-BC50-E19F37C463A6}">
  <dimension ref="A1:AV351"/>
  <sheetViews>
    <sheetView workbookViewId="0">
      <pane xSplit="1" ySplit="1" topLeftCell="AD150" activePane="bottomRight" state="frozen"/>
      <selection pane="topRight" activeCell="B1" sqref="B1"/>
      <selection pane="bottomLeft" activeCell="A2" sqref="A2"/>
      <selection pane="bottomRight" activeCell="AJ157" sqref="AJ157"/>
    </sheetView>
  </sheetViews>
  <sheetFormatPr defaultRowHeight="12.5" x14ac:dyDescent="0.25"/>
  <cols>
    <col min="1" max="1" width="27.7265625" bestFit="1" customWidth="1"/>
    <col min="2" max="2" width="17.6328125" bestFit="1" customWidth="1"/>
    <col min="3" max="3" width="19.26953125" bestFit="1" customWidth="1"/>
    <col min="4" max="4" width="20.54296875" bestFit="1" customWidth="1"/>
    <col min="5" max="5" width="21.1796875" bestFit="1" customWidth="1"/>
    <col min="6" max="6" width="29" bestFit="1" customWidth="1"/>
    <col min="7" max="7" width="19.7265625" bestFit="1" customWidth="1"/>
    <col min="8" max="8" width="22.81640625" bestFit="1" customWidth="1"/>
    <col min="9" max="9" width="18.26953125" bestFit="1" customWidth="1"/>
    <col min="10" max="10" width="18.90625" bestFit="1" customWidth="1"/>
    <col min="11" max="11" width="24.453125" bestFit="1" customWidth="1"/>
    <col min="12" max="12" width="38.54296875" bestFit="1" customWidth="1"/>
    <col min="13" max="13" width="19.453125" bestFit="1" customWidth="1"/>
    <col min="14" max="14" width="11.453125" bestFit="1" customWidth="1"/>
    <col min="15" max="15" width="15.08984375" bestFit="1" customWidth="1"/>
    <col min="16" max="16" width="21.36328125" bestFit="1" customWidth="1"/>
    <col min="17" max="17" width="28.08984375" bestFit="1" customWidth="1"/>
    <col min="18" max="18" width="38.453125" bestFit="1" customWidth="1"/>
    <col min="19" max="19" width="13.26953125" bestFit="1" customWidth="1"/>
    <col min="20" max="20" width="20.81640625" bestFit="1" customWidth="1"/>
    <col min="21" max="21" width="16" bestFit="1" customWidth="1"/>
    <col min="22" max="22" width="21.36328125" bestFit="1" customWidth="1"/>
    <col min="23" max="23" width="13.6328125" bestFit="1" customWidth="1"/>
    <col min="24" max="24" width="14.36328125" bestFit="1" customWidth="1"/>
    <col min="25" max="25" width="19.1796875" bestFit="1" customWidth="1"/>
    <col min="26" max="26" width="28.6328125" bestFit="1" customWidth="1"/>
    <col min="27" max="27" width="27.81640625" bestFit="1" customWidth="1"/>
    <col min="28" max="28" width="17.7265625" bestFit="1" customWidth="1"/>
    <col min="29" max="29" width="13.54296875" bestFit="1" customWidth="1"/>
    <col min="30" max="30" width="19.7265625" bestFit="1" customWidth="1"/>
    <col min="31" max="31" width="27.7265625" bestFit="1" customWidth="1"/>
    <col min="32" max="32" width="24" bestFit="1" customWidth="1"/>
    <col min="33" max="33" width="17.36328125" bestFit="1" customWidth="1"/>
    <col min="34" max="34" width="12.7265625" bestFit="1" customWidth="1"/>
    <col min="35" max="35" width="14.90625" bestFit="1" customWidth="1"/>
    <col min="36" max="36" width="25.7265625" bestFit="1" customWidth="1"/>
    <col min="37" max="37" width="16.36328125" bestFit="1" customWidth="1"/>
    <col min="38" max="38" width="22.81640625" bestFit="1" customWidth="1"/>
    <col min="39" max="40" width="20.6328125" bestFit="1" customWidth="1"/>
    <col min="41" max="41" width="15.90625" bestFit="1" customWidth="1"/>
    <col min="42" max="42" width="22.81640625" bestFit="1" customWidth="1"/>
    <col min="43" max="43" width="27.81640625" bestFit="1" customWidth="1"/>
    <col min="44" max="44" width="20.26953125" bestFit="1" customWidth="1"/>
    <col min="45" max="45" width="13.54296875" bestFit="1" customWidth="1"/>
    <col min="46" max="47" width="20.453125" bestFit="1" customWidth="1"/>
    <col min="48" max="48" width="6.81640625" bestFit="1" customWidth="1"/>
  </cols>
  <sheetData>
    <row r="1" spans="1:48" x14ac:dyDescent="0.25">
      <c r="A1" t="s">
        <v>582</v>
      </c>
      <c r="B1" t="s">
        <v>673</v>
      </c>
      <c r="C1" t="s">
        <v>674</v>
      </c>
      <c r="D1" t="s">
        <v>675</v>
      </c>
      <c r="E1" t="s">
        <v>676</v>
      </c>
      <c r="F1" t="s">
        <v>677</v>
      </c>
      <c r="G1" t="s">
        <v>678</v>
      </c>
      <c r="H1" t="s">
        <v>679</v>
      </c>
      <c r="I1" t="s">
        <v>680</v>
      </c>
      <c r="J1" t="s">
        <v>681</v>
      </c>
      <c r="K1" t="s">
        <v>682</v>
      </c>
      <c r="L1" t="s">
        <v>683</v>
      </c>
      <c r="M1" t="s">
        <v>684</v>
      </c>
      <c r="N1" t="s">
        <v>685</v>
      </c>
      <c r="O1" t="s">
        <v>686</v>
      </c>
      <c r="P1" t="s">
        <v>687</v>
      </c>
      <c r="Q1" t="s">
        <v>688</v>
      </c>
      <c r="R1" t="s">
        <v>689</v>
      </c>
      <c r="S1" t="s">
        <v>690</v>
      </c>
      <c r="T1" t="s">
        <v>691</v>
      </c>
      <c r="U1" t="s">
        <v>901</v>
      </c>
      <c r="V1" t="s">
        <v>902</v>
      </c>
      <c r="W1" t="s">
        <v>692</v>
      </c>
      <c r="X1" t="s">
        <v>693</v>
      </c>
      <c r="Y1" t="s">
        <v>762</v>
      </c>
      <c r="Z1" t="s">
        <v>899</v>
      </c>
      <c r="AA1" t="s">
        <v>763</v>
      </c>
      <c r="AB1" t="s">
        <v>764</v>
      </c>
      <c r="AC1" t="s">
        <v>900</v>
      </c>
      <c r="AD1" t="s">
        <v>895</v>
      </c>
      <c r="AE1" t="s">
        <v>582</v>
      </c>
      <c r="AF1" t="s">
        <v>896</v>
      </c>
      <c r="AG1" t="s">
        <v>694</v>
      </c>
      <c r="AH1" t="s">
        <v>695</v>
      </c>
      <c r="AI1" t="s">
        <v>610</v>
      </c>
      <c r="AJ1" t="s">
        <v>611</v>
      </c>
      <c r="AK1" t="s">
        <v>696</v>
      </c>
      <c r="AL1" t="s">
        <v>897</v>
      </c>
      <c r="AM1" t="s">
        <v>898</v>
      </c>
      <c r="AN1" t="s">
        <v>891</v>
      </c>
      <c r="AO1" t="s">
        <v>697</v>
      </c>
      <c r="AP1" t="s">
        <v>698</v>
      </c>
      <c r="AQ1" t="s">
        <v>699</v>
      </c>
      <c r="AR1" t="s">
        <v>700</v>
      </c>
      <c r="AS1" t="s">
        <v>701</v>
      </c>
      <c r="AT1" t="s">
        <v>767</v>
      </c>
      <c r="AU1" t="s">
        <v>702</v>
      </c>
      <c r="AV1" t="s">
        <v>703</v>
      </c>
    </row>
    <row r="2" spans="1:48" x14ac:dyDescent="0.25">
      <c r="A2" t="s">
        <v>104</v>
      </c>
      <c r="B2" s="101">
        <v>0</v>
      </c>
      <c r="C2" s="101">
        <v>4357</v>
      </c>
      <c r="D2" s="101">
        <v>39491</v>
      </c>
      <c r="E2" s="101">
        <v>137</v>
      </c>
      <c r="F2" s="101">
        <v>712</v>
      </c>
      <c r="G2" s="101">
        <v>969</v>
      </c>
      <c r="H2" s="101">
        <v>0</v>
      </c>
      <c r="I2" s="101">
        <v>3022</v>
      </c>
      <c r="J2" s="101">
        <v>0</v>
      </c>
      <c r="K2" s="101">
        <v>4464</v>
      </c>
      <c r="L2" s="101">
        <v>918</v>
      </c>
      <c r="M2" s="101">
        <v>10811</v>
      </c>
      <c r="N2" s="101">
        <v>33647</v>
      </c>
      <c r="O2" s="101">
        <v>10150</v>
      </c>
      <c r="P2" s="101">
        <v>4900</v>
      </c>
      <c r="Q2" s="101">
        <v>0</v>
      </c>
      <c r="R2" s="101">
        <v>1098</v>
      </c>
      <c r="S2" s="101">
        <v>4969</v>
      </c>
      <c r="T2" s="101">
        <v>10116</v>
      </c>
      <c r="U2" s="101">
        <v>3209</v>
      </c>
      <c r="V2" s="101">
        <v>35302</v>
      </c>
      <c r="W2" s="101">
        <v>88759</v>
      </c>
      <c r="X2" s="101">
        <v>86951</v>
      </c>
      <c r="Y2" s="101">
        <v>1808</v>
      </c>
      <c r="Z2" s="101">
        <v>1420</v>
      </c>
      <c r="AA2" s="101">
        <v>3315068.6363636367</v>
      </c>
      <c r="AB2" s="101">
        <v>62059</v>
      </c>
      <c r="AC2" s="101">
        <v>57373.974000000002</v>
      </c>
      <c r="AD2" s="101">
        <v>25845</v>
      </c>
      <c r="AE2" t="s">
        <v>104</v>
      </c>
      <c r="AF2" s="149">
        <v>-5.6106986333780201E-3</v>
      </c>
      <c r="AG2" s="149">
        <v>3.6154080149618628E-2</v>
      </c>
      <c r="AH2" s="149">
        <f t="shared" ref="AH2:AH33" si="0">SUM(F2,G2)/W2</f>
        <v>1.8938924503430637E-2</v>
      </c>
      <c r="AI2" s="149">
        <f t="shared" ref="AI2:AI33" si="1">SUM(I2,J2)/W2</f>
        <v>3.4047251546322065E-2</v>
      </c>
      <c r="AJ2" s="149">
        <v>1.4593675007604862E-2</v>
      </c>
      <c r="AK2" s="149">
        <v>0.51860357583230576</v>
      </c>
      <c r="AL2" s="149">
        <v>2.0369765319573227E-2</v>
      </c>
      <c r="AM2" s="149">
        <v>7.248560578218792E-2</v>
      </c>
      <c r="AN2" s="149">
        <v>-3.0380079786068125E-2</v>
      </c>
      <c r="AO2">
        <f t="shared" ref="AO2:AO65" si="2">COUNTIF(AL2:AN2,"&lt;0")</f>
        <v>1</v>
      </c>
      <c r="AP2" s="149">
        <v>2.407079845424126E-2</v>
      </c>
      <c r="AQ2" s="149">
        <v>3.7349098529316879E-2</v>
      </c>
      <c r="AR2" s="149">
        <v>0.69918543471647943</v>
      </c>
      <c r="AS2" s="208">
        <v>2219.9254788160188</v>
      </c>
      <c r="AT2" s="149">
        <f t="shared" ref="AT2:AT65" si="3">AU2/5</f>
        <v>5.1000000000000004E-2</v>
      </c>
      <c r="AU2" s="149">
        <v>0.255</v>
      </c>
      <c r="AV2">
        <v>10</v>
      </c>
    </row>
    <row r="3" spans="1:48" x14ac:dyDescent="0.25">
      <c r="A3" t="s">
        <v>236</v>
      </c>
      <c r="B3" s="101">
        <v>126</v>
      </c>
      <c r="C3" s="101">
        <v>3518</v>
      </c>
      <c r="D3" s="101">
        <v>87962</v>
      </c>
      <c r="E3" s="101">
        <v>1791</v>
      </c>
      <c r="F3" s="101">
        <v>0</v>
      </c>
      <c r="G3" s="101">
        <v>3202</v>
      </c>
      <c r="H3" s="101">
        <v>0</v>
      </c>
      <c r="I3" s="101">
        <v>12957</v>
      </c>
      <c r="J3" s="101">
        <v>0</v>
      </c>
      <c r="K3" s="101">
        <v>23821</v>
      </c>
      <c r="L3" s="101">
        <v>61</v>
      </c>
      <c r="M3" s="101">
        <v>33054</v>
      </c>
      <c r="N3" s="101">
        <v>85869</v>
      </c>
      <c r="O3" s="101">
        <v>15703</v>
      </c>
      <c r="P3" s="101">
        <v>39667</v>
      </c>
      <c r="Q3" s="101">
        <v>70</v>
      </c>
      <c r="R3" s="101">
        <v>0</v>
      </c>
      <c r="S3" s="101">
        <v>11105</v>
      </c>
      <c r="T3" s="101">
        <v>14081</v>
      </c>
      <c r="U3" s="101">
        <v>4785</v>
      </c>
      <c r="V3" s="101">
        <v>71904</v>
      </c>
      <c r="W3" s="101">
        <v>107230</v>
      </c>
      <c r="X3" s="101">
        <v>98666</v>
      </c>
      <c r="Y3" s="101">
        <v>8564</v>
      </c>
      <c r="Z3" s="101">
        <v>5081</v>
      </c>
      <c r="AA3" s="101">
        <v>4503580</v>
      </c>
      <c r="AB3" s="101">
        <v>63477</v>
      </c>
      <c r="AC3" s="101">
        <v>64049.644</v>
      </c>
      <c r="AD3" s="101">
        <v>33279</v>
      </c>
      <c r="AE3" t="s">
        <v>236</v>
      </c>
      <c r="AF3" s="149">
        <v>3.2481581646927167E-2</v>
      </c>
      <c r="AG3" s="149">
        <v>4.4623706052410707E-2</v>
      </c>
      <c r="AH3" s="149">
        <f t="shared" si="0"/>
        <v>2.9861046348969505E-2</v>
      </c>
      <c r="AI3" s="149">
        <f t="shared" si="1"/>
        <v>0.12083372190618297</v>
      </c>
      <c r="AJ3" s="149">
        <v>-3.6376573720041022E-2</v>
      </c>
      <c r="AK3" s="149">
        <v>0.5157452175741013</v>
      </c>
      <c r="AL3" s="149">
        <v>7.986570922316516E-2</v>
      </c>
      <c r="AM3" s="149">
        <v>3.4399299654977088E-2</v>
      </c>
      <c r="AN3" s="149">
        <v>-9.5929610884242893E-3</v>
      </c>
      <c r="AO3">
        <f t="shared" si="2"/>
        <v>1</v>
      </c>
      <c r="AP3" s="149">
        <v>4.593397370138954E-2</v>
      </c>
      <c r="AQ3" s="149">
        <v>4.1999253940128697E-2</v>
      </c>
      <c r="AR3" s="149">
        <v>0.59197053063508343</v>
      </c>
      <c r="AS3" s="208">
        <v>1924.6264611316446</v>
      </c>
      <c r="AT3" s="149">
        <f t="shared" si="3"/>
        <v>3.1600000000000003E-2</v>
      </c>
      <c r="AU3" s="149">
        <v>0.15800000000000003</v>
      </c>
      <c r="AV3">
        <v>10</v>
      </c>
    </row>
    <row r="4" spans="1:48" x14ac:dyDescent="0.25">
      <c r="A4" t="s">
        <v>163</v>
      </c>
      <c r="B4" s="101">
        <v>0</v>
      </c>
      <c r="C4" s="101">
        <v>9901</v>
      </c>
      <c r="D4" s="101">
        <v>38051</v>
      </c>
      <c r="E4" s="101">
        <v>1256</v>
      </c>
      <c r="F4" s="101">
        <v>81</v>
      </c>
      <c r="G4" s="101">
        <v>10151</v>
      </c>
      <c r="H4" s="101">
        <v>206</v>
      </c>
      <c r="I4" s="101">
        <v>57</v>
      </c>
      <c r="J4" s="101">
        <v>0</v>
      </c>
      <c r="K4" s="101">
        <v>1916</v>
      </c>
      <c r="L4" s="101">
        <v>2471</v>
      </c>
      <c r="M4" s="101">
        <v>9779</v>
      </c>
      <c r="N4" s="101">
        <v>30159</v>
      </c>
      <c r="O4" s="101">
        <v>5714</v>
      </c>
      <c r="P4" s="101">
        <v>23980</v>
      </c>
      <c r="Q4" s="101">
        <v>2</v>
      </c>
      <c r="R4" s="101">
        <v>0</v>
      </c>
      <c r="S4" s="101">
        <v>4373</v>
      </c>
      <c r="T4" s="101">
        <v>9643</v>
      </c>
      <c r="U4" s="101">
        <v>13394</v>
      </c>
      <c r="V4" s="101">
        <v>40898</v>
      </c>
      <c r="W4" s="101">
        <v>83971</v>
      </c>
      <c r="X4" s="101">
        <v>79606</v>
      </c>
      <c r="Y4" s="101">
        <v>4365</v>
      </c>
      <c r="Z4" s="101">
        <v>1066</v>
      </c>
      <c r="AA4" s="101">
        <v>2951614.4763779528</v>
      </c>
      <c r="AB4" s="101">
        <v>66886</v>
      </c>
      <c r="AC4" s="101">
        <v>54827.769</v>
      </c>
      <c r="AD4" s="101">
        <v>27308</v>
      </c>
      <c r="AE4" t="s">
        <v>163</v>
      </c>
      <c r="AF4" s="149">
        <v>4.1823963034857276E-2</v>
      </c>
      <c r="AG4" s="149">
        <v>0.15950744900025007</v>
      </c>
      <c r="AH4" s="149">
        <f t="shared" si="0"/>
        <v>0.12185159162091674</v>
      </c>
      <c r="AI4" s="149">
        <f t="shared" si="1"/>
        <v>6.7880577818532585E-4</v>
      </c>
      <c r="AJ4" s="149">
        <v>0.17365447595003036</v>
      </c>
      <c r="AK4" s="149">
        <v>0.4082657605826373</v>
      </c>
      <c r="AL4" s="149">
        <v>5.1982231961034166E-2</v>
      </c>
      <c r="AM4" s="149">
        <v>4.7363160832262503E-2</v>
      </c>
      <c r="AN4" s="149">
        <v>1.8770530267480056E-2</v>
      </c>
      <c r="AO4">
        <f t="shared" si="2"/>
        <v>0</v>
      </c>
      <c r="AP4" s="149">
        <v>2.1001298067189863E-2</v>
      </c>
      <c r="AQ4" s="149">
        <v>3.5150402834049292E-2</v>
      </c>
      <c r="AR4" s="149">
        <v>0.79653689964392471</v>
      </c>
      <c r="AS4" s="208">
        <v>2007.7548337483522</v>
      </c>
      <c r="AT4" s="149">
        <f t="shared" si="3"/>
        <v>5.2000000000000005E-2</v>
      </c>
      <c r="AU4" s="149">
        <v>0.26</v>
      </c>
      <c r="AV4">
        <v>9.5</v>
      </c>
    </row>
    <row r="5" spans="1:48" x14ac:dyDescent="0.25">
      <c r="A5" t="s">
        <v>125</v>
      </c>
      <c r="B5" s="101">
        <v>10</v>
      </c>
      <c r="C5" s="101">
        <v>6372</v>
      </c>
      <c r="D5" s="101">
        <v>67627</v>
      </c>
      <c r="E5" s="101">
        <v>0</v>
      </c>
      <c r="F5" s="101">
        <v>0</v>
      </c>
      <c r="G5" s="101">
        <v>0</v>
      </c>
      <c r="H5" s="101">
        <v>0</v>
      </c>
      <c r="I5" s="101">
        <v>107</v>
      </c>
      <c r="J5" s="101">
        <v>0</v>
      </c>
      <c r="K5" s="101">
        <v>9223</v>
      </c>
      <c r="L5" s="101">
        <v>7763</v>
      </c>
      <c r="M5" s="101">
        <v>6356</v>
      </c>
      <c r="N5" s="101">
        <v>31173</v>
      </c>
      <c r="O5" s="101">
        <v>10262</v>
      </c>
      <c r="P5" s="101">
        <v>32220</v>
      </c>
      <c r="Q5" s="101">
        <v>0</v>
      </c>
      <c r="R5" s="101">
        <v>0</v>
      </c>
      <c r="S5" s="101">
        <v>12701</v>
      </c>
      <c r="T5" s="101">
        <v>11102</v>
      </c>
      <c r="U5" s="101">
        <v>32681</v>
      </c>
      <c r="V5" s="101">
        <v>62728</v>
      </c>
      <c r="W5" s="101">
        <v>104732</v>
      </c>
      <c r="X5" s="101">
        <v>105483</v>
      </c>
      <c r="Y5" s="101">
        <v>-751</v>
      </c>
      <c r="Z5" s="101">
        <v>643</v>
      </c>
      <c r="AA5" s="101">
        <v>715683.48113207612</v>
      </c>
      <c r="AB5" s="101">
        <v>81869</v>
      </c>
      <c r="AC5" s="101">
        <v>70669.842000000004</v>
      </c>
      <c r="AD5" s="101">
        <v>28226</v>
      </c>
      <c r="AE5" t="s">
        <v>125</v>
      </c>
      <c r="AF5" s="149">
        <v>7.4762250315089946E-3</v>
      </c>
      <c r="AG5" s="149">
        <v>0.31204407439941945</v>
      </c>
      <c r="AH5" s="149">
        <f t="shared" si="0"/>
        <v>0</v>
      </c>
      <c r="AI5" s="149">
        <f t="shared" si="1"/>
        <v>1.0216552725050606E-3</v>
      </c>
      <c r="AJ5" s="149">
        <v>0.31132891570866589</v>
      </c>
      <c r="AK5" s="149">
        <v>0.31986086314104539</v>
      </c>
      <c r="AL5" s="149">
        <v>-7.1706832677691634E-3</v>
      </c>
      <c r="AM5" s="149">
        <v>5.6597194548497647E-2</v>
      </c>
      <c r="AN5" s="149">
        <v>2.6972339050565189E-2</v>
      </c>
      <c r="AO5">
        <f t="shared" si="2"/>
        <v>1</v>
      </c>
      <c r="AP5" s="149">
        <v>2.6928254974601842E-2</v>
      </c>
      <c r="AQ5" s="149">
        <v>6.8334747845173981E-3</v>
      </c>
      <c r="AR5" s="149">
        <v>0.78169995798800751</v>
      </c>
      <c r="AS5" s="208">
        <v>2503.7143768157021</v>
      </c>
      <c r="AT5" s="149">
        <f t="shared" si="3"/>
        <v>5.3800000000000001E-2</v>
      </c>
      <c r="AU5" s="149">
        <v>0.26900000000000002</v>
      </c>
      <c r="AV5">
        <v>7.5</v>
      </c>
    </row>
    <row r="6" spans="1:48" x14ac:dyDescent="0.25">
      <c r="A6" t="s">
        <v>281</v>
      </c>
      <c r="B6" s="101">
        <v>372</v>
      </c>
      <c r="C6" s="101">
        <v>3068</v>
      </c>
      <c r="D6" s="101">
        <v>71609</v>
      </c>
      <c r="E6" s="101">
        <v>1504</v>
      </c>
      <c r="F6" s="101">
        <v>2592</v>
      </c>
      <c r="G6" s="101">
        <v>465</v>
      </c>
      <c r="H6" s="101">
        <v>0</v>
      </c>
      <c r="I6" s="101">
        <v>410</v>
      </c>
      <c r="J6" s="101">
        <v>0</v>
      </c>
      <c r="K6" s="101">
        <v>9605</v>
      </c>
      <c r="L6" s="101">
        <v>446</v>
      </c>
      <c r="M6" s="101">
        <v>3467</v>
      </c>
      <c r="N6" s="101">
        <v>28422</v>
      </c>
      <c r="O6" s="101">
        <v>3962</v>
      </c>
      <c r="P6" s="101">
        <v>52246</v>
      </c>
      <c r="Q6" s="101">
        <v>0</v>
      </c>
      <c r="R6" s="101">
        <v>0</v>
      </c>
      <c r="S6" s="101">
        <v>2131</v>
      </c>
      <c r="T6" s="101">
        <v>6776</v>
      </c>
      <c r="U6" s="101">
        <v>44578</v>
      </c>
      <c r="V6" s="101">
        <v>58611</v>
      </c>
      <c r="W6" s="101">
        <v>71818</v>
      </c>
      <c r="X6" s="101">
        <v>72531</v>
      </c>
      <c r="Y6" s="101">
        <v>-713</v>
      </c>
      <c r="Z6" s="101">
        <v>3652</v>
      </c>
      <c r="AA6" s="101">
        <v>467457.17391304392</v>
      </c>
      <c r="AB6" s="101">
        <v>54127</v>
      </c>
      <c r="AC6" s="101">
        <v>47082.716</v>
      </c>
      <c r="AD6" s="101">
        <v>20314</v>
      </c>
      <c r="AE6" t="s">
        <v>281</v>
      </c>
      <c r="AF6" s="149">
        <v>-6.833941351750257E-2</v>
      </c>
      <c r="AG6" s="149">
        <v>0.6207079005263304</v>
      </c>
      <c r="AH6" s="149">
        <f t="shared" si="0"/>
        <v>4.2565930546659615E-2</v>
      </c>
      <c r="AI6" s="149">
        <f t="shared" si="1"/>
        <v>5.7088752123423099E-3</v>
      </c>
      <c r="AJ6" s="149">
        <v>0.62181959954329002</v>
      </c>
      <c r="AK6" s="149">
        <v>0.30385836620802464</v>
      </c>
      <c r="AL6" s="149">
        <v>-9.9278732351221147E-3</v>
      </c>
      <c r="AM6" s="149">
        <v>-2.2558758695714408E-2</v>
      </c>
      <c r="AN6" s="149">
        <v>-4.0944881889763779E-2</v>
      </c>
      <c r="AO6">
        <f t="shared" si="2"/>
        <v>3</v>
      </c>
      <c r="AP6" s="149">
        <v>5.7221030939318837E-2</v>
      </c>
      <c r="AQ6" s="149">
        <v>6.5089138365457674E-3</v>
      </c>
      <c r="AR6" s="149">
        <v>0.75366899663037124</v>
      </c>
      <c r="AS6" s="208">
        <v>2317.747169439795</v>
      </c>
      <c r="AT6" s="149">
        <f t="shared" si="3"/>
        <v>6.1600000000000002E-2</v>
      </c>
      <c r="AU6" s="149">
        <v>0.308</v>
      </c>
      <c r="AV6">
        <v>5</v>
      </c>
    </row>
    <row r="7" spans="1:48" x14ac:dyDescent="0.25">
      <c r="A7" t="s">
        <v>282</v>
      </c>
      <c r="B7" s="101">
        <v>602</v>
      </c>
      <c r="C7" s="101">
        <v>7835</v>
      </c>
      <c r="D7" s="101">
        <v>58739</v>
      </c>
      <c r="E7" s="101">
        <v>1761</v>
      </c>
      <c r="F7" s="101">
        <v>0</v>
      </c>
      <c r="G7" s="101">
        <v>1422</v>
      </c>
      <c r="H7" s="101">
        <v>0</v>
      </c>
      <c r="I7" s="101">
        <v>8840</v>
      </c>
      <c r="J7" s="101">
        <v>401</v>
      </c>
      <c r="K7" s="101">
        <v>1784</v>
      </c>
      <c r="L7" s="101">
        <v>6711</v>
      </c>
      <c r="M7" s="101">
        <v>14420</v>
      </c>
      <c r="N7" s="101">
        <v>40076</v>
      </c>
      <c r="O7" s="101">
        <v>14342</v>
      </c>
      <c r="P7" s="101">
        <v>39674</v>
      </c>
      <c r="Q7" s="101">
        <v>9</v>
      </c>
      <c r="R7" s="101">
        <v>0</v>
      </c>
      <c r="S7" s="101">
        <v>2656</v>
      </c>
      <c r="T7" s="101">
        <v>5758</v>
      </c>
      <c r="U7" s="101">
        <v>23760</v>
      </c>
      <c r="V7" s="101">
        <v>57775</v>
      </c>
      <c r="W7" s="101">
        <v>76217</v>
      </c>
      <c r="X7" s="101">
        <v>71044</v>
      </c>
      <c r="Y7" s="101">
        <v>5173</v>
      </c>
      <c r="Z7" s="101">
        <v>-1072</v>
      </c>
      <c r="AA7" s="101">
        <v>1703898.5</v>
      </c>
      <c r="AB7" s="101">
        <v>50063</v>
      </c>
      <c r="AC7" s="101">
        <v>45584.936000000002</v>
      </c>
      <c r="AD7" s="101">
        <v>26428</v>
      </c>
      <c r="AE7" t="s">
        <v>282</v>
      </c>
      <c r="AF7" s="149">
        <v>6.3122400514320956E-2</v>
      </c>
      <c r="AG7" s="149">
        <v>0.31174147499901594</v>
      </c>
      <c r="AH7" s="149">
        <f t="shared" si="0"/>
        <v>1.8657254943122925E-2</v>
      </c>
      <c r="AI7" s="149">
        <f t="shared" si="1"/>
        <v>0.12124591626540011</v>
      </c>
      <c r="AJ7" s="149">
        <v>0.22910820420641062</v>
      </c>
      <c r="AK7" s="149">
        <v>0.39092815685509436</v>
      </c>
      <c r="AL7" s="149">
        <v>6.7871997061023134E-2</v>
      </c>
      <c r="AM7" s="149">
        <v>5.3259418354907996E-3</v>
      </c>
      <c r="AN7" s="149">
        <v>9.5871559633027518E-3</v>
      </c>
      <c r="AO7">
        <f t="shared" si="2"/>
        <v>0</v>
      </c>
      <c r="AP7" s="149">
        <v>3.0836296364328167E-2</v>
      </c>
      <c r="AQ7" s="149">
        <v>2.2355885169975203E-2</v>
      </c>
      <c r="AR7" s="149">
        <v>0.65684820971699232</v>
      </c>
      <c r="AS7" s="208">
        <v>1724.8727107613138</v>
      </c>
      <c r="AT7" s="149">
        <f t="shared" si="3"/>
        <v>3.8699999999999998E-2</v>
      </c>
      <c r="AU7" s="149">
        <v>0.19350000000000001</v>
      </c>
      <c r="AV7">
        <v>9</v>
      </c>
    </row>
    <row r="8" spans="1:48" x14ac:dyDescent="0.25">
      <c r="A8" t="s">
        <v>237</v>
      </c>
      <c r="B8" s="101">
        <v>27</v>
      </c>
      <c r="C8" s="101">
        <v>75759</v>
      </c>
      <c r="D8" s="101">
        <v>393020</v>
      </c>
      <c r="E8" s="101">
        <v>2230</v>
      </c>
      <c r="F8" s="101">
        <v>0</v>
      </c>
      <c r="G8" s="101">
        <v>15201</v>
      </c>
      <c r="H8" s="101">
        <v>0</v>
      </c>
      <c r="I8" s="101">
        <v>23315</v>
      </c>
      <c r="J8" s="101">
        <v>13423</v>
      </c>
      <c r="K8" s="101">
        <v>45465</v>
      </c>
      <c r="L8" s="101">
        <v>25457</v>
      </c>
      <c r="M8" s="101">
        <v>18226</v>
      </c>
      <c r="N8" s="101">
        <v>161587</v>
      </c>
      <c r="O8" s="101">
        <v>15904</v>
      </c>
      <c r="P8" s="101">
        <v>343934</v>
      </c>
      <c r="Q8" s="101">
        <v>818</v>
      </c>
      <c r="R8" s="101">
        <v>0</v>
      </c>
      <c r="S8" s="101">
        <v>23583</v>
      </c>
      <c r="T8" s="101">
        <v>66295</v>
      </c>
      <c r="U8" s="101">
        <v>330281</v>
      </c>
      <c r="V8" s="101">
        <v>478003</v>
      </c>
      <c r="W8" s="101">
        <v>477315</v>
      </c>
      <c r="X8" s="101">
        <v>496409</v>
      </c>
      <c r="Y8" s="101">
        <v>-19094</v>
      </c>
      <c r="Z8" s="101">
        <v>18141</v>
      </c>
      <c r="AA8" s="101">
        <v>16016468.626994468</v>
      </c>
      <c r="AB8" s="101">
        <v>355396</v>
      </c>
      <c r="AC8" s="101">
        <v>288066.79561000003</v>
      </c>
      <c r="AD8" s="101">
        <v>112304</v>
      </c>
      <c r="AE8" t="s">
        <v>237</v>
      </c>
      <c r="AF8" s="149">
        <v>-6.8168819333144781E-2</v>
      </c>
      <c r="AG8" s="149">
        <v>0.69195604579784842</v>
      </c>
      <c r="AH8" s="149">
        <f t="shared" si="0"/>
        <v>3.1846893560856036E-2</v>
      </c>
      <c r="AI8" s="149">
        <f t="shared" si="1"/>
        <v>7.696803997360234E-2</v>
      </c>
      <c r="AJ8" s="149">
        <v>0.64190004504362952</v>
      </c>
      <c r="AK8" s="149">
        <v>0.26397885385405828</v>
      </c>
      <c r="AL8" s="149">
        <v>-4.0002933073546819E-2</v>
      </c>
      <c r="AM8" s="149">
        <v>5.7416572848737177E-2</v>
      </c>
      <c r="AN8" s="149">
        <v>4.0318138961754242E-2</v>
      </c>
      <c r="AO8">
        <f t="shared" si="2"/>
        <v>1</v>
      </c>
      <c r="AP8" s="149">
        <v>-4.8170495375171535E-3</v>
      </c>
      <c r="AQ8" s="149">
        <v>3.3555343173783496E-2</v>
      </c>
      <c r="AR8" s="149">
        <v>0.74457329017525109</v>
      </c>
      <c r="AS8" s="208">
        <v>2565.062647902123</v>
      </c>
      <c r="AT8" s="149">
        <f t="shared" si="3"/>
        <v>6.1499999999999999E-2</v>
      </c>
      <c r="AU8" s="149">
        <v>0.3075</v>
      </c>
      <c r="AV8">
        <v>7</v>
      </c>
    </row>
    <row r="9" spans="1:48" x14ac:dyDescent="0.25">
      <c r="A9" t="s">
        <v>139</v>
      </c>
      <c r="B9" s="101">
        <v>2307</v>
      </c>
      <c r="C9" s="101">
        <v>30279</v>
      </c>
      <c r="D9" s="101">
        <v>198448</v>
      </c>
      <c r="E9" s="101">
        <v>673</v>
      </c>
      <c r="F9" s="101">
        <v>5572</v>
      </c>
      <c r="G9" s="101">
        <v>9067</v>
      </c>
      <c r="H9" s="101">
        <v>1515</v>
      </c>
      <c r="I9" s="101">
        <v>18918</v>
      </c>
      <c r="J9" s="101">
        <v>502</v>
      </c>
      <c r="K9" s="101">
        <v>32991</v>
      </c>
      <c r="L9" s="101">
        <v>51125</v>
      </c>
      <c r="M9" s="101">
        <v>23671</v>
      </c>
      <c r="N9" s="101">
        <v>120516</v>
      </c>
      <c r="O9" s="101">
        <v>20329</v>
      </c>
      <c r="P9" s="101">
        <v>181633</v>
      </c>
      <c r="Q9" s="101">
        <v>437</v>
      </c>
      <c r="R9" s="101">
        <v>0</v>
      </c>
      <c r="S9" s="101">
        <v>14139</v>
      </c>
      <c r="T9" s="101">
        <v>38011</v>
      </c>
      <c r="U9" s="101">
        <v>110279</v>
      </c>
      <c r="V9" s="101">
        <v>198850</v>
      </c>
      <c r="W9" s="101">
        <v>377688</v>
      </c>
      <c r="X9" s="101">
        <v>353096</v>
      </c>
      <c r="Y9" s="101">
        <v>24592</v>
      </c>
      <c r="Z9" s="101">
        <v>12358</v>
      </c>
      <c r="AA9" s="101">
        <v>-3206699.3565510064</v>
      </c>
      <c r="AB9" s="101">
        <v>276242</v>
      </c>
      <c r="AC9" s="101">
        <v>214681.14254</v>
      </c>
      <c r="AD9" s="101">
        <v>74317</v>
      </c>
      <c r="AE9" t="s">
        <v>139</v>
      </c>
      <c r="AF9" s="149">
        <v>0</v>
      </c>
      <c r="AG9" s="149">
        <v>0.29198438923132319</v>
      </c>
      <c r="AH9" s="149">
        <f t="shared" si="0"/>
        <v>3.8759505200059309E-2</v>
      </c>
      <c r="AI9" s="149">
        <f t="shared" si="1"/>
        <v>5.14181017135837E-2</v>
      </c>
      <c r="AJ9" s="149">
        <v>0.26064285865582171</v>
      </c>
      <c r="AK9" s="149">
        <v>0.191</v>
      </c>
      <c r="AL9" s="149">
        <v>0</v>
      </c>
      <c r="AM9" s="149">
        <v>9.3245254365983299E-2</v>
      </c>
      <c r="AN9" s="149">
        <v>9.3245254365983299E-2</v>
      </c>
      <c r="AO9">
        <f t="shared" si="2"/>
        <v>0</v>
      </c>
      <c r="AP9" s="149">
        <v>2.1303297960221134E-2</v>
      </c>
      <c r="AQ9" s="149">
        <v>-8.4903395303822377E-3</v>
      </c>
      <c r="AR9" s="149">
        <v>0.73140263921543713</v>
      </c>
      <c r="AS9" s="208">
        <v>2888.7218609470242</v>
      </c>
      <c r="AT9" s="149">
        <f t="shared" si="3"/>
        <v>3.6700000000000003E-2</v>
      </c>
      <c r="AU9" s="149">
        <v>0.18350000000000002</v>
      </c>
      <c r="AV9">
        <v>8.5</v>
      </c>
    </row>
    <row r="10" spans="1:48" x14ac:dyDescent="0.25">
      <c r="A10" t="s">
        <v>427</v>
      </c>
      <c r="B10" s="101">
        <v>7476</v>
      </c>
      <c r="C10" s="101">
        <v>227584</v>
      </c>
      <c r="D10" s="101">
        <v>654298</v>
      </c>
      <c r="E10" s="101">
        <v>98058</v>
      </c>
      <c r="F10" s="101">
        <v>5112</v>
      </c>
      <c r="G10" s="101">
        <v>11949</v>
      </c>
      <c r="H10" s="101">
        <v>0</v>
      </c>
      <c r="I10" s="101">
        <v>298251</v>
      </c>
      <c r="J10" s="101">
        <v>0</v>
      </c>
      <c r="K10" s="101">
        <v>124732</v>
      </c>
      <c r="L10" s="101">
        <v>439</v>
      </c>
      <c r="M10" s="101">
        <v>56140</v>
      </c>
      <c r="N10" s="101">
        <v>458639</v>
      </c>
      <c r="O10" s="101">
        <v>350338</v>
      </c>
      <c r="P10" s="101">
        <v>360000</v>
      </c>
      <c r="Q10" s="101">
        <v>513</v>
      </c>
      <c r="R10" s="101">
        <v>123455</v>
      </c>
      <c r="S10" s="101">
        <v>62040</v>
      </c>
      <c r="T10" s="101">
        <v>129055</v>
      </c>
      <c r="U10" s="101">
        <v>476691</v>
      </c>
      <c r="V10" s="101">
        <v>790352</v>
      </c>
      <c r="W10" s="101">
        <v>1073488</v>
      </c>
      <c r="X10" s="101">
        <v>1059954</v>
      </c>
      <c r="Y10" s="101">
        <v>13534</v>
      </c>
      <c r="Z10" s="101">
        <v>36083</v>
      </c>
      <c r="AA10" s="101">
        <v>14711413.365030676</v>
      </c>
      <c r="AB10" s="101">
        <v>715649</v>
      </c>
      <c r="AC10" s="101">
        <v>549617.96600000001</v>
      </c>
      <c r="AD10" s="101">
        <v>226500</v>
      </c>
      <c r="AE10" t="s">
        <v>427</v>
      </c>
      <c r="AF10" s="149">
        <v>-0.13114166157423279</v>
      </c>
      <c r="AG10" s="149">
        <v>0.44405806119863472</v>
      </c>
      <c r="AH10" s="149">
        <f t="shared" si="0"/>
        <v>1.5893051436066355E-2</v>
      </c>
      <c r="AI10" s="149">
        <f t="shared" si="1"/>
        <v>0.27783356684005783</v>
      </c>
      <c r="AJ10" s="149">
        <v>0.25148173058292222</v>
      </c>
      <c r="AK10" s="149">
        <v>0.30904759979515378</v>
      </c>
      <c r="AL10" s="149">
        <v>1.2607500037261712E-2</v>
      </c>
      <c r="AM10" s="149">
        <v>4.6154932836909822E-2</v>
      </c>
      <c r="AN10" s="149">
        <v>-5.1512819854218059E-2</v>
      </c>
      <c r="AO10">
        <f t="shared" si="2"/>
        <v>1</v>
      </c>
      <c r="AP10" s="149">
        <v>2.3057081215626073E-2</v>
      </c>
      <c r="AQ10" s="149">
        <v>1.3815739005316038E-2</v>
      </c>
      <c r="AR10" s="149">
        <v>0.67207817210258913</v>
      </c>
      <c r="AS10" s="208">
        <v>2426.5693863134657</v>
      </c>
      <c r="AT10" s="149">
        <f t="shared" si="3"/>
        <v>6.2799999999999995E-2</v>
      </c>
      <c r="AU10" s="149">
        <v>0.31399999999999995</v>
      </c>
      <c r="AV10">
        <v>9</v>
      </c>
    </row>
    <row r="11" spans="1:48" x14ac:dyDescent="0.25">
      <c r="A11" t="s">
        <v>283</v>
      </c>
      <c r="B11" s="101">
        <v>4394</v>
      </c>
      <c r="C11" s="101">
        <v>36813</v>
      </c>
      <c r="D11" s="101">
        <v>337129</v>
      </c>
      <c r="E11" s="101">
        <v>7506</v>
      </c>
      <c r="F11" s="101">
        <v>42041</v>
      </c>
      <c r="G11" s="101">
        <v>80</v>
      </c>
      <c r="H11" s="101">
        <v>9468</v>
      </c>
      <c r="I11" s="101">
        <v>38010</v>
      </c>
      <c r="J11" s="101">
        <v>1936</v>
      </c>
      <c r="K11" s="101">
        <v>38516</v>
      </c>
      <c r="L11" s="101">
        <v>429</v>
      </c>
      <c r="M11" s="101">
        <v>18911</v>
      </c>
      <c r="N11" s="101">
        <v>269189</v>
      </c>
      <c r="O11" s="101">
        <v>38292</v>
      </c>
      <c r="P11" s="101">
        <v>142900</v>
      </c>
      <c r="Q11" s="101">
        <v>5</v>
      </c>
      <c r="R11" s="101">
        <v>24213</v>
      </c>
      <c r="S11" s="101">
        <v>20729</v>
      </c>
      <c r="T11" s="101">
        <v>39883</v>
      </c>
      <c r="U11" s="101">
        <v>118285</v>
      </c>
      <c r="V11" s="101">
        <v>297997</v>
      </c>
      <c r="W11" s="101">
        <v>399008</v>
      </c>
      <c r="X11" s="101">
        <v>400853</v>
      </c>
      <c r="Y11" s="101">
        <v>-1845</v>
      </c>
      <c r="Z11" s="101">
        <v>33454</v>
      </c>
      <c r="AA11" s="101">
        <v>15780177.190785341</v>
      </c>
      <c r="AB11" s="101">
        <v>276862</v>
      </c>
      <c r="AC11" s="101">
        <v>254771.72099999999</v>
      </c>
      <c r="AD11" s="101">
        <v>114966</v>
      </c>
      <c r="AE11" t="s">
        <v>283</v>
      </c>
      <c r="AF11" s="149">
        <v>-8.8439329537252392E-2</v>
      </c>
      <c r="AG11" s="149">
        <v>0.29591386638864381</v>
      </c>
      <c r="AH11" s="149">
        <f t="shared" si="0"/>
        <v>0.10556429946266742</v>
      </c>
      <c r="AI11" s="149">
        <f t="shared" si="1"/>
        <v>0.10011328093672307</v>
      </c>
      <c r="AJ11" s="149">
        <v>0.23850228566845777</v>
      </c>
      <c r="AK11" s="149">
        <v>0.50295864621616526</v>
      </c>
      <c r="AL11" s="149">
        <v>-4.623967439249338E-3</v>
      </c>
      <c r="AM11" s="149">
        <v>5.6589307535908018E-2</v>
      </c>
      <c r="AN11" s="149">
        <v>4.0874106494946091E-2</v>
      </c>
      <c r="AO11">
        <f t="shared" si="2"/>
        <v>1</v>
      </c>
      <c r="AP11" s="149">
        <v>5.0336710040901435E-2</v>
      </c>
      <c r="AQ11" s="149">
        <v>3.9548523314784013E-2</v>
      </c>
      <c r="AR11" s="149">
        <v>0.69387581201379422</v>
      </c>
      <c r="AS11" s="208">
        <v>2216.0614529513073</v>
      </c>
      <c r="AT11" s="149">
        <f t="shared" si="3"/>
        <v>5.7200000000000008E-2</v>
      </c>
      <c r="AU11" s="149">
        <v>0.28600000000000003</v>
      </c>
      <c r="AV11">
        <v>7.5</v>
      </c>
    </row>
    <row r="12" spans="1:48" x14ac:dyDescent="0.25">
      <c r="A12" t="s">
        <v>341</v>
      </c>
      <c r="B12" s="101">
        <v>403</v>
      </c>
      <c r="C12" s="101">
        <v>1297</v>
      </c>
      <c r="D12" s="101">
        <v>22612</v>
      </c>
      <c r="E12" s="101">
        <v>43</v>
      </c>
      <c r="F12" s="101">
        <v>0</v>
      </c>
      <c r="G12" s="101">
        <v>535</v>
      </c>
      <c r="H12" s="101">
        <v>849</v>
      </c>
      <c r="I12" s="101">
        <v>0</v>
      </c>
      <c r="J12" s="101">
        <v>0</v>
      </c>
      <c r="K12" s="101">
        <v>6736</v>
      </c>
      <c r="L12" s="101">
        <v>1664</v>
      </c>
      <c r="M12" s="101">
        <v>1344</v>
      </c>
      <c r="N12" s="101">
        <v>10798</v>
      </c>
      <c r="O12" s="101">
        <v>2215</v>
      </c>
      <c r="P12" s="101">
        <v>10400</v>
      </c>
      <c r="Q12" s="101">
        <v>158</v>
      </c>
      <c r="R12" s="101">
        <v>4002</v>
      </c>
      <c r="S12" s="101">
        <v>3275</v>
      </c>
      <c r="T12" s="101">
        <v>4635</v>
      </c>
      <c r="U12" s="101">
        <v>11342</v>
      </c>
      <c r="V12" s="101">
        <v>21476</v>
      </c>
      <c r="W12" s="101">
        <v>27413</v>
      </c>
      <c r="X12" s="101">
        <v>27441</v>
      </c>
      <c r="Y12" s="101">
        <v>-28</v>
      </c>
      <c r="Z12" s="101">
        <v>1000</v>
      </c>
      <c r="AA12" s="101">
        <v>1445022.3599999999</v>
      </c>
      <c r="AB12" s="101">
        <v>19145</v>
      </c>
      <c r="AC12" s="101">
        <v>19516.095000000001</v>
      </c>
      <c r="AD12" s="101">
        <v>10455</v>
      </c>
      <c r="AE12" t="s">
        <v>341</v>
      </c>
      <c r="AF12" s="149">
        <v>-1.0360048152336482E-2</v>
      </c>
      <c r="AG12" s="149">
        <v>0.41374530332324078</v>
      </c>
      <c r="AH12" s="149">
        <f t="shared" si="0"/>
        <v>1.9516287892605698E-2</v>
      </c>
      <c r="AI12" s="149">
        <f t="shared" si="1"/>
        <v>0</v>
      </c>
      <c r="AJ12" s="149">
        <v>0.41608725787035344</v>
      </c>
      <c r="AK12" s="149">
        <v>0.30431474227094663</v>
      </c>
      <c r="AL12" s="149">
        <v>-1.0214131981176814E-3</v>
      </c>
      <c r="AM12" s="149">
        <v>4.9782594996534126E-2</v>
      </c>
      <c r="AN12" s="149">
        <v>2.6796016923800164E-2</v>
      </c>
      <c r="AO12">
        <f t="shared" si="2"/>
        <v>1</v>
      </c>
      <c r="AP12" s="149">
        <v>2.5863641338051288E-2</v>
      </c>
      <c r="AQ12" s="149">
        <v>5.2851847408653667E-2</v>
      </c>
      <c r="AR12" s="149">
        <v>0.70023042317398776</v>
      </c>
      <c r="AS12" s="208">
        <v>1866.6757532281206</v>
      </c>
      <c r="AT12" s="149">
        <f t="shared" si="3"/>
        <v>5.9299999999999999E-2</v>
      </c>
      <c r="AU12" s="149">
        <v>0.29649999999999999</v>
      </c>
      <c r="AV12">
        <v>9</v>
      </c>
    </row>
    <row r="13" spans="1:48" x14ac:dyDescent="0.25">
      <c r="A13" t="s">
        <v>591</v>
      </c>
      <c r="B13" s="101">
        <v>4791</v>
      </c>
      <c r="C13" s="101">
        <v>17356</v>
      </c>
      <c r="D13" s="101">
        <v>168500</v>
      </c>
      <c r="E13" s="101">
        <v>4053</v>
      </c>
      <c r="F13" s="101">
        <v>2269</v>
      </c>
      <c r="G13" s="101">
        <v>2324</v>
      </c>
      <c r="H13" s="101">
        <v>80</v>
      </c>
      <c r="I13" s="101">
        <v>6774</v>
      </c>
      <c r="J13" s="101">
        <v>1641</v>
      </c>
      <c r="K13" s="101">
        <v>6285</v>
      </c>
      <c r="L13" s="101">
        <v>3472</v>
      </c>
      <c r="M13" s="101">
        <v>16559</v>
      </c>
      <c r="N13" s="101">
        <v>73257</v>
      </c>
      <c r="O13" s="101">
        <v>18034</v>
      </c>
      <c r="P13" s="101">
        <v>109677</v>
      </c>
      <c r="Q13" s="101">
        <v>1</v>
      </c>
      <c r="R13" s="101">
        <v>0</v>
      </c>
      <c r="S13" s="101">
        <v>11192</v>
      </c>
      <c r="T13" s="101">
        <v>21945</v>
      </c>
      <c r="U13" s="101">
        <v>111826</v>
      </c>
      <c r="V13" s="101">
        <v>145480</v>
      </c>
      <c r="W13" s="101">
        <v>177163</v>
      </c>
      <c r="X13" s="101">
        <v>179421</v>
      </c>
      <c r="Y13" s="101">
        <v>-2258</v>
      </c>
      <c r="Z13" s="101">
        <v>16696</v>
      </c>
      <c r="AA13" s="101">
        <v>8058155.9489247315</v>
      </c>
      <c r="AB13" s="101">
        <v>117836</v>
      </c>
      <c r="AC13" s="101">
        <v>108325.66899999999</v>
      </c>
      <c r="AD13" s="101">
        <v>58277</v>
      </c>
      <c r="AE13" t="s">
        <v>591</v>
      </c>
      <c r="AF13" s="149">
        <v>-5.6309726071470903E-2</v>
      </c>
      <c r="AG13" s="149">
        <v>0.6312040324446978</v>
      </c>
      <c r="AH13" s="149">
        <f t="shared" si="0"/>
        <v>2.5925277851470117E-2</v>
      </c>
      <c r="AI13" s="149">
        <f t="shared" si="1"/>
        <v>4.7498631204032443E-2</v>
      </c>
      <c r="AJ13" s="149">
        <v>0.60106602394405151</v>
      </c>
      <c r="AK13" s="149">
        <v>0.31292235141346225</v>
      </c>
      <c r="AL13" s="149">
        <v>-1.274532492676236E-2</v>
      </c>
      <c r="AM13" s="149">
        <v>5.0822524112876404E-2</v>
      </c>
      <c r="AN13" s="149">
        <v>1.0084819800917678E-2</v>
      </c>
      <c r="AO13">
        <f t="shared" si="2"/>
        <v>1</v>
      </c>
      <c r="AP13" s="149">
        <v>6.3736502542856011E-2</v>
      </c>
      <c r="AQ13" s="149">
        <v>4.5484418015752336E-2</v>
      </c>
      <c r="AR13" s="149">
        <v>0.66512759436225399</v>
      </c>
      <c r="AS13" s="208">
        <v>1858.8065446059338</v>
      </c>
      <c r="AT13" s="149">
        <f t="shared" si="3"/>
        <v>5.7299999999999997E-2</v>
      </c>
      <c r="AU13" s="149">
        <v>0.28649999999999998</v>
      </c>
      <c r="AV13">
        <v>7.5</v>
      </c>
    </row>
    <row r="14" spans="1:48" x14ac:dyDescent="0.25">
      <c r="A14" t="s">
        <v>126</v>
      </c>
      <c r="B14" s="101">
        <v>43</v>
      </c>
      <c r="C14" s="101">
        <v>2558</v>
      </c>
      <c r="D14" s="101">
        <v>47269</v>
      </c>
      <c r="E14" s="101">
        <v>579</v>
      </c>
      <c r="F14" s="101">
        <v>0</v>
      </c>
      <c r="G14" s="101">
        <v>1496</v>
      </c>
      <c r="H14" s="101">
        <v>0</v>
      </c>
      <c r="I14" s="101">
        <v>394</v>
      </c>
      <c r="J14" s="101">
        <v>44</v>
      </c>
      <c r="K14" s="101">
        <v>1739</v>
      </c>
      <c r="L14" s="101">
        <v>13815</v>
      </c>
      <c r="M14" s="101">
        <v>4990</v>
      </c>
      <c r="N14" s="101">
        <v>25008</v>
      </c>
      <c r="O14" s="101">
        <v>1574</v>
      </c>
      <c r="P14" s="101">
        <v>33840</v>
      </c>
      <c r="Q14" s="101">
        <v>0</v>
      </c>
      <c r="R14" s="101">
        <v>0</v>
      </c>
      <c r="S14" s="101">
        <v>2395</v>
      </c>
      <c r="T14" s="101">
        <v>10108</v>
      </c>
      <c r="U14" s="101">
        <v>24303</v>
      </c>
      <c r="V14" s="101">
        <v>31529</v>
      </c>
      <c r="W14" s="101">
        <v>30920</v>
      </c>
      <c r="X14" s="101">
        <v>27414</v>
      </c>
      <c r="Y14" s="101">
        <v>3506</v>
      </c>
      <c r="Z14" s="101">
        <v>7498</v>
      </c>
      <c r="AA14" s="101">
        <v>1781821</v>
      </c>
      <c r="AB14" s="101">
        <v>15205</v>
      </c>
      <c r="AC14" s="101">
        <v>9763.9670000000006</v>
      </c>
      <c r="AD14" s="101">
        <v>3839</v>
      </c>
      <c r="AE14" t="s">
        <v>126</v>
      </c>
      <c r="AF14" s="149">
        <v>-0.14391979301423027</v>
      </c>
      <c r="AG14" s="149">
        <v>0.78599611901681754</v>
      </c>
      <c r="AH14" s="149">
        <f t="shared" si="0"/>
        <v>4.8382923673997415E-2</v>
      </c>
      <c r="AI14" s="149">
        <f t="shared" si="1"/>
        <v>1.4165588615782664E-2</v>
      </c>
      <c r="AJ14" s="149">
        <v>0.78188615782664928</v>
      </c>
      <c r="AK14" s="149">
        <v>0.34292766540966746</v>
      </c>
      <c r="AL14" s="149">
        <v>0.11338939197930142</v>
      </c>
      <c r="AM14" s="149">
        <v>2.4441721132897602E-2</v>
      </c>
      <c r="AN14" s="149">
        <v>4.1575654363037284E-2</v>
      </c>
      <c r="AO14">
        <f t="shared" si="2"/>
        <v>0</v>
      </c>
      <c r="AP14" s="149">
        <v>0.14829398447606726</v>
      </c>
      <c r="AQ14" s="149">
        <v>5.7626811125485122E-2</v>
      </c>
      <c r="AR14" s="149">
        <v>0.49175291073738681</v>
      </c>
      <c r="AS14" s="208">
        <v>2543.3620734566293</v>
      </c>
      <c r="AT14" s="149">
        <f t="shared" si="3"/>
        <v>-1.44E-2</v>
      </c>
      <c r="AU14" s="149">
        <v>-7.1999999999999995E-2</v>
      </c>
      <c r="AV14">
        <v>8</v>
      </c>
    </row>
    <row r="15" spans="1:48" x14ac:dyDescent="0.25">
      <c r="A15" t="s">
        <v>212</v>
      </c>
      <c r="B15" s="101">
        <v>245</v>
      </c>
      <c r="C15" s="101">
        <v>52014</v>
      </c>
      <c r="D15" s="101">
        <v>390600</v>
      </c>
      <c r="E15" s="101">
        <v>9163</v>
      </c>
      <c r="F15" s="101">
        <v>331</v>
      </c>
      <c r="G15" s="101">
        <v>36540</v>
      </c>
      <c r="H15" s="101">
        <v>250</v>
      </c>
      <c r="I15" s="101">
        <v>0</v>
      </c>
      <c r="J15" s="101">
        <v>20511</v>
      </c>
      <c r="K15" s="101">
        <v>179736</v>
      </c>
      <c r="L15" s="101">
        <v>394</v>
      </c>
      <c r="M15" s="101">
        <v>29609</v>
      </c>
      <c r="N15" s="101">
        <v>208951</v>
      </c>
      <c r="O15" s="101">
        <v>88495</v>
      </c>
      <c r="P15" s="101">
        <v>278171</v>
      </c>
      <c r="Q15" s="101">
        <v>315</v>
      </c>
      <c r="R15" s="101">
        <v>588</v>
      </c>
      <c r="S15" s="101">
        <v>25820</v>
      </c>
      <c r="T15" s="101">
        <v>117055</v>
      </c>
      <c r="U15" s="101">
        <v>175089</v>
      </c>
      <c r="V15" s="101">
        <v>512993</v>
      </c>
      <c r="W15" s="101">
        <v>699048</v>
      </c>
      <c r="X15" s="101">
        <v>693587</v>
      </c>
      <c r="Y15" s="101">
        <v>5461</v>
      </c>
      <c r="Z15" s="101">
        <v>-16110</v>
      </c>
      <c r="AA15" s="101">
        <v>11950250.008734815</v>
      </c>
      <c r="AB15" s="101">
        <v>453816</v>
      </c>
      <c r="AC15" s="101">
        <v>432021.30900000001</v>
      </c>
      <c r="AD15" s="101">
        <v>161852</v>
      </c>
      <c r="AE15" t="s">
        <v>212</v>
      </c>
      <c r="AF15" s="149">
        <v>1.2951900298691935E-2</v>
      </c>
      <c r="AG15" s="149">
        <v>0.2504677790366327</v>
      </c>
      <c r="AH15" s="149">
        <f t="shared" si="0"/>
        <v>5.2744589784964692E-2</v>
      </c>
      <c r="AI15" s="149">
        <f t="shared" si="1"/>
        <v>2.934133278401483E-2</v>
      </c>
      <c r="AJ15" s="149">
        <v>0.2362581968620181</v>
      </c>
      <c r="AK15" s="149">
        <v>0.2904537840824582</v>
      </c>
      <c r="AL15" s="149">
        <v>7.8120529634588751E-3</v>
      </c>
      <c r="AM15" s="149">
        <v>2.3755571273330972E-2</v>
      </c>
      <c r="AN15" s="149">
        <v>1.7119753746042632E-2</v>
      </c>
      <c r="AO15">
        <f t="shared" si="2"/>
        <v>0</v>
      </c>
      <c r="AP15" s="149">
        <v>-2.5081968620180587E-2</v>
      </c>
      <c r="AQ15" s="149">
        <v>1.7125535443004422E-2</v>
      </c>
      <c r="AR15" s="149">
        <v>0.65034974054281791</v>
      </c>
      <c r="AS15" s="208">
        <v>2669.2367656871711</v>
      </c>
      <c r="AT15" s="149">
        <f t="shared" si="3"/>
        <v>5.0099999999999999E-2</v>
      </c>
      <c r="AU15" s="149">
        <v>0.2505</v>
      </c>
      <c r="AV15">
        <v>9</v>
      </c>
    </row>
    <row r="16" spans="1:48" x14ac:dyDescent="0.25">
      <c r="A16" t="s">
        <v>238</v>
      </c>
      <c r="B16" s="101">
        <v>1176</v>
      </c>
      <c r="C16" s="101">
        <v>6055</v>
      </c>
      <c r="D16" s="101">
        <v>265297</v>
      </c>
      <c r="E16" s="101">
        <v>14109</v>
      </c>
      <c r="F16" s="101">
        <v>0</v>
      </c>
      <c r="G16" s="101">
        <v>5132</v>
      </c>
      <c r="H16" s="101">
        <v>0</v>
      </c>
      <c r="I16" s="101">
        <v>1716</v>
      </c>
      <c r="J16" s="101">
        <v>334</v>
      </c>
      <c r="K16" s="101">
        <v>112832</v>
      </c>
      <c r="L16" s="101">
        <v>1079</v>
      </c>
      <c r="M16" s="101">
        <v>35929</v>
      </c>
      <c r="N16" s="101">
        <v>280077</v>
      </c>
      <c r="O16" s="101">
        <v>32464</v>
      </c>
      <c r="P16" s="101">
        <v>64375</v>
      </c>
      <c r="Q16" s="101">
        <v>4</v>
      </c>
      <c r="R16" s="101">
        <v>0</v>
      </c>
      <c r="S16" s="101">
        <v>10740</v>
      </c>
      <c r="T16" s="101">
        <v>55999</v>
      </c>
      <c r="U16" s="101">
        <v>-23854</v>
      </c>
      <c r="V16" s="101">
        <v>225901</v>
      </c>
      <c r="W16" s="101">
        <v>345061</v>
      </c>
      <c r="X16" s="101">
        <v>329556</v>
      </c>
      <c r="Y16" s="101">
        <v>15505</v>
      </c>
      <c r="Z16" s="101">
        <v>8110</v>
      </c>
      <c r="AA16" s="101">
        <v>23991182.909668967</v>
      </c>
      <c r="AB16" s="101">
        <v>207177</v>
      </c>
      <c r="AC16" s="101">
        <v>209383.27</v>
      </c>
      <c r="AD16" s="101">
        <v>95014</v>
      </c>
      <c r="AE16" t="s">
        <v>238</v>
      </c>
      <c r="AF16" s="149">
        <v>2.9777343716038615E-2</v>
      </c>
      <c r="AG16" s="149">
        <v>-6.9129806034295388E-2</v>
      </c>
      <c r="AH16" s="149">
        <f t="shared" si="0"/>
        <v>1.4872732647271063E-2</v>
      </c>
      <c r="AI16" s="149">
        <f t="shared" si="1"/>
        <v>5.9409785516184093E-3</v>
      </c>
      <c r="AJ16" s="149">
        <v>-7.150376310275576E-2</v>
      </c>
      <c r="AK16" s="149">
        <v>0.63128889530021937</v>
      </c>
      <c r="AL16" s="149">
        <v>4.4934084118460213E-2</v>
      </c>
      <c r="AM16" s="149">
        <v>3.2218399592252804E-2</v>
      </c>
      <c r="AN16" s="149">
        <v>-4.4633057994454717E-2</v>
      </c>
      <c r="AO16">
        <f t="shared" si="2"/>
        <v>1</v>
      </c>
      <c r="AP16" s="149">
        <v>3.3781708161745312E-2</v>
      </c>
      <c r="AQ16" s="149">
        <v>6.952736736307194E-2</v>
      </c>
      <c r="AR16" s="149">
        <v>0.60040688457982794</v>
      </c>
      <c r="AS16" s="208">
        <v>2203.709663839013</v>
      </c>
      <c r="AT16" s="149">
        <f t="shared" si="3"/>
        <v>4.1500000000000002E-2</v>
      </c>
      <c r="AU16" s="149">
        <v>0.20750000000000002</v>
      </c>
      <c r="AV16">
        <v>10</v>
      </c>
    </row>
    <row r="17" spans="1:48" x14ac:dyDescent="0.25">
      <c r="A17" t="s">
        <v>239</v>
      </c>
      <c r="B17" s="101">
        <v>15562</v>
      </c>
      <c r="C17" s="101">
        <v>8736591</v>
      </c>
      <c r="D17" s="101">
        <v>5703069</v>
      </c>
      <c r="E17" s="101">
        <v>688742</v>
      </c>
      <c r="F17" s="101">
        <v>294508</v>
      </c>
      <c r="G17" s="101">
        <v>83075</v>
      </c>
      <c r="H17" s="101">
        <v>33341</v>
      </c>
      <c r="I17" s="101">
        <v>-309469</v>
      </c>
      <c r="J17" s="101">
        <v>9266</v>
      </c>
      <c r="K17" s="101">
        <v>766366</v>
      </c>
      <c r="L17" s="101">
        <v>10203</v>
      </c>
      <c r="M17" s="101">
        <v>397056</v>
      </c>
      <c r="N17" s="101">
        <v>8107091</v>
      </c>
      <c r="O17" s="101">
        <v>541700</v>
      </c>
      <c r="P17" s="101">
        <v>6319753</v>
      </c>
      <c r="Q17" s="101">
        <v>13157</v>
      </c>
      <c r="R17" s="101">
        <v>361000</v>
      </c>
      <c r="S17" s="101">
        <v>288017</v>
      </c>
      <c r="T17" s="101">
        <v>797592</v>
      </c>
      <c r="U17" s="101">
        <v>6194970</v>
      </c>
      <c r="V17" s="101">
        <v>12830290</v>
      </c>
      <c r="W17" s="101">
        <v>6532595</v>
      </c>
      <c r="X17" s="101">
        <v>6395753</v>
      </c>
      <c r="Y17" s="101">
        <v>136842</v>
      </c>
      <c r="Z17" s="101">
        <v>321205</v>
      </c>
      <c r="AA17" s="101">
        <v>242270728</v>
      </c>
      <c r="AB17" s="101">
        <v>3976507</v>
      </c>
      <c r="AC17" s="101">
        <v>3055465.2237800001</v>
      </c>
      <c r="AD17" s="101">
        <v>931298</v>
      </c>
      <c r="AE17" t="s">
        <v>239</v>
      </c>
      <c r="AF17" s="149">
        <v>-1.9169411237035205E-2</v>
      </c>
      <c r="AG17" s="149">
        <v>0.94958496585200824</v>
      </c>
      <c r="AH17" s="149">
        <f t="shared" si="0"/>
        <v>5.7799848299182791E-2</v>
      </c>
      <c r="AI17" s="149">
        <f t="shared" si="1"/>
        <v>-4.5954632117864339E-2</v>
      </c>
      <c r="AJ17" s="149">
        <v>0.98868919013041523</v>
      </c>
      <c r="AK17" s="149">
        <v>0.49348295716357921</v>
      </c>
      <c r="AL17" s="149">
        <v>2.0947571370948298E-2</v>
      </c>
      <c r="AM17" s="149">
        <v>2.5638435677760293E-2</v>
      </c>
      <c r="AN17" s="149">
        <v>9.846666124543494E-3</v>
      </c>
      <c r="AO17">
        <f t="shared" si="2"/>
        <v>0</v>
      </c>
      <c r="AP17" s="149">
        <v>6.2185548009634765E-2</v>
      </c>
      <c r="AQ17" s="149">
        <v>3.7165155336290952E-2</v>
      </c>
      <c r="AR17" s="149">
        <v>0.61000972577606782</v>
      </c>
      <c r="AS17" s="208">
        <v>3280.8673741165558</v>
      </c>
      <c r="AT17" s="149">
        <f t="shared" si="3"/>
        <v>3.8300000000000001E-2</v>
      </c>
      <c r="AU17" s="149">
        <v>0.1915</v>
      </c>
      <c r="AV17">
        <v>9</v>
      </c>
    </row>
    <row r="18" spans="1:48" x14ac:dyDescent="0.25">
      <c r="A18" t="s">
        <v>164</v>
      </c>
      <c r="B18" s="101">
        <v>977</v>
      </c>
      <c r="C18" s="101">
        <v>63124</v>
      </c>
      <c r="D18" s="101">
        <v>565862</v>
      </c>
      <c r="E18" s="101">
        <v>1694</v>
      </c>
      <c r="F18" s="101">
        <v>7900</v>
      </c>
      <c r="G18" s="101">
        <v>25549</v>
      </c>
      <c r="H18" s="101">
        <v>0</v>
      </c>
      <c r="I18" s="101">
        <v>1131</v>
      </c>
      <c r="J18" s="101">
        <v>258</v>
      </c>
      <c r="K18" s="101">
        <v>46095</v>
      </c>
      <c r="L18" s="101">
        <v>31207</v>
      </c>
      <c r="M18" s="101">
        <v>28793</v>
      </c>
      <c r="N18" s="101">
        <v>257630</v>
      </c>
      <c r="O18" s="101">
        <v>42369</v>
      </c>
      <c r="P18" s="101">
        <v>333665</v>
      </c>
      <c r="Q18" s="101">
        <v>234</v>
      </c>
      <c r="R18" s="101">
        <v>0</v>
      </c>
      <c r="S18" s="101">
        <v>10157</v>
      </c>
      <c r="T18" s="101">
        <v>128535</v>
      </c>
      <c r="U18" s="101">
        <v>333047</v>
      </c>
      <c r="V18" s="101">
        <v>595519</v>
      </c>
      <c r="W18" s="101">
        <v>749465</v>
      </c>
      <c r="X18" s="101">
        <v>740811</v>
      </c>
      <c r="Y18" s="101">
        <v>8654</v>
      </c>
      <c r="Z18" s="101">
        <v>29303</v>
      </c>
      <c r="AA18" s="101">
        <v>3858894.303384468</v>
      </c>
      <c r="AB18" s="101">
        <v>541430</v>
      </c>
      <c r="AC18" s="101">
        <v>443716.53500000003</v>
      </c>
      <c r="AD18" s="101">
        <v>168211</v>
      </c>
      <c r="AE18" t="s">
        <v>164</v>
      </c>
      <c r="AF18" s="149">
        <v>-2.2576104287725243E-2</v>
      </c>
      <c r="AG18" s="149">
        <v>0.44475459160868086</v>
      </c>
      <c r="AH18" s="149">
        <f t="shared" si="0"/>
        <v>4.4630503092205773E-2</v>
      </c>
      <c r="AI18" s="149">
        <f t="shared" si="1"/>
        <v>1.8533220363859554E-3</v>
      </c>
      <c r="AJ18" s="149">
        <v>0.4488129265542754</v>
      </c>
      <c r="AK18" s="149">
        <v>0.33346276809174336</v>
      </c>
      <c r="AL18" s="149">
        <v>1.1546903457799898E-2</v>
      </c>
      <c r="AM18" s="149">
        <v>6.5982837815883141E-2</v>
      </c>
      <c r="AN18" s="149">
        <v>7.8920999259763008E-2</v>
      </c>
      <c r="AO18">
        <f t="shared" si="2"/>
        <v>0</v>
      </c>
      <c r="AP18" s="149">
        <v>1.1489529197494212E-2</v>
      </c>
      <c r="AQ18" s="149">
        <v>5.149153820184953E-3</v>
      </c>
      <c r="AR18" s="149">
        <v>0.72246248113548694</v>
      </c>
      <c r="AS18" s="208">
        <v>2637.8568286259524</v>
      </c>
      <c r="AT18" s="149">
        <f t="shared" si="3"/>
        <v>5.7099999999999998E-2</v>
      </c>
      <c r="AU18" s="149">
        <v>0.28549999999999998</v>
      </c>
      <c r="AV18">
        <v>9.5</v>
      </c>
    </row>
    <row r="19" spans="1:48" x14ac:dyDescent="0.25">
      <c r="A19" t="s">
        <v>165</v>
      </c>
      <c r="B19" s="101">
        <v>12109</v>
      </c>
      <c r="C19" s="101">
        <v>95378</v>
      </c>
      <c r="D19" s="101">
        <v>685501</v>
      </c>
      <c r="E19" s="101">
        <v>4741</v>
      </c>
      <c r="F19" s="101">
        <v>6519</v>
      </c>
      <c r="G19" s="101">
        <v>25916</v>
      </c>
      <c r="H19" s="101">
        <v>5928</v>
      </c>
      <c r="I19" s="101">
        <v>17493</v>
      </c>
      <c r="J19" s="101">
        <v>326</v>
      </c>
      <c r="K19" s="101">
        <v>21224</v>
      </c>
      <c r="L19" s="101">
        <v>110845</v>
      </c>
      <c r="M19" s="101">
        <v>75361</v>
      </c>
      <c r="N19" s="101">
        <v>293457</v>
      </c>
      <c r="O19" s="101">
        <v>12337</v>
      </c>
      <c r="P19" s="101">
        <v>502396</v>
      </c>
      <c r="Q19" s="101">
        <v>236</v>
      </c>
      <c r="R19" s="101">
        <v>2917</v>
      </c>
      <c r="S19" s="101">
        <v>28595</v>
      </c>
      <c r="T19" s="101">
        <v>221403</v>
      </c>
      <c r="U19" s="101">
        <v>509754</v>
      </c>
      <c r="V19" s="101">
        <v>695720</v>
      </c>
      <c r="W19" s="101">
        <v>930850</v>
      </c>
      <c r="X19" s="101">
        <v>912002</v>
      </c>
      <c r="Y19" s="101">
        <v>18848</v>
      </c>
      <c r="Z19" s="101">
        <v>26518</v>
      </c>
      <c r="AA19" s="101">
        <v>-2260252.8869768679</v>
      </c>
      <c r="AB19" s="101">
        <v>707848</v>
      </c>
      <c r="AC19" s="101">
        <v>474020.93799999997</v>
      </c>
      <c r="AD19" s="101">
        <v>167632</v>
      </c>
      <c r="AE19" t="s">
        <v>165</v>
      </c>
      <c r="AF19" s="149">
        <v>-4.0178331632379009E-4</v>
      </c>
      <c r="AG19" s="149">
        <v>0.54762206585378959</v>
      </c>
      <c r="AH19" s="149">
        <f t="shared" si="0"/>
        <v>3.4844496965139388E-2</v>
      </c>
      <c r="AI19" s="149">
        <f t="shared" si="1"/>
        <v>1.9142719020250307E-2</v>
      </c>
      <c r="AJ19" s="149">
        <v>0.53840350217543109</v>
      </c>
      <c r="AK19" s="149">
        <v>0.2764964323436106</v>
      </c>
      <c r="AL19" s="149">
        <v>2.0248160283611753E-2</v>
      </c>
      <c r="AM19" s="149">
        <v>6.1723483652882973E-2</v>
      </c>
      <c r="AN19" s="149">
        <v>5.3024272049322828E-2</v>
      </c>
      <c r="AO19">
        <f t="shared" si="2"/>
        <v>0</v>
      </c>
      <c r="AP19" s="149">
        <v>2.6123435569640651E-2</v>
      </c>
      <c r="AQ19" s="149">
        <v>-2.4305153481451306E-3</v>
      </c>
      <c r="AR19" s="149">
        <v>0.76116944173222589</v>
      </c>
      <c r="AS19" s="208">
        <v>2827.7473155483435</v>
      </c>
      <c r="AT19" s="149">
        <f t="shared" si="3"/>
        <v>4.9399999999999999E-2</v>
      </c>
      <c r="AU19" s="149">
        <v>0.247</v>
      </c>
      <c r="AV19">
        <v>8.5</v>
      </c>
    </row>
    <row r="20" spans="1:48" x14ac:dyDescent="0.25">
      <c r="A20" t="s">
        <v>105</v>
      </c>
      <c r="B20" s="101">
        <v>0</v>
      </c>
      <c r="C20" s="101">
        <v>30466</v>
      </c>
      <c r="D20" s="101">
        <v>389011</v>
      </c>
      <c r="E20" s="101">
        <v>330</v>
      </c>
      <c r="F20" s="101">
        <v>1900</v>
      </c>
      <c r="G20" s="101">
        <v>4517</v>
      </c>
      <c r="H20" s="101">
        <v>0</v>
      </c>
      <c r="I20" s="101">
        <v>28144</v>
      </c>
      <c r="J20" s="101">
        <v>0</v>
      </c>
      <c r="K20" s="101">
        <v>50077</v>
      </c>
      <c r="L20" s="101">
        <v>-14913</v>
      </c>
      <c r="M20" s="101">
        <v>7498</v>
      </c>
      <c r="N20" s="101">
        <v>194691</v>
      </c>
      <c r="O20" s="101">
        <v>21932</v>
      </c>
      <c r="P20" s="101">
        <v>211123</v>
      </c>
      <c r="Q20" s="101">
        <v>103</v>
      </c>
      <c r="R20" s="101">
        <v>0</v>
      </c>
      <c r="S20" s="101">
        <v>10309</v>
      </c>
      <c r="T20" s="101">
        <v>58872</v>
      </c>
      <c r="U20" s="101">
        <v>231328</v>
      </c>
      <c r="V20" s="101">
        <v>416193</v>
      </c>
      <c r="W20" s="101">
        <v>374062</v>
      </c>
      <c r="X20" s="101">
        <v>365662</v>
      </c>
      <c r="Y20" s="101">
        <v>8400</v>
      </c>
      <c r="Z20" s="101">
        <v>8024</v>
      </c>
      <c r="AA20" s="101">
        <v>-2129927.8927108943</v>
      </c>
      <c r="AB20" s="101">
        <v>288627</v>
      </c>
      <c r="AC20" s="101">
        <v>182910.84399999998</v>
      </c>
      <c r="AD20" s="101">
        <v>69701</v>
      </c>
      <c r="AE20" t="s">
        <v>105</v>
      </c>
      <c r="AF20" s="149">
        <v>2.7193352973571228E-2</v>
      </c>
      <c r="AG20" s="149">
        <v>0.61842154509145542</v>
      </c>
      <c r="AH20" s="149">
        <f t="shared" si="0"/>
        <v>1.7154910148584994E-2</v>
      </c>
      <c r="AI20" s="149">
        <f t="shared" si="1"/>
        <v>7.5238864145515991E-2</v>
      </c>
      <c r="AJ20" s="149">
        <v>0.56781292940742445</v>
      </c>
      <c r="AK20" s="149">
        <v>0.39170874997485061</v>
      </c>
      <c r="AL20" s="149">
        <v>2.2456170367479187E-2</v>
      </c>
      <c r="AM20" s="149">
        <v>9.2213214364802024E-2</v>
      </c>
      <c r="AN20" s="149">
        <v>2.1413612565445026E-2</v>
      </c>
      <c r="AO20">
        <f t="shared" si="2"/>
        <v>0</v>
      </c>
      <c r="AP20" s="149">
        <v>2.1948233180595729E-3</v>
      </c>
      <c r="AQ20" s="149">
        <v>-5.6940504320430688E-3</v>
      </c>
      <c r="AR20" s="149">
        <v>0.77160203388743043</v>
      </c>
      <c r="AS20" s="208">
        <v>2624.2212306853557</v>
      </c>
      <c r="AT20" s="149">
        <f t="shared" si="3"/>
        <v>5.2600000000000001E-2</v>
      </c>
      <c r="AU20" s="149">
        <v>0.26300000000000001</v>
      </c>
      <c r="AV20">
        <v>8</v>
      </c>
    </row>
    <row r="21" spans="1:48" x14ac:dyDescent="0.25">
      <c r="A21" t="s">
        <v>342</v>
      </c>
      <c r="B21" s="101">
        <v>1442</v>
      </c>
      <c r="C21" s="101">
        <v>2303</v>
      </c>
      <c r="D21" s="101">
        <v>42271</v>
      </c>
      <c r="E21" s="101">
        <v>34</v>
      </c>
      <c r="F21" s="101">
        <v>0</v>
      </c>
      <c r="G21" s="101">
        <v>2916</v>
      </c>
      <c r="H21" s="101">
        <v>0</v>
      </c>
      <c r="I21" s="101">
        <v>1796</v>
      </c>
      <c r="J21" s="101">
        <v>7</v>
      </c>
      <c r="K21" s="101">
        <v>4902</v>
      </c>
      <c r="L21" s="101">
        <v>13918</v>
      </c>
      <c r="M21" s="101">
        <v>2444</v>
      </c>
      <c r="N21" s="101">
        <v>32758</v>
      </c>
      <c r="O21" s="101">
        <v>13889</v>
      </c>
      <c r="P21" s="101">
        <v>15000</v>
      </c>
      <c r="Q21" s="101">
        <v>0</v>
      </c>
      <c r="R21" s="101">
        <v>-252</v>
      </c>
      <c r="S21" s="101">
        <v>3034</v>
      </c>
      <c r="T21" s="101">
        <v>7604</v>
      </c>
      <c r="U21" s="101">
        <v>1206</v>
      </c>
      <c r="V21" s="101">
        <v>27402</v>
      </c>
      <c r="W21" s="101">
        <v>58411</v>
      </c>
      <c r="X21" s="101">
        <v>60560</v>
      </c>
      <c r="Y21" s="101">
        <v>-2149</v>
      </c>
      <c r="Z21" s="101">
        <v>8180</v>
      </c>
      <c r="AA21" s="101">
        <v>1250499.9000000004</v>
      </c>
      <c r="AB21" s="101">
        <v>37073</v>
      </c>
      <c r="AC21" s="101">
        <v>39699.586000000003</v>
      </c>
      <c r="AD21" s="101">
        <v>17302</v>
      </c>
      <c r="AE21" t="s">
        <v>342</v>
      </c>
      <c r="AF21" s="149">
        <v>-0.20362602934378798</v>
      </c>
      <c r="AG21" s="149">
        <v>2.0646795980209208E-2</v>
      </c>
      <c r="AH21" s="149">
        <f t="shared" si="0"/>
        <v>4.9922103713341666E-2</v>
      </c>
      <c r="AI21" s="149">
        <f t="shared" si="1"/>
        <v>3.0867473592302821E-2</v>
      </c>
      <c r="AJ21" s="149">
        <v>5.0302169111982355E-3</v>
      </c>
      <c r="AK21" s="149">
        <v>0.45476378881901353</v>
      </c>
      <c r="AL21" s="149">
        <v>-3.6791015390936641E-2</v>
      </c>
      <c r="AM21" s="149">
        <v>5.9779212664028331E-2</v>
      </c>
      <c r="AN21" s="149">
        <v>-1.5668776590225173E-2</v>
      </c>
      <c r="AO21">
        <f t="shared" si="2"/>
        <v>2</v>
      </c>
      <c r="AP21" s="149">
        <v>7.9668213179024505E-2</v>
      </c>
      <c r="AQ21" s="149">
        <v>2.140863707178443E-2</v>
      </c>
      <c r="AR21" s="149">
        <v>0.63469209566691209</v>
      </c>
      <c r="AS21" s="208">
        <v>2294.5084961276152</v>
      </c>
      <c r="AT21" s="149">
        <f t="shared" si="3"/>
        <v>7.1499999999999994E-2</v>
      </c>
      <c r="AU21" s="149">
        <v>0.35749999999999998</v>
      </c>
      <c r="AV21">
        <v>5.5</v>
      </c>
    </row>
    <row r="22" spans="1:48" x14ac:dyDescent="0.25">
      <c r="A22" t="s">
        <v>343</v>
      </c>
      <c r="B22" s="101">
        <v>222</v>
      </c>
      <c r="C22" s="101">
        <v>344</v>
      </c>
      <c r="D22" s="101">
        <v>18712</v>
      </c>
      <c r="E22" s="101">
        <v>12</v>
      </c>
      <c r="F22" s="101">
        <v>0</v>
      </c>
      <c r="G22" s="101">
        <v>103</v>
      </c>
      <c r="H22" s="101">
        <v>861</v>
      </c>
      <c r="I22" s="101">
        <v>0</v>
      </c>
      <c r="J22" s="101">
        <v>0</v>
      </c>
      <c r="K22" s="101">
        <v>5153</v>
      </c>
      <c r="L22" s="101">
        <v>3130</v>
      </c>
      <c r="M22" s="101">
        <v>1122</v>
      </c>
      <c r="N22" s="101">
        <v>14060</v>
      </c>
      <c r="O22" s="101">
        <v>2617</v>
      </c>
      <c r="P22" s="101">
        <v>6840</v>
      </c>
      <c r="Q22" s="101">
        <v>0</v>
      </c>
      <c r="R22" s="101">
        <v>3</v>
      </c>
      <c r="S22" s="101">
        <v>3134</v>
      </c>
      <c r="T22" s="101">
        <v>3004</v>
      </c>
      <c r="U22" s="101">
        <v>2612</v>
      </c>
      <c r="V22" s="101">
        <v>15315</v>
      </c>
      <c r="W22" s="101">
        <v>24515</v>
      </c>
      <c r="X22" s="101">
        <v>25457</v>
      </c>
      <c r="Y22" s="101">
        <v>-942</v>
      </c>
      <c r="Z22" s="101">
        <v>94</v>
      </c>
      <c r="AA22" s="101">
        <v>1185766</v>
      </c>
      <c r="AB22" s="101">
        <v>17794</v>
      </c>
      <c r="AC22" s="101">
        <v>18076.960999999999</v>
      </c>
      <c r="AD22" s="101">
        <v>7076</v>
      </c>
      <c r="AE22" t="s">
        <v>343</v>
      </c>
      <c r="AF22" s="149">
        <v>-1.835610850499694E-2</v>
      </c>
      <c r="AG22" s="149">
        <v>0.10654701203344891</v>
      </c>
      <c r="AH22" s="149">
        <f t="shared" si="0"/>
        <v>4.2015092800326333E-3</v>
      </c>
      <c r="AI22" s="149">
        <f t="shared" si="1"/>
        <v>0</v>
      </c>
      <c r="AJ22" s="149">
        <v>0.10705119314705282</v>
      </c>
      <c r="AK22" s="149">
        <v>0.47407107694382628</v>
      </c>
      <c r="AL22" s="149">
        <v>-3.8425453803793592E-2</v>
      </c>
      <c r="AM22" s="149">
        <v>2.3345935727788279E-2</v>
      </c>
      <c r="AN22" s="149">
        <v>-5.0685654008438816E-2</v>
      </c>
      <c r="AO22">
        <f t="shared" si="2"/>
        <v>2</v>
      </c>
      <c r="AP22" s="149">
        <v>4.0414032225168262E-2</v>
      </c>
      <c r="AQ22" s="149">
        <v>4.8489654044328125E-2</v>
      </c>
      <c r="AR22" s="149">
        <v>0.72765191788664429</v>
      </c>
      <c r="AS22" s="208">
        <v>2554.6864047484455</v>
      </c>
      <c r="AT22" s="149">
        <f t="shared" si="3"/>
        <v>6.4899999999999999E-2</v>
      </c>
      <c r="AU22" s="149">
        <v>0.32450000000000001</v>
      </c>
      <c r="AV22">
        <v>7.5</v>
      </c>
    </row>
    <row r="23" spans="1:48" x14ac:dyDescent="0.25">
      <c r="A23" t="s">
        <v>213</v>
      </c>
      <c r="B23" s="101">
        <v>11631</v>
      </c>
      <c r="C23" s="101">
        <v>1552</v>
      </c>
      <c r="D23" s="101">
        <v>46332</v>
      </c>
      <c r="E23" s="101">
        <v>149</v>
      </c>
      <c r="F23" s="101">
        <v>0</v>
      </c>
      <c r="G23" s="101">
        <v>0</v>
      </c>
      <c r="H23" s="101">
        <v>1848</v>
      </c>
      <c r="I23" s="101">
        <v>0</v>
      </c>
      <c r="J23" s="101">
        <v>3</v>
      </c>
      <c r="K23" s="101">
        <v>1167</v>
      </c>
      <c r="L23" s="101">
        <v>11962</v>
      </c>
      <c r="M23" s="101">
        <v>15935</v>
      </c>
      <c r="N23" s="101">
        <v>23498</v>
      </c>
      <c r="O23" s="101">
        <v>13340</v>
      </c>
      <c r="P23" s="101">
        <v>34181</v>
      </c>
      <c r="Q23" s="101">
        <v>5</v>
      </c>
      <c r="R23" s="101">
        <v>0</v>
      </c>
      <c r="S23" s="101">
        <v>12262</v>
      </c>
      <c r="T23" s="101">
        <v>7291</v>
      </c>
      <c r="U23" s="101">
        <v>22827</v>
      </c>
      <c r="V23" s="101">
        <v>48856</v>
      </c>
      <c r="W23" s="101">
        <v>76434</v>
      </c>
      <c r="X23" s="101">
        <v>75432</v>
      </c>
      <c r="Y23" s="101">
        <v>1002</v>
      </c>
      <c r="Z23" s="101">
        <v>-951</v>
      </c>
      <c r="AA23" s="101">
        <v>4955543.1833333354</v>
      </c>
      <c r="AB23" s="101">
        <v>56959</v>
      </c>
      <c r="AC23" s="101">
        <v>51546.934999999998</v>
      </c>
      <c r="AD23" s="101">
        <v>25065</v>
      </c>
      <c r="AE23" t="s">
        <v>213</v>
      </c>
      <c r="AF23" s="149">
        <v>4.8303111180888085E-2</v>
      </c>
      <c r="AG23" s="149">
        <v>0.15676269722898187</v>
      </c>
      <c r="AH23" s="149">
        <f t="shared" si="0"/>
        <v>0</v>
      </c>
      <c r="AI23" s="149">
        <f t="shared" si="1"/>
        <v>3.9249548630190753E-5</v>
      </c>
      <c r="AJ23" s="149">
        <v>0.15673522254494074</v>
      </c>
      <c r="AK23" s="149">
        <v>0.25942568201640592</v>
      </c>
      <c r="AL23" s="149">
        <v>1.3109349242483711E-2</v>
      </c>
      <c r="AM23" s="149">
        <v>2.511349239864865E-2</v>
      </c>
      <c r="AN23" s="149">
        <v>3.5926538272487603E-2</v>
      </c>
      <c r="AO23">
        <f t="shared" si="2"/>
        <v>0</v>
      </c>
      <c r="AP23" s="149">
        <v>3.4863411570766938E-2</v>
      </c>
      <c r="AQ23" s="149">
        <v>6.4966021884572886E-2</v>
      </c>
      <c r="AR23" s="149">
        <v>0.74671928053592729</v>
      </c>
      <c r="AS23" s="208">
        <v>2056.5304209056453</v>
      </c>
      <c r="AT23" s="149">
        <f t="shared" si="3"/>
        <v>5.269999999999999E-2</v>
      </c>
      <c r="AU23" s="149">
        <v>0.26349999999999996</v>
      </c>
      <c r="AV23">
        <v>10</v>
      </c>
    </row>
    <row r="24" spans="1:48" x14ac:dyDescent="0.25">
      <c r="A24" t="s">
        <v>284</v>
      </c>
      <c r="B24" s="101">
        <v>13297</v>
      </c>
      <c r="C24" s="101">
        <v>42372</v>
      </c>
      <c r="D24" s="101">
        <v>125190</v>
      </c>
      <c r="E24" s="101">
        <v>1927</v>
      </c>
      <c r="F24" s="101">
        <v>0</v>
      </c>
      <c r="G24" s="101">
        <v>1597</v>
      </c>
      <c r="H24" s="101">
        <v>0</v>
      </c>
      <c r="I24" s="101">
        <v>14437</v>
      </c>
      <c r="J24" s="101">
        <v>348</v>
      </c>
      <c r="K24" s="101">
        <v>4340</v>
      </c>
      <c r="L24" s="101">
        <v>8783</v>
      </c>
      <c r="M24" s="101">
        <v>22684</v>
      </c>
      <c r="N24" s="101">
        <v>55654</v>
      </c>
      <c r="O24" s="101">
        <v>15273</v>
      </c>
      <c r="P24" s="101">
        <v>105973</v>
      </c>
      <c r="Q24" s="101">
        <v>1</v>
      </c>
      <c r="R24" s="101">
        <v>17000</v>
      </c>
      <c r="S24" s="101">
        <v>8075</v>
      </c>
      <c r="T24" s="101">
        <v>32997</v>
      </c>
      <c r="U24" s="101">
        <v>126642</v>
      </c>
      <c r="V24" s="101">
        <v>179600</v>
      </c>
      <c r="W24" s="101">
        <v>147418</v>
      </c>
      <c r="X24" s="101">
        <v>148486</v>
      </c>
      <c r="Y24" s="101">
        <v>-1068</v>
      </c>
      <c r="Z24" s="101">
        <v>546</v>
      </c>
      <c r="AA24" s="101">
        <v>6583554.937694706</v>
      </c>
      <c r="AB24" s="101">
        <v>97317</v>
      </c>
      <c r="AC24" s="101">
        <v>103813.82</v>
      </c>
      <c r="AD24" s="101">
        <v>48690</v>
      </c>
      <c r="AE24" t="s">
        <v>284</v>
      </c>
      <c r="AF24" s="149">
        <v>-7.3200016280237146E-2</v>
      </c>
      <c r="AG24" s="149">
        <v>0.85906741374866025</v>
      </c>
      <c r="AH24" s="149">
        <f t="shared" si="0"/>
        <v>1.0833141136089216E-2</v>
      </c>
      <c r="AI24" s="149">
        <f t="shared" si="1"/>
        <v>0.10029304426867817</v>
      </c>
      <c r="AJ24" s="149">
        <v>0.79016225969691622</v>
      </c>
      <c r="AK24" s="149">
        <v>0.2368527447834432</v>
      </c>
      <c r="AL24" s="149">
        <v>-7.2447055312105709E-3</v>
      </c>
      <c r="AM24" s="149">
        <v>-3.8570893301888873E-3</v>
      </c>
      <c r="AN24" s="149">
        <v>-2.9193672198349202E-2</v>
      </c>
      <c r="AO24">
        <f t="shared" si="2"/>
        <v>3</v>
      </c>
      <c r="AP24" s="149">
        <v>2.1350852677420669E-3</v>
      </c>
      <c r="AQ24" s="149">
        <v>4.4659098194892798E-2</v>
      </c>
      <c r="AR24" s="149">
        <v>0.66014326608690932</v>
      </c>
      <c r="AS24" s="208">
        <v>2132.1384267816802</v>
      </c>
      <c r="AT24" s="149">
        <f t="shared" si="3"/>
        <v>5.4300000000000001E-2</v>
      </c>
      <c r="AU24" s="149">
        <v>0.27150000000000002</v>
      </c>
      <c r="AV24">
        <v>6.5</v>
      </c>
    </row>
    <row r="25" spans="1:48" x14ac:dyDescent="0.25">
      <c r="A25" t="s">
        <v>166</v>
      </c>
      <c r="B25" s="101">
        <v>1387</v>
      </c>
      <c r="C25" s="101">
        <v>45207</v>
      </c>
      <c r="D25" s="101">
        <v>232229</v>
      </c>
      <c r="E25" s="101">
        <v>87</v>
      </c>
      <c r="F25" s="101">
        <v>2897</v>
      </c>
      <c r="G25" s="101">
        <v>11305</v>
      </c>
      <c r="H25" s="101">
        <v>0</v>
      </c>
      <c r="I25" s="101">
        <v>49791</v>
      </c>
      <c r="J25" s="101">
        <v>0</v>
      </c>
      <c r="K25" s="101">
        <v>19122</v>
      </c>
      <c r="L25" s="101">
        <v>20597</v>
      </c>
      <c r="M25" s="101">
        <v>4585</v>
      </c>
      <c r="N25" s="101">
        <v>135031</v>
      </c>
      <c r="O25" s="101">
        <v>12712</v>
      </c>
      <c r="P25" s="101">
        <v>189156</v>
      </c>
      <c r="Q25" s="101">
        <v>624</v>
      </c>
      <c r="R25" s="101">
        <v>12000</v>
      </c>
      <c r="S25" s="101">
        <v>13041</v>
      </c>
      <c r="T25" s="101">
        <v>24643</v>
      </c>
      <c r="U25" s="101">
        <v>180958</v>
      </c>
      <c r="V25" s="101">
        <v>250404</v>
      </c>
      <c r="W25" s="101">
        <v>212698</v>
      </c>
      <c r="X25" s="101">
        <v>192496</v>
      </c>
      <c r="Y25" s="101">
        <v>20202</v>
      </c>
      <c r="Z25" s="101">
        <v>-1339</v>
      </c>
      <c r="AA25" s="101">
        <v>10253551.496226415</v>
      </c>
      <c r="AB25" s="101">
        <v>129920</v>
      </c>
      <c r="AC25" s="101">
        <v>108641.53</v>
      </c>
      <c r="AD25" s="101">
        <v>62592</v>
      </c>
      <c r="AE25" t="s">
        <v>166</v>
      </c>
      <c r="AF25" s="149">
        <v>5.9069666851592401E-2</v>
      </c>
      <c r="AG25" s="149">
        <v>0.84933097631383458</v>
      </c>
      <c r="AH25" s="149">
        <f t="shared" si="0"/>
        <v>6.6770726570066483E-2</v>
      </c>
      <c r="AI25" s="149">
        <f t="shared" si="1"/>
        <v>0.2340924691346416</v>
      </c>
      <c r="AJ25" s="149">
        <v>0.6934787351079934</v>
      </c>
      <c r="AK25" s="149">
        <v>0.34873078224308962</v>
      </c>
      <c r="AL25" s="149">
        <v>9.4979736527846997E-2</v>
      </c>
      <c r="AM25" s="149">
        <v>5.9471427527802601E-2</v>
      </c>
      <c r="AN25" s="149">
        <v>2.8248288205544859E-2</v>
      </c>
      <c r="AO25">
        <f t="shared" si="2"/>
        <v>0</v>
      </c>
      <c r="AP25" s="149">
        <v>3.3402993916256854E-2</v>
      </c>
      <c r="AQ25" s="149">
        <v>4.8207089376611043E-2</v>
      </c>
      <c r="AR25" s="149">
        <v>0.61081909561914072</v>
      </c>
      <c r="AS25" s="208">
        <v>1735.7095155930469</v>
      </c>
      <c r="AT25" s="149">
        <f t="shared" si="3"/>
        <v>4.24E-2</v>
      </c>
      <c r="AU25" s="149">
        <v>0.21199999999999999</v>
      </c>
      <c r="AV25">
        <v>9</v>
      </c>
    </row>
    <row r="26" spans="1:48" x14ac:dyDescent="0.25">
      <c r="A26" t="s">
        <v>826</v>
      </c>
      <c r="B26" s="101">
        <v>178</v>
      </c>
      <c r="C26" s="101">
        <v>5476</v>
      </c>
      <c r="D26" s="101">
        <v>38846</v>
      </c>
      <c r="E26" s="101">
        <v>128</v>
      </c>
      <c r="F26" s="101">
        <v>5000</v>
      </c>
      <c r="G26" s="101">
        <v>2185</v>
      </c>
      <c r="H26" s="101">
        <v>0</v>
      </c>
      <c r="I26" s="101">
        <v>0</v>
      </c>
      <c r="J26" s="101">
        <v>0</v>
      </c>
      <c r="K26" s="101">
        <v>7220</v>
      </c>
      <c r="L26" s="101">
        <v>59</v>
      </c>
      <c r="M26" s="101">
        <v>14705</v>
      </c>
      <c r="N26" s="101">
        <v>30639</v>
      </c>
      <c r="O26" s="101">
        <v>7918</v>
      </c>
      <c r="P26" s="101">
        <v>16377</v>
      </c>
      <c r="Q26" s="101">
        <v>0</v>
      </c>
      <c r="R26" s="101">
        <v>7562</v>
      </c>
      <c r="S26" s="101">
        <v>6389</v>
      </c>
      <c r="T26" s="101">
        <v>4914</v>
      </c>
      <c r="U26" s="101">
        <v>6073</v>
      </c>
      <c r="V26" s="101">
        <v>29764</v>
      </c>
      <c r="W26" s="101">
        <v>70195</v>
      </c>
      <c r="X26" s="101">
        <v>63350</v>
      </c>
      <c r="Y26" s="101">
        <v>6845</v>
      </c>
      <c r="Z26" s="101">
        <v>478</v>
      </c>
      <c r="AA26" s="101">
        <v>283415.64285714272</v>
      </c>
      <c r="AB26" s="101">
        <v>53535</v>
      </c>
      <c r="AC26" s="101">
        <v>29813.896000000001</v>
      </c>
      <c r="AD26" s="101">
        <v>16215</v>
      </c>
      <c r="AE26" t="s">
        <v>826</v>
      </c>
      <c r="AF26" s="149">
        <v>7.5646413562219531E-2</v>
      </c>
      <c r="AG26" s="149">
        <v>8.6516133627751263E-2</v>
      </c>
      <c r="AH26" s="149">
        <f t="shared" si="0"/>
        <v>0.1023577177861671</v>
      </c>
      <c r="AI26" s="149">
        <f t="shared" si="1"/>
        <v>0</v>
      </c>
      <c r="AJ26" s="149">
        <v>9.8799059762091315E-2</v>
      </c>
      <c r="AK26" s="149">
        <v>0.41516822721175084</v>
      </c>
      <c r="AL26" s="149">
        <v>9.7514067953557951E-2</v>
      </c>
      <c r="AM26" s="149">
        <v>-5.1288775663120033E-2</v>
      </c>
      <c r="AN26" s="149">
        <v>-3.6476888261522261E-2</v>
      </c>
      <c r="AO26">
        <f t="shared" si="2"/>
        <v>2</v>
      </c>
      <c r="AP26" s="149">
        <v>5.2482370539212196E-2</v>
      </c>
      <c r="AQ26" s="149">
        <v>4.0375474443641677E-3</v>
      </c>
      <c r="AR26" s="149">
        <v>0.76266115820215119</v>
      </c>
      <c r="AS26" s="208">
        <v>1838.6614862781375</v>
      </c>
      <c r="AT26" s="149">
        <f t="shared" si="3"/>
        <v>5.2900000000000003E-2</v>
      </c>
      <c r="AU26" s="149">
        <v>0.26450000000000001</v>
      </c>
      <c r="AV26">
        <v>7.5</v>
      </c>
    </row>
    <row r="27" spans="1:48" x14ac:dyDescent="0.25">
      <c r="A27" t="s">
        <v>592</v>
      </c>
      <c r="B27" s="101">
        <v>1566</v>
      </c>
      <c r="C27" s="101">
        <v>6474</v>
      </c>
      <c r="D27" s="101">
        <v>104329</v>
      </c>
      <c r="E27" s="101">
        <v>807</v>
      </c>
      <c r="F27" s="101">
        <v>2413</v>
      </c>
      <c r="G27" s="101">
        <v>3567</v>
      </c>
      <c r="H27" s="101">
        <v>0</v>
      </c>
      <c r="I27" s="101">
        <v>-3204</v>
      </c>
      <c r="J27" s="101">
        <v>77</v>
      </c>
      <c r="K27" s="101">
        <v>7746</v>
      </c>
      <c r="L27" s="101">
        <v>8842</v>
      </c>
      <c r="M27" s="101">
        <v>8448</v>
      </c>
      <c r="N27" s="101">
        <v>91388</v>
      </c>
      <c r="O27" s="101">
        <v>14622</v>
      </c>
      <c r="P27" s="101">
        <v>15067</v>
      </c>
      <c r="Q27" s="101">
        <v>0</v>
      </c>
      <c r="R27" s="101">
        <v>1693</v>
      </c>
      <c r="S27" s="101">
        <v>5493</v>
      </c>
      <c r="T27" s="101">
        <v>12802</v>
      </c>
      <c r="U27" s="101">
        <v>4039</v>
      </c>
      <c r="V27" s="101">
        <v>96637</v>
      </c>
      <c r="W27" s="101">
        <v>106580</v>
      </c>
      <c r="X27" s="101">
        <v>108760</v>
      </c>
      <c r="Y27" s="101">
        <v>-2180</v>
      </c>
      <c r="Z27" s="101">
        <v>4354</v>
      </c>
      <c r="AA27" s="101">
        <v>2165674.8436268065</v>
      </c>
      <c r="AB27" s="101">
        <v>80618</v>
      </c>
      <c r="AC27" s="101">
        <v>72953.967000000004</v>
      </c>
      <c r="AD27" s="101">
        <v>35896</v>
      </c>
      <c r="AE27" t="s">
        <v>592</v>
      </c>
      <c r="AF27" s="149">
        <v>-9.7110151998498779E-3</v>
      </c>
      <c r="AG27" s="149">
        <v>3.7896415837868271E-2</v>
      </c>
      <c r="AH27" s="149">
        <f t="shared" si="0"/>
        <v>5.6108087821354853E-2</v>
      </c>
      <c r="AI27" s="149">
        <f t="shared" si="1"/>
        <v>-2.933946331394258E-2</v>
      </c>
      <c r="AJ27" s="149">
        <v>6.5167010696190658E-2</v>
      </c>
      <c r="AK27" s="149">
        <v>0.64784319285435787</v>
      </c>
      <c r="AL27" s="149">
        <v>-2.0454118971664478E-2</v>
      </c>
      <c r="AM27" s="149">
        <v>5.5582675935327661E-2</v>
      </c>
      <c r="AN27" s="149">
        <v>-3.3125831338121837E-2</v>
      </c>
      <c r="AO27">
        <f t="shared" si="2"/>
        <v>2</v>
      </c>
      <c r="AP27" s="149">
        <v>3.6901857759429536E-2</v>
      </c>
      <c r="AQ27" s="149">
        <v>2.0319711424533746E-2</v>
      </c>
      <c r="AR27" s="149">
        <v>0.75640833176956279</v>
      </c>
      <c r="AS27" s="208">
        <v>2032.3703755293068</v>
      </c>
      <c r="AT27" s="149">
        <f t="shared" si="3"/>
        <v>5.96E-2</v>
      </c>
      <c r="AU27" s="149">
        <v>0.29799999999999999</v>
      </c>
      <c r="AV27">
        <v>8</v>
      </c>
    </row>
    <row r="28" spans="1:48" x14ac:dyDescent="0.25">
      <c r="A28" t="s">
        <v>399</v>
      </c>
      <c r="B28" s="101">
        <v>5305</v>
      </c>
      <c r="C28" s="101">
        <v>1712</v>
      </c>
      <c r="D28" s="101">
        <v>16301</v>
      </c>
      <c r="E28" s="101">
        <v>302</v>
      </c>
      <c r="F28" s="101">
        <v>604</v>
      </c>
      <c r="G28" s="101">
        <v>1201</v>
      </c>
      <c r="H28" s="101">
        <v>1939</v>
      </c>
      <c r="I28" s="101">
        <v>-236</v>
      </c>
      <c r="J28" s="101">
        <v>0</v>
      </c>
      <c r="K28" s="101">
        <v>3235</v>
      </c>
      <c r="L28" s="101">
        <v>10935</v>
      </c>
      <c r="M28" s="101">
        <v>1897</v>
      </c>
      <c r="N28" s="101">
        <v>22218</v>
      </c>
      <c r="O28" s="101">
        <v>8993</v>
      </c>
      <c r="P28" s="101">
        <v>4000</v>
      </c>
      <c r="Q28" s="101">
        <v>0</v>
      </c>
      <c r="R28" s="101">
        <v>0</v>
      </c>
      <c r="S28" s="101">
        <v>5029</v>
      </c>
      <c r="T28" s="101">
        <v>2954</v>
      </c>
      <c r="U28" s="101">
        <v>-7828</v>
      </c>
      <c r="V28" s="101">
        <v>23180</v>
      </c>
      <c r="W28" s="101">
        <v>45134</v>
      </c>
      <c r="X28" s="101">
        <v>42869</v>
      </c>
      <c r="Y28" s="101">
        <v>2265</v>
      </c>
      <c r="Z28" s="101">
        <v>342</v>
      </c>
      <c r="AA28" s="101">
        <v>3149.1226993864402</v>
      </c>
      <c r="AB28" s="101">
        <v>33706</v>
      </c>
      <c r="AC28" s="101">
        <v>30079.436000000002</v>
      </c>
      <c r="AD28" s="101">
        <v>13394</v>
      </c>
      <c r="AE28" t="s">
        <v>399</v>
      </c>
      <c r="AF28" s="149">
        <v>4.7502991093189173E-2</v>
      </c>
      <c r="AG28" s="149">
        <v>-0.17343909248017017</v>
      </c>
      <c r="AH28" s="149">
        <f t="shared" si="0"/>
        <v>3.9992023751495548E-2</v>
      </c>
      <c r="AI28" s="149">
        <f t="shared" si="1"/>
        <v>-5.2288740195861215E-3</v>
      </c>
      <c r="AJ28" s="149">
        <v>-0.16497983781628042</v>
      </c>
      <c r="AK28" s="149">
        <v>0.51437699680511184</v>
      </c>
      <c r="AL28" s="149">
        <v>5.018389684051934E-2</v>
      </c>
      <c r="AM28" s="149">
        <v>8.5682099310832302E-2</v>
      </c>
      <c r="AN28" s="149">
        <v>-6.7233363593848863E-2</v>
      </c>
      <c r="AO28">
        <f t="shared" si="2"/>
        <v>1</v>
      </c>
      <c r="AP28" s="149">
        <v>7.6439048167678471E-4</v>
      </c>
      <c r="AQ28" s="149">
        <v>6.9772736725892676E-5</v>
      </c>
      <c r="AR28" s="149">
        <v>0.74679842247529582</v>
      </c>
      <c r="AS28" s="208">
        <v>2245.7395848887563</v>
      </c>
      <c r="AT28" s="149">
        <f t="shared" si="3"/>
        <v>5.5899999999999991E-2</v>
      </c>
      <c r="AU28" s="149">
        <v>0.27949999999999997</v>
      </c>
      <c r="AV28">
        <v>9.5</v>
      </c>
    </row>
    <row r="29" spans="1:48" x14ac:dyDescent="0.25">
      <c r="A29" t="s">
        <v>523</v>
      </c>
      <c r="B29" s="101">
        <v>1381</v>
      </c>
      <c r="C29" s="101">
        <v>3232</v>
      </c>
      <c r="D29" s="101">
        <v>79239</v>
      </c>
      <c r="E29" s="101">
        <v>0</v>
      </c>
      <c r="F29" s="101">
        <v>1031</v>
      </c>
      <c r="G29" s="101">
        <v>3071</v>
      </c>
      <c r="H29" s="101">
        <v>4109</v>
      </c>
      <c r="I29" s="101">
        <v>-483</v>
      </c>
      <c r="J29" s="101">
        <v>0</v>
      </c>
      <c r="K29" s="101">
        <v>26899</v>
      </c>
      <c r="L29" s="101">
        <v>1269</v>
      </c>
      <c r="M29" s="101">
        <v>1646</v>
      </c>
      <c r="N29" s="101">
        <v>63909</v>
      </c>
      <c r="O29" s="101">
        <v>10603</v>
      </c>
      <c r="P29" s="101">
        <v>28769</v>
      </c>
      <c r="Q29" s="101">
        <v>0</v>
      </c>
      <c r="R29" s="101">
        <v>0</v>
      </c>
      <c r="S29" s="101">
        <v>7621</v>
      </c>
      <c r="T29" s="101">
        <v>10491</v>
      </c>
      <c r="U29" s="101">
        <v>8856</v>
      </c>
      <c r="V29" s="101">
        <v>78696</v>
      </c>
      <c r="W29" s="101">
        <v>127423</v>
      </c>
      <c r="X29" s="101">
        <v>121513</v>
      </c>
      <c r="Y29" s="101">
        <v>5910</v>
      </c>
      <c r="Z29" s="101">
        <v>471</v>
      </c>
      <c r="AA29" s="101">
        <v>4794734.8433734942</v>
      </c>
      <c r="AB29" s="101">
        <v>94655</v>
      </c>
      <c r="AC29" s="101">
        <v>73550.384000000005</v>
      </c>
      <c r="AD29" s="101">
        <v>35474</v>
      </c>
      <c r="AE29" t="s">
        <v>523</v>
      </c>
      <c r="AF29" s="149">
        <v>4.8280137808715852E-2</v>
      </c>
      <c r="AG29" s="149">
        <v>6.9500796559490832E-2</v>
      </c>
      <c r="AH29" s="149">
        <f t="shared" si="0"/>
        <v>3.2191990456981866E-2</v>
      </c>
      <c r="AI29" s="149">
        <f t="shared" si="1"/>
        <v>-3.7905244736036667E-3</v>
      </c>
      <c r="AJ29" s="149">
        <v>7.6017202545851217E-2</v>
      </c>
      <c r="AK29" s="149">
        <v>0.52646363464120671</v>
      </c>
      <c r="AL29" s="149">
        <v>4.6380951633535547E-2</v>
      </c>
      <c r="AM29" s="149">
        <v>8.3799080297134773E-2</v>
      </c>
      <c r="AN29" s="149">
        <v>2.0038700925630388E-2</v>
      </c>
      <c r="AO29">
        <f t="shared" si="2"/>
        <v>0</v>
      </c>
      <c r="AP29" s="149">
        <v>1.0115913139700054E-2</v>
      </c>
      <c r="AQ29" s="149">
        <v>3.7689122949374258E-2</v>
      </c>
      <c r="AR29" s="149">
        <v>0.74403779339401654</v>
      </c>
      <c r="AS29" s="208">
        <v>2073.360320234538</v>
      </c>
      <c r="AT29" s="149">
        <f t="shared" si="3"/>
        <v>4.0399999999999998E-2</v>
      </c>
      <c r="AU29" s="149">
        <v>0.20199999999999999</v>
      </c>
      <c r="AV29">
        <v>9.5</v>
      </c>
    </row>
    <row r="30" spans="1:48" x14ac:dyDescent="0.25">
      <c r="A30" t="s">
        <v>344</v>
      </c>
      <c r="B30" s="101">
        <v>217</v>
      </c>
      <c r="C30" s="101">
        <v>1597</v>
      </c>
      <c r="D30" s="101">
        <v>52846</v>
      </c>
      <c r="E30" s="101">
        <v>185</v>
      </c>
      <c r="F30" s="101">
        <v>0</v>
      </c>
      <c r="G30" s="101">
        <v>578</v>
      </c>
      <c r="H30" s="101">
        <v>0</v>
      </c>
      <c r="I30" s="101">
        <v>5660</v>
      </c>
      <c r="J30" s="101">
        <v>0</v>
      </c>
      <c r="K30" s="101">
        <v>15406</v>
      </c>
      <c r="L30" s="101">
        <v>383</v>
      </c>
      <c r="M30" s="101">
        <v>9879</v>
      </c>
      <c r="N30" s="101">
        <v>39397</v>
      </c>
      <c r="O30" s="101">
        <v>8573</v>
      </c>
      <c r="P30" s="101">
        <v>26106</v>
      </c>
      <c r="Q30" s="101">
        <v>160</v>
      </c>
      <c r="R30" s="101">
        <v>0</v>
      </c>
      <c r="S30" s="101">
        <v>7577</v>
      </c>
      <c r="T30" s="101">
        <v>4940</v>
      </c>
      <c r="U30" s="101">
        <v>12537</v>
      </c>
      <c r="V30" s="101">
        <v>38480</v>
      </c>
      <c r="W30" s="101">
        <v>71043</v>
      </c>
      <c r="X30" s="101">
        <v>59987</v>
      </c>
      <c r="Y30" s="101">
        <v>11056</v>
      </c>
      <c r="Z30" s="101">
        <v>3013</v>
      </c>
      <c r="AA30" s="101">
        <v>3674124.1557788942</v>
      </c>
      <c r="AB30" s="101">
        <v>39937</v>
      </c>
      <c r="AC30" s="101">
        <v>39242.654000000002</v>
      </c>
      <c r="AD30" s="101">
        <v>19196</v>
      </c>
      <c r="AE30" t="s">
        <v>344</v>
      </c>
      <c r="AF30" s="149">
        <v>0.1585096350097828</v>
      </c>
      <c r="AG30" s="149">
        <v>0.17647058823529413</v>
      </c>
      <c r="AH30" s="149">
        <f t="shared" si="0"/>
        <v>8.1359176836563775E-3</v>
      </c>
      <c r="AI30" s="149">
        <f t="shared" si="1"/>
        <v>7.967005897836521E-2</v>
      </c>
      <c r="AJ30" s="149">
        <v>0.12167785707247725</v>
      </c>
      <c r="AK30" s="149">
        <v>0.45412838749092249</v>
      </c>
      <c r="AL30" s="149">
        <v>0.15562405866869361</v>
      </c>
      <c r="AM30" s="149">
        <v>8.1959247141144845E-2</v>
      </c>
      <c r="AN30" s="149">
        <v>8.8067898152770843E-3</v>
      </c>
      <c r="AO30">
        <f t="shared" si="2"/>
        <v>0</v>
      </c>
      <c r="AP30" s="149">
        <v>5.6937347803442985E-2</v>
      </c>
      <c r="AQ30" s="149">
        <v>5.1716906039706856E-2</v>
      </c>
      <c r="AR30" s="149">
        <v>0.56215249919063104</v>
      </c>
      <c r="AS30" s="208">
        <v>2044.3141279433216</v>
      </c>
      <c r="AT30" s="149">
        <f t="shared" si="3"/>
        <v>1.0200000000000001E-2</v>
      </c>
      <c r="AU30" s="149">
        <v>5.1000000000000004E-2</v>
      </c>
      <c r="AV30">
        <v>9.5</v>
      </c>
    </row>
    <row r="31" spans="1:48" x14ac:dyDescent="0.25">
      <c r="A31" t="s">
        <v>434</v>
      </c>
      <c r="B31" s="101">
        <v>27</v>
      </c>
      <c r="C31" s="101">
        <v>29986</v>
      </c>
      <c r="D31" s="101">
        <v>28282</v>
      </c>
      <c r="E31" s="101">
        <v>677</v>
      </c>
      <c r="F31" s="101">
        <v>631</v>
      </c>
      <c r="G31" s="101">
        <v>56</v>
      </c>
      <c r="H31" s="101">
        <v>0</v>
      </c>
      <c r="I31" s="101">
        <v>59</v>
      </c>
      <c r="J31" s="101">
        <v>0</v>
      </c>
      <c r="K31" s="101">
        <v>4668</v>
      </c>
      <c r="L31" s="101">
        <v>2015</v>
      </c>
      <c r="M31" s="101">
        <v>1706</v>
      </c>
      <c r="N31" s="101">
        <v>16959</v>
      </c>
      <c r="O31" s="101">
        <v>3177</v>
      </c>
      <c r="P31" s="101">
        <v>35652</v>
      </c>
      <c r="Q31" s="101">
        <v>0</v>
      </c>
      <c r="R31" s="101">
        <v>2000</v>
      </c>
      <c r="S31" s="101">
        <v>5839</v>
      </c>
      <c r="T31" s="101">
        <v>4473</v>
      </c>
      <c r="U31" s="101">
        <v>38888</v>
      </c>
      <c r="V31" s="101">
        <v>22090</v>
      </c>
      <c r="W31" s="101">
        <v>47807</v>
      </c>
      <c r="X31" s="101">
        <v>45492</v>
      </c>
      <c r="Y31" s="101">
        <v>2315</v>
      </c>
      <c r="Z31" s="101">
        <v>418</v>
      </c>
      <c r="AA31" s="101">
        <v>1493411.0743405279</v>
      </c>
      <c r="AB31" s="101">
        <v>31793</v>
      </c>
      <c r="AC31" s="101">
        <v>31616.378000000001</v>
      </c>
      <c r="AD31" s="101">
        <v>13154</v>
      </c>
      <c r="AE31" t="s">
        <v>434</v>
      </c>
      <c r="AF31" s="149">
        <v>4.7942769887255002E-2</v>
      </c>
      <c r="AG31" s="149">
        <v>0.81343736272930744</v>
      </c>
      <c r="AH31" s="149">
        <f t="shared" si="0"/>
        <v>1.4370280502855231E-2</v>
      </c>
      <c r="AI31" s="149">
        <f t="shared" si="1"/>
        <v>1.2341288932583095E-3</v>
      </c>
      <c r="AJ31" s="149">
        <v>0.81429790616436926</v>
      </c>
      <c r="AK31" s="149">
        <v>0.24903083700440529</v>
      </c>
      <c r="AL31" s="149">
        <v>4.8423870981237058E-2</v>
      </c>
      <c r="AM31" s="149">
        <v>2.2987243945814213E-2</v>
      </c>
      <c r="AN31" s="149">
        <v>5.3388090349075976E-3</v>
      </c>
      <c r="AO31">
        <f t="shared" si="2"/>
        <v>0</v>
      </c>
      <c r="AP31" s="149">
        <v>0.18932896856108938</v>
      </c>
      <c r="AQ31" s="149">
        <v>3.1238334853484383E-2</v>
      </c>
      <c r="AR31" s="149">
        <v>0.66502813395527849</v>
      </c>
      <c r="AS31" s="208">
        <v>2403.5561806294663</v>
      </c>
      <c r="AT31" s="149">
        <f t="shared" si="3"/>
        <v>4.2900000000000001E-2</v>
      </c>
      <c r="AU31" s="149">
        <v>0.2145</v>
      </c>
      <c r="AV31">
        <v>9</v>
      </c>
    </row>
    <row r="32" spans="1:48" x14ac:dyDescent="0.25">
      <c r="A32" t="s">
        <v>435</v>
      </c>
      <c r="B32" s="101">
        <v>0</v>
      </c>
      <c r="C32" s="101">
        <v>1956</v>
      </c>
      <c r="D32" s="101">
        <v>105990</v>
      </c>
      <c r="E32" s="101">
        <v>504</v>
      </c>
      <c r="F32" s="101">
        <v>1141</v>
      </c>
      <c r="G32" s="101">
        <v>2904</v>
      </c>
      <c r="H32" s="101">
        <v>1301</v>
      </c>
      <c r="I32" s="101">
        <v>1441</v>
      </c>
      <c r="J32" s="101">
        <v>300</v>
      </c>
      <c r="K32" s="101">
        <v>14041</v>
      </c>
      <c r="L32" s="101">
        <v>29666</v>
      </c>
      <c r="M32" s="101">
        <v>11217</v>
      </c>
      <c r="N32" s="101">
        <v>60407</v>
      </c>
      <c r="O32" s="101">
        <v>11201</v>
      </c>
      <c r="P32" s="101">
        <v>82971</v>
      </c>
      <c r="Q32" s="101">
        <v>140</v>
      </c>
      <c r="R32" s="101">
        <v>549</v>
      </c>
      <c r="S32" s="101">
        <v>5114</v>
      </c>
      <c r="T32" s="101">
        <v>10079</v>
      </c>
      <c r="U32" s="101">
        <v>38583</v>
      </c>
      <c r="V32" s="101">
        <v>94876</v>
      </c>
      <c r="W32" s="101">
        <v>106073</v>
      </c>
      <c r="X32" s="101">
        <v>95933</v>
      </c>
      <c r="Y32" s="101">
        <v>10140</v>
      </c>
      <c r="Z32" s="101">
        <v>3979</v>
      </c>
      <c r="AA32" s="101">
        <v>7341159.9317073189</v>
      </c>
      <c r="AB32" s="101">
        <v>55753</v>
      </c>
      <c r="AC32" s="101">
        <v>52681.892999999996</v>
      </c>
      <c r="AD32" s="101">
        <v>29932</v>
      </c>
      <c r="AE32" t="s">
        <v>435</v>
      </c>
      <c r="AF32" s="149">
        <v>4.5016168110640783E-2</v>
      </c>
      <c r="AG32" s="149">
        <v>0.36374006580373891</v>
      </c>
      <c r="AH32" s="149">
        <f t="shared" si="0"/>
        <v>3.8134115184825547E-2</v>
      </c>
      <c r="AI32" s="149">
        <f t="shared" si="1"/>
        <v>1.6413224854581278E-2</v>
      </c>
      <c r="AJ32" s="149">
        <v>0.35682690222771107</v>
      </c>
      <c r="AK32" s="149">
        <v>0.35437431435929628</v>
      </c>
      <c r="AL32" s="149">
        <v>9.5594543380502106E-2</v>
      </c>
      <c r="AM32" s="149">
        <v>4.3469599588999444E-2</v>
      </c>
      <c r="AN32" s="149">
        <v>6.065814198634218E-2</v>
      </c>
      <c r="AO32">
        <f t="shared" si="2"/>
        <v>0</v>
      </c>
      <c r="AP32" s="149">
        <v>3.0804257445344246E-2</v>
      </c>
      <c r="AQ32" s="149">
        <v>6.9208563269704065E-2</v>
      </c>
      <c r="AR32" s="149">
        <v>0.52560972160681796</v>
      </c>
      <c r="AS32" s="208">
        <v>1760.052552452225</v>
      </c>
      <c r="AT32" s="149">
        <f t="shared" si="3"/>
        <v>1.47E-2</v>
      </c>
      <c r="AU32" s="149">
        <v>7.3499999999999996E-2</v>
      </c>
      <c r="AV32">
        <v>9</v>
      </c>
    </row>
    <row r="33" spans="1:48" x14ac:dyDescent="0.25">
      <c r="A33" t="s">
        <v>345</v>
      </c>
      <c r="B33" s="101">
        <v>1583</v>
      </c>
      <c r="C33" s="101">
        <v>17182</v>
      </c>
      <c r="D33" s="101">
        <v>264147</v>
      </c>
      <c r="E33" s="101">
        <v>2795</v>
      </c>
      <c r="F33" s="101">
        <v>0</v>
      </c>
      <c r="G33" s="101">
        <v>1290</v>
      </c>
      <c r="H33" s="101">
        <v>0</v>
      </c>
      <c r="I33" s="101">
        <v>14060</v>
      </c>
      <c r="J33" s="101">
        <v>6</v>
      </c>
      <c r="K33" s="101">
        <v>33327</v>
      </c>
      <c r="L33" s="101">
        <v>652</v>
      </c>
      <c r="M33" s="101">
        <v>6373</v>
      </c>
      <c r="N33" s="101">
        <v>80434</v>
      </c>
      <c r="O33" s="101">
        <v>32947</v>
      </c>
      <c r="P33" s="101">
        <v>165973</v>
      </c>
      <c r="Q33" s="101">
        <v>402</v>
      </c>
      <c r="R33" s="101">
        <v>7000</v>
      </c>
      <c r="S33" s="101">
        <v>30335</v>
      </c>
      <c r="T33" s="101">
        <v>24322</v>
      </c>
      <c r="U33" s="101">
        <v>186390</v>
      </c>
      <c r="V33" s="101">
        <v>298829</v>
      </c>
      <c r="W33" s="101">
        <v>407849</v>
      </c>
      <c r="X33" s="101">
        <v>427761</v>
      </c>
      <c r="Y33" s="101">
        <v>-19912</v>
      </c>
      <c r="Z33" s="101">
        <v>-5046</v>
      </c>
      <c r="AA33" s="101">
        <v>5040392.0401606411</v>
      </c>
      <c r="AB33" s="101">
        <v>222868</v>
      </c>
      <c r="AC33" s="101">
        <v>308888.34299999999</v>
      </c>
      <c r="AD33" s="101">
        <v>69694</v>
      </c>
      <c r="AE33" t="s">
        <v>345</v>
      </c>
      <c r="AF33" s="149">
        <v>3.0128797667764294E-2</v>
      </c>
      <c r="AG33" s="149">
        <v>0.45700737282670795</v>
      </c>
      <c r="AH33" s="149">
        <f t="shared" si="0"/>
        <v>3.1629353020358026E-3</v>
      </c>
      <c r="AI33" s="149">
        <f t="shared" si="1"/>
        <v>3.4488254231345425E-2</v>
      </c>
      <c r="AJ33" s="149">
        <v>0.43324514710101047</v>
      </c>
      <c r="AK33" s="149">
        <v>0.23559149768755144</v>
      </c>
      <c r="AL33" s="149">
        <v>-4.8821990491578988E-2</v>
      </c>
      <c r="AM33" s="149">
        <v>3.171163053244571E-2</v>
      </c>
      <c r="AN33" s="149">
        <v>3.7285795710042646E-2</v>
      </c>
      <c r="AO33">
        <f t="shared" si="2"/>
        <v>1</v>
      </c>
      <c r="AP33" s="149">
        <v>-9.7566746516480358E-3</v>
      </c>
      <c r="AQ33" s="149">
        <v>1.2358475906918102E-2</v>
      </c>
      <c r="AR33" s="149">
        <v>0.54644733712722116</v>
      </c>
      <c r="AS33" s="208">
        <v>4432.0650701638588</v>
      </c>
      <c r="AT33" s="149">
        <f t="shared" si="3"/>
        <v>5.269999999999999E-2</v>
      </c>
      <c r="AU33" s="149">
        <v>0.26349999999999996</v>
      </c>
      <c r="AV33">
        <v>7</v>
      </c>
    </row>
    <row r="34" spans="1:48" x14ac:dyDescent="0.25">
      <c r="A34" t="s">
        <v>167</v>
      </c>
      <c r="B34" s="101">
        <v>201</v>
      </c>
      <c r="C34" s="101">
        <v>7857</v>
      </c>
      <c r="D34" s="101">
        <v>113631</v>
      </c>
      <c r="E34" s="101">
        <v>8736</v>
      </c>
      <c r="F34" s="101">
        <v>30761</v>
      </c>
      <c r="G34" s="101">
        <v>5924</v>
      </c>
      <c r="H34" s="101">
        <v>0</v>
      </c>
      <c r="I34" s="101">
        <v>2210</v>
      </c>
      <c r="J34" s="101">
        <v>187</v>
      </c>
      <c r="K34" s="101">
        <v>25370</v>
      </c>
      <c r="L34" s="101">
        <v>305</v>
      </c>
      <c r="M34" s="101">
        <v>4378</v>
      </c>
      <c r="N34" s="101">
        <v>101097</v>
      </c>
      <c r="O34" s="101">
        <v>13376</v>
      </c>
      <c r="P34" s="101">
        <v>54911</v>
      </c>
      <c r="Q34" s="101">
        <v>0</v>
      </c>
      <c r="R34" s="101">
        <v>190</v>
      </c>
      <c r="S34" s="101">
        <v>9306</v>
      </c>
      <c r="T34" s="101">
        <v>20680</v>
      </c>
      <c r="U34" s="101">
        <v>18349</v>
      </c>
      <c r="V34" s="101">
        <v>100227</v>
      </c>
      <c r="W34" s="101">
        <v>147970</v>
      </c>
      <c r="X34" s="101">
        <v>143449</v>
      </c>
      <c r="Y34" s="101">
        <v>4521</v>
      </c>
      <c r="Z34" s="101">
        <v>11459</v>
      </c>
      <c r="AA34" s="101">
        <v>4617155.5423728824</v>
      </c>
      <c r="AB34" s="101">
        <v>109319</v>
      </c>
      <c r="AC34" s="101">
        <v>92187.622999999992</v>
      </c>
      <c r="AD34" s="101">
        <v>43933</v>
      </c>
      <c r="AE34" t="s">
        <v>167</v>
      </c>
      <c r="AF34" s="149">
        <v>-2.7471784821247552E-2</v>
      </c>
      <c r="AG34" s="149">
        <v>0.12400486585118606</v>
      </c>
      <c r="AH34" s="149">
        <f t="shared" ref="AH34:AH65" si="4">SUM(F34,G34)/W34</f>
        <v>0.24792187605595728</v>
      </c>
      <c r="AI34" s="149">
        <f t="shared" ref="AI34:AI65" si="5">SUM(I34,J34)/W34</f>
        <v>1.6199229573562207E-2</v>
      </c>
      <c r="AJ34" s="149">
        <v>0.1424160302764074</v>
      </c>
      <c r="AK34" s="149">
        <v>0.50659951894167166</v>
      </c>
      <c r="AL34" s="149">
        <v>3.0553490572413328E-2</v>
      </c>
      <c r="AM34" s="149">
        <v>2.9484826371228706E-2</v>
      </c>
      <c r="AN34" s="149">
        <v>-9.2947856334058346E-3</v>
      </c>
      <c r="AO34">
        <f t="shared" si="2"/>
        <v>1</v>
      </c>
      <c r="AP34" s="149">
        <v>3.6260728526052576E-2</v>
      </c>
      <c r="AQ34" s="149">
        <v>3.1203321905608448E-2</v>
      </c>
      <c r="AR34" s="149">
        <v>0.73879164695546395</v>
      </c>
      <c r="AS34" s="208">
        <v>2098.3684929324195</v>
      </c>
      <c r="AT34" s="149">
        <f t="shared" si="3"/>
        <v>5.0500000000000003E-2</v>
      </c>
      <c r="AU34" s="149">
        <v>0.2525</v>
      </c>
      <c r="AV34">
        <v>10</v>
      </c>
    </row>
    <row r="35" spans="1:48" x14ac:dyDescent="0.25">
      <c r="A35" t="s">
        <v>346</v>
      </c>
      <c r="B35" s="101">
        <v>0</v>
      </c>
      <c r="C35" s="101">
        <v>5897</v>
      </c>
      <c r="D35" s="101">
        <v>46785</v>
      </c>
      <c r="E35" s="101">
        <v>55</v>
      </c>
      <c r="F35" s="101">
        <v>1246</v>
      </c>
      <c r="G35" s="101">
        <v>1905</v>
      </c>
      <c r="H35" s="101">
        <v>218</v>
      </c>
      <c r="I35" s="101">
        <v>333</v>
      </c>
      <c r="J35" s="101">
        <v>7</v>
      </c>
      <c r="K35" s="101">
        <v>11283</v>
      </c>
      <c r="L35" s="101">
        <v>17747</v>
      </c>
      <c r="M35" s="101">
        <v>8494</v>
      </c>
      <c r="N35" s="101">
        <v>58094</v>
      </c>
      <c r="O35" s="101">
        <v>15778</v>
      </c>
      <c r="P35" s="101">
        <v>1246</v>
      </c>
      <c r="Q35" s="101">
        <v>183</v>
      </c>
      <c r="R35" s="101">
        <v>104</v>
      </c>
      <c r="S35" s="101">
        <v>6827</v>
      </c>
      <c r="T35" s="101">
        <v>11740</v>
      </c>
      <c r="U35" s="101">
        <v>-20793</v>
      </c>
      <c r="V35" s="101">
        <v>78923</v>
      </c>
      <c r="W35" s="101">
        <v>97973</v>
      </c>
      <c r="X35" s="101">
        <v>94913</v>
      </c>
      <c r="Y35" s="101">
        <v>3060</v>
      </c>
      <c r="Z35" s="101">
        <v>451</v>
      </c>
      <c r="AA35" s="101">
        <v>3467713.3166807797</v>
      </c>
      <c r="AB35" s="101">
        <v>70378</v>
      </c>
      <c r="AC35" s="101">
        <v>57082.18</v>
      </c>
      <c r="AD35" s="101">
        <v>32527</v>
      </c>
      <c r="AE35" t="s">
        <v>346</v>
      </c>
      <c r="AF35" s="149">
        <v>8.9790044195849877E-2</v>
      </c>
      <c r="AG35" s="149">
        <v>-0.21223194145325752</v>
      </c>
      <c r="AH35" s="149">
        <f t="shared" si="4"/>
        <v>3.2161922162228372E-2</v>
      </c>
      <c r="AI35" s="149">
        <f t="shared" si="5"/>
        <v>3.470343870249967E-3</v>
      </c>
      <c r="AJ35" s="149">
        <v>-0.2108017515029651</v>
      </c>
      <c r="AK35" s="149">
        <v>0.61820542289192526</v>
      </c>
      <c r="AL35" s="149">
        <v>3.1233094832249703E-2</v>
      </c>
      <c r="AM35" s="149">
        <v>5.7571161454446233E-2</v>
      </c>
      <c r="AN35" s="149">
        <v>5.193715853188547E-2</v>
      </c>
      <c r="AO35">
        <f t="shared" si="2"/>
        <v>0</v>
      </c>
      <c r="AP35" s="149">
        <v>-6.6959774631786304E-2</v>
      </c>
      <c r="AQ35" s="149">
        <v>3.5394581330374486E-2</v>
      </c>
      <c r="AR35" s="149">
        <v>0.7183407673542711</v>
      </c>
      <c r="AS35" s="208">
        <v>1754.9168383189351</v>
      </c>
      <c r="AT35" s="149">
        <f t="shared" si="3"/>
        <v>6.3600000000000004E-2</v>
      </c>
      <c r="AU35" s="149">
        <v>0.318</v>
      </c>
      <c r="AV35">
        <v>8</v>
      </c>
    </row>
    <row r="36" spans="1:48" x14ac:dyDescent="0.25">
      <c r="A36" t="s">
        <v>347</v>
      </c>
      <c r="B36" s="101">
        <v>103</v>
      </c>
      <c r="C36" s="101">
        <v>5200</v>
      </c>
      <c r="D36" s="101">
        <v>54437</v>
      </c>
      <c r="E36" s="101">
        <v>77</v>
      </c>
      <c r="F36" s="101">
        <v>0</v>
      </c>
      <c r="G36" s="101">
        <v>3903</v>
      </c>
      <c r="H36" s="101">
        <v>5000</v>
      </c>
      <c r="I36" s="101">
        <v>16041</v>
      </c>
      <c r="J36" s="101">
        <v>4</v>
      </c>
      <c r="K36" s="101">
        <v>31211</v>
      </c>
      <c r="L36" s="101">
        <v>15435</v>
      </c>
      <c r="M36" s="101">
        <v>3028</v>
      </c>
      <c r="N36" s="101">
        <v>87061</v>
      </c>
      <c r="O36" s="101">
        <v>14846</v>
      </c>
      <c r="P36" s="101">
        <v>18833</v>
      </c>
      <c r="Q36" s="101">
        <v>0</v>
      </c>
      <c r="R36" s="101">
        <v>0</v>
      </c>
      <c r="S36" s="101">
        <v>8729</v>
      </c>
      <c r="T36" s="101">
        <v>4970</v>
      </c>
      <c r="U36" s="101">
        <v>-26045</v>
      </c>
      <c r="V36" s="101">
        <v>50091</v>
      </c>
      <c r="W36" s="101">
        <v>104696</v>
      </c>
      <c r="X36" s="101">
        <v>97942</v>
      </c>
      <c r="Y36" s="101">
        <v>6754</v>
      </c>
      <c r="Z36" s="101">
        <v>3781</v>
      </c>
      <c r="AA36" s="101">
        <v>4863862.6060393266</v>
      </c>
      <c r="AB36" s="101">
        <v>66685</v>
      </c>
      <c r="AC36" s="101">
        <v>60967.050999999999</v>
      </c>
      <c r="AD36" s="101">
        <v>31223</v>
      </c>
      <c r="AE36" t="s">
        <v>347</v>
      </c>
      <c r="AF36" s="149">
        <v>2.5397340872621684E-2</v>
      </c>
      <c r="AG36" s="149">
        <v>-0.2487678612363414</v>
      </c>
      <c r="AH36" s="149">
        <f t="shared" si="4"/>
        <v>3.7279361198135554E-2</v>
      </c>
      <c r="AI36" s="149">
        <f t="shared" si="5"/>
        <v>0.15325322839459005</v>
      </c>
      <c r="AJ36" s="149">
        <v>-0.35157159776877817</v>
      </c>
      <c r="AK36" s="149">
        <v>0.64758738163776886</v>
      </c>
      <c r="AL36" s="149">
        <v>6.451058302131886E-2</v>
      </c>
      <c r="AM36" s="149">
        <v>-2.496051209576856E-2</v>
      </c>
      <c r="AN36" s="149">
        <v>-3.2526135991956293E-2</v>
      </c>
      <c r="AO36">
        <f t="shared" si="2"/>
        <v>2</v>
      </c>
      <c r="AP36" s="149">
        <v>2.3040517307251471E-2</v>
      </c>
      <c r="AQ36" s="149">
        <v>4.645700510085702E-2</v>
      </c>
      <c r="AR36" s="149">
        <v>0.63693932910521889</v>
      </c>
      <c r="AS36" s="208">
        <v>1952.6327066585529</v>
      </c>
      <c r="AT36" s="149">
        <f t="shared" si="3"/>
        <v>5.6899999999999992E-2</v>
      </c>
      <c r="AU36" s="149">
        <v>0.28449999999999998</v>
      </c>
      <c r="AV36">
        <v>9.5</v>
      </c>
    </row>
    <row r="37" spans="1:48" x14ac:dyDescent="0.25">
      <c r="A37" t="s">
        <v>168</v>
      </c>
      <c r="B37" s="101">
        <v>3802</v>
      </c>
      <c r="C37" s="101">
        <v>4618</v>
      </c>
      <c r="D37" s="101">
        <v>43834</v>
      </c>
      <c r="E37" s="101">
        <v>0</v>
      </c>
      <c r="F37" s="101">
        <v>0</v>
      </c>
      <c r="G37" s="101">
        <v>4772</v>
      </c>
      <c r="H37" s="101">
        <v>332</v>
      </c>
      <c r="I37" s="101">
        <v>35524</v>
      </c>
      <c r="J37" s="101">
        <v>0</v>
      </c>
      <c r="K37" s="101">
        <v>4814</v>
      </c>
      <c r="L37" s="101">
        <v>21241</v>
      </c>
      <c r="M37" s="101">
        <v>14115</v>
      </c>
      <c r="N37" s="101">
        <v>29856</v>
      </c>
      <c r="O37" s="101">
        <v>41033</v>
      </c>
      <c r="P37" s="101">
        <v>49335</v>
      </c>
      <c r="Q37" s="101">
        <v>453</v>
      </c>
      <c r="R37" s="101">
        <v>0</v>
      </c>
      <c r="S37" s="101">
        <v>4040</v>
      </c>
      <c r="T37" s="101">
        <v>8333</v>
      </c>
      <c r="U37" s="101">
        <v>16887</v>
      </c>
      <c r="V37" s="101">
        <v>46278</v>
      </c>
      <c r="W37" s="101">
        <v>87293</v>
      </c>
      <c r="X37" s="101">
        <v>79590</v>
      </c>
      <c r="Y37" s="101">
        <v>7703</v>
      </c>
      <c r="Z37" s="101">
        <v>5736</v>
      </c>
      <c r="AA37" s="101">
        <v>655560.75596073084</v>
      </c>
      <c r="AB37" s="101">
        <v>62460</v>
      </c>
      <c r="AC37" s="101">
        <v>49296.057000000001</v>
      </c>
      <c r="AD37" s="101">
        <v>26725</v>
      </c>
      <c r="AE37" t="s">
        <v>168</v>
      </c>
      <c r="AF37" s="149">
        <v>4.6956800659846726E-2</v>
      </c>
      <c r="AG37" s="149">
        <v>0.19345193772696551</v>
      </c>
      <c r="AH37" s="149">
        <f t="shared" si="4"/>
        <v>5.4666468101680549E-2</v>
      </c>
      <c r="AI37" s="149">
        <f t="shared" si="5"/>
        <v>0.40695130193715418</v>
      </c>
      <c r="AJ37" s="149">
        <v>-8.4853997456840746E-2</v>
      </c>
      <c r="AK37" s="149">
        <v>0.2243968432919955</v>
      </c>
      <c r="AL37" s="149">
        <v>8.8243043543010324E-2</v>
      </c>
      <c r="AM37" s="149">
        <v>8.5443610623237007E-2</v>
      </c>
      <c r="AN37" s="149">
        <v>7.6197554219309502E-2</v>
      </c>
      <c r="AO37">
        <f t="shared" si="2"/>
        <v>0</v>
      </c>
      <c r="AP37" s="149">
        <v>1.7114774380534523E-2</v>
      </c>
      <c r="AQ37" s="149">
        <v>7.5098891773765462E-3</v>
      </c>
      <c r="AR37" s="149">
        <v>0.71552129036692513</v>
      </c>
      <c r="AS37" s="208">
        <v>1844.5671468662301</v>
      </c>
      <c r="AT37" s="149">
        <f t="shared" si="3"/>
        <v>4.1799999999999997E-2</v>
      </c>
      <c r="AU37" s="149">
        <v>0.20899999999999999</v>
      </c>
      <c r="AV37">
        <v>9.5</v>
      </c>
    </row>
    <row r="38" spans="1:48" x14ac:dyDescent="0.25">
      <c r="A38" t="s">
        <v>241</v>
      </c>
      <c r="B38" s="101">
        <v>1616</v>
      </c>
      <c r="C38" s="101">
        <v>2839</v>
      </c>
      <c r="D38" s="101">
        <v>83037</v>
      </c>
      <c r="E38" s="101">
        <v>518</v>
      </c>
      <c r="F38" s="101">
        <v>21</v>
      </c>
      <c r="G38" s="101">
        <v>18711</v>
      </c>
      <c r="H38" s="101">
        <v>15</v>
      </c>
      <c r="I38" s="101">
        <v>-3493</v>
      </c>
      <c r="J38" s="101">
        <v>0</v>
      </c>
      <c r="K38" s="101">
        <v>16271</v>
      </c>
      <c r="L38" s="101">
        <v>45002</v>
      </c>
      <c r="M38" s="101">
        <v>1611</v>
      </c>
      <c r="N38" s="101">
        <v>62285</v>
      </c>
      <c r="O38" s="101">
        <v>12832</v>
      </c>
      <c r="P38" s="101">
        <v>73505</v>
      </c>
      <c r="Q38" s="101">
        <v>318</v>
      </c>
      <c r="R38" s="101">
        <v>0</v>
      </c>
      <c r="S38" s="101">
        <v>5896</v>
      </c>
      <c r="T38" s="101">
        <v>11295</v>
      </c>
      <c r="U38" s="101">
        <v>9383</v>
      </c>
      <c r="V38" s="101">
        <v>92214</v>
      </c>
      <c r="W38" s="101">
        <v>152148</v>
      </c>
      <c r="X38" s="101">
        <v>149384</v>
      </c>
      <c r="Y38" s="101">
        <v>2764</v>
      </c>
      <c r="Z38" s="101">
        <v>-1384</v>
      </c>
      <c r="AA38" s="101">
        <v>5565777.0869365223</v>
      </c>
      <c r="AB38" s="101">
        <v>114600</v>
      </c>
      <c r="AC38" s="101">
        <v>93876.433000000005</v>
      </c>
      <c r="AD38" s="101">
        <v>42866</v>
      </c>
      <c r="AE38" t="s">
        <v>241</v>
      </c>
      <c r="AF38" s="149">
        <v>4.3621999631937323E-2</v>
      </c>
      <c r="AG38" s="149">
        <v>6.1670215842469178E-2</v>
      </c>
      <c r="AH38" s="149">
        <f t="shared" si="4"/>
        <v>0.12311696506033599</v>
      </c>
      <c r="AI38" s="149">
        <f t="shared" si="5"/>
        <v>-2.2957909404001366E-2</v>
      </c>
      <c r="AJ38" s="149">
        <v>9.2514788232510456E-2</v>
      </c>
      <c r="AK38" s="149">
        <v>0.374914976735227</v>
      </c>
      <c r="AL38" s="149">
        <v>1.8166522070615452E-2</v>
      </c>
      <c r="AM38" s="149">
        <v>6.9882506883297446E-2</v>
      </c>
      <c r="AN38" s="149">
        <v>6.0632205381830041E-2</v>
      </c>
      <c r="AO38">
        <f t="shared" si="2"/>
        <v>0</v>
      </c>
      <c r="AP38" s="149">
        <v>-7.7588926571496176E-3</v>
      </c>
      <c r="AQ38" s="149">
        <v>3.6581335850201922E-2</v>
      </c>
      <c r="AR38" s="149">
        <v>0.75321397586560457</v>
      </c>
      <c r="AS38" s="208">
        <v>2189.9975038492043</v>
      </c>
      <c r="AT38" s="149">
        <f t="shared" si="3"/>
        <v>4.87E-2</v>
      </c>
      <c r="AU38" s="149">
        <v>0.24349999999999999</v>
      </c>
      <c r="AV38">
        <v>8.5</v>
      </c>
    </row>
    <row r="39" spans="1:48" x14ac:dyDescent="0.25">
      <c r="A39" t="s">
        <v>348</v>
      </c>
      <c r="B39" s="101">
        <v>7346</v>
      </c>
      <c r="C39" s="101">
        <v>8627</v>
      </c>
      <c r="D39" s="101">
        <v>89334</v>
      </c>
      <c r="E39" s="101">
        <v>159</v>
      </c>
      <c r="F39" s="101">
        <v>0</v>
      </c>
      <c r="G39" s="101">
        <v>1779</v>
      </c>
      <c r="H39" s="101">
        <v>0</v>
      </c>
      <c r="I39" s="101">
        <v>5141</v>
      </c>
      <c r="J39" s="101">
        <v>0</v>
      </c>
      <c r="K39" s="101">
        <v>7337</v>
      </c>
      <c r="L39" s="101">
        <v>153</v>
      </c>
      <c r="M39" s="101">
        <v>5111</v>
      </c>
      <c r="N39" s="101">
        <v>44124</v>
      </c>
      <c r="O39" s="101">
        <v>8517</v>
      </c>
      <c r="P39" s="101">
        <v>61340</v>
      </c>
      <c r="Q39" s="101">
        <v>12</v>
      </c>
      <c r="R39" s="101">
        <v>0</v>
      </c>
      <c r="S39" s="101">
        <v>5958</v>
      </c>
      <c r="T39" s="101">
        <v>5036</v>
      </c>
      <c r="U39" s="101">
        <v>57966</v>
      </c>
      <c r="V39" s="101">
        <v>61552</v>
      </c>
      <c r="W39" s="101">
        <v>70898</v>
      </c>
      <c r="X39" s="101">
        <v>64075</v>
      </c>
      <c r="Y39" s="101">
        <v>6823</v>
      </c>
      <c r="Z39" s="101">
        <v>13753</v>
      </c>
      <c r="AA39" s="101">
        <v>4256817.8000000007</v>
      </c>
      <c r="AB39" s="101">
        <v>47687</v>
      </c>
      <c r="AC39" s="101">
        <v>37818.389000000003</v>
      </c>
      <c r="AD39" s="101">
        <v>20985</v>
      </c>
      <c r="AE39" t="s">
        <v>348</v>
      </c>
      <c r="AF39" s="149">
        <v>-0.12155490987051822</v>
      </c>
      <c r="AG39" s="149">
        <v>0.81759711134305624</v>
      </c>
      <c r="AH39" s="149">
        <f t="shared" si="4"/>
        <v>2.5092386245028069E-2</v>
      </c>
      <c r="AI39" s="149">
        <f t="shared" si="5"/>
        <v>7.2512623769358797E-2</v>
      </c>
      <c r="AJ39" s="149">
        <v>0.76984936105390844</v>
      </c>
      <c r="AK39" s="149">
        <v>0.35302871498635857</v>
      </c>
      <c r="AL39" s="149">
        <v>9.6236847301757453E-2</v>
      </c>
      <c r="AM39" s="149">
        <v>0.13063905621750593</v>
      </c>
      <c r="AN39" s="149">
        <v>4.519563481501198E-2</v>
      </c>
      <c r="AO39">
        <f t="shared" si="2"/>
        <v>0</v>
      </c>
      <c r="AP39" s="149">
        <v>0.1542885553894327</v>
      </c>
      <c r="AQ39" s="149">
        <v>6.0041436993991379E-2</v>
      </c>
      <c r="AR39" s="149">
        <v>0.67261417811503854</v>
      </c>
      <c r="AS39" s="208">
        <v>1802.1629258994519</v>
      </c>
      <c r="AT39" s="149">
        <f t="shared" si="3"/>
        <v>2.5500000000000002E-2</v>
      </c>
      <c r="AU39" s="149">
        <v>0.1275</v>
      </c>
      <c r="AV39">
        <v>8</v>
      </c>
    </row>
    <row r="40" spans="1:48" x14ac:dyDescent="0.25">
      <c r="A40" t="s">
        <v>242</v>
      </c>
      <c r="B40" s="101">
        <v>0</v>
      </c>
      <c r="C40" s="101">
        <v>188</v>
      </c>
      <c r="D40" s="101">
        <v>23066</v>
      </c>
      <c r="E40" s="101">
        <v>0</v>
      </c>
      <c r="F40" s="101">
        <v>14</v>
      </c>
      <c r="G40" s="101">
        <v>1004</v>
      </c>
      <c r="H40" s="101">
        <v>0</v>
      </c>
      <c r="I40" s="101">
        <v>0</v>
      </c>
      <c r="J40" s="101">
        <v>0</v>
      </c>
      <c r="K40" s="101">
        <v>38458</v>
      </c>
      <c r="L40" s="101">
        <v>1209</v>
      </c>
      <c r="M40" s="101">
        <v>7434</v>
      </c>
      <c r="N40" s="101">
        <v>59969</v>
      </c>
      <c r="O40" s="101">
        <v>2437</v>
      </c>
      <c r="P40" s="101">
        <v>0</v>
      </c>
      <c r="Q40" s="101">
        <v>3</v>
      </c>
      <c r="R40" s="101">
        <v>0</v>
      </c>
      <c r="S40" s="101">
        <v>4018</v>
      </c>
      <c r="T40" s="101">
        <v>4918</v>
      </c>
      <c r="U40" s="101">
        <v>-39180</v>
      </c>
      <c r="V40" s="101">
        <v>22477</v>
      </c>
      <c r="W40" s="101">
        <v>40514</v>
      </c>
      <c r="X40" s="101">
        <v>34987</v>
      </c>
      <c r="Y40" s="101">
        <v>5527</v>
      </c>
      <c r="Z40" s="101">
        <v>1671</v>
      </c>
      <c r="AA40" s="101">
        <v>3637838.1195652168</v>
      </c>
      <c r="AB40" s="101">
        <v>27538</v>
      </c>
      <c r="AC40" s="101">
        <v>19449.035</v>
      </c>
      <c r="AD40" s="101">
        <v>12724</v>
      </c>
      <c r="AE40" t="s">
        <v>242</v>
      </c>
      <c r="AF40" s="149">
        <v>9.9076862319198308E-2</v>
      </c>
      <c r="AG40" s="149">
        <v>-0.96707311052969347</v>
      </c>
      <c r="AH40" s="149">
        <f t="shared" si="4"/>
        <v>2.5127116552302906E-2</v>
      </c>
      <c r="AI40" s="149">
        <f t="shared" si="5"/>
        <v>0</v>
      </c>
      <c r="AJ40" s="149">
        <v>-0.96405785654341714</v>
      </c>
      <c r="AK40" s="149">
        <v>0.84054944284813227</v>
      </c>
      <c r="AL40" s="149">
        <v>0.13642197758799426</v>
      </c>
      <c r="AM40" s="149">
        <v>4.7244558334069688E-2</v>
      </c>
      <c r="AN40" s="149">
        <v>5.020232675771371E-2</v>
      </c>
      <c r="AO40">
        <f t="shared" si="2"/>
        <v>0</v>
      </c>
      <c r="AP40" s="149">
        <v>4.7946388902601568E-3</v>
      </c>
      <c r="AQ40" s="149">
        <v>8.9792124193247197E-2</v>
      </c>
      <c r="AR40" s="149">
        <v>0.67971565384805255</v>
      </c>
      <c r="AS40" s="208">
        <v>1528.5315152467776</v>
      </c>
      <c r="AT40" s="149">
        <f t="shared" si="3"/>
        <v>4.1399999999999999E-2</v>
      </c>
      <c r="AU40" s="149">
        <v>0.20699999999999999</v>
      </c>
      <c r="AV40">
        <v>8.5</v>
      </c>
    </row>
    <row r="41" spans="1:48" x14ac:dyDescent="0.25">
      <c r="A41" t="s">
        <v>243</v>
      </c>
      <c r="B41" s="101">
        <v>0</v>
      </c>
      <c r="C41" s="101">
        <v>682</v>
      </c>
      <c r="D41" s="101">
        <v>58530</v>
      </c>
      <c r="E41" s="101">
        <v>1563</v>
      </c>
      <c r="F41" s="101">
        <v>0</v>
      </c>
      <c r="G41" s="101">
        <v>832</v>
      </c>
      <c r="H41" s="101">
        <v>0</v>
      </c>
      <c r="I41" s="101">
        <v>522</v>
      </c>
      <c r="J41" s="101">
        <v>0</v>
      </c>
      <c r="K41" s="101">
        <v>9355</v>
      </c>
      <c r="L41" s="101">
        <v>12397</v>
      </c>
      <c r="M41" s="101">
        <v>2259</v>
      </c>
      <c r="N41" s="101">
        <v>48269</v>
      </c>
      <c r="O41" s="101">
        <v>5611</v>
      </c>
      <c r="P41" s="101">
        <v>18050</v>
      </c>
      <c r="Q41" s="101">
        <v>818</v>
      </c>
      <c r="R41" s="101">
        <v>0</v>
      </c>
      <c r="S41" s="101">
        <v>7602</v>
      </c>
      <c r="T41" s="101">
        <v>5790</v>
      </c>
      <c r="U41" s="101">
        <v>7417</v>
      </c>
      <c r="V41" s="101">
        <v>56131</v>
      </c>
      <c r="W41" s="101">
        <v>79098</v>
      </c>
      <c r="X41" s="101">
        <v>74309</v>
      </c>
      <c r="Y41" s="101">
        <v>4789</v>
      </c>
      <c r="Z41" s="101">
        <v>734</v>
      </c>
      <c r="AA41" s="101">
        <v>4646138.0530973449</v>
      </c>
      <c r="AB41" s="101">
        <v>42622</v>
      </c>
      <c r="AC41" s="101">
        <v>44345.654000000002</v>
      </c>
      <c r="AD41" s="101">
        <v>23786</v>
      </c>
      <c r="AE41" t="s">
        <v>243</v>
      </c>
      <c r="AF41" s="149">
        <v>6.6474499987357452E-2</v>
      </c>
      <c r="AG41" s="149">
        <v>9.3769753976080311E-2</v>
      </c>
      <c r="AH41" s="149">
        <f t="shared" si="4"/>
        <v>1.0518597183241043E-2</v>
      </c>
      <c r="AI41" s="149">
        <f t="shared" si="5"/>
        <v>6.5994083289084423E-3</v>
      </c>
      <c r="AJ41" s="149">
        <v>9.0412399807833332E-2</v>
      </c>
      <c r="AK41" s="149">
        <v>0.56035523566287437</v>
      </c>
      <c r="AL41" s="149">
        <v>6.0545146527092975E-2</v>
      </c>
      <c r="AM41" s="149">
        <v>5.1534370467279086E-2</v>
      </c>
      <c r="AN41" s="149">
        <v>2.3271374251350424E-2</v>
      </c>
      <c r="AO41">
        <f t="shared" si="2"/>
        <v>0</v>
      </c>
      <c r="AP41" s="149">
        <v>9.7379200485473716E-3</v>
      </c>
      <c r="AQ41" s="149">
        <v>5.8739007978676386E-2</v>
      </c>
      <c r="AR41" s="149">
        <v>0.53885053983665832</v>
      </c>
      <c r="AS41" s="208">
        <v>1864.35945514168</v>
      </c>
      <c r="AT41" s="149">
        <f t="shared" si="3"/>
        <v>3.6600000000000001E-2</v>
      </c>
      <c r="AU41" s="149">
        <v>0.183</v>
      </c>
      <c r="AV41">
        <v>9.5</v>
      </c>
    </row>
    <row r="42" spans="1:48" x14ac:dyDescent="0.25">
      <c r="A42" t="s">
        <v>285</v>
      </c>
      <c r="B42" s="101">
        <v>271</v>
      </c>
      <c r="C42" s="101">
        <v>5620</v>
      </c>
      <c r="D42" s="101">
        <v>178405</v>
      </c>
      <c r="E42" s="101">
        <v>546</v>
      </c>
      <c r="F42" s="101">
        <v>0</v>
      </c>
      <c r="G42" s="101">
        <v>1936</v>
      </c>
      <c r="H42" s="101">
        <v>0</v>
      </c>
      <c r="I42" s="101">
        <v>-2375</v>
      </c>
      <c r="J42" s="101">
        <v>854</v>
      </c>
      <c r="K42" s="101">
        <v>18399</v>
      </c>
      <c r="L42" s="101">
        <v>162</v>
      </c>
      <c r="M42" s="101">
        <v>13615</v>
      </c>
      <c r="N42" s="101">
        <v>37567</v>
      </c>
      <c r="O42" s="101">
        <v>6999</v>
      </c>
      <c r="P42" s="101">
        <v>148019</v>
      </c>
      <c r="Q42" s="101">
        <v>56</v>
      </c>
      <c r="R42" s="101">
        <v>0</v>
      </c>
      <c r="S42" s="101">
        <v>12040</v>
      </c>
      <c r="T42" s="101">
        <v>12747</v>
      </c>
      <c r="U42" s="101">
        <v>138750</v>
      </c>
      <c r="V42" s="101">
        <v>146652</v>
      </c>
      <c r="W42" s="101">
        <v>115000</v>
      </c>
      <c r="X42" s="101">
        <v>106721</v>
      </c>
      <c r="Y42" s="101">
        <v>8279</v>
      </c>
      <c r="Z42" s="101">
        <v>6278</v>
      </c>
      <c r="AA42" s="101">
        <v>836774.13282863051</v>
      </c>
      <c r="AB42" s="101">
        <v>77708</v>
      </c>
      <c r="AC42" s="101">
        <v>63035.737999999998</v>
      </c>
      <c r="AD42" s="101">
        <v>36569</v>
      </c>
      <c r="AE42" t="s">
        <v>285</v>
      </c>
      <c r="AF42" s="149">
        <v>4.4086956521739128E-3</v>
      </c>
      <c r="AG42" s="149">
        <v>1.2065217391304348</v>
      </c>
      <c r="AH42" s="149">
        <f t="shared" si="4"/>
        <v>1.6834782608695652E-2</v>
      </c>
      <c r="AI42" s="149">
        <f t="shared" si="5"/>
        <v>-1.3226086956521738E-2</v>
      </c>
      <c r="AJ42" s="149">
        <v>1.2178001739130435</v>
      </c>
      <c r="AK42" s="149">
        <v>0.17277903489890906</v>
      </c>
      <c r="AL42" s="149">
        <v>7.1991304347826093E-2</v>
      </c>
      <c r="AM42" s="149">
        <v>7.6348903550989694E-2</v>
      </c>
      <c r="AN42" s="149">
        <v>1.9250320054220952E-2</v>
      </c>
      <c r="AO42">
        <f t="shared" si="2"/>
        <v>0</v>
      </c>
      <c r="AP42" s="149">
        <v>8.1834782608695658E-2</v>
      </c>
      <c r="AQ42" s="149">
        <v>7.2762968072054828E-3</v>
      </c>
      <c r="AR42" s="149">
        <v>0.67572173913043476</v>
      </c>
      <c r="AS42" s="208">
        <v>1723.7479285733818</v>
      </c>
      <c r="AT42" s="149">
        <f t="shared" si="3"/>
        <v>3.3799999999999997E-2</v>
      </c>
      <c r="AU42" s="149">
        <v>0.16899999999999998</v>
      </c>
      <c r="AV42">
        <v>6</v>
      </c>
    </row>
    <row r="43" spans="1:48" x14ac:dyDescent="0.25">
      <c r="A43" t="s">
        <v>349</v>
      </c>
      <c r="B43" s="101">
        <v>0</v>
      </c>
      <c r="C43" s="101">
        <v>3484</v>
      </c>
      <c r="D43" s="101">
        <v>17192</v>
      </c>
      <c r="E43" s="101">
        <v>1</v>
      </c>
      <c r="F43" s="101">
        <v>0</v>
      </c>
      <c r="G43" s="101">
        <v>259</v>
      </c>
      <c r="H43" s="101">
        <v>108</v>
      </c>
      <c r="I43" s="101">
        <v>25251</v>
      </c>
      <c r="J43" s="101">
        <v>0</v>
      </c>
      <c r="K43" s="101">
        <v>2600</v>
      </c>
      <c r="L43" s="101">
        <v>12</v>
      </c>
      <c r="M43" s="101">
        <v>941</v>
      </c>
      <c r="N43" s="101">
        <v>17516</v>
      </c>
      <c r="O43" s="101">
        <v>13414</v>
      </c>
      <c r="P43" s="101">
        <v>11960</v>
      </c>
      <c r="Q43" s="101">
        <v>73</v>
      </c>
      <c r="R43" s="101">
        <v>745</v>
      </c>
      <c r="S43" s="101">
        <v>3939</v>
      </c>
      <c r="T43" s="101">
        <v>2183</v>
      </c>
      <c r="U43" s="101">
        <v>14980</v>
      </c>
      <c r="V43" s="101">
        <v>23310</v>
      </c>
      <c r="W43" s="101">
        <v>49269</v>
      </c>
      <c r="X43" s="101">
        <v>46126</v>
      </c>
      <c r="Y43" s="101">
        <v>3143</v>
      </c>
      <c r="Z43" s="101">
        <v>507</v>
      </c>
      <c r="AA43" s="101">
        <v>709130.79518072307</v>
      </c>
      <c r="AB43" s="101">
        <v>25469</v>
      </c>
      <c r="AC43" s="101">
        <v>21258.038</v>
      </c>
      <c r="AD43" s="101">
        <v>11293</v>
      </c>
      <c r="AE43" t="s">
        <v>349</v>
      </c>
      <c r="AF43" s="149">
        <v>5.4395258681929817E-3</v>
      </c>
      <c r="AG43" s="149">
        <v>0.30404513994601068</v>
      </c>
      <c r="AH43" s="149">
        <f t="shared" si="4"/>
        <v>5.256855223365605E-3</v>
      </c>
      <c r="AI43" s="149">
        <f t="shared" si="5"/>
        <v>0.51251293917067531</v>
      </c>
      <c r="AJ43" s="149">
        <v>-5.4083094846658117E-2</v>
      </c>
      <c r="AK43" s="149">
        <v>0.3515151515151515</v>
      </c>
      <c r="AL43" s="149">
        <v>6.3792648521382611E-2</v>
      </c>
      <c r="AM43" s="149">
        <v>4.9369917294445599E-2</v>
      </c>
      <c r="AN43" s="149">
        <v>7.9371907937190789E-2</v>
      </c>
      <c r="AO43">
        <f t="shared" si="2"/>
        <v>0</v>
      </c>
      <c r="AP43" s="149">
        <v>-1.3365402179869696E-2</v>
      </c>
      <c r="AQ43" s="149">
        <v>1.4420555062139767E-2</v>
      </c>
      <c r="AR43" s="149">
        <v>0.51792577529232331</v>
      </c>
      <c r="AS43" s="208">
        <v>1882.4083945807138</v>
      </c>
      <c r="AT43" s="149">
        <f t="shared" si="3"/>
        <v>5.1299999999999998E-2</v>
      </c>
      <c r="AU43" s="149">
        <v>0.25650000000000001</v>
      </c>
      <c r="AV43">
        <v>9</v>
      </c>
    </row>
    <row r="44" spans="1:48" x14ac:dyDescent="0.25">
      <c r="A44" t="s">
        <v>106</v>
      </c>
      <c r="B44" s="101">
        <v>376</v>
      </c>
      <c r="C44" s="101">
        <v>5206</v>
      </c>
      <c r="D44" s="101">
        <v>59824</v>
      </c>
      <c r="E44" s="101">
        <v>204</v>
      </c>
      <c r="F44" s="101">
        <v>4120</v>
      </c>
      <c r="G44" s="101">
        <v>249</v>
      </c>
      <c r="H44" s="101">
        <v>0</v>
      </c>
      <c r="I44" s="101">
        <v>-61</v>
      </c>
      <c r="J44" s="101">
        <v>0</v>
      </c>
      <c r="K44" s="101">
        <v>19726</v>
      </c>
      <c r="L44" s="101">
        <v>48</v>
      </c>
      <c r="M44" s="101">
        <v>2132</v>
      </c>
      <c r="N44" s="101">
        <v>45204</v>
      </c>
      <c r="O44" s="101">
        <v>4659</v>
      </c>
      <c r="P44" s="101">
        <v>22086</v>
      </c>
      <c r="Q44" s="101">
        <v>7</v>
      </c>
      <c r="R44" s="101">
        <v>3184</v>
      </c>
      <c r="S44" s="101">
        <v>4695</v>
      </c>
      <c r="T44" s="101">
        <v>11988</v>
      </c>
      <c r="U44" s="101">
        <v>15685</v>
      </c>
      <c r="V44" s="101">
        <v>57173</v>
      </c>
      <c r="W44" s="101">
        <v>98782</v>
      </c>
      <c r="X44" s="101">
        <v>91529</v>
      </c>
      <c r="Y44" s="101">
        <v>7253</v>
      </c>
      <c r="Z44" s="101">
        <v>4815</v>
      </c>
      <c r="AA44" s="101">
        <v>905178.375</v>
      </c>
      <c r="AB44" s="101">
        <v>72232</v>
      </c>
      <c r="AC44" s="101">
        <v>56224.42</v>
      </c>
      <c r="AD44" s="101">
        <v>26014</v>
      </c>
      <c r="AE44" t="s">
        <v>106</v>
      </c>
      <c r="AF44" s="149">
        <v>1.2228948593873377E-2</v>
      </c>
      <c r="AG44" s="149">
        <v>0.15878398898584761</v>
      </c>
      <c r="AH44" s="149">
        <f t="shared" si="4"/>
        <v>4.4228705634629793E-2</v>
      </c>
      <c r="AI44" s="149">
        <f t="shared" si="5"/>
        <v>-6.1752141078334104E-4</v>
      </c>
      <c r="AJ44" s="149">
        <v>0.16452369864955152</v>
      </c>
      <c r="AK44" s="149">
        <v>0.49229495877939078</v>
      </c>
      <c r="AL44" s="149">
        <v>7.3424308072320865E-2</v>
      </c>
      <c r="AM44" s="149">
        <v>9.421230740918711E-2</v>
      </c>
      <c r="AN44" s="149">
        <v>7.5210911477960662E-2</v>
      </c>
      <c r="AO44">
        <f t="shared" si="2"/>
        <v>0</v>
      </c>
      <c r="AP44" s="149">
        <v>2.0836285963029701E-2</v>
      </c>
      <c r="AQ44" s="149">
        <v>9.1633938875503636E-3</v>
      </c>
      <c r="AR44" s="149">
        <v>0.73122633678200477</v>
      </c>
      <c r="AS44" s="208">
        <v>2161.3139078957483</v>
      </c>
      <c r="AT44" s="149">
        <f t="shared" si="3"/>
        <v>4.07E-2</v>
      </c>
      <c r="AU44" s="149">
        <v>0.20350000000000001</v>
      </c>
      <c r="AV44">
        <v>10</v>
      </c>
    </row>
    <row r="45" spans="1:48" x14ac:dyDescent="0.25">
      <c r="A45" t="s">
        <v>140</v>
      </c>
      <c r="B45" s="101">
        <v>8</v>
      </c>
      <c r="C45" s="101">
        <v>14959</v>
      </c>
      <c r="D45" s="101">
        <v>59179</v>
      </c>
      <c r="E45" s="101">
        <v>738</v>
      </c>
      <c r="F45" s="101">
        <v>108</v>
      </c>
      <c r="G45" s="101">
        <v>5025</v>
      </c>
      <c r="H45" s="101">
        <v>0</v>
      </c>
      <c r="I45" s="101">
        <v>47302</v>
      </c>
      <c r="J45" s="101">
        <v>0</v>
      </c>
      <c r="K45" s="101">
        <v>2561</v>
      </c>
      <c r="L45" s="101">
        <v>45</v>
      </c>
      <c r="M45" s="101">
        <v>10338</v>
      </c>
      <c r="N45" s="101">
        <v>41978</v>
      </c>
      <c r="O45" s="101">
        <v>14171</v>
      </c>
      <c r="P45" s="101">
        <v>52380</v>
      </c>
      <c r="Q45" s="101">
        <v>5</v>
      </c>
      <c r="R45" s="101">
        <v>12087</v>
      </c>
      <c r="S45" s="101">
        <v>4260</v>
      </c>
      <c r="T45" s="101">
        <v>15381</v>
      </c>
      <c r="U45" s="101">
        <v>66036</v>
      </c>
      <c r="V45" s="101">
        <v>50087</v>
      </c>
      <c r="W45" s="101">
        <v>85393</v>
      </c>
      <c r="X45" s="101">
        <v>83136</v>
      </c>
      <c r="Y45" s="101">
        <v>2257</v>
      </c>
      <c r="Z45" s="101">
        <v>8817</v>
      </c>
      <c r="AA45" s="101">
        <v>116497.69571639504</v>
      </c>
      <c r="AB45" s="101">
        <v>60373</v>
      </c>
      <c r="AC45" s="101">
        <v>47856.834000000003</v>
      </c>
      <c r="AD45" s="101">
        <v>24639</v>
      </c>
      <c r="AE45" t="s">
        <v>140</v>
      </c>
      <c r="AF45" s="149">
        <v>-5.1257128804468748E-2</v>
      </c>
      <c r="AG45" s="149">
        <v>0.77331865609593298</v>
      </c>
      <c r="AH45" s="149">
        <f t="shared" si="4"/>
        <v>6.0110313491738197E-2</v>
      </c>
      <c r="AI45" s="149">
        <f t="shared" si="5"/>
        <v>0.55393299216563419</v>
      </c>
      <c r="AJ45" s="149">
        <v>0.39277879919899766</v>
      </c>
      <c r="AK45" s="149">
        <v>0.29928277081461835</v>
      </c>
      <c r="AL45" s="149">
        <v>2.6430737882496225E-2</v>
      </c>
      <c r="AM45" s="149">
        <v>3.7862788491938033E-2</v>
      </c>
      <c r="AN45" s="149">
        <v>0.10893734275787709</v>
      </c>
      <c r="AO45">
        <f t="shared" si="2"/>
        <v>0</v>
      </c>
      <c r="AP45" s="149">
        <v>7.0436101319780314E-2</v>
      </c>
      <c r="AQ45" s="149">
        <v>1.3642534600774659E-3</v>
      </c>
      <c r="AR45" s="149">
        <v>0.7070017448737016</v>
      </c>
      <c r="AS45" s="208">
        <v>1942.3204675514428</v>
      </c>
      <c r="AT45" s="149">
        <f t="shared" si="3"/>
        <v>4.8500000000000001E-2</v>
      </c>
      <c r="AU45" s="149">
        <v>0.24249999999999999</v>
      </c>
      <c r="AV45">
        <v>8</v>
      </c>
    </row>
    <row r="46" spans="1:48" x14ac:dyDescent="0.25">
      <c r="A46" t="s">
        <v>328</v>
      </c>
      <c r="B46" s="101">
        <v>34</v>
      </c>
      <c r="C46" s="101">
        <v>8576</v>
      </c>
      <c r="D46" s="101">
        <v>33087</v>
      </c>
      <c r="E46" s="101">
        <v>4814</v>
      </c>
      <c r="F46" s="101">
        <v>0</v>
      </c>
      <c r="G46" s="101">
        <v>3612</v>
      </c>
      <c r="H46" s="101">
        <v>297</v>
      </c>
      <c r="I46" s="101">
        <v>-2365</v>
      </c>
      <c r="J46" s="101">
        <v>0</v>
      </c>
      <c r="K46" s="101">
        <v>9311</v>
      </c>
      <c r="L46" s="101">
        <v>31262</v>
      </c>
      <c r="M46" s="101">
        <v>785</v>
      </c>
      <c r="N46" s="101">
        <v>49910</v>
      </c>
      <c r="O46" s="101">
        <v>5818</v>
      </c>
      <c r="P46" s="101">
        <v>15003</v>
      </c>
      <c r="Q46" s="101">
        <v>0</v>
      </c>
      <c r="R46" s="101">
        <v>0</v>
      </c>
      <c r="S46" s="101">
        <v>10381</v>
      </c>
      <c r="T46" s="101">
        <v>8301</v>
      </c>
      <c r="U46" s="101">
        <v>-11582</v>
      </c>
      <c r="V46" s="101">
        <v>33670</v>
      </c>
      <c r="W46" s="101">
        <v>80643</v>
      </c>
      <c r="X46" s="101">
        <v>70085</v>
      </c>
      <c r="Y46" s="101">
        <v>10558</v>
      </c>
      <c r="Z46" s="101">
        <v>6879</v>
      </c>
      <c r="AA46" s="101">
        <v>-134428</v>
      </c>
      <c r="AB46" s="101">
        <v>55326</v>
      </c>
      <c r="AC46" s="101">
        <v>45083.866999999998</v>
      </c>
      <c r="AD46" s="101">
        <v>23121</v>
      </c>
      <c r="AE46" t="s">
        <v>328</v>
      </c>
      <c r="AF46" s="149">
        <v>1.9914933720223703E-2</v>
      </c>
      <c r="AG46" s="149">
        <v>-0.14362064903339408</v>
      </c>
      <c r="AH46" s="149">
        <f t="shared" si="4"/>
        <v>4.4790000372009968E-2</v>
      </c>
      <c r="AI46" s="149">
        <f t="shared" si="5"/>
        <v>-2.9326785957863671E-2</v>
      </c>
      <c r="AJ46" s="149">
        <v>-0.11771709881824832</v>
      </c>
      <c r="AK46" s="149">
        <v>0.55819623544674712</v>
      </c>
      <c r="AL46" s="149">
        <v>0.13092270872859393</v>
      </c>
      <c r="AM46" s="149">
        <v>0.13718159042641132</v>
      </c>
      <c r="AN46" s="149">
        <v>6.1215605626191515E-2</v>
      </c>
      <c r="AO46">
        <f t="shared" si="2"/>
        <v>0</v>
      </c>
      <c r="AP46" s="149">
        <v>2.4884366901032948E-2</v>
      </c>
      <c r="AQ46" s="149">
        <v>-1.6673653920097242E-3</v>
      </c>
      <c r="AR46" s="149">
        <v>0.68623097627227958</v>
      </c>
      <c r="AS46" s="208">
        <v>1949.9099087409713</v>
      </c>
      <c r="AT46" s="149">
        <f t="shared" si="3"/>
        <v>3.32E-2</v>
      </c>
      <c r="AU46" s="149">
        <v>0.16600000000000001</v>
      </c>
      <c r="AV46">
        <v>9</v>
      </c>
    </row>
    <row r="47" spans="1:48" x14ac:dyDescent="0.25">
      <c r="A47" t="s">
        <v>351</v>
      </c>
      <c r="B47" s="101">
        <v>172</v>
      </c>
      <c r="C47" s="101">
        <v>2099</v>
      </c>
      <c r="D47" s="101">
        <v>63057</v>
      </c>
      <c r="E47" s="101">
        <v>138</v>
      </c>
      <c r="F47" s="101">
        <v>2710</v>
      </c>
      <c r="G47" s="101">
        <v>2371</v>
      </c>
      <c r="H47" s="101">
        <v>50</v>
      </c>
      <c r="I47" s="101">
        <v>8404</v>
      </c>
      <c r="J47" s="101">
        <v>0</v>
      </c>
      <c r="K47" s="101">
        <v>48361</v>
      </c>
      <c r="L47" s="101">
        <v>438</v>
      </c>
      <c r="M47" s="101">
        <v>1220</v>
      </c>
      <c r="N47" s="101">
        <v>46760</v>
      </c>
      <c r="O47" s="101">
        <v>23077</v>
      </c>
      <c r="P47" s="101">
        <v>32597</v>
      </c>
      <c r="Q47" s="101">
        <v>10</v>
      </c>
      <c r="R47" s="101">
        <v>0</v>
      </c>
      <c r="S47" s="101">
        <v>19682</v>
      </c>
      <c r="T47" s="101">
        <v>6893</v>
      </c>
      <c r="U47" s="101">
        <v>4032</v>
      </c>
      <c r="V47" s="101">
        <v>68593.130934042856</v>
      </c>
      <c r="W47" s="101">
        <v>125544</v>
      </c>
      <c r="X47" s="101">
        <v>116937</v>
      </c>
      <c r="Y47" s="101">
        <v>8607</v>
      </c>
      <c r="Z47" s="101">
        <v>-1098</v>
      </c>
      <c r="AA47" s="101">
        <v>2293496.7313432842</v>
      </c>
      <c r="AB47" s="101">
        <v>93648</v>
      </c>
      <c r="AC47" s="101">
        <v>65696.130999999994</v>
      </c>
      <c r="AD47" s="101">
        <v>33979</v>
      </c>
      <c r="AE47" t="s">
        <v>351</v>
      </c>
      <c r="AF47" s="149">
        <v>8.6957560695851657E-2</v>
      </c>
      <c r="AG47" s="149">
        <v>3.2116230166316193E-2</v>
      </c>
      <c r="AH47" s="149">
        <f t="shared" si="4"/>
        <v>4.0471866437265025E-2</v>
      </c>
      <c r="AI47" s="149">
        <f t="shared" si="5"/>
        <v>6.6940674185942781E-2</v>
      </c>
      <c r="AJ47" s="149">
        <v>-9.8856177913719465E-3</v>
      </c>
      <c r="AK47" s="149">
        <v>0.36242723939884824</v>
      </c>
      <c r="AL47" s="149">
        <v>6.8557637163066329E-2</v>
      </c>
      <c r="AM47" s="149">
        <v>9.7894773289936121E-2</v>
      </c>
      <c r="AN47" s="149">
        <v>3.8486488407844813E-2</v>
      </c>
      <c r="AO47">
        <f t="shared" si="2"/>
        <v>0</v>
      </c>
      <c r="AP47" s="149">
        <v>-1.0994153444210794E-2</v>
      </c>
      <c r="AQ47" s="149">
        <v>1.8268469471605844E-2</v>
      </c>
      <c r="AR47" s="149">
        <v>0.7459376792200344</v>
      </c>
      <c r="AS47" s="208">
        <v>1933.4333264663467</v>
      </c>
      <c r="AT47" s="149">
        <f t="shared" si="3"/>
        <v>3.7900000000000003E-2</v>
      </c>
      <c r="AU47" s="149">
        <v>0.1895</v>
      </c>
      <c r="AV47">
        <v>9</v>
      </c>
    </row>
    <row r="48" spans="1:48" x14ac:dyDescent="0.25">
      <c r="A48" t="s">
        <v>352</v>
      </c>
      <c r="B48" s="101">
        <v>4766</v>
      </c>
      <c r="C48" s="101">
        <v>70408</v>
      </c>
      <c r="D48" s="101">
        <v>445230</v>
      </c>
      <c r="E48" s="101">
        <v>2387</v>
      </c>
      <c r="F48" s="101">
        <v>60741</v>
      </c>
      <c r="G48" s="101">
        <v>71637</v>
      </c>
      <c r="H48" s="101">
        <v>16701</v>
      </c>
      <c r="I48" s="101">
        <v>13879</v>
      </c>
      <c r="J48" s="101">
        <v>593</v>
      </c>
      <c r="K48" s="101">
        <v>55493</v>
      </c>
      <c r="L48" s="101">
        <v>144</v>
      </c>
      <c r="M48" s="101">
        <v>72063</v>
      </c>
      <c r="N48" s="101">
        <v>159882</v>
      </c>
      <c r="O48" s="101">
        <v>61841</v>
      </c>
      <c r="P48" s="101">
        <v>377457</v>
      </c>
      <c r="Q48" s="101">
        <v>409</v>
      </c>
      <c r="R48" s="101">
        <v>1691</v>
      </c>
      <c r="S48" s="101">
        <v>23660</v>
      </c>
      <c r="T48" s="101">
        <v>189103</v>
      </c>
      <c r="U48" s="101">
        <v>315541</v>
      </c>
      <c r="V48" s="101">
        <v>446060</v>
      </c>
      <c r="W48" s="101">
        <v>830916</v>
      </c>
      <c r="X48" s="101">
        <v>837465</v>
      </c>
      <c r="Y48" s="101">
        <v>-6549</v>
      </c>
      <c r="Z48" s="101">
        <v>32007</v>
      </c>
      <c r="AA48" s="101">
        <v>34052165.915275857</v>
      </c>
      <c r="AB48" s="101">
        <v>563014</v>
      </c>
      <c r="AC48" s="101">
        <v>489403.255</v>
      </c>
      <c r="AD48" s="101">
        <v>188078</v>
      </c>
      <c r="AE48" t="s">
        <v>352</v>
      </c>
      <c r="AF48" s="149">
        <v>-4.0404806262004822E-2</v>
      </c>
      <c r="AG48" s="149">
        <v>0.37975078106571541</v>
      </c>
      <c r="AH48" s="149">
        <f t="shared" si="4"/>
        <v>0.15931574310760654</v>
      </c>
      <c r="AI48" s="149">
        <f t="shared" si="5"/>
        <v>1.7416923010268186E-2</v>
      </c>
      <c r="AJ48" s="149">
        <v>0.3866768241314405</v>
      </c>
      <c r="AK48" s="149">
        <v>0.19640485822002032</v>
      </c>
      <c r="AL48" s="149">
        <v>-7.8816631284028705E-3</v>
      </c>
      <c r="AM48" s="149">
        <v>2.8436877833179379E-2</v>
      </c>
      <c r="AN48" s="149">
        <v>-2.991408349624412E-3</v>
      </c>
      <c r="AO48">
        <f t="shared" si="2"/>
        <v>2</v>
      </c>
      <c r="AP48" s="149">
        <v>2.2368085341959956E-2</v>
      </c>
      <c r="AQ48" s="149">
        <v>4.0981478170207163E-2</v>
      </c>
      <c r="AR48" s="149">
        <v>0.67758233082525787</v>
      </c>
      <c r="AS48" s="208">
        <v>2602.1291963972394</v>
      </c>
      <c r="AT48" s="149">
        <f t="shared" si="3"/>
        <v>5.2600000000000001E-2</v>
      </c>
      <c r="AU48" s="149">
        <v>0.26300000000000001</v>
      </c>
      <c r="AV48">
        <v>7.5</v>
      </c>
    </row>
    <row r="49" spans="1:48" x14ac:dyDescent="0.25">
      <c r="A49" t="s">
        <v>169</v>
      </c>
      <c r="B49" s="101">
        <v>93</v>
      </c>
      <c r="C49" s="101">
        <v>4829</v>
      </c>
      <c r="D49" s="101">
        <v>48944</v>
      </c>
      <c r="E49" s="101">
        <v>306</v>
      </c>
      <c r="F49" s="101">
        <v>2386</v>
      </c>
      <c r="G49" s="101">
        <v>9168</v>
      </c>
      <c r="H49" s="101">
        <v>0</v>
      </c>
      <c r="I49" s="101">
        <v>716</v>
      </c>
      <c r="J49" s="101">
        <v>0</v>
      </c>
      <c r="K49" s="101">
        <v>8951</v>
      </c>
      <c r="L49" s="101">
        <v>29697</v>
      </c>
      <c r="M49" s="101">
        <v>4970</v>
      </c>
      <c r="N49" s="101">
        <v>70701</v>
      </c>
      <c r="O49" s="101">
        <v>11632</v>
      </c>
      <c r="P49" s="101">
        <v>11765</v>
      </c>
      <c r="Q49" s="101">
        <v>8</v>
      </c>
      <c r="R49" s="101">
        <v>0</v>
      </c>
      <c r="S49" s="101">
        <v>7608</v>
      </c>
      <c r="T49" s="101">
        <v>8308</v>
      </c>
      <c r="U49" s="101">
        <v>-27483</v>
      </c>
      <c r="V49" s="101">
        <v>62090</v>
      </c>
      <c r="W49" s="101">
        <v>109781</v>
      </c>
      <c r="X49" s="101">
        <v>104971</v>
      </c>
      <c r="Y49" s="101">
        <v>4810</v>
      </c>
      <c r="Z49" s="101">
        <v>-2457</v>
      </c>
      <c r="AA49" s="101">
        <v>5640534.6472843438</v>
      </c>
      <c r="AB49" s="101">
        <v>80382</v>
      </c>
      <c r="AC49" s="101">
        <v>69941.997000000003</v>
      </c>
      <c r="AD49" s="101">
        <v>36119</v>
      </c>
      <c r="AE49" t="s">
        <v>169</v>
      </c>
      <c r="AF49" s="149">
        <v>5.6002404787713719E-2</v>
      </c>
      <c r="AG49" s="149">
        <v>-0.25034386642497336</v>
      </c>
      <c r="AH49" s="149">
        <f t="shared" si="4"/>
        <v>0.10524589865277234</v>
      </c>
      <c r="AI49" s="149">
        <f t="shared" si="5"/>
        <v>6.522075769031071E-3</v>
      </c>
      <c r="AJ49" s="149">
        <v>-0.2422798116249624</v>
      </c>
      <c r="AK49" s="149">
        <v>0.64260784206795007</v>
      </c>
      <c r="AL49" s="149">
        <v>4.3814503420446162E-2</v>
      </c>
      <c r="AM49" s="149">
        <v>7.647052948050781E-2</v>
      </c>
      <c r="AN49" s="149">
        <v>1.9235374801332434E-2</v>
      </c>
      <c r="AO49">
        <f t="shared" si="2"/>
        <v>0</v>
      </c>
      <c r="AP49" s="149">
        <v>-1.8728195225038942E-2</v>
      </c>
      <c r="AQ49" s="149">
        <v>5.1379880373510385E-2</v>
      </c>
      <c r="AR49" s="149">
        <v>0.73220320456180943</v>
      </c>
      <c r="AS49" s="208">
        <v>1936.4322655665992</v>
      </c>
      <c r="AT49" s="149">
        <f t="shared" si="3"/>
        <v>5.1299999999999998E-2</v>
      </c>
      <c r="AU49" s="149">
        <v>0.25650000000000001</v>
      </c>
      <c r="AV49">
        <v>9</v>
      </c>
    </row>
    <row r="50" spans="1:48" x14ac:dyDescent="0.25">
      <c r="A50" t="s">
        <v>170</v>
      </c>
      <c r="B50" s="101">
        <v>0</v>
      </c>
      <c r="C50" s="101">
        <v>1648</v>
      </c>
      <c r="D50" s="101">
        <v>60214</v>
      </c>
      <c r="E50" s="101">
        <v>42</v>
      </c>
      <c r="F50" s="101">
        <v>263</v>
      </c>
      <c r="G50" s="101">
        <v>4087</v>
      </c>
      <c r="H50" s="101">
        <v>0</v>
      </c>
      <c r="I50" s="101">
        <v>13814</v>
      </c>
      <c r="J50" s="101">
        <v>6</v>
      </c>
      <c r="K50" s="101">
        <v>10573</v>
      </c>
      <c r="L50" s="101">
        <v>19</v>
      </c>
      <c r="M50" s="101">
        <v>2902</v>
      </c>
      <c r="N50" s="101">
        <v>21269</v>
      </c>
      <c r="O50" s="101">
        <v>13672</v>
      </c>
      <c r="P50" s="101">
        <v>49617</v>
      </c>
      <c r="Q50" s="101">
        <v>1</v>
      </c>
      <c r="R50" s="101">
        <v>-904</v>
      </c>
      <c r="S50" s="101">
        <v>2649</v>
      </c>
      <c r="T50" s="101">
        <v>7260</v>
      </c>
      <c r="U50" s="101">
        <v>40779</v>
      </c>
      <c r="V50" s="101">
        <v>54213</v>
      </c>
      <c r="W50" s="101">
        <v>69584</v>
      </c>
      <c r="X50" s="101">
        <v>65725</v>
      </c>
      <c r="Y50" s="101">
        <v>3859</v>
      </c>
      <c r="Z50" s="101">
        <v>5446</v>
      </c>
      <c r="AA50" s="101">
        <v>533537.75857338775</v>
      </c>
      <c r="AB50" s="101">
        <v>51542</v>
      </c>
      <c r="AC50" s="101">
        <v>41003.822999999997</v>
      </c>
      <c r="AD50" s="101">
        <v>21286</v>
      </c>
      <c r="AE50" t="s">
        <v>170</v>
      </c>
      <c r="AF50" s="149">
        <v>3.7336169234306736E-2</v>
      </c>
      <c r="AG50" s="149">
        <v>0.58603989422855829</v>
      </c>
      <c r="AH50" s="149">
        <f t="shared" si="4"/>
        <v>6.2514371119797657E-2</v>
      </c>
      <c r="AI50" s="149">
        <f t="shared" si="5"/>
        <v>0.19860887560358703</v>
      </c>
      <c r="AJ50" s="149">
        <v>0.45451540584042305</v>
      </c>
      <c r="AK50" s="149">
        <v>0.22732033688170664</v>
      </c>
      <c r="AL50" s="149">
        <v>5.545815129914923E-2</v>
      </c>
      <c r="AM50" s="149">
        <v>0.12303749787733301</v>
      </c>
      <c r="AN50" s="149">
        <v>7.2413432002234018E-2</v>
      </c>
      <c r="AO50">
        <f t="shared" si="2"/>
        <v>0</v>
      </c>
      <c r="AP50" s="149">
        <v>2.7481173833065073E-2</v>
      </c>
      <c r="AQ50" s="149">
        <v>7.6675350450302908E-3</v>
      </c>
      <c r="AR50" s="149">
        <v>0.74071625661071505</v>
      </c>
      <c r="AS50" s="208">
        <v>1926.328243916189</v>
      </c>
      <c r="AT50" s="149">
        <f t="shared" si="3"/>
        <v>3.9600000000000003E-2</v>
      </c>
      <c r="AU50" s="149">
        <v>0.19800000000000001</v>
      </c>
      <c r="AV50">
        <v>10</v>
      </c>
    </row>
    <row r="51" spans="1:48" x14ac:dyDescent="0.25">
      <c r="A51" t="s">
        <v>400</v>
      </c>
      <c r="B51" s="101">
        <v>944</v>
      </c>
      <c r="C51" s="101">
        <v>1264</v>
      </c>
      <c r="D51" s="101">
        <v>56454</v>
      </c>
      <c r="E51" s="101">
        <v>313</v>
      </c>
      <c r="F51" s="101">
        <v>162</v>
      </c>
      <c r="G51" s="101">
        <v>2763</v>
      </c>
      <c r="H51" s="101">
        <v>2283</v>
      </c>
      <c r="I51" s="101">
        <v>-762</v>
      </c>
      <c r="J51" s="101">
        <v>0</v>
      </c>
      <c r="K51" s="101">
        <v>11827</v>
      </c>
      <c r="L51" s="101">
        <v>647</v>
      </c>
      <c r="M51" s="101">
        <v>7900</v>
      </c>
      <c r="N51" s="101">
        <v>49175</v>
      </c>
      <c r="O51" s="101">
        <v>7824</v>
      </c>
      <c r="P51" s="101">
        <v>10150</v>
      </c>
      <c r="Q51" s="101">
        <v>3420</v>
      </c>
      <c r="R51" s="101">
        <v>0</v>
      </c>
      <c r="S51" s="101">
        <v>5716</v>
      </c>
      <c r="T51" s="101">
        <v>7510</v>
      </c>
      <c r="U51" s="101">
        <v>1214</v>
      </c>
      <c r="V51" s="101">
        <v>53943</v>
      </c>
      <c r="W51" s="101">
        <v>118239</v>
      </c>
      <c r="X51" s="101">
        <v>123606</v>
      </c>
      <c r="Y51" s="101">
        <v>-5367</v>
      </c>
      <c r="Z51" s="101">
        <v>1293</v>
      </c>
      <c r="AA51" s="101">
        <v>544573.71896316484</v>
      </c>
      <c r="AB51" s="101">
        <v>89056</v>
      </c>
      <c r="AC51" s="101">
        <v>82673.297000000006</v>
      </c>
      <c r="AD51" s="101">
        <v>27770</v>
      </c>
      <c r="AE51" t="s">
        <v>400</v>
      </c>
      <c r="AF51" s="149">
        <v>-1.7075584198107223E-2</v>
      </c>
      <c r="AG51" s="149">
        <v>1.0267339879396814E-2</v>
      </c>
      <c r="AH51" s="149">
        <f t="shared" si="4"/>
        <v>2.4738030599040926E-2</v>
      </c>
      <c r="AI51" s="149">
        <f t="shared" si="5"/>
        <v>-6.44457412528861E-3</v>
      </c>
      <c r="AJ51" s="149">
        <v>1.7747105438983751E-2</v>
      </c>
      <c r="AK51" s="149">
        <v>0.58684885733038961</v>
      </c>
      <c r="AL51" s="149">
        <v>-4.5391114606855604E-2</v>
      </c>
      <c r="AM51" s="149">
        <v>-1.103657217052586E-2</v>
      </c>
      <c r="AN51" s="149">
        <v>2.0394160027446344E-3</v>
      </c>
      <c r="AO51">
        <f t="shared" si="2"/>
        <v>2</v>
      </c>
      <c r="AP51" s="149">
        <v>9.9776723416131734E-3</v>
      </c>
      <c r="AQ51" s="149">
        <v>4.6182016381004316E-3</v>
      </c>
      <c r="AR51" s="149">
        <v>0.75523028519576996</v>
      </c>
      <c r="AS51" s="208">
        <v>2977.0722722362261</v>
      </c>
      <c r="AT51" s="149">
        <f t="shared" si="3"/>
        <v>6.3399999999999998E-2</v>
      </c>
      <c r="AU51" s="149">
        <v>0.317</v>
      </c>
      <c r="AV51">
        <v>6.5</v>
      </c>
    </row>
    <row r="52" spans="1:48" x14ac:dyDescent="0.25">
      <c r="A52" t="s">
        <v>214</v>
      </c>
      <c r="B52" s="101">
        <v>4963</v>
      </c>
      <c r="C52" s="101">
        <v>3518</v>
      </c>
      <c r="D52" s="101">
        <v>36883</v>
      </c>
      <c r="E52" s="101">
        <v>61</v>
      </c>
      <c r="F52" s="101">
        <v>0</v>
      </c>
      <c r="G52" s="101">
        <v>0</v>
      </c>
      <c r="H52" s="101">
        <v>0</v>
      </c>
      <c r="I52" s="101">
        <v>-719</v>
      </c>
      <c r="J52" s="101">
        <v>2</v>
      </c>
      <c r="K52" s="101">
        <v>1370</v>
      </c>
      <c r="L52" s="101">
        <v>13669</v>
      </c>
      <c r="M52" s="101">
        <v>6054</v>
      </c>
      <c r="N52" s="101">
        <v>30070</v>
      </c>
      <c r="O52" s="101">
        <v>3626</v>
      </c>
      <c r="P52" s="101">
        <v>24950</v>
      </c>
      <c r="Q52" s="101">
        <v>3</v>
      </c>
      <c r="R52" s="101">
        <v>0</v>
      </c>
      <c r="S52" s="101">
        <v>2274</v>
      </c>
      <c r="T52" s="101">
        <v>4879</v>
      </c>
      <c r="U52" s="101">
        <v>11013</v>
      </c>
      <c r="V52" s="101">
        <v>35560</v>
      </c>
      <c r="W52" s="101">
        <v>41837</v>
      </c>
      <c r="X52" s="101">
        <v>41050</v>
      </c>
      <c r="Y52" s="101">
        <v>787</v>
      </c>
      <c r="Z52" s="101">
        <v>4011</v>
      </c>
      <c r="AA52" s="101">
        <v>1246768.2710843375</v>
      </c>
      <c r="AB52" s="101">
        <v>27525</v>
      </c>
      <c r="AC52" s="101">
        <v>27763.915000000001</v>
      </c>
      <c r="AD52" s="101">
        <v>16108</v>
      </c>
      <c r="AE52" t="s">
        <v>214</v>
      </c>
      <c r="AF52" s="149">
        <v>-8.8223342973922605E-2</v>
      </c>
      <c r="AG52" s="149">
        <v>0.2632358916748333</v>
      </c>
      <c r="AH52" s="149">
        <f t="shared" si="4"/>
        <v>0</v>
      </c>
      <c r="AI52" s="149">
        <f t="shared" si="5"/>
        <v>-1.7137940100867652E-2</v>
      </c>
      <c r="AJ52" s="149">
        <v>0.27523244974544064</v>
      </c>
      <c r="AK52" s="149">
        <v>0.45697699158080302</v>
      </c>
      <c r="AL52" s="149">
        <v>1.8811100222291273E-2</v>
      </c>
      <c r="AM52" s="149">
        <v>3.44405784494944E-2</v>
      </c>
      <c r="AN52" s="149">
        <v>-1.4535297973608458E-3</v>
      </c>
      <c r="AO52">
        <f t="shared" si="2"/>
        <v>1</v>
      </c>
      <c r="AP52" s="149">
        <v>5.8584506537275614E-2</v>
      </c>
      <c r="AQ52" s="149">
        <v>2.9800613597636961E-2</v>
      </c>
      <c r="AR52" s="149">
        <v>0.65791046203121639</v>
      </c>
      <c r="AS52" s="208">
        <v>1723.6103178544822</v>
      </c>
      <c r="AT52" s="149">
        <f t="shared" si="3"/>
        <v>5.2299999999999999E-2</v>
      </c>
      <c r="AU52" s="149">
        <v>0.26150000000000001</v>
      </c>
      <c r="AV52">
        <v>7.5</v>
      </c>
    </row>
    <row r="53" spans="1:48" x14ac:dyDescent="0.25">
      <c r="A53" t="s">
        <v>215</v>
      </c>
      <c r="B53" s="101">
        <v>167</v>
      </c>
      <c r="C53" s="101">
        <v>7492</v>
      </c>
      <c r="D53" s="101">
        <v>50567</v>
      </c>
      <c r="E53" s="101">
        <v>355</v>
      </c>
      <c r="F53" s="101">
        <v>376</v>
      </c>
      <c r="G53" s="101">
        <v>2387</v>
      </c>
      <c r="H53" s="101">
        <v>0</v>
      </c>
      <c r="I53" s="101">
        <v>11244</v>
      </c>
      <c r="J53" s="101">
        <v>0</v>
      </c>
      <c r="K53" s="101">
        <v>10670</v>
      </c>
      <c r="L53" s="101">
        <v>490</v>
      </c>
      <c r="M53" s="101">
        <v>2097</v>
      </c>
      <c r="N53" s="101">
        <v>31968</v>
      </c>
      <c r="O53" s="101">
        <v>8112</v>
      </c>
      <c r="P53" s="101">
        <v>27760</v>
      </c>
      <c r="Q53" s="101">
        <v>23</v>
      </c>
      <c r="R53" s="101">
        <v>5800</v>
      </c>
      <c r="S53" s="101">
        <v>2657</v>
      </c>
      <c r="T53" s="101">
        <v>9525</v>
      </c>
      <c r="U53" s="101">
        <v>29745</v>
      </c>
      <c r="V53" s="101">
        <v>33601</v>
      </c>
      <c r="W53" s="101">
        <v>59691</v>
      </c>
      <c r="X53" s="101">
        <v>58478</v>
      </c>
      <c r="Y53" s="101">
        <v>1213</v>
      </c>
      <c r="Z53" s="101">
        <v>9487</v>
      </c>
      <c r="AA53" s="101">
        <v>3604146.5844594594</v>
      </c>
      <c r="AB53" s="101">
        <v>41644</v>
      </c>
      <c r="AC53" s="101">
        <v>39340.326000000001</v>
      </c>
      <c r="AD53" s="101">
        <v>22619</v>
      </c>
      <c r="AE53" t="s">
        <v>215</v>
      </c>
      <c r="AF53" s="149">
        <v>-0.1397028027675864</v>
      </c>
      <c r="AG53" s="149">
        <v>0.49831632909483842</v>
      </c>
      <c r="AH53" s="149">
        <f t="shared" si="4"/>
        <v>4.6288385183696032E-2</v>
      </c>
      <c r="AI53" s="149">
        <f t="shared" si="5"/>
        <v>0.1883701060461376</v>
      </c>
      <c r="AJ53" s="149">
        <v>0.37201186108458562</v>
      </c>
      <c r="AK53" s="149">
        <v>0.37239210204438233</v>
      </c>
      <c r="AL53" s="149">
        <v>2.0321321472248747E-2</v>
      </c>
      <c r="AM53" s="149">
        <v>0.13492602594476383</v>
      </c>
      <c r="AN53" s="149">
        <v>3.560352951255033E-2</v>
      </c>
      <c r="AO53">
        <f t="shared" si="2"/>
        <v>0</v>
      </c>
      <c r="AP53" s="149">
        <v>0.10313531353135313</v>
      </c>
      <c r="AQ53" s="149">
        <v>6.0380067086486397E-2</v>
      </c>
      <c r="AR53" s="149">
        <v>0.69765961367710372</v>
      </c>
      <c r="AS53" s="208">
        <v>1739.2601794951147</v>
      </c>
      <c r="AT53" s="149">
        <f t="shared" si="3"/>
        <v>0.06</v>
      </c>
      <c r="AU53" s="149">
        <v>0.3</v>
      </c>
      <c r="AV53">
        <v>7</v>
      </c>
    </row>
    <row r="54" spans="1:48" x14ac:dyDescent="0.25">
      <c r="A54" t="s">
        <v>171</v>
      </c>
      <c r="B54" s="101">
        <v>0</v>
      </c>
      <c r="C54" s="101">
        <v>6960</v>
      </c>
      <c r="D54" s="101">
        <v>24119</v>
      </c>
      <c r="E54" s="101">
        <v>96</v>
      </c>
      <c r="F54" s="101">
        <v>0</v>
      </c>
      <c r="G54" s="101">
        <v>25</v>
      </c>
      <c r="H54" s="101">
        <v>135</v>
      </c>
      <c r="I54" s="101">
        <v>-255</v>
      </c>
      <c r="J54" s="101">
        <v>261</v>
      </c>
      <c r="K54" s="101">
        <v>40563</v>
      </c>
      <c r="L54" s="101">
        <v>352</v>
      </c>
      <c r="M54" s="101">
        <v>937</v>
      </c>
      <c r="N54" s="101">
        <v>30357</v>
      </c>
      <c r="O54" s="101">
        <v>17848</v>
      </c>
      <c r="P54" s="101">
        <v>12950</v>
      </c>
      <c r="Q54" s="101">
        <v>106</v>
      </c>
      <c r="R54" s="101">
        <v>-7</v>
      </c>
      <c r="S54" s="101">
        <v>5529</v>
      </c>
      <c r="T54" s="101">
        <v>6408</v>
      </c>
      <c r="U54" s="101">
        <v>-17026</v>
      </c>
      <c r="V54" s="101">
        <v>26343</v>
      </c>
      <c r="W54" s="101">
        <v>90898</v>
      </c>
      <c r="X54" s="101">
        <v>81979</v>
      </c>
      <c r="Y54" s="101">
        <v>8919</v>
      </c>
      <c r="Z54" s="101">
        <v>-4606</v>
      </c>
      <c r="AA54" s="101">
        <v>1502161.2118126266</v>
      </c>
      <c r="AB54" s="101">
        <v>57472</v>
      </c>
      <c r="AC54" s="101">
        <v>59804.830999999998</v>
      </c>
      <c r="AD54" s="101">
        <v>27773</v>
      </c>
      <c r="AE54" t="s">
        <v>171</v>
      </c>
      <c r="AF54" s="149">
        <v>0.17707760346762305</v>
      </c>
      <c r="AG54" s="149">
        <v>-0.18730885167990494</v>
      </c>
      <c r="AH54" s="149">
        <f t="shared" si="4"/>
        <v>2.7503355409359939E-4</v>
      </c>
      <c r="AI54" s="149">
        <f t="shared" si="5"/>
        <v>6.6008052982463857E-5</v>
      </c>
      <c r="AJ54" s="149">
        <v>-0.18732205329050144</v>
      </c>
      <c r="AK54" s="149">
        <v>0.4147641103414354</v>
      </c>
      <c r="AL54" s="149">
        <v>9.8120970758432527E-2</v>
      </c>
      <c r="AM54" s="149">
        <v>5.5976075842557205E-2</v>
      </c>
      <c r="AN54" s="149">
        <v>3.2405714870654988E-2</v>
      </c>
      <c r="AO54">
        <f t="shared" si="2"/>
        <v>0</v>
      </c>
      <c r="AP54" s="149">
        <v>1.3025589121872868E-2</v>
      </c>
      <c r="AQ54" s="149">
        <v>1.6525789476254996E-2</v>
      </c>
      <c r="AR54" s="149">
        <v>0.63226913683469388</v>
      </c>
      <c r="AS54" s="208">
        <v>2153.3442912180894</v>
      </c>
      <c r="AT54" s="149">
        <f t="shared" si="3"/>
        <v>3.8199999999999998E-2</v>
      </c>
      <c r="AU54" s="149">
        <v>0.191</v>
      </c>
      <c r="AV54">
        <v>9.5</v>
      </c>
    </row>
    <row r="55" spans="1:48" x14ac:dyDescent="0.25">
      <c r="A55" t="s">
        <v>287</v>
      </c>
      <c r="B55" s="101">
        <v>0</v>
      </c>
      <c r="C55" s="101">
        <v>15574</v>
      </c>
      <c r="D55" s="101">
        <v>241442</v>
      </c>
      <c r="E55" s="101">
        <v>19509</v>
      </c>
      <c r="F55" s="101">
        <v>0</v>
      </c>
      <c r="G55" s="101">
        <v>150</v>
      </c>
      <c r="H55" s="101">
        <v>2250</v>
      </c>
      <c r="I55" s="101">
        <v>3129</v>
      </c>
      <c r="J55" s="101">
        <v>0</v>
      </c>
      <c r="K55" s="101">
        <v>37348</v>
      </c>
      <c r="L55" s="101">
        <v>9131</v>
      </c>
      <c r="M55" s="101">
        <v>4586</v>
      </c>
      <c r="N55" s="101">
        <v>191120</v>
      </c>
      <c r="O55" s="101">
        <v>36450</v>
      </c>
      <c r="P55" s="101">
        <v>49720</v>
      </c>
      <c r="Q55" s="101">
        <v>215</v>
      </c>
      <c r="R55" s="101">
        <v>0</v>
      </c>
      <c r="S55" s="101">
        <v>19179</v>
      </c>
      <c r="T55" s="101">
        <v>36437</v>
      </c>
      <c r="U55" s="101">
        <v>52086</v>
      </c>
      <c r="V55" s="101">
        <v>186025</v>
      </c>
      <c r="W55" s="101">
        <v>263989</v>
      </c>
      <c r="X55" s="101">
        <v>267190</v>
      </c>
      <c r="Y55" s="101">
        <v>-3201</v>
      </c>
      <c r="Z55" s="101">
        <v>15480</v>
      </c>
      <c r="AA55" s="101">
        <v>7973247.7777777761</v>
      </c>
      <c r="AB55" s="101">
        <v>207375</v>
      </c>
      <c r="AC55" s="101">
        <v>174156.31307999999</v>
      </c>
      <c r="AD55" s="101">
        <v>67925</v>
      </c>
      <c r="AE55" t="s">
        <v>287</v>
      </c>
      <c r="AF55" s="149">
        <v>-5.1767308486338447E-2</v>
      </c>
      <c r="AG55" s="149">
        <v>0.19730367553193504</v>
      </c>
      <c r="AH55" s="149">
        <f t="shared" si="4"/>
        <v>5.6820549341071031E-4</v>
      </c>
      <c r="AI55" s="149">
        <f t="shared" si="5"/>
        <v>1.1852766592547416E-2</v>
      </c>
      <c r="AJ55" s="149">
        <v>0.18907492357636113</v>
      </c>
      <c r="AK55" s="149">
        <v>0.5737254631200075</v>
      </c>
      <c r="AL55" s="149">
        <v>-1.2125505229384558E-2</v>
      </c>
      <c r="AM55" s="149">
        <v>3.615846301395291E-2</v>
      </c>
      <c r="AN55" s="149">
        <v>5.0504531799625128E-2</v>
      </c>
      <c r="AO55">
        <f t="shared" si="2"/>
        <v>1</v>
      </c>
      <c r="AP55" s="149">
        <v>6.7229126971199551E-2</v>
      </c>
      <c r="AQ55" s="149">
        <v>3.0203297817981922E-2</v>
      </c>
      <c r="AR55" s="149">
        <v>0.78555302175115349</v>
      </c>
      <c r="AS55" s="208">
        <v>2563.9501373573794</v>
      </c>
      <c r="AT55" s="149">
        <f t="shared" si="3"/>
        <v>5.4600000000000003E-2</v>
      </c>
      <c r="AU55" s="149">
        <v>0.27300000000000002</v>
      </c>
      <c r="AV55">
        <v>6</v>
      </c>
    </row>
    <row r="56" spans="1:48" x14ac:dyDescent="0.25">
      <c r="A56" t="s">
        <v>244</v>
      </c>
      <c r="B56" s="101">
        <v>1747</v>
      </c>
      <c r="C56" s="101">
        <v>3907</v>
      </c>
      <c r="D56" s="101">
        <v>59628</v>
      </c>
      <c r="E56" s="101">
        <v>1352</v>
      </c>
      <c r="F56" s="101">
        <v>1004</v>
      </c>
      <c r="G56" s="101">
        <v>1922</v>
      </c>
      <c r="H56" s="101">
        <v>56</v>
      </c>
      <c r="I56" s="101">
        <v>6585</v>
      </c>
      <c r="J56" s="101">
        <v>0</v>
      </c>
      <c r="K56" s="101">
        <v>13379</v>
      </c>
      <c r="L56" s="101">
        <v>5183</v>
      </c>
      <c r="M56" s="101">
        <v>4986</v>
      </c>
      <c r="N56" s="101">
        <v>42626</v>
      </c>
      <c r="O56" s="101">
        <v>13874</v>
      </c>
      <c r="P56" s="101">
        <v>27237</v>
      </c>
      <c r="Q56" s="101">
        <v>265</v>
      </c>
      <c r="R56" s="101">
        <v>0</v>
      </c>
      <c r="S56" s="101">
        <v>4719</v>
      </c>
      <c r="T56" s="101">
        <v>11028</v>
      </c>
      <c r="U56" s="101">
        <v>16719</v>
      </c>
      <c r="V56" s="101">
        <v>59403</v>
      </c>
      <c r="W56" s="101">
        <v>90633</v>
      </c>
      <c r="X56" s="101">
        <v>88444</v>
      </c>
      <c r="Y56" s="101">
        <v>2189</v>
      </c>
      <c r="Z56" s="101">
        <v>3944</v>
      </c>
      <c r="AA56" s="101">
        <v>8065983.4733009711</v>
      </c>
      <c r="AB56" s="101">
        <v>62245</v>
      </c>
      <c r="AC56" s="101">
        <v>61975.856</v>
      </c>
      <c r="AD56" s="101">
        <v>36366</v>
      </c>
      <c r="AE56" t="s">
        <v>244</v>
      </c>
      <c r="AF56" s="149">
        <v>-2.0599560866351108E-2</v>
      </c>
      <c r="AG56" s="149">
        <v>0.18446923306080568</v>
      </c>
      <c r="AH56" s="149">
        <f t="shared" si="4"/>
        <v>3.2284046649675061E-2</v>
      </c>
      <c r="AI56" s="149">
        <f t="shared" si="5"/>
        <v>7.265565522491807E-2</v>
      </c>
      <c r="AJ56" s="149">
        <v>0.13748436000132405</v>
      </c>
      <c r="AK56" s="149">
        <v>0.42733260483814373</v>
      </c>
      <c r="AL56" s="149">
        <v>2.4152350689042621E-2</v>
      </c>
      <c r="AM56" s="149">
        <v>-9.7864768683274019E-3</v>
      </c>
      <c r="AN56" s="149">
        <v>2.3239316030235573E-3</v>
      </c>
      <c r="AO56">
        <f t="shared" si="2"/>
        <v>1</v>
      </c>
      <c r="AP56" s="149">
        <v>1.6216499509008862E-2</v>
      </c>
      <c r="AQ56" s="149">
        <v>8.8996099360067207E-2</v>
      </c>
      <c r="AR56" s="149">
        <v>0.68678075314730835</v>
      </c>
      <c r="AS56" s="208">
        <v>1704.2252653577518</v>
      </c>
      <c r="AT56" s="149">
        <f t="shared" si="3"/>
        <v>4.7199999999999999E-2</v>
      </c>
      <c r="AU56" s="149">
        <v>0.23599999999999999</v>
      </c>
      <c r="AV56">
        <v>8.5</v>
      </c>
    </row>
    <row r="57" spans="1:48" x14ac:dyDescent="0.25">
      <c r="A57" t="s">
        <v>107</v>
      </c>
      <c r="B57" s="101">
        <v>0</v>
      </c>
      <c r="C57" s="101">
        <v>11500</v>
      </c>
      <c r="D57" s="101">
        <v>93003</v>
      </c>
      <c r="E57" s="101">
        <v>805</v>
      </c>
      <c r="F57" s="101">
        <v>0</v>
      </c>
      <c r="G57" s="101">
        <v>7954</v>
      </c>
      <c r="H57" s="101">
        <v>0</v>
      </c>
      <c r="I57" s="101">
        <v>7931</v>
      </c>
      <c r="J57" s="101">
        <v>0</v>
      </c>
      <c r="K57" s="101">
        <v>11196</v>
      </c>
      <c r="L57" s="101">
        <v>2351</v>
      </c>
      <c r="M57" s="101">
        <v>6099</v>
      </c>
      <c r="N57" s="101">
        <v>59198</v>
      </c>
      <c r="O57" s="101">
        <v>4330</v>
      </c>
      <c r="P57" s="101">
        <v>52258</v>
      </c>
      <c r="Q57" s="101">
        <v>15</v>
      </c>
      <c r="R57" s="101">
        <v>0</v>
      </c>
      <c r="S57" s="101">
        <v>9291</v>
      </c>
      <c r="T57" s="101">
        <v>15749</v>
      </c>
      <c r="U57" s="101">
        <v>49713</v>
      </c>
      <c r="V57" s="101">
        <v>94703</v>
      </c>
      <c r="W57" s="101">
        <v>142912</v>
      </c>
      <c r="X57" s="101">
        <v>141739</v>
      </c>
      <c r="Y57" s="101">
        <v>1173</v>
      </c>
      <c r="Z57" s="101">
        <v>3014</v>
      </c>
      <c r="AA57" s="101">
        <v>1180986.1176470574</v>
      </c>
      <c r="AB57" s="101">
        <v>103621</v>
      </c>
      <c r="AC57" s="101">
        <v>88363.604999999996</v>
      </c>
      <c r="AD57" s="101">
        <v>35725</v>
      </c>
      <c r="AE57" t="s">
        <v>107</v>
      </c>
      <c r="AF57" s="149">
        <v>-4.3453313927451862E-3</v>
      </c>
      <c r="AG57" s="149">
        <v>0.34785742274966414</v>
      </c>
      <c r="AH57" s="149">
        <f t="shared" si="4"/>
        <v>5.5656627854903717E-2</v>
      </c>
      <c r="AI57" s="149">
        <f t="shared" si="5"/>
        <v>5.5495689655172417E-2</v>
      </c>
      <c r="AJ57" s="149">
        <v>0.31568923533363191</v>
      </c>
      <c r="AK57" s="149">
        <v>0.42031794718867377</v>
      </c>
      <c r="AL57" s="149">
        <v>8.2078481862964629E-3</v>
      </c>
      <c r="AM57" s="149">
        <v>6.0870841128351859E-2</v>
      </c>
      <c r="AN57" s="149">
        <v>4.5864135611507761E-2</v>
      </c>
      <c r="AO57">
        <f t="shared" si="2"/>
        <v>0</v>
      </c>
      <c r="AP57" s="149">
        <v>1.7143416927899686E-2</v>
      </c>
      <c r="AQ57" s="149">
        <v>8.2637295513816704E-3</v>
      </c>
      <c r="AR57" s="149">
        <v>0.7250685736677116</v>
      </c>
      <c r="AS57" s="208">
        <v>2473.4389083275018</v>
      </c>
      <c r="AT57" s="149">
        <f t="shared" si="3"/>
        <v>4.6300000000000001E-2</v>
      </c>
      <c r="AU57" s="149">
        <v>0.23150000000000001</v>
      </c>
      <c r="AV57">
        <v>8.5</v>
      </c>
    </row>
    <row r="58" spans="1:48" x14ac:dyDescent="0.25">
      <c r="A58" t="s">
        <v>353</v>
      </c>
      <c r="B58" s="101">
        <v>1617</v>
      </c>
      <c r="C58" s="101">
        <v>1088</v>
      </c>
      <c r="D58" s="101">
        <v>55566</v>
      </c>
      <c r="E58" s="101">
        <v>39</v>
      </c>
      <c r="F58" s="101">
        <v>0</v>
      </c>
      <c r="G58" s="101">
        <v>1737</v>
      </c>
      <c r="H58" s="101">
        <v>0</v>
      </c>
      <c r="I58" s="101">
        <v>-997</v>
      </c>
      <c r="J58" s="101">
        <v>8</v>
      </c>
      <c r="K58" s="101">
        <v>14244</v>
      </c>
      <c r="L58" s="101">
        <v>119</v>
      </c>
      <c r="M58" s="101">
        <v>4059</v>
      </c>
      <c r="N58" s="101">
        <v>27965</v>
      </c>
      <c r="O58" s="101">
        <v>4243</v>
      </c>
      <c r="P58" s="101">
        <v>33127</v>
      </c>
      <c r="Q58" s="101">
        <v>12</v>
      </c>
      <c r="R58" s="101">
        <v>0</v>
      </c>
      <c r="S58" s="101">
        <v>3313</v>
      </c>
      <c r="T58" s="101">
        <v>8819</v>
      </c>
      <c r="U58" s="101">
        <v>25112</v>
      </c>
      <c r="V58" s="101">
        <v>54238</v>
      </c>
      <c r="W58" s="101">
        <v>65101</v>
      </c>
      <c r="X58" s="101">
        <v>66285</v>
      </c>
      <c r="Y58" s="101">
        <v>-1184</v>
      </c>
      <c r="Z58" s="101">
        <v>4267</v>
      </c>
      <c r="AA58" s="101">
        <v>1353282.457466918</v>
      </c>
      <c r="AB58" s="101">
        <v>47348</v>
      </c>
      <c r="AC58" s="101">
        <v>44699.820999999996</v>
      </c>
      <c r="AD58" s="101">
        <v>20841</v>
      </c>
      <c r="AE58" t="s">
        <v>353</v>
      </c>
      <c r="AF58" s="149">
        <v>-7.8063316999738869E-2</v>
      </c>
      <c r="AG58" s="149">
        <v>0.38573908234896548</v>
      </c>
      <c r="AH58" s="149">
        <f t="shared" si="4"/>
        <v>2.6681617793889494E-2</v>
      </c>
      <c r="AI58" s="149">
        <f t="shared" si="5"/>
        <v>-1.5191778928127064E-2</v>
      </c>
      <c r="AJ58" s="149">
        <v>0.39957512173392112</v>
      </c>
      <c r="AK58" s="149">
        <v>0.36093651182901171</v>
      </c>
      <c r="AL58" s="149">
        <v>-1.8187124621741602E-2</v>
      </c>
      <c r="AM58" s="149">
        <v>5.0374909296138033E-2</v>
      </c>
      <c r="AN58" s="149">
        <v>6.1418015482054888E-2</v>
      </c>
      <c r="AO58">
        <f t="shared" si="2"/>
        <v>1</v>
      </c>
      <c r="AP58" s="149">
        <v>1.5487473310701832E-2</v>
      </c>
      <c r="AQ58" s="149">
        <v>2.0817168001890814E-2</v>
      </c>
      <c r="AR58" s="149">
        <v>0.72834112724587741</v>
      </c>
      <c r="AS58" s="208">
        <v>2144.8021208195382</v>
      </c>
      <c r="AT58" s="149">
        <f t="shared" si="3"/>
        <v>5.9499999999999997E-2</v>
      </c>
      <c r="AU58" s="149">
        <v>0.29749999999999999</v>
      </c>
      <c r="AV58">
        <v>7.5</v>
      </c>
    </row>
    <row r="59" spans="1:48" x14ac:dyDescent="0.25">
      <c r="A59" t="s">
        <v>172</v>
      </c>
      <c r="B59" s="101">
        <v>1288</v>
      </c>
      <c r="C59" s="101">
        <v>26120</v>
      </c>
      <c r="D59" s="101">
        <v>73341</v>
      </c>
      <c r="E59" s="101">
        <v>603</v>
      </c>
      <c r="F59" s="101">
        <v>12707</v>
      </c>
      <c r="G59" s="101">
        <v>2531</v>
      </c>
      <c r="H59" s="101">
        <v>0</v>
      </c>
      <c r="I59" s="101">
        <v>3240</v>
      </c>
      <c r="J59" s="101">
        <v>77</v>
      </c>
      <c r="K59" s="101">
        <v>8701</v>
      </c>
      <c r="L59" s="101">
        <v>11419</v>
      </c>
      <c r="M59" s="101">
        <v>4052</v>
      </c>
      <c r="N59" s="101">
        <v>37132</v>
      </c>
      <c r="O59" s="101">
        <v>10333</v>
      </c>
      <c r="P59" s="101">
        <v>74992</v>
      </c>
      <c r="Q59" s="101">
        <v>0</v>
      </c>
      <c r="R59" s="101">
        <v>0</v>
      </c>
      <c r="S59" s="101">
        <v>10956</v>
      </c>
      <c r="T59" s="101">
        <v>10665</v>
      </c>
      <c r="U59" s="101">
        <v>57203</v>
      </c>
      <c r="V59" s="101">
        <v>85623</v>
      </c>
      <c r="W59" s="101">
        <v>102865</v>
      </c>
      <c r="X59" s="101">
        <v>104273</v>
      </c>
      <c r="Y59" s="101">
        <v>-1408</v>
      </c>
      <c r="Z59" s="101">
        <v>9720</v>
      </c>
      <c r="AA59" s="101">
        <v>1674429.9390243907</v>
      </c>
      <c r="AB59" s="101">
        <v>73174</v>
      </c>
      <c r="AC59" s="101">
        <v>71447.585999999996</v>
      </c>
      <c r="AD59" s="101">
        <v>29944</v>
      </c>
      <c r="AE59" t="s">
        <v>172</v>
      </c>
      <c r="AF59" s="149">
        <v>-0.12422106644631313</v>
      </c>
      <c r="AG59" s="149">
        <v>0.55609779808486848</v>
      </c>
      <c r="AH59" s="149">
        <f t="shared" si="4"/>
        <v>0.14813590628493656</v>
      </c>
      <c r="AI59" s="149">
        <f t="shared" si="5"/>
        <v>3.2246147863704853E-2</v>
      </c>
      <c r="AJ59" s="149">
        <v>0.55130180333446743</v>
      </c>
      <c r="AK59" s="149">
        <v>0.25772151195880011</v>
      </c>
      <c r="AL59" s="149">
        <v>-1.3687843289748701E-2</v>
      </c>
      <c r="AM59" s="149">
        <v>-5.4318895370943738E-4</v>
      </c>
      <c r="AN59" s="149">
        <v>-2.5530991586103811E-2</v>
      </c>
      <c r="AO59">
        <f t="shared" si="2"/>
        <v>3</v>
      </c>
      <c r="AP59" s="149">
        <v>3.6761775142176642E-2</v>
      </c>
      <c r="AQ59" s="149">
        <v>1.6277936509253785E-2</v>
      </c>
      <c r="AR59" s="149">
        <v>0.71135954892334619</v>
      </c>
      <c r="AS59" s="208">
        <v>2386.0401415976489</v>
      </c>
      <c r="AT59" s="149">
        <f t="shared" si="3"/>
        <v>5.8799999999999998E-2</v>
      </c>
      <c r="AU59" s="149">
        <v>0.29399999999999998</v>
      </c>
      <c r="AV59">
        <v>7</v>
      </c>
    </row>
    <row r="60" spans="1:48" x14ac:dyDescent="0.25">
      <c r="A60" t="s">
        <v>141</v>
      </c>
      <c r="B60" s="101">
        <v>1714</v>
      </c>
      <c r="C60" s="101">
        <v>23631</v>
      </c>
      <c r="D60" s="101">
        <v>35950</v>
      </c>
      <c r="E60" s="101">
        <v>142</v>
      </c>
      <c r="F60" s="101">
        <v>1244</v>
      </c>
      <c r="G60" s="101">
        <v>3148</v>
      </c>
      <c r="H60" s="101">
        <v>0</v>
      </c>
      <c r="I60" s="101">
        <v>5413</v>
      </c>
      <c r="J60" s="101">
        <v>0</v>
      </c>
      <c r="K60" s="101">
        <v>7295</v>
      </c>
      <c r="L60" s="101">
        <v>77</v>
      </c>
      <c r="M60" s="101">
        <v>7062</v>
      </c>
      <c r="N60" s="101">
        <v>51793</v>
      </c>
      <c r="O60" s="101">
        <v>9731</v>
      </c>
      <c r="P60" s="101">
        <v>12150</v>
      </c>
      <c r="Q60" s="101">
        <v>16</v>
      </c>
      <c r="R60" s="101">
        <v>0</v>
      </c>
      <c r="S60" s="101">
        <v>4300</v>
      </c>
      <c r="T60" s="101">
        <v>7688</v>
      </c>
      <c r="U60" s="101">
        <v>5328</v>
      </c>
      <c r="V60" s="101">
        <v>53191</v>
      </c>
      <c r="W60" s="101">
        <v>92820</v>
      </c>
      <c r="X60" s="101">
        <v>88814</v>
      </c>
      <c r="Y60" s="101">
        <v>4006</v>
      </c>
      <c r="Z60" s="101">
        <v>4400</v>
      </c>
      <c r="AA60" s="101">
        <v>3222648.0431432985</v>
      </c>
      <c r="AB60" s="101">
        <v>64480</v>
      </c>
      <c r="AC60" s="101">
        <v>56919.161</v>
      </c>
      <c r="AD60" s="101">
        <v>29683</v>
      </c>
      <c r="AE60" t="s">
        <v>141</v>
      </c>
      <c r="AF60" s="149">
        <v>-3.9603533721180778E-2</v>
      </c>
      <c r="AG60" s="149">
        <v>5.7401422107304458E-2</v>
      </c>
      <c r="AH60" s="149">
        <f t="shared" si="4"/>
        <v>4.7317388493859081E-2</v>
      </c>
      <c r="AI60" s="149">
        <f t="shared" si="5"/>
        <v>5.8317173023055377E-2</v>
      </c>
      <c r="AJ60" s="149">
        <v>2.225748761042879E-2</v>
      </c>
      <c r="AK60" s="149">
        <v>0.60450757487336304</v>
      </c>
      <c r="AL60" s="149">
        <v>4.3158801982331393E-2</v>
      </c>
      <c r="AM60" s="149">
        <v>4.738154613466334E-2</v>
      </c>
      <c r="AN60" s="149">
        <v>2.1948616184849442E-2</v>
      </c>
      <c r="AO60">
        <f t="shared" si="2"/>
        <v>0</v>
      </c>
      <c r="AP60" s="149">
        <v>2.1827192415427708E-2</v>
      </c>
      <c r="AQ60" s="149">
        <v>3.47193281958985E-2</v>
      </c>
      <c r="AR60" s="149">
        <v>0.69467787114845936</v>
      </c>
      <c r="AS60" s="208">
        <v>1917.5676649934305</v>
      </c>
      <c r="AT60" s="149">
        <f t="shared" si="3"/>
        <v>5.6099999999999997E-2</v>
      </c>
      <c r="AU60" s="149">
        <v>0.28049999999999997</v>
      </c>
      <c r="AV60">
        <v>10</v>
      </c>
    </row>
    <row r="61" spans="1:48" x14ac:dyDescent="0.25">
      <c r="A61" t="s">
        <v>127</v>
      </c>
      <c r="B61" s="101">
        <v>4647</v>
      </c>
      <c r="C61" s="101">
        <v>5907</v>
      </c>
      <c r="D61" s="101">
        <v>32155</v>
      </c>
      <c r="E61" s="101">
        <v>100</v>
      </c>
      <c r="F61" s="101">
        <v>0</v>
      </c>
      <c r="G61" s="101">
        <v>1880</v>
      </c>
      <c r="H61" s="101">
        <v>28</v>
      </c>
      <c r="I61" s="101">
        <v>1102</v>
      </c>
      <c r="J61" s="101">
        <v>0</v>
      </c>
      <c r="K61" s="101">
        <v>21708</v>
      </c>
      <c r="L61" s="101">
        <v>465</v>
      </c>
      <c r="M61" s="101">
        <v>1132</v>
      </c>
      <c r="N61" s="101">
        <v>19475</v>
      </c>
      <c r="O61" s="101">
        <v>9838</v>
      </c>
      <c r="P61" s="101">
        <v>27149</v>
      </c>
      <c r="Q61" s="101">
        <v>5</v>
      </c>
      <c r="R61" s="101">
        <v>0</v>
      </c>
      <c r="S61" s="101">
        <v>6118</v>
      </c>
      <c r="T61" s="101">
        <v>6540</v>
      </c>
      <c r="U61" s="101">
        <v>14599</v>
      </c>
      <c r="V61" s="101">
        <v>35559</v>
      </c>
      <c r="W61" s="101">
        <v>72800</v>
      </c>
      <c r="X61" s="101">
        <v>72547</v>
      </c>
      <c r="Y61" s="101">
        <v>253</v>
      </c>
      <c r="Z61" s="101">
        <v>1005</v>
      </c>
      <c r="AA61" s="101">
        <v>293382.870406189</v>
      </c>
      <c r="AB61" s="101">
        <v>60102</v>
      </c>
      <c r="AC61" s="101">
        <v>42434.805999999997</v>
      </c>
      <c r="AD61" s="101">
        <v>19135</v>
      </c>
      <c r="AE61" t="s">
        <v>127</v>
      </c>
      <c r="AF61" s="149">
        <v>-1.8269230769230769E-3</v>
      </c>
      <c r="AG61" s="149">
        <v>0.15083791208791208</v>
      </c>
      <c r="AH61" s="149">
        <f t="shared" si="4"/>
        <v>2.5824175824175823E-2</v>
      </c>
      <c r="AI61" s="149">
        <f t="shared" si="5"/>
        <v>1.5137362637362638E-2</v>
      </c>
      <c r="AJ61" s="149">
        <v>0.14334065934065934</v>
      </c>
      <c r="AK61" s="149">
        <v>0.28173598553345391</v>
      </c>
      <c r="AL61" s="149">
        <v>3.4752747252747252E-3</v>
      </c>
      <c r="AM61" s="149">
        <v>8.7673559382635116E-2</v>
      </c>
      <c r="AN61" s="149">
        <v>7.8717201166180764E-2</v>
      </c>
      <c r="AO61">
        <f t="shared" si="2"/>
        <v>0</v>
      </c>
      <c r="AP61" s="149">
        <v>2.4553571428571428E-2</v>
      </c>
      <c r="AQ61" s="149">
        <v>4.0299844836014969E-3</v>
      </c>
      <c r="AR61" s="149">
        <v>0.8255769230769231</v>
      </c>
      <c r="AS61" s="208">
        <v>2217.6538280637574</v>
      </c>
      <c r="AT61" s="149">
        <f t="shared" si="3"/>
        <v>6.3299999999999995E-2</v>
      </c>
      <c r="AU61" s="149">
        <v>0.3165</v>
      </c>
      <c r="AV61">
        <v>9</v>
      </c>
    </row>
    <row r="62" spans="1:48" x14ac:dyDescent="0.25">
      <c r="A62" t="s">
        <v>216</v>
      </c>
      <c r="B62" s="101">
        <v>781</v>
      </c>
      <c r="C62" s="101">
        <v>1520</v>
      </c>
      <c r="D62" s="101">
        <v>105615</v>
      </c>
      <c r="E62" s="101">
        <v>569</v>
      </c>
      <c r="F62" s="101">
        <v>0</v>
      </c>
      <c r="G62" s="101">
        <v>1822</v>
      </c>
      <c r="H62" s="101">
        <v>0</v>
      </c>
      <c r="I62" s="101">
        <v>1681</v>
      </c>
      <c r="J62" s="101">
        <v>4</v>
      </c>
      <c r="K62" s="101">
        <v>11023</v>
      </c>
      <c r="L62" s="101">
        <v>-1683</v>
      </c>
      <c r="M62" s="101">
        <v>7854</v>
      </c>
      <c r="N62" s="101">
        <v>28144</v>
      </c>
      <c r="O62" s="101">
        <v>6406</v>
      </c>
      <c r="P62" s="101">
        <v>63175</v>
      </c>
      <c r="Q62" s="101">
        <v>0</v>
      </c>
      <c r="R62" s="101">
        <v>0</v>
      </c>
      <c r="S62" s="101">
        <v>15930</v>
      </c>
      <c r="T62" s="101">
        <v>15534</v>
      </c>
      <c r="U62" s="101">
        <v>75623</v>
      </c>
      <c r="V62" s="101">
        <v>102955</v>
      </c>
      <c r="W62" s="101">
        <v>127486</v>
      </c>
      <c r="X62" s="101">
        <v>126618</v>
      </c>
      <c r="Y62" s="101">
        <v>868</v>
      </c>
      <c r="Z62" s="101">
        <v>906</v>
      </c>
      <c r="AA62" s="101">
        <v>8324216.2159685865</v>
      </c>
      <c r="AB62" s="101">
        <v>89169</v>
      </c>
      <c r="AC62" s="101">
        <v>86940.664000000004</v>
      </c>
      <c r="AD62" s="101">
        <v>43718</v>
      </c>
      <c r="AE62" t="s">
        <v>216</v>
      </c>
      <c r="AF62" s="149">
        <v>-2.7061795020629715E-3</v>
      </c>
      <c r="AG62" s="149">
        <v>0.59318670285364672</v>
      </c>
      <c r="AH62" s="149">
        <f t="shared" si="4"/>
        <v>1.4291765370315172E-2</v>
      </c>
      <c r="AI62" s="149">
        <f t="shared" si="5"/>
        <v>1.3217137568046688E-2</v>
      </c>
      <c r="AJ62" s="149">
        <v>0.58564971840045188</v>
      </c>
      <c r="AK62" s="149">
        <v>0.21785136505430028</v>
      </c>
      <c r="AL62" s="149">
        <v>6.8085907472193027E-3</v>
      </c>
      <c r="AM62" s="149">
        <v>2.5182571657885743E-2</v>
      </c>
      <c r="AN62" s="149">
        <v>2.417851056806117E-3</v>
      </c>
      <c r="AO62">
        <f t="shared" si="2"/>
        <v>0</v>
      </c>
      <c r="AP62" s="149">
        <v>9.7285192099524648E-3</v>
      </c>
      <c r="AQ62" s="149">
        <v>6.5295139983751832E-2</v>
      </c>
      <c r="AR62" s="149">
        <v>0.69944150730276267</v>
      </c>
      <c r="AS62" s="208">
        <v>1988.6697470149595</v>
      </c>
      <c r="AT62" s="149">
        <f t="shared" si="3"/>
        <v>4.7600000000000003E-2</v>
      </c>
      <c r="AU62" s="149">
        <v>0.23800000000000002</v>
      </c>
      <c r="AV62">
        <v>9.5</v>
      </c>
    </row>
    <row r="63" spans="1:48" x14ac:dyDescent="0.25">
      <c r="A63" t="s">
        <v>525</v>
      </c>
      <c r="B63" s="101">
        <v>547</v>
      </c>
      <c r="C63" s="101">
        <v>9235</v>
      </c>
      <c r="D63" s="101">
        <v>106526</v>
      </c>
      <c r="E63" s="101">
        <v>380</v>
      </c>
      <c r="F63" s="101">
        <v>0</v>
      </c>
      <c r="G63" s="101">
        <v>4755</v>
      </c>
      <c r="H63" s="101">
        <v>0</v>
      </c>
      <c r="I63" s="101">
        <v>1548</v>
      </c>
      <c r="J63" s="101">
        <v>19</v>
      </c>
      <c r="K63" s="101">
        <v>13581</v>
      </c>
      <c r="L63" s="101">
        <v>6649</v>
      </c>
      <c r="M63" s="101">
        <v>1798</v>
      </c>
      <c r="N63" s="101">
        <v>43402</v>
      </c>
      <c r="O63" s="101">
        <v>14618</v>
      </c>
      <c r="P63" s="101">
        <v>62230</v>
      </c>
      <c r="Q63" s="101">
        <v>32</v>
      </c>
      <c r="R63" s="101">
        <v>0</v>
      </c>
      <c r="S63" s="101">
        <v>11535</v>
      </c>
      <c r="T63" s="101">
        <v>13218</v>
      </c>
      <c r="U63" s="101">
        <v>60232</v>
      </c>
      <c r="V63" s="101">
        <v>107238</v>
      </c>
      <c r="W63" s="101">
        <v>173235</v>
      </c>
      <c r="X63" s="101">
        <v>171744</v>
      </c>
      <c r="Y63" s="101">
        <v>1491</v>
      </c>
      <c r="Z63" s="101">
        <v>3779</v>
      </c>
      <c r="AA63" s="101">
        <v>5532880.9961977191</v>
      </c>
      <c r="AB63" s="101">
        <v>126399</v>
      </c>
      <c r="AC63" s="101">
        <v>117420.342</v>
      </c>
      <c r="AD63" s="101">
        <v>51929</v>
      </c>
      <c r="AE63" t="s">
        <v>525</v>
      </c>
      <c r="AF63" s="149">
        <v>-2.254740670187895E-2</v>
      </c>
      <c r="AG63" s="149">
        <v>0.34768955465119633</v>
      </c>
      <c r="AH63" s="149">
        <f t="shared" si="4"/>
        <v>2.7448263918954021E-2</v>
      </c>
      <c r="AI63" s="149">
        <f t="shared" si="5"/>
        <v>9.0455162063093481E-3</v>
      </c>
      <c r="AJ63" s="149">
        <v>0.34465148497705428</v>
      </c>
      <c r="AK63" s="149">
        <v>0.29925190471265556</v>
      </c>
      <c r="AL63" s="149">
        <v>8.6068057840505679E-3</v>
      </c>
      <c r="AM63" s="149">
        <v>1.9957270971125922E-2</v>
      </c>
      <c r="AN63" s="149">
        <v>-4.8477220547149457E-3</v>
      </c>
      <c r="AO63">
        <f t="shared" si="2"/>
        <v>1</v>
      </c>
      <c r="AP63" s="149">
        <v>1.3089156348312985E-2</v>
      </c>
      <c r="AQ63" s="149">
        <v>3.193858629144064E-2</v>
      </c>
      <c r="AR63" s="149">
        <v>0.72963892977746991</v>
      </c>
      <c r="AS63" s="208">
        <v>2261.1708679158082</v>
      </c>
      <c r="AT63" s="149">
        <f t="shared" si="3"/>
        <v>5.2400000000000002E-2</v>
      </c>
      <c r="AU63" s="149">
        <v>0.26200000000000001</v>
      </c>
      <c r="AV63">
        <v>9.5</v>
      </c>
    </row>
    <row r="64" spans="1:48" x14ac:dyDescent="0.25">
      <c r="A64" t="s">
        <v>217</v>
      </c>
      <c r="B64" s="101">
        <v>5143</v>
      </c>
      <c r="C64" s="101">
        <v>12015</v>
      </c>
      <c r="D64" s="101">
        <v>86789</v>
      </c>
      <c r="E64" s="101">
        <v>133</v>
      </c>
      <c r="F64" s="101">
        <v>0</v>
      </c>
      <c r="G64" s="101">
        <v>2616</v>
      </c>
      <c r="H64" s="101">
        <v>0</v>
      </c>
      <c r="I64" s="101">
        <v>0</v>
      </c>
      <c r="J64" s="101">
        <v>0</v>
      </c>
      <c r="K64" s="101">
        <v>14013</v>
      </c>
      <c r="L64" s="101">
        <v>46</v>
      </c>
      <c r="M64" s="101">
        <v>4278</v>
      </c>
      <c r="N64" s="101">
        <v>27717</v>
      </c>
      <c r="O64" s="101">
        <v>9285</v>
      </c>
      <c r="P64" s="101">
        <v>65304</v>
      </c>
      <c r="Q64" s="101">
        <v>0</v>
      </c>
      <c r="R64" s="101">
        <v>2563</v>
      </c>
      <c r="S64" s="101">
        <v>11195</v>
      </c>
      <c r="T64" s="101">
        <v>8969</v>
      </c>
      <c r="U64" s="101">
        <v>67078</v>
      </c>
      <c r="V64" s="101">
        <v>86978</v>
      </c>
      <c r="W64" s="101">
        <v>122515</v>
      </c>
      <c r="X64" s="101">
        <v>128964</v>
      </c>
      <c r="Y64" s="101">
        <v>-6449</v>
      </c>
      <c r="Z64" s="101">
        <v>11105</v>
      </c>
      <c r="AA64" s="101">
        <v>10165327.52739726</v>
      </c>
      <c r="AB64" s="101">
        <v>87698</v>
      </c>
      <c r="AC64" s="101">
        <v>89373.691000000006</v>
      </c>
      <c r="AD64" s="101">
        <v>45813</v>
      </c>
      <c r="AE64" t="s">
        <v>217</v>
      </c>
      <c r="AF64" s="149">
        <v>-0.13609762069950618</v>
      </c>
      <c r="AG64" s="149">
        <v>0.54750846835081424</v>
      </c>
      <c r="AH64" s="149">
        <f t="shared" si="4"/>
        <v>2.1352487450516263E-2</v>
      </c>
      <c r="AI64" s="149">
        <f t="shared" si="5"/>
        <v>0</v>
      </c>
      <c r="AJ64" s="149">
        <v>0.55007076684487621</v>
      </c>
      <c r="AK64" s="149">
        <v>0.22167747714603345</v>
      </c>
      <c r="AL64" s="149">
        <v>-5.2638452434395785E-2</v>
      </c>
      <c r="AM64" s="149">
        <v>2.3555693560351223E-2</v>
      </c>
      <c r="AN64" s="149">
        <v>3.6431847402659708E-2</v>
      </c>
      <c r="AO64">
        <f t="shared" si="2"/>
        <v>1</v>
      </c>
      <c r="AP64" s="149">
        <v>3.4626372280945193E-2</v>
      </c>
      <c r="AQ64" s="149">
        <v>8.297210568009844E-2</v>
      </c>
      <c r="AR64" s="149">
        <v>0.71581439007468473</v>
      </c>
      <c r="AS64" s="208">
        <v>1950.836902189335</v>
      </c>
      <c r="AT64" s="149">
        <f t="shared" si="3"/>
        <v>6.2399999999999997E-2</v>
      </c>
      <c r="AU64" s="149">
        <v>0.312</v>
      </c>
      <c r="AV64">
        <v>8</v>
      </c>
    </row>
    <row r="65" spans="1:48" x14ac:dyDescent="0.25">
      <c r="A65" t="s">
        <v>115</v>
      </c>
      <c r="B65" s="101">
        <v>114</v>
      </c>
      <c r="C65" s="101">
        <v>1185</v>
      </c>
      <c r="D65" s="101">
        <v>47636</v>
      </c>
      <c r="E65" s="101">
        <v>171</v>
      </c>
      <c r="F65" s="101">
        <v>5265</v>
      </c>
      <c r="G65" s="101">
        <v>21580</v>
      </c>
      <c r="H65" s="101">
        <v>0</v>
      </c>
      <c r="I65" s="101">
        <v>1318</v>
      </c>
      <c r="J65" s="101">
        <v>83</v>
      </c>
      <c r="K65" s="101">
        <v>16880</v>
      </c>
      <c r="L65" s="101">
        <v>812</v>
      </c>
      <c r="M65" s="101">
        <v>4990</v>
      </c>
      <c r="N65" s="101">
        <v>53257</v>
      </c>
      <c r="O65" s="101">
        <v>5067</v>
      </c>
      <c r="P65" s="101">
        <v>24825</v>
      </c>
      <c r="Q65" s="101">
        <v>0</v>
      </c>
      <c r="R65" s="101">
        <v>1</v>
      </c>
      <c r="S65" s="101">
        <v>3051</v>
      </c>
      <c r="T65" s="101">
        <v>13832</v>
      </c>
      <c r="U65" s="101">
        <v>-7818</v>
      </c>
      <c r="V65" s="101">
        <v>45724</v>
      </c>
      <c r="W65" s="101">
        <v>77023</v>
      </c>
      <c r="X65" s="101">
        <v>72294</v>
      </c>
      <c r="Y65" s="101">
        <v>4729</v>
      </c>
      <c r="Z65" s="101">
        <v>-3710</v>
      </c>
      <c r="AA65" s="101">
        <v>2726847.0785234896</v>
      </c>
      <c r="AB65" s="101">
        <v>52906</v>
      </c>
      <c r="AC65" s="101">
        <v>51051.587</v>
      </c>
      <c r="AD65" s="101">
        <v>24580</v>
      </c>
      <c r="AE65" t="s">
        <v>115</v>
      </c>
      <c r="AF65" s="149">
        <v>8.332575983797047E-2</v>
      </c>
      <c r="AG65" s="149">
        <v>-0.10150214870882723</v>
      </c>
      <c r="AH65" s="149">
        <f t="shared" si="4"/>
        <v>0.34853225659867831</v>
      </c>
      <c r="AI65" s="149">
        <f t="shared" si="5"/>
        <v>1.8189372005764513E-2</v>
      </c>
      <c r="AJ65" s="149">
        <v>-7.2410838321020993E-2</v>
      </c>
      <c r="AK65" s="149">
        <v>0.53239430987774039</v>
      </c>
      <c r="AL65" s="149">
        <v>6.1397244978772574E-2</v>
      </c>
      <c r="AM65" s="149">
        <v>9.2890013104562213E-2</v>
      </c>
      <c r="AN65" s="149">
        <v>4.2918162789510404E-2</v>
      </c>
      <c r="AO65">
        <f t="shared" si="2"/>
        <v>0</v>
      </c>
      <c r="AP65" s="149">
        <v>1.0422211547200187E-2</v>
      </c>
      <c r="AQ65" s="149">
        <v>3.5403023493287583E-2</v>
      </c>
      <c r="AR65" s="149">
        <v>0.6868857354296769</v>
      </c>
      <c r="AS65" s="208">
        <v>2076.9563466232707</v>
      </c>
      <c r="AT65" s="149">
        <f t="shared" si="3"/>
        <v>4.1799999999999997E-2</v>
      </c>
      <c r="AU65" s="149">
        <v>0.20899999999999999</v>
      </c>
      <c r="AV65">
        <v>9.5</v>
      </c>
    </row>
    <row r="66" spans="1:48" x14ac:dyDescent="0.25">
      <c r="A66" t="s">
        <v>288</v>
      </c>
      <c r="B66" s="101">
        <v>89010</v>
      </c>
      <c r="C66" s="101">
        <v>31810</v>
      </c>
      <c r="D66" s="101">
        <v>309696</v>
      </c>
      <c r="E66" s="101">
        <v>8740</v>
      </c>
      <c r="F66" s="101">
        <v>60440</v>
      </c>
      <c r="G66" s="101">
        <v>19914</v>
      </c>
      <c r="H66" s="101">
        <v>0</v>
      </c>
      <c r="I66" s="101">
        <v>-9437</v>
      </c>
      <c r="J66" s="101">
        <v>11</v>
      </c>
      <c r="K66" s="101">
        <v>42689</v>
      </c>
      <c r="L66" s="101">
        <v>127464</v>
      </c>
      <c r="M66" s="101">
        <v>18457</v>
      </c>
      <c r="N66" s="101">
        <v>286357</v>
      </c>
      <c r="O66" s="101">
        <v>39297</v>
      </c>
      <c r="P66" s="101">
        <v>252226</v>
      </c>
      <c r="Q66" s="101">
        <v>3073</v>
      </c>
      <c r="R66" s="101">
        <v>2737</v>
      </c>
      <c r="S66" s="101">
        <v>28033</v>
      </c>
      <c r="T66" s="101">
        <v>87072</v>
      </c>
      <c r="U66" s="101">
        <v>104177</v>
      </c>
      <c r="V66" s="101">
        <v>390848</v>
      </c>
      <c r="W66" s="101">
        <v>541217</v>
      </c>
      <c r="X66" s="101">
        <v>525389</v>
      </c>
      <c r="Y66" s="101">
        <v>15828</v>
      </c>
      <c r="Z66" s="101">
        <v>25746</v>
      </c>
      <c r="AA66" s="101">
        <v>7347755.67769216</v>
      </c>
      <c r="AB66" s="101">
        <v>344860</v>
      </c>
      <c r="AC66" s="101">
        <v>328168.36099999998</v>
      </c>
      <c r="AD66" s="101">
        <v>109577</v>
      </c>
      <c r="AE66" t="s">
        <v>288</v>
      </c>
      <c r="AF66" s="149">
        <v>-4.0094823333339491E-4</v>
      </c>
      <c r="AG66" s="149">
        <v>0.19248656269112019</v>
      </c>
      <c r="AH66" s="149">
        <f t="shared" ref="AH66:AH97" si="6">SUM(F66,G66)/W66</f>
        <v>0.1484690983468738</v>
      </c>
      <c r="AI66" s="149">
        <f t="shared" ref="AI66:AI97" si="7">SUM(I66,J66)/W66</f>
        <v>-1.7416304365901292E-2</v>
      </c>
      <c r="AJ66" s="149">
        <v>0.22249426754887597</v>
      </c>
      <c r="AK66" s="149">
        <v>0.40978684735866744</v>
      </c>
      <c r="AL66" s="149">
        <v>2.924520109309205E-2</v>
      </c>
      <c r="AM66" s="149">
        <v>4.7873259603041375E-2</v>
      </c>
      <c r="AN66" s="149">
        <v>2.6990690988895387E-2</v>
      </c>
      <c r="AO66">
        <f t="shared" ref="AO66:AO129" si="8">COUNTIF(AL66:AN66,"&lt;0")</f>
        <v>0</v>
      </c>
      <c r="AP66" s="149">
        <v>1.8323519032107268E-2</v>
      </c>
      <c r="AQ66" s="149">
        <v>1.3647645159999553E-2</v>
      </c>
      <c r="AR66" s="149">
        <v>0.64053938594699011</v>
      </c>
      <c r="AS66" s="208">
        <v>2994.8653549558758</v>
      </c>
      <c r="AT66" s="149">
        <f t="shared" ref="AT66:AT129" si="9">AU66/5</f>
        <v>4.2700000000000002E-2</v>
      </c>
      <c r="AU66" s="149">
        <v>0.21350000000000002</v>
      </c>
      <c r="AV66">
        <v>8.5</v>
      </c>
    </row>
    <row r="67" spans="1:48" x14ac:dyDescent="0.25">
      <c r="A67" t="s">
        <v>245</v>
      </c>
      <c r="B67" s="101">
        <v>29455</v>
      </c>
      <c r="C67" s="101">
        <v>14264</v>
      </c>
      <c r="D67" s="101">
        <v>134007</v>
      </c>
      <c r="E67" s="101">
        <v>17149</v>
      </c>
      <c r="F67" s="101">
        <v>64941</v>
      </c>
      <c r="G67" s="101">
        <v>9796</v>
      </c>
      <c r="H67" s="101">
        <v>0</v>
      </c>
      <c r="I67" s="101">
        <v>10913</v>
      </c>
      <c r="J67" s="101">
        <v>2</v>
      </c>
      <c r="K67" s="101">
        <v>29925</v>
      </c>
      <c r="L67" s="101">
        <v>439</v>
      </c>
      <c r="M67" s="101">
        <v>7247</v>
      </c>
      <c r="N67" s="101">
        <v>71901</v>
      </c>
      <c r="O67" s="101">
        <v>9708</v>
      </c>
      <c r="P67" s="101">
        <v>196131</v>
      </c>
      <c r="Q67" s="101">
        <v>0</v>
      </c>
      <c r="R67" s="101">
        <v>0</v>
      </c>
      <c r="S67" s="101">
        <v>12700</v>
      </c>
      <c r="T67" s="101">
        <v>27698</v>
      </c>
      <c r="U67" s="101">
        <v>124181</v>
      </c>
      <c r="V67" s="101">
        <v>105067</v>
      </c>
      <c r="W67" s="101">
        <v>257205</v>
      </c>
      <c r="X67" s="101">
        <v>247890</v>
      </c>
      <c r="Y67" s="101">
        <v>9315</v>
      </c>
      <c r="Z67" s="101">
        <v>18640</v>
      </c>
      <c r="AA67" s="101">
        <v>832510.18304117396</v>
      </c>
      <c r="AB67" s="101">
        <v>195812</v>
      </c>
      <c r="AC67" s="101">
        <v>146660.671</v>
      </c>
      <c r="AD67" s="101">
        <v>56432</v>
      </c>
      <c r="AE67" t="s">
        <v>245</v>
      </c>
      <c r="AF67" s="149">
        <v>-4.2736338718143113E-2</v>
      </c>
      <c r="AG67" s="149">
        <v>0.43116968954724832</v>
      </c>
      <c r="AH67" s="149">
        <f t="shared" si="6"/>
        <v>0.29057366691938336</v>
      </c>
      <c r="AI67" s="149">
        <f t="shared" si="7"/>
        <v>4.2436966621955251E-2</v>
      </c>
      <c r="AJ67" s="149">
        <v>0.43633265294220569</v>
      </c>
      <c r="AK67" s="149">
        <v>0.22600569564151407</v>
      </c>
      <c r="AL67" s="149">
        <v>3.6216247740129472E-2</v>
      </c>
      <c r="AM67" s="149">
        <v>2.7370828271278496E-2</v>
      </c>
      <c r="AN67" s="149">
        <v>6.3571701586436864E-3</v>
      </c>
      <c r="AO67">
        <f t="shared" si="8"/>
        <v>0</v>
      </c>
      <c r="AP67" s="149">
        <v>7.0623627067903039E-2</v>
      </c>
      <c r="AQ67" s="149">
        <v>3.2367573843477926E-3</v>
      </c>
      <c r="AR67" s="149">
        <v>0.76130712855504368</v>
      </c>
      <c r="AS67" s="208">
        <v>2598.8919584632831</v>
      </c>
      <c r="AT67" s="149">
        <f t="shared" si="9"/>
        <v>4.7899999999999998E-2</v>
      </c>
      <c r="AU67" s="149">
        <v>0.23949999999999999</v>
      </c>
      <c r="AV67">
        <v>8</v>
      </c>
    </row>
    <row r="68" spans="1:48" x14ac:dyDescent="0.25">
      <c r="A68" t="s">
        <v>355</v>
      </c>
      <c r="B68" s="101">
        <v>826</v>
      </c>
      <c r="C68" s="101">
        <v>10590</v>
      </c>
      <c r="D68" s="101">
        <v>85624</v>
      </c>
      <c r="E68" s="101">
        <v>252</v>
      </c>
      <c r="F68" s="101">
        <v>0</v>
      </c>
      <c r="G68" s="101">
        <v>1849</v>
      </c>
      <c r="H68" s="101">
        <v>1986</v>
      </c>
      <c r="I68" s="101">
        <v>17116</v>
      </c>
      <c r="J68" s="101">
        <v>1</v>
      </c>
      <c r="K68" s="101">
        <v>2216</v>
      </c>
      <c r="L68" s="101">
        <v>6704</v>
      </c>
      <c r="M68" s="101">
        <v>18590</v>
      </c>
      <c r="N68" s="101">
        <v>46881</v>
      </c>
      <c r="O68" s="101">
        <v>39262</v>
      </c>
      <c r="P68" s="101">
        <v>35346</v>
      </c>
      <c r="Q68" s="101">
        <v>389</v>
      </c>
      <c r="R68" s="101">
        <v>0</v>
      </c>
      <c r="S68" s="101">
        <v>2502</v>
      </c>
      <c r="T68" s="101">
        <v>21374</v>
      </c>
      <c r="U68" s="101">
        <v>28266</v>
      </c>
      <c r="V68" s="101">
        <v>97282</v>
      </c>
      <c r="W68" s="101">
        <v>106437</v>
      </c>
      <c r="X68" s="101">
        <v>105378</v>
      </c>
      <c r="Y68" s="101">
        <v>1059</v>
      </c>
      <c r="Z68" s="101">
        <v>1541</v>
      </c>
      <c r="AA68" s="101">
        <v>3085524.0952380951</v>
      </c>
      <c r="AB68" s="101">
        <v>74262</v>
      </c>
      <c r="AC68" s="101">
        <v>67505.353000000003</v>
      </c>
      <c r="AD68" s="101">
        <v>33180</v>
      </c>
      <c r="AE68" t="s">
        <v>355</v>
      </c>
      <c r="AF68" s="149">
        <v>-1.3933124759247253E-2</v>
      </c>
      <c r="AG68" s="149">
        <v>0.26556554581583469</v>
      </c>
      <c r="AH68" s="149">
        <f t="shared" si="6"/>
        <v>1.7371778610821426E-2</v>
      </c>
      <c r="AI68" s="149">
        <f t="shared" si="7"/>
        <v>0.16081813655025978</v>
      </c>
      <c r="AJ68" s="149">
        <v>0.15507746366395142</v>
      </c>
      <c r="AK68" s="149">
        <v>0.32164468899652837</v>
      </c>
      <c r="AL68" s="149">
        <v>9.9495476197187065E-3</v>
      </c>
      <c r="AM68" s="149">
        <v>6.675839676898862E-2</v>
      </c>
      <c r="AN68" s="149">
        <v>-2.327037424407474E-2</v>
      </c>
      <c r="AO68">
        <f t="shared" si="8"/>
        <v>1</v>
      </c>
      <c r="AP68" s="149">
        <v>-5.6841136071103093E-4</v>
      </c>
      <c r="AQ68" s="149">
        <v>2.8989205776544767E-2</v>
      </c>
      <c r="AR68" s="149">
        <v>0.69770850362186076</v>
      </c>
      <c r="AS68" s="208">
        <v>2034.5193791440627</v>
      </c>
      <c r="AT68" s="149">
        <f t="shared" si="9"/>
        <v>5.3400000000000003E-2</v>
      </c>
      <c r="AU68" s="149">
        <v>0.26700000000000002</v>
      </c>
      <c r="AV68">
        <v>9</v>
      </c>
    </row>
    <row r="69" spans="1:48" x14ac:dyDescent="0.25">
      <c r="A69" t="s">
        <v>142</v>
      </c>
      <c r="B69" s="101">
        <v>2520</v>
      </c>
      <c r="C69" s="101">
        <v>28771</v>
      </c>
      <c r="D69" s="101">
        <v>265550</v>
      </c>
      <c r="E69" s="101">
        <v>3126</v>
      </c>
      <c r="F69" s="101">
        <v>13432</v>
      </c>
      <c r="G69" s="101">
        <v>5382</v>
      </c>
      <c r="H69" s="101">
        <v>0</v>
      </c>
      <c r="I69" s="101">
        <v>41566</v>
      </c>
      <c r="J69" s="101">
        <v>5161</v>
      </c>
      <c r="K69" s="101">
        <v>23146</v>
      </c>
      <c r="L69" s="101">
        <v>68514</v>
      </c>
      <c r="M69" s="101">
        <v>44761</v>
      </c>
      <c r="N69" s="101">
        <v>199308</v>
      </c>
      <c r="O69" s="101">
        <v>11932</v>
      </c>
      <c r="P69" s="101">
        <v>183489</v>
      </c>
      <c r="Q69" s="101">
        <v>159</v>
      </c>
      <c r="R69" s="101">
        <v>852</v>
      </c>
      <c r="S69" s="101">
        <v>17351</v>
      </c>
      <c r="T69" s="101">
        <v>88837</v>
      </c>
      <c r="U69" s="101">
        <v>135453</v>
      </c>
      <c r="V69" s="101">
        <v>250479</v>
      </c>
      <c r="W69" s="101">
        <v>471802</v>
      </c>
      <c r="X69" s="101">
        <v>452924</v>
      </c>
      <c r="Y69" s="101">
        <v>18878</v>
      </c>
      <c r="Z69" s="101">
        <v>6339</v>
      </c>
      <c r="AA69" s="101">
        <v>3341522.8836126626</v>
      </c>
      <c r="AB69" s="101">
        <v>336922</v>
      </c>
      <c r="AC69" s="101">
        <v>264434.86900000001</v>
      </c>
      <c r="AD69" s="101">
        <v>103405</v>
      </c>
      <c r="AE69" t="s">
        <v>142</v>
      </c>
      <c r="AF69" s="149">
        <v>4.1402961411778669E-2</v>
      </c>
      <c r="AG69" s="149">
        <v>0.28693392567220993</v>
      </c>
      <c r="AH69" s="149">
        <f t="shared" si="6"/>
        <v>3.987689751209194E-2</v>
      </c>
      <c r="AI69" s="149">
        <f t="shared" si="7"/>
        <v>9.9039427556474963E-2</v>
      </c>
      <c r="AJ69" s="149">
        <v>0.2223915540841285</v>
      </c>
      <c r="AK69" s="149">
        <v>0.39708484085366824</v>
      </c>
      <c r="AL69" s="149">
        <v>4.0012547636508536E-2</v>
      </c>
      <c r="AM69" s="149">
        <v>8.0240370816505951E-2</v>
      </c>
      <c r="AN69" s="149">
        <v>0.11823213476428784</v>
      </c>
      <c r="AO69">
        <f t="shared" si="8"/>
        <v>0</v>
      </c>
      <c r="AP69" s="149">
        <v>2.4566449485165388E-2</v>
      </c>
      <c r="AQ69" s="149">
        <v>7.0824686703588845E-3</v>
      </c>
      <c r="AR69" s="149">
        <v>0.71411736279201865</v>
      </c>
      <c r="AS69" s="208">
        <v>2557.273526425221</v>
      </c>
      <c r="AT69" s="149">
        <f t="shared" si="9"/>
        <v>4.7899999999999998E-2</v>
      </c>
      <c r="AU69" s="149">
        <v>0.23949999999999999</v>
      </c>
      <c r="AV69">
        <v>10</v>
      </c>
    </row>
    <row r="70" spans="1:48" x14ac:dyDescent="0.25">
      <c r="A70" t="s">
        <v>246</v>
      </c>
      <c r="B70" s="101">
        <v>165</v>
      </c>
      <c r="C70" s="101">
        <v>9371</v>
      </c>
      <c r="D70" s="101">
        <v>107917</v>
      </c>
      <c r="E70" s="101">
        <v>1637</v>
      </c>
      <c r="F70" s="101">
        <v>0</v>
      </c>
      <c r="G70" s="101">
        <v>7444</v>
      </c>
      <c r="H70" s="101">
        <v>0</v>
      </c>
      <c r="I70" s="101">
        <v>-15394</v>
      </c>
      <c r="J70" s="101">
        <v>0</v>
      </c>
      <c r="K70" s="101">
        <v>25998</v>
      </c>
      <c r="L70" s="101">
        <v>517</v>
      </c>
      <c r="M70" s="101">
        <v>5402</v>
      </c>
      <c r="N70" s="101">
        <v>53702</v>
      </c>
      <c r="O70" s="101">
        <v>19763</v>
      </c>
      <c r="P70" s="101">
        <v>50809</v>
      </c>
      <c r="Q70" s="101">
        <v>0</v>
      </c>
      <c r="R70" s="101">
        <v>0</v>
      </c>
      <c r="S70" s="101">
        <v>10397</v>
      </c>
      <c r="T70" s="101">
        <v>8385</v>
      </c>
      <c r="U70" s="101">
        <v>30230</v>
      </c>
      <c r="V70" s="101">
        <v>77763</v>
      </c>
      <c r="W70" s="101">
        <v>115615</v>
      </c>
      <c r="X70" s="101">
        <v>107308</v>
      </c>
      <c r="Y70" s="101">
        <v>8307</v>
      </c>
      <c r="Z70" s="101">
        <v>1396</v>
      </c>
      <c r="AA70" s="101">
        <v>6028903.5517241377</v>
      </c>
      <c r="AB70" s="101">
        <v>76986</v>
      </c>
      <c r="AC70" s="101">
        <v>57787.007060000004</v>
      </c>
      <c r="AD70" s="101">
        <v>32977</v>
      </c>
      <c r="AE70" t="s">
        <v>246</v>
      </c>
      <c r="AF70" s="149">
        <v>5.3496518617826408E-2</v>
      </c>
      <c r="AG70" s="149">
        <v>0.26147126237944901</v>
      </c>
      <c r="AH70" s="149">
        <f t="shared" si="6"/>
        <v>6.4386109068892444E-2</v>
      </c>
      <c r="AI70" s="149">
        <f t="shared" si="7"/>
        <v>-0.13314881287030231</v>
      </c>
      <c r="AJ70" s="149">
        <v>0.36240176447692773</v>
      </c>
      <c r="AK70" s="149">
        <v>0.37539145509450844</v>
      </c>
      <c r="AL70" s="149">
        <v>7.1850538424944863E-2</v>
      </c>
      <c r="AM70" s="149">
        <v>0.10787106152274692</v>
      </c>
      <c r="AN70" s="149">
        <v>7.6130944962974137E-2</v>
      </c>
      <c r="AO70">
        <f t="shared" si="8"/>
        <v>0</v>
      </c>
      <c r="AP70" s="149">
        <v>8.5823638801193619E-2</v>
      </c>
      <c r="AQ70" s="149">
        <v>5.2146378512512546E-2</v>
      </c>
      <c r="AR70" s="149">
        <v>0.66588245469878471</v>
      </c>
      <c r="AS70" s="208">
        <v>1752.342755860145</v>
      </c>
      <c r="AT70" s="149">
        <f t="shared" si="9"/>
        <v>3.7600000000000001E-2</v>
      </c>
      <c r="AU70" s="149">
        <v>0.188</v>
      </c>
      <c r="AV70">
        <v>8</v>
      </c>
    </row>
    <row r="71" spans="1:48" x14ac:dyDescent="0.25">
      <c r="A71" t="s">
        <v>772</v>
      </c>
      <c r="B71" s="101">
        <v>4609</v>
      </c>
      <c r="C71" s="101">
        <v>52027</v>
      </c>
      <c r="D71" s="101">
        <v>193381</v>
      </c>
      <c r="E71" s="101">
        <v>890</v>
      </c>
      <c r="F71" s="101">
        <v>2941</v>
      </c>
      <c r="G71" s="101">
        <v>2279</v>
      </c>
      <c r="H71" s="101">
        <v>0</v>
      </c>
      <c r="I71" s="101">
        <v>22057</v>
      </c>
      <c r="J71" s="101">
        <v>29</v>
      </c>
      <c r="K71" s="101">
        <v>30084</v>
      </c>
      <c r="L71" s="101">
        <v>23188</v>
      </c>
      <c r="M71" s="101">
        <v>8302</v>
      </c>
      <c r="N71" s="101">
        <v>116580</v>
      </c>
      <c r="O71" s="101">
        <v>64678</v>
      </c>
      <c r="P71" s="101">
        <v>95764</v>
      </c>
      <c r="Q71" s="101">
        <v>431</v>
      </c>
      <c r="R71" s="101">
        <v>0</v>
      </c>
      <c r="S71" s="101">
        <v>16730</v>
      </c>
      <c r="T71" s="101">
        <v>45604</v>
      </c>
      <c r="U71" s="101">
        <v>91735</v>
      </c>
      <c r="V71" s="101">
        <v>223174</v>
      </c>
      <c r="W71" s="101">
        <v>304158</v>
      </c>
      <c r="X71" s="101">
        <v>301054</v>
      </c>
      <c r="Y71" s="101">
        <v>3104</v>
      </c>
      <c r="Z71" s="101">
        <v>23605</v>
      </c>
      <c r="AA71" s="101">
        <v>10358590.666666664</v>
      </c>
      <c r="AB71" s="101">
        <v>207432</v>
      </c>
      <c r="AC71" s="101">
        <v>195495.66500000001</v>
      </c>
      <c r="AD71" s="101">
        <v>90076</v>
      </c>
      <c r="AE71" t="s">
        <v>772</v>
      </c>
      <c r="AF71" s="149">
        <v>-1.6645953747723222E-2</v>
      </c>
      <c r="AG71" s="149">
        <v>0.30160311417092434</v>
      </c>
      <c r="AH71" s="149">
        <f t="shared" si="6"/>
        <v>1.716213283885349E-2</v>
      </c>
      <c r="AI71" s="149">
        <f t="shared" si="7"/>
        <v>7.2613575838873221E-2</v>
      </c>
      <c r="AJ71" s="149">
        <v>0.25283306702437552</v>
      </c>
      <c r="AK71" s="149">
        <v>0.34309729330433475</v>
      </c>
      <c r="AL71" s="149">
        <v>1.0205222285785678E-2</v>
      </c>
      <c r="AM71" s="149">
        <v>9.0875433341186772E-3</v>
      </c>
      <c r="AN71" s="149">
        <v>-1.5490729693134744E-2</v>
      </c>
      <c r="AO71">
        <f t="shared" si="8"/>
        <v>1</v>
      </c>
      <c r="AP71" s="149">
        <v>2.2063368380907292E-2</v>
      </c>
      <c r="AQ71" s="149">
        <v>3.4056610928092187E-2</v>
      </c>
      <c r="AR71" s="149">
        <v>0.68198765115499183</v>
      </c>
      <c r="AS71" s="208">
        <v>2170.341322882899</v>
      </c>
      <c r="AT71" s="149">
        <f t="shared" si="9"/>
        <v>5.5899999999999991E-2</v>
      </c>
      <c r="AU71" s="149">
        <v>0.27949999999999997</v>
      </c>
      <c r="AV71">
        <v>10</v>
      </c>
    </row>
    <row r="72" spans="1:48" x14ac:dyDescent="0.25">
      <c r="A72" t="s">
        <v>143</v>
      </c>
      <c r="B72" s="101">
        <v>301</v>
      </c>
      <c r="C72" s="101">
        <v>13544</v>
      </c>
      <c r="D72" s="101">
        <v>41544</v>
      </c>
      <c r="E72" s="101">
        <v>2520</v>
      </c>
      <c r="F72" s="101">
        <v>420</v>
      </c>
      <c r="G72" s="101">
        <v>4862</v>
      </c>
      <c r="H72" s="101">
        <v>0</v>
      </c>
      <c r="I72" s="101">
        <v>277</v>
      </c>
      <c r="J72" s="101">
        <v>155</v>
      </c>
      <c r="K72" s="101">
        <v>11156</v>
      </c>
      <c r="L72" s="101">
        <v>15514</v>
      </c>
      <c r="M72" s="101">
        <v>2470</v>
      </c>
      <c r="N72" s="101">
        <v>49043</v>
      </c>
      <c r="O72" s="101">
        <v>7187</v>
      </c>
      <c r="P72" s="101">
        <v>22282</v>
      </c>
      <c r="Q72" s="101">
        <v>0</v>
      </c>
      <c r="R72" s="101">
        <v>0</v>
      </c>
      <c r="S72" s="101">
        <v>5245</v>
      </c>
      <c r="T72" s="101">
        <v>9004</v>
      </c>
      <c r="U72" s="101">
        <v>2109</v>
      </c>
      <c r="V72" s="101">
        <v>58538</v>
      </c>
      <c r="W72" s="101">
        <v>81852</v>
      </c>
      <c r="X72" s="101">
        <v>79015</v>
      </c>
      <c r="Y72" s="101">
        <v>2837</v>
      </c>
      <c r="Z72" s="101">
        <v>346</v>
      </c>
      <c r="AA72" s="101">
        <v>1921146.2134831455</v>
      </c>
      <c r="AB72" s="101">
        <v>53992</v>
      </c>
      <c r="AC72" s="101">
        <v>49952.034</v>
      </c>
      <c r="AD72" s="101">
        <v>26739</v>
      </c>
      <c r="AE72" t="s">
        <v>143</v>
      </c>
      <c r="AF72" s="149">
        <v>2.8624835068171824E-2</v>
      </c>
      <c r="AG72" s="149">
        <v>2.5766016713091922E-2</v>
      </c>
      <c r="AH72" s="149">
        <f t="shared" si="6"/>
        <v>6.4531104921077068E-2</v>
      </c>
      <c r="AI72" s="149">
        <f t="shared" si="7"/>
        <v>5.2778185016859698E-3</v>
      </c>
      <c r="AJ72" s="149">
        <v>2.9815276352440988E-2</v>
      </c>
      <c r="AK72" s="149">
        <v>0.52870279535580689</v>
      </c>
      <c r="AL72" s="149">
        <v>3.4660118262229388E-2</v>
      </c>
      <c r="AM72" s="149">
        <v>2.92141161321476E-2</v>
      </c>
      <c r="AN72" s="149">
        <v>7.7708933717579254E-2</v>
      </c>
      <c r="AO72">
        <f t="shared" si="8"/>
        <v>0</v>
      </c>
      <c r="AP72" s="149">
        <v>-9.6179690172506476E-3</v>
      </c>
      <c r="AQ72" s="149">
        <v>2.3470974606401133E-2</v>
      </c>
      <c r="AR72" s="149">
        <v>0.65962957533108535</v>
      </c>
      <c r="AS72" s="208">
        <v>1868.1339616290811</v>
      </c>
      <c r="AT72" s="149">
        <f t="shared" si="9"/>
        <v>4.9700000000000001E-2</v>
      </c>
      <c r="AU72" s="149">
        <v>0.2485</v>
      </c>
      <c r="AV72">
        <v>9</v>
      </c>
    </row>
    <row r="73" spans="1:48" x14ac:dyDescent="0.25">
      <c r="A73" t="s">
        <v>173</v>
      </c>
      <c r="B73" s="101">
        <v>0</v>
      </c>
      <c r="C73" s="101">
        <v>258</v>
      </c>
      <c r="D73" s="101">
        <v>28304</v>
      </c>
      <c r="E73" s="101">
        <v>101</v>
      </c>
      <c r="F73" s="101">
        <v>1740</v>
      </c>
      <c r="G73" s="101">
        <v>2930</v>
      </c>
      <c r="H73" s="101">
        <v>0</v>
      </c>
      <c r="I73" s="101">
        <v>277</v>
      </c>
      <c r="J73" s="101">
        <v>0</v>
      </c>
      <c r="K73" s="101">
        <v>3838</v>
      </c>
      <c r="L73" s="101">
        <v>3079</v>
      </c>
      <c r="M73" s="101">
        <v>1737</v>
      </c>
      <c r="N73" s="101">
        <v>28786</v>
      </c>
      <c r="O73" s="101">
        <v>2401</v>
      </c>
      <c r="P73" s="101">
        <v>1800</v>
      </c>
      <c r="Q73" s="101">
        <v>0</v>
      </c>
      <c r="R73" s="101">
        <v>0</v>
      </c>
      <c r="S73" s="101">
        <v>3532</v>
      </c>
      <c r="T73" s="101">
        <v>5745</v>
      </c>
      <c r="U73" s="101">
        <v>-2247</v>
      </c>
      <c r="V73" s="101">
        <v>19896</v>
      </c>
      <c r="W73" s="101">
        <v>45923</v>
      </c>
      <c r="X73" s="101">
        <v>44500</v>
      </c>
      <c r="Y73" s="101">
        <v>1423</v>
      </c>
      <c r="Z73" s="101">
        <v>2521</v>
      </c>
      <c r="AA73" s="101">
        <v>846436.77935943054</v>
      </c>
      <c r="AB73" s="101">
        <v>35717</v>
      </c>
      <c r="AC73" s="101">
        <v>28301.182000000001</v>
      </c>
      <c r="AD73" s="101">
        <v>11079</v>
      </c>
      <c r="AE73" t="s">
        <v>173</v>
      </c>
      <c r="AF73" s="149">
        <v>-4.8907954619689477E-2</v>
      </c>
      <c r="AG73" s="149">
        <v>-4.89297302005531E-2</v>
      </c>
      <c r="AH73" s="149">
        <f t="shared" si="6"/>
        <v>0.10169196263310323</v>
      </c>
      <c r="AI73" s="149">
        <f t="shared" si="7"/>
        <v>6.0318358992226115E-3</v>
      </c>
      <c r="AJ73" s="149">
        <v>-4.0948979814036543E-2</v>
      </c>
      <c r="AK73" s="149">
        <v>0.68109975392769262</v>
      </c>
      <c r="AL73" s="149">
        <v>3.0986651568930601E-2</v>
      </c>
      <c r="AM73" s="149">
        <v>4.0805857389357832E-2</v>
      </c>
      <c r="AN73" s="149">
        <v>5.5776275733966256E-2</v>
      </c>
      <c r="AO73">
        <f t="shared" si="8"/>
        <v>0</v>
      </c>
      <c r="AP73" s="149">
        <v>4.7176795941031725E-2</v>
      </c>
      <c r="AQ73" s="149">
        <v>1.8431652534882968E-2</v>
      </c>
      <c r="AR73" s="149">
        <v>0.77775842170589904</v>
      </c>
      <c r="AS73" s="208">
        <v>2554.4888527845474</v>
      </c>
      <c r="AT73" s="149">
        <f t="shared" si="9"/>
        <v>6.5100000000000005E-2</v>
      </c>
      <c r="AU73" s="149">
        <v>0.32550000000000001</v>
      </c>
      <c r="AV73">
        <v>8.5</v>
      </c>
    </row>
    <row r="74" spans="1:48" x14ac:dyDescent="0.25">
      <c r="A74" t="s">
        <v>174</v>
      </c>
      <c r="B74" s="101">
        <v>19139</v>
      </c>
      <c r="C74" s="101">
        <v>7955</v>
      </c>
      <c r="D74" s="101">
        <v>180156</v>
      </c>
      <c r="E74" s="101">
        <v>506</v>
      </c>
      <c r="F74" s="101">
        <v>5857</v>
      </c>
      <c r="G74" s="101">
        <v>9967</v>
      </c>
      <c r="H74" s="101">
        <v>6</v>
      </c>
      <c r="I74" s="101">
        <v>49781</v>
      </c>
      <c r="J74" s="101">
        <v>0</v>
      </c>
      <c r="K74" s="101">
        <v>11668</v>
      </c>
      <c r="L74" s="101">
        <v>27020</v>
      </c>
      <c r="M74" s="101">
        <v>23995</v>
      </c>
      <c r="N74" s="101">
        <v>107608</v>
      </c>
      <c r="O74" s="101">
        <v>16210</v>
      </c>
      <c r="P74" s="101">
        <v>144606</v>
      </c>
      <c r="Q74" s="101">
        <v>717</v>
      </c>
      <c r="R74" s="101">
        <v>2426</v>
      </c>
      <c r="S74" s="101">
        <v>12271</v>
      </c>
      <c r="T74" s="101">
        <v>52212</v>
      </c>
      <c r="U74" s="101">
        <v>133719</v>
      </c>
      <c r="V74" s="101">
        <v>217550</v>
      </c>
      <c r="W74" s="101">
        <v>306075</v>
      </c>
      <c r="X74" s="101">
        <v>292747</v>
      </c>
      <c r="Y74" s="101">
        <v>13328</v>
      </c>
      <c r="Z74" s="101">
        <v>-9584</v>
      </c>
      <c r="AA74" s="101">
        <v>7095243.096618358</v>
      </c>
      <c r="AB74" s="101">
        <v>218875</v>
      </c>
      <c r="AC74" s="101">
        <v>151953.87</v>
      </c>
      <c r="AD74" s="101">
        <v>59623</v>
      </c>
      <c r="AE74" t="s">
        <v>174</v>
      </c>
      <c r="AF74" s="149">
        <v>4.4502164502164501E-2</v>
      </c>
      <c r="AG74" s="149">
        <v>0.43688311688311687</v>
      </c>
      <c r="AH74" s="149">
        <f t="shared" si="6"/>
        <v>5.1699746794086419E-2</v>
      </c>
      <c r="AI74" s="149">
        <f t="shared" si="7"/>
        <v>0.16264314302050151</v>
      </c>
      <c r="AJ74" s="149">
        <v>0.32923688638405618</v>
      </c>
      <c r="AK74" s="149">
        <v>0.32021425383127511</v>
      </c>
      <c r="AL74" s="149">
        <v>4.3544882790165808E-2</v>
      </c>
      <c r="AM74" s="149">
        <v>7.7180964494198728E-2</v>
      </c>
      <c r="AN74" s="149">
        <v>3.3940191878095896E-2</v>
      </c>
      <c r="AO74">
        <f t="shared" si="8"/>
        <v>0</v>
      </c>
      <c r="AP74" s="149">
        <v>-8.4129706771216197E-3</v>
      </c>
      <c r="AQ74" s="149">
        <v>2.318138723064072E-2</v>
      </c>
      <c r="AR74" s="149">
        <v>0.71510250755533777</v>
      </c>
      <c r="AS74" s="208">
        <v>2548.5780655116314</v>
      </c>
      <c r="AT74" s="149">
        <f t="shared" si="9"/>
        <v>5.6099999999999997E-2</v>
      </c>
      <c r="AU74" s="149">
        <v>0.28049999999999997</v>
      </c>
      <c r="AV74">
        <v>9</v>
      </c>
    </row>
    <row r="75" spans="1:48" x14ac:dyDescent="0.25">
      <c r="A75" t="s">
        <v>356</v>
      </c>
      <c r="B75" s="101">
        <v>555</v>
      </c>
      <c r="C75" s="101">
        <v>3474</v>
      </c>
      <c r="D75" s="101">
        <v>65407</v>
      </c>
      <c r="E75" s="101">
        <v>496</v>
      </c>
      <c r="F75" s="101">
        <v>2969</v>
      </c>
      <c r="G75" s="101">
        <v>663</v>
      </c>
      <c r="H75" s="101">
        <v>2</v>
      </c>
      <c r="I75" s="101">
        <v>8897</v>
      </c>
      <c r="J75" s="101">
        <v>0</v>
      </c>
      <c r="K75" s="101">
        <v>45706</v>
      </c>
      <c r="L75" s="101">
        <v>-248</v>
      </c>
      <c r="M75" s="101">
        <v>2571</v>
      </c>
      <c r="N75" s="101">
        <v>26343</v>
      </c>
      <c r="O75" s="101">
        <v>7790</v>
      </c>
      <c r="P75" s="101">
        <v>83196</v>
      </c>
      <c r="Q75" s="101">
        <v>3</v>
      </c>
      <c r="R75" s="101">
        <v>0</v>
      </c>
      <c r="S75" s="101">
        <v>4228</v>
      </c>
      <c r="T75" s="101">
        <v>8930</v>
      </c>
      <c r="U75" s="101">
        <v>44694</v>
      </c>
      <c r="V75" s="101">
        <v>68726</v>
      </c>
      <c r="W75" s="101">
        <v>77221</v>
      </c>
      <c r="X75" s="101">
        <v>72376</v>
      </c>
      <c r="Y75" s="101">
        <v>4845</v>
      </c>
      <c r="Z75" s="101">
        <v>1197</v>
      </c>
      <c r="AA75" s="101">
        <v>1740794.1290322598</v>
      </c>
      <c r="AB75" s="101">
        <v>57226</v>
      </c>
      <c r="AC75" s="101">
        <v>49045.061999999998</v>
      </c>
      <c r="AD75" s="101">
        <v>27095</v>
      </c>
      <c r="AE75" t="s">
        <v>356</v>
      </c>
      <c r="AF75" s="149">
        <v>3.4783284339752141E-2</v>
      </c>
      <c r="AG75" s="149">
        <v>0.57159321946102748</v>
      </c>
      <c r="AH75" s="149">
        <f t="shared" si="6"/>
        <v>4.703383794563655E-2</v>
      </c>
      <c r="AI75" s="149">
        <f t="shared" si="7"/>
        <v>0.11521477318346046</v>
      </c>
      <c r="AJ75" s="149">
        <v>0.49658693878608157</v>
      </c>
      <c r="AK75" s="149">
        <v>0.201877538508698</v>
      </c>
      <c r="AL75" s="149">
        <v>6.2742000233097214E-2</v>
      </c>
      <c r="AM75" s="149">
        <v>0.10308368848231494</v>
      </c>
      <c r="AN75" s="149">
        <v>4.8355870834256999E-2</v>
      </c>
      <c r="AO75">
        <f t="shared" si="8"/>
        <v>0</v>
      </c>
      <c r="AP75" s="149">
        <v>2.2985975317594953E-3</v>
      </c>
      <c r="AQ75" s="149">
        <v>2.2543014581943511E-2</v>
      </c>
      <c r="AR75" s="149">
        <v>0.74106784423926131</v>
      </c>
      <c r="AS75" s="208">
        <v>1810.1148551393246</v>
      </c>
      <c r="AT75" s="149">
        <f t="shared" si="9"/>
        <v>4.4999999999999998E-2</v>
      </c>
      <c r="AU75" s="149">
        <v>0.22499999999999998</v>
      </c>
      <c r="AV75">
        <v>9.5</v>
      </c>
    </row>
    <row r="76" spans="1:48" x14ac:dyDescent="0.25">
      <c r="A76" t="s">
        <v>289</v>
      </c>
      <c r="B76" s="101">
        <v>3548</v>
      </c>
      <c r="C76" s="101">
        <v>94508</v>
      </c>
      <c r="D76" s="101">
        <v>544171</v>
      </c>
      <c r="E76" s="101">
        <v>40625</v>
      </c>
      <c r="F76" s="101">
        <v>4018</v>
      </c>
      <c r="G76" s="101">
        <v>84767</v>
      </c>
      <c r="H76" s="101">
        <v>0</v>
      </c>
      <c r="I76" s="101">
        <v>69166</v>
      </c>
      <c r="J76" s="101">
        <v>1342</v>
      </c>
      <c r="K76" s="101">
        <v>169742</v>
      </c>
      <c r="L76" s="101">
        <v>2812</v>
      </c>
      <c r="M76" s="101">
        <v>32546</v>
      </c>
      <c r="N76" s="101">
        <v>675467</v>
      </c>
      <c r="O76" s="101">
        <v>28792</v>
      </c>
      <c r="P76" s="101">
        <v>206941</v>
      </c>
      <c r="Q76" s="101">
        <v>0</v>
      </c>
      <c r="R76" s="101">
        <v>-10000</v>
      </c>
      <c r="S76" s="101">
        <v>22250</v>
      </c>
      <c r="T76" s="101">
        <v>123798</v>
      </c>
      <c r="U76" s="101">
        <v>49104</v>
      </c>
      <c r="V76" s="101">
        <v>651946</v>
      </c>
      <c r="W76" s="101">
        <v>728458</v>
      </c>
      <c r="X76" s="101">
        <v>750517</v>
      </c>
      <c r="Y76" s="101">
        <v>-22059</v>
      </c>
      <c r="Z76" s="101">
        <v>33629</v>
      </c>
      <c r="AA76" s="101">
        <v>5317544.3193392977</v>
      </c>
      <c r="AB76" s="101">
        <v>478107</v>
      </c>
      <c r="AC76" s="101">
        <v>420604.80300000001</v>
      </c>
      <c r="AD76" s="101">
        <v>122070</v>
      </c>
      <c r="AE76" t="s">
        <v>289</v>
      </c>
      <c r="AF76" s="149">
        <v>-7.019347718056497E-2</v>
      </c>
      <c r="AG76" s="149">
        <v>6.7408141581257949E-2</v>
      </c>
      <c r="AH76" s="149">
        <f t="shared" si="6"/>
        <v>0.12188073986420631</v>
      </c>
      <c r="AI76" s="149">
        <f t="shared" si="7"/>
        <v>9.6790755266604259E-2</v>
      </c>
      <c r="AJ76" s="149">
        <v>1.4280301678339732E-2</v>
      </c>
      <c r="AK76" s="149">
        <v>0.64499239912609052</v>
      </c>
      <c r="AL76" s="149">
        <v>-3.0281773279996926E-2</v>
      </c>
      <c r="AM76" s="149">
        <v>-1.7248897972479523E-2</v>
      </c>
      <c r="AN76" s="149">
        <v>-1.7248897972479523E-2</v>
      </c>
      <c r="AO76">
        <f t="shared" si="8"/>
        <v>3</v>
      </c>
      <c r="AP76" s="149">
        <v>-3.3354702673318161E-3</v>
      </c>
      <c r="AQ76" s="149">
        <v>7.2997267094867483E-3</v>
      </c>
      <c r="AR76" s="149">
        <v>0.65632747529713453</v>
      </c>
      <c r="AS76" s="208">
        <v>3445.6033669206195</v>
      </c>
      <c r="AT76" s="149">
        <f t="shared" si="9"/>
        <v>6.0100000000000001E-2</v>
      </c>
      <c r="AU76" s="149">
        <v>0.30049999999999999</v>
      </c>
      <c r="AV76">
        <v>5</v>
      </c>
    </row>
    <row r="77" spans="1:48" x14ac:dyDescent="0.25">
      <c r="A77" t="s">
        <v>247</v>
      </c>
      <c r="B77" s="101">
        <v>2474</v>
      </c>
      <c r="C77" s="101">
        <v>3359</v>
      </c>
      <c r="D77" s="101">
        <v>27045</v>
      </c>
      <c r="E77" s="101">
        <v>169</v>
      </c>
      <c r="F77" s="101">
        <v>0</v>
      </c>
      <c r="G77" s="101">
        <v>5756</v>
      </c>
      <c r="H77" s="101">
        <v>0</v>
      </c>
      <c r="I77" s="101">
        <v>-929</v>
      </c>
      <c r="J77" s="101">
        <v>2</v>
      </c>
      <c r="K77" s="101">
        <v>2679</v>
      </c>
      <c r="L77" s="101">
        <v>17533</v>
      </c>
      <c r="M77" s="101">
        <v>7946</v>
      </c>
      <c r="N77" s="101">
        <v>35674</v>
      </c>
      <c r="O77" s="101">
        <v>5433</v>
      </c>
      <c r="P77" s="101">
        <v>11225</v>
      </c>
      <c r="Q77" s="101">
        <v>48</v>
      </c>
      <c r="R77" s="101">
        <v>0</v>
      </c>
      <c r="S77" s="101">
        <v>5528</v>
      </c>
      <c r="T77" s="101">
        <v>8125</v>
      </c>
      <c r="U77" s="101">
        <v>-8988</v>
      </c>
      <c r="V77" s="101">
        <v>30665</v>
      </c>
      <c r="W77" s="101">
        <v>57872</v>
      </c>
      <c r="X77" s="101">
        <v>52822</v>
      </c>
      <c r="Y77" s="101">
        <v>5050</v>
      </c>
      <c r="Z77" s="101">
        <v>645</v>
      </c>
      <c r="AA77" s="101">
        <v>2909924.9108734401</v>
      </c>
      <c r="AB77" s="101">
        <v>42603</v>
      </c>
      <c r="AC77" s="101">
        <v>36244.578000000001</v>
      </c>
      <c r="AD77" s="101">
        <v>20496</v>
      </c>
      <c r="AE77" t="s">
        <v>247</v>
      </c>
      <c r="AF77" s="149">
        <v>2.2446087918164225E-2</v>
      </c>
      <c r="AG77" s="149">
        <v>-0.15530826651921481</v>
      </c>
      <c r="AH77" s="149">
        <f t="shared" si="6"/>
        <v>9.9460879181642245E-2</v>
      </c>
      <c r="AI77" s="149">
        <f t="shared" si="7"/>
        <v>-1.6018108930052531E-2</v>
      </c>
      <c r="AJ77" s="149">
        <v>-0.13216028476638098</v>
      </c>
      <c r="AK77" s="149">
        <v>0.54024502900065119</v>
      </c>
      <c r="AL77" s="149">
        <v>8.7261542714957147E-2</v>
      </c>
      <c r="AM77" s="149">
        <v>5.4010969198944832E-2</v>
      </c>
      <c r="AN77" s="149">
        <v>1.0082985395263422E-2</v>
      </c>
      <c r="AO77">
        <f t="shared" si="8"/>
        <v>0</v>
      </c>
      <c r="AP77" s="149">
        <v>9.5598907934752557E-3</v>
      </c>
      <c r="AQ77" s="149">
        <v>5.0324696243249922E-2</v>
      </c>
      <c r="AR77" s="149">
        <v>0.73678294104422115</v>
      </c>
      <c r="AS77" s="208">
        <v>1768.373243559719</v>
      </c>
      <c r="AT77" s="149">
        <f t="shared" si="9"/>
        <v>4.6600000000000003E-2</v>
      </c>
      <c r="AU77" s="149">
        <v>0.23300000000000001</v>
      </c>
      <c r="AV77">
        <v>9.5</v>
      </c>
    </row>
    <row r="78" spans="1:48" x14ac:dyDescent="0.25">
      <c r="A78" t="s">
        <v>357</v>
      </c>
      <c r="B78" s="101">
        <v>745</v>
      </c>
      <c r="C78" s="101">
        <v>4899</v>
      </c>
      <c r="D78" s="101">
        <v>71721</v>
      </c>
      <c r="E78" s="101">
        <v>208</v>
      </c>
      <c r="F78" s="101">
        <v>0</v>
      </c>
      <c r="G78" s="101">
        <v>2984</v>
      </c>
      <c r="H78" s="101">
        <v>4619</v>
      </c>
      <c r="I78" s="101">
        <v>0</v>
      </c>
      <c r="J78" s="101">
        <v>15</v>
      </c>
      <c r="K78" s="101">
        <v>50431</v>
      </c>
      <c r="L78" s="101">
        <v>-40875</v>
      </c>
      <c r="M78" s="101">
        <v>3389</v>
      </c>
      <c r="N78" s="101">
        <v>43961</v>
      </c>
      <c r="O78" s="101">
        <v>9545</v>
      </c>
      <c r="P78" s="101">
        <v>31315</v>
      </c>
      <c r="Q78" s="101">
        <v>323</v>
      </c>
      <c r="R78" s="101">
        <v>0</v>
      </c>
      <c r="S78" s="101">
        <v>3800</v>
      </c>
      <c r="T78" s="101">
        <v>9192</v>
      </c>
      <c r="U78" s="101">
        <v>24082</v>
      </c>
      <c r="V78" s="101">
        <v>60315</v>
      </c>
      <c r="W78" s="101">
        <v>77207</v>
      </c>
      <c r="X78" s="101">
        <v>79275</v>
      </c>
      <c r="Y78" s="101">
        <v>-2068</v>
      </c>
      <c r="Z78" s="101">
        <v>7629</v>
      </c>
      <c r="AA78" s="101">
        <v>3871505.9101338442</v>
      </c>
      <c r="AB78" s="101">
        <v>55199</v>
      </c>
      <c r="AC78" s="101">
        <v>52808.304000000004</v>
      </c>
      <c r="AD78" s="101">
        <v>28192</v>
      </c>
      <c r="AE78" t="s">
        <v>357</v>
      </c>
      <c r="AF78" s="149">
        <v>-0.12581760721178131</v>
      </c>
      <c r="AG78" s="149">
        <v>0.31191472275829912</v>
      </c>
      <c r="AH78" s="149">
        <f t="shared" si="6"/>
        <v>3.8649345266620901E-2</v>
      </c>
      <c r="AI78" s="149">
        <f t="shared" si="7"/>
        <v>1.9428290180942143E-4</v>
      </c>
      <c r="AJ78" s="149">
        <v>0.31641664615902704</v>
      </c>
      <c r="AK78" s="149">
        <v>0.44795997391375236</v>
      </c>
      <c r="AL78" s="149">
        <v>-2.6785136062792234E-2</v>
      </c>
      <c r="AM78" s="149">
        <v>2.3800096162004694E-2</v>
      </c>
      <c r="AN78" s="149">
        <v>-3.6037970218834822E-3</v>
      </c>
      <c r="AO78">
        <f t="shared" si="8"/>
        <v>2</v>
      </c>
      <c r="AP78" s="149">
        <v>5.520872459751059E-2</v>
      </c>
      <c r="AQ78" s="149">
        <v>5.0144493506208559E-2</v>
      </c>
      <c r="AR78" s="149">
        <v>0.71494812646521688</v>
      </c>
      <c r="AS78" s="208">
        <v>1873.1662883087401</v>
      </c>
      <c r="AT78" s="149">
        <f t="shared" si="9"/>
        <v>5.920000000000001E-2</v>
      </c>
      <c r="AU78" s="149">
        <v>0.29600000000000004</v>
      </c>
      <c r="AV78">
        <v>7</v>
      </c>
    </row>
    <row r="79" spans="1:48" x14ac:dyDescent="0.25">
      <c r="A79" t="s">
        <v>428</v>
      </c>
      <c r="B79" s="101">
        <v>11235</v>
      </c>
      <c r="C79" s="101">
        <v>8400</v>
      </c>
      <c r="D79" s="101">
        <v>68650</v>
      </c>
      <c r="E79" s="101">
        <v>38</v>
      </c>
      <c r="F79" s="101">
        <v>2142</v>
      </c>
      <c r="G79" s="101">
        <v>14443</v>
      </c>
      <c r="H79" s="101">
        <v>4602</v>
      </c>
      <c r="I79" s="101">
        <v>12803</v>
      </c>
      <c r="J79" s="101">
        <v>0</v>
      </c>
      <c r="K79" s="101">
        <v>69342</v>
      </c>
      <c r="L79" s="101">
        <v>418</v>
      </c>
      <c r="M79" s="101">
        <v>6966</v>
      </c>
      <c r="N79" s="101">
        <v>110919</v>
      </c>
      <c r="O79" s="101">
        <v>47193</v>
      </c>
      <c r="P79" s="101">
        <v>10963</v>
      </c>
      <c r="Q79" s="101">
        <v>1742</v>
      </c>
      <c r="R79" s="101">
        <v>0</v>
      </c>
      <c r="S79" s="101">
        <v>6700</v>
      </c>
      <c r="T79" s="101">
        <v>21519</v>
      </c>
      <c r="U79" s="101">
        <v>-56989</v>
      </c>
      <c r="V79" s="101">
        <v>74648</v>
      </c>
      <c r="W79" s="101">
        <v>149362</v>
      </c>
      <c r="X79" s="101">
        <v>144145</v>
      </c>
      <c r="Y79" s="101">
        <v>5217</v>
      </c>
      <c r="Z79" s="101">
        <v>519</v>
      </c>
      <c r="AA79" s="101">
        <v>2208344.3438515086</v>
      </c>
      <c r="AB79" s="101">
        <v>103970</v>
      </c>
      <c r="AC79" s="101">
        <v>96330.868000000002</v>
      </c>
      <c r="AD79" s="101">
        <v>44354</v>
      </c>
      <c r="AE79" t="s">
        <v>428</v>
      </c>
      <c r="AF79" s="149">
        <v>3.6910325250063603E-2</v>
      </c>
      <c r="AG79" s="149">
        <v>-0.38154952397530834</v>
      </c>
      <c r="AH79" s="149">
        <f t="shared" si="6"/>
        <v>0.11103895234396968</v>
      </c>
      <c r="AI79" s="149">
        <f t="shared" si="7"/>
        <v>8.5717920220671928E-2</v>
      </c>
      <c r="AJ79" s="149">
        <v>-0.42822739384850228</v>
      </c>
      <c r="AK79" s="149">
        <v>0.55728109487730859</v>
      </c>
      <c r="AL79" s="149">
        <v>3.4928562820529988E-2</v>
      </c>
      <c r="AM79" s="149">
        <v>7.5488708892641462E-2</v>
      </c>
      <c r="AN79" s="149">
        <v>1.7309553014315426E-2</v>
      </c>
      <c r="AO79">
        <f t="shared" si="8"/>
        <v>0</v>
      </c>
      <c r="AP79" s="149">
        <v>2.2825417442187437E-2</v>
      </c>
      <c r="AQ79" s="149">
        <v>1.4785181932831033E-2</v>
      </c>
      <c r="AR79" s="149">
        <v>0.69609405337368269</v>
      </c>
      <c r="AS79" s="208">
        <v>2171.8642737971772</v>
      </c>
      <c r="AT79" s="149">
        <f t="shared" si="9"/>
        <v>5.0500000000000003E-2</v>
      </c>
      <c r="AU79" s="149">
        <v>0.2525</v>
      </c>
      <c r="AV79">
        <v>10</v>
      </c>
    </row>
    <row r="80" spans="1:48" x14ac:dyDescent="0.25">
      <c r="A80" t="s">
        <v>175</v>
      </c>
      <c r="B80" s="101">
        <v>90</v>
      </c>
      <c r="C80" s="101">
        <v>2618</v>
      </c>
      <c r="D80" s="101">
        <v>55421</v>
      </c>
      <c r="E80" s="101">
        <v>444</v>
      </c>
      <c r="F80" s="101">
        <v>0</v>
      </c>
      <c r="G80" s="101">
        <v>5445</v>
      </c>
      <c r="H80" s="101">
        <v>1050</v>
      </c>
      <c r="I80" s="101">
        <v>1596</v>
      </c>
      <c r="J80" s="101">
        <v>0</v>
      </c>
      <c r="K80" s="101">
        <v>8684</v>
      </c>
      <c r="L80" s="101">
        <v>2118</v>
      </c>
      <c r="M80" s="101">
        <v>3589</v>
      </c>
      <c r="N80" s="101">
        <v>24244</v>
      </c>
      <c r="O80" s="101">
        <v>5035</v>
      </c>
      <c r="P80" s="101">
        <v>40900</v>
      </c>
      <c r="Q80" s="101">
        <v>4</v>
      </c>
      <c r="R80" s="101">
        <v>0</v>
      </c>
      <c r="S80" s="101">
        <v>2713</v>
      </c>
      <c r="T80" s="101">
        <v>8158</v>
      </c>
      <c r="U80" s="101">
        <v>30889</v>
      </c>
      <c r="V80" s="101">
        <v>46672</v>
      </c>
      <c r="W80" s="101">
        <v>67794</v>
      </c>
      <c r="X80" s="101">
        <v>66657</v>
      </c>
      <c r="Y80" s="101">
        <v>1137</v>
      </c>
      <c r="Z80" s="101">
        <v>9252</v>
      </c>
      <c r="AA80" s="101">
        <v>1836540.666666666</v>
      </c>
      <c r="AB80" s="101">
        <v>51948</v>
      </c>
      <c r="AC80" s="101">
        <v>39838.578999999998</v>
      </c>
      <c r="AD80" s="101">
        <v>19590</v>
      </c>
      <c r="AE80" t="s">
        <v>175</v>
      </c>
      <c r="AF80" s="149">
        <v>-0.12509956633330382</v>
      </c>
      <c r="AG80" s="149">
        <v>0.45563029176623299</v>
      </c>
      <c r="AH80" s="149">
        <f t="shared" si="6"/>
        <v>8.0316842198424637E-2</v>
      </c>
      <c r="AI80" s="149">
        <f t="shared" si="7"/>
        <v>2.3541906363394989E-2</v>
      </c>
      <c r="AJ80" s="149">
        <v>0.44878897837566745</v>
      </c>
      <c r="AK80" s="149">
        <v>0.29910923581809656</v>
      </c>
      <c r="AL80" s="149">
        <v>1.6771395698734402E-2</v>
      </c>
      <c r="AM80" s="149">
        <v>4.7842465753424657E-2</v>
      </c>
      <c r="AN80" s="149">
        <v>5.1195148055654657E-2</v>
      </c>
      <c r="AO80">
        <f t="shared" si="8"/>
        <v>0</v>
      </c>
      <c r="AP80" s="149">
        <v>4.2249314098592797E-2</v>
      </c>
      <c r="AQ80" s="149">
        <v>2.7090017799018585E-2</v>
      </c>
      <c r="AR80" s="149">
        <v>0.76626250110629257</v>
      </c>
      <c r="AS80" s="208">
        <v>2033.6181214905564</v>
      </c>
      <c r="AT80" s="149">
        <f t="shared" si="9"/>
        <v>5.5699999999999993E-2</v>
      </c>
      <c r="AU80" s="149">
        <v>0.27849999999999997</v>
      </c>
      <c r="AV80">
        <v>8.5</v>
      </c>
    </row>
    <row r="81" spans="1:48" x14ac:dyDescent="0.25">
      <c r="A81" t="s">
        <v>176</v>
      </c>
      <c r="B81" s="101">
        <v>1038</v>
      </c>
      <c r="C81" s="101">
        <v>13590</v>
      </c>
      <c r="D81" s="101">
        <v>55816</v>
      </c>
      <c r="E81" s="101">
        <v>470</v>
      </c>
      <c r="F81" s="101">
        <v>0</v>
      </c>
      <c r="G81" s="101">
        <v>3040</v>
      </c>
      <c r="H81" s="101">
        <v>0</v>
      </c>
      <c r="I81" s="101">
        <v>6942</v>
      </c>
      <c r="J81" s="101">
        <v>0</v>
      </c>
      <c r="K81" s="101">
        <v>581</v>
      </c>
      <c r="L81" s="101">
        <v>15031</v>
      </c>
      <c r="M81" s="101">
        <v>7198</v>
      </c>
      <c r="N81" s="101">
        <v>41954</v>
      </c>
      <c r="O81" s="101">
        <v>35222</v>
      </c>
      <c r="P81" s="101">
        <v>17971</v>
      </c>
      <c r="Q81" s="101">
        <v>21</v>
      </c>
      <c r="R81" s="101">
        <v>0</v>
      </c>
      <c r="S81" s="101">
        <v>3028</v>
      </c>
      <c r="T81" s="101">
        <v>5513</v>
      </c>
      <c r="U81" s="101">
        <v>683</v>
      </c>
      <c r="V81" s="101">
        <v>55654</v>
      </c>
      <c r="W81" s="101">
        <v>81059</v>
      </c>
      <c r="X81" s="101">
        <v>81062</v>
      </c>
      <c r="Y81" s="101">
        <v>-3</v>
      </c>
      <c r="Z81" s="101">
        <v>7623</v>
      </c>
      <c r="AA81" s="101">
        <v>2937871.9115044251</v>
      </c>
      <c r="AB81" s="101">
        <v>57260</v>
      </c>
      <c r="AC81" s="101">
        <v>55720.650999999998</v>
      </c>
      <c r="AD81" s="101">
        <v>24872</v>
      </c>
      <c r="AE81" t="s">
        <v>176</v>
      </c>
      <c r="AF81" s="149">
        <v>-8.9885145387927315E-2</v>
      </c>
      <c r="AG81" s="149">
        <v>8.425961336804056E-3</v>
      </c>
      <c r="AH81" s="149">
        <f t="shared" si="6"/>
        <v>3.7503546799244995E-2</v>
      </c>
      <c r="AI81" s="149">
        <f t="shared" si="7"/>
        <v>8.5641322986960117E-2</v>
      </c>
      <c r="AJ81" s="149">
        <v>-4.7022539138158619E-2</v>
      </c>
      <c r="AK81" s="149">
        <v>0.40453576835183058</v>
      </c>
      <c r="AL81" s="149">
        <v>-3.7010079078202299E-5</v>
      </c>
      <c r="AM81" s="149">
        <v>7.0363177069449209E-2</v>
      </c>
      <c r="AN81" s="149">
        <v>8.0985004290325652E-2</v>
      </c>
      <c r="AO81">
        <f t="shared" si="8"/>
        <v>1</v>
      </c>
      <c r="AP81" s="149">
        <v>4.5614922463884329E-2</v>
      </c>
      <c r="AQ81" s="149">
        <v>3.6243623922136037E-2</v>
      </c>
      <c r="AR81" s="149">
        <v>0.70639904267262121</v>
      </c>
      <c r="AS81" s="208">
        <v>2240.2963573496299</v>
      </c>
      <c r="AT81" s="149">
        <f t="shared" si="9"/>
        <v>4.9399999999999999E-2</v>
      </c>
      <c r="AU81" s="149">
        <v>0.247</v>
      </c>
      <c r="AV81">
        <v>8</v>
      </c>
    </row>
    <row r="82" spans="1:48" x14ac:dyDescent="0.25">
      <c r="A82" t="s">
        <v>401</v>
      </c>
      <c r="B82" s="101">
        <v>1021</v>
      </c>
      <c r="C82" s="101">
        <v>1907</v>
      </c>
      <c r="D82" s="101">
        <v>104102</v>
      </c>
      <c r="E82" s="101">
        <v>6323</v>
      </c>
      <c r="F82" s="101">
        <v>2998</v>
      </c>
      <c r="G82" s="101">
        <v>1138</v>
      </c>
      <c r="H82" s="101">
        <v>100</v>
      </c>
      <c r="I82" s="101">
        <v>2952</v>
      </c>
      <c r="J82" s="101">
        <v>2</v>
      </c>
      <c r="K82" s="101">
        <v>20177</v>
      </c>
      <c r="L82" s="101">
        <v>16718</v>
      </c>
      <c r="M82" s="101">
        <v>2096</v>
      </c>
      <c r="N82" s="101">
        <v>69978</v>
      </c>
      <c r="O82" s="101">
        <v>9488</v>
      </c>
      <c r="P82" s="101">
        <v>58170</v>
      </c>
      <c r="Q82" s="101">
        <v>0</v>
      </c>
      <c r="R82" s="101">
        <v>4312</v>
      </c>
      <c r="S82" s="101">
        <v>9946</v>
      </c>
      <c r="T82" s="101">
        <v>7640</v>
      </c>
      <c r="U82" s="101">
        <v>36841</v>
      </c>
      <c r="V82" s="101">
        <v>96834</v>
      </c>
      <c r="W82" s="101">
        <v>110739</v>
      </c>
      <c r="X82" s="101">
        <v>103555</v>
      </c>
      <c r="Y82" s="101">
        <v>7184</v>
      </c>
      <c r="Z82" s="101">
        <v>6251</v>
      </c>
      <c r="AA82" s="101">
        <v>2475293.0178571418</v>
      </c>
      <c r="AB82" s="101">
        <v>81452</v>
      </c>
      <c r="AC82" s="101">
        <v>69411.053</v>
      </c>
      <c r="AD82" s="101">
        <v>32041</v>
      </c>
      <c r="AE82" t="s">
        <v>401</v>
      </c>
      <c r="AF82" s="149">
        <v>-1.2515915802020968E-2</v>
      </c>
      <c r="AG82" s="149">
        <v>0.33268315588907249</v>
      </c>
      <c r="AH82" s="149">
        <f t="shared" si="6"/>
        <v>3.7349082075872099E-2</v>
      </c>
      <c r="AI82" s="149">
        <f t="shared" si="7"/>
        <v>2.667533569925681E-2</v>
      </c>
      <c r="AJ82" s="149">
        <v>0.31849231074869738</v>
      </c>
      <c r="AK82" s="149">
        <v>0.4386400391139193</v>
      </c>
      <c r="AL82" s="149">
        <v>6.487326054958055E-2</v>
      </c>
      <c r="AM82" s="149">
        <v>7.7451610464237111E-2</v>
      </c>
      <c r="AN82" s="149">
        <v>1.5614096301465458E-2</v>
      </c>
      <c r="AO82">
        <f t="shared" si="8"/>
        <v>0</v>
      </c>
      <c r="AP82" s="149">
        <v>2.3018087575289645E-2</v>
      </c>
      <c r="AQ82" s="149">
        <v>2.2352495668708783E-2</v>
      </c>
      <c r="AR82" s="149">
        <v>0.73553129430462616</v>
      </c>
      <c r="AS82" s="208">
        <v>2166.3198089947255</v>
      </c>
      <c r="AT82" s="149">
        <f t="shared" si="9"/>
        <v>4.1300000000000003E-2</v>
      </c>
      <c r="AU82" s="149">
        <v>0.20650000000000002</v>
      </c>
      <c r="AV82">
        <v>10</v>
      </c>
    </row>
    <row r="83" spans="1:48" x14ac:dyDescent="0.25">
      <c r="A83" t="s">
        <v>248</v>
      </c>
      <c r="B83" s="101">
        <v>37</v>
      </c>
      <c r="C83" s="101">
        <v>9556</v>
      </c>
      <c r="D83" s="101">
        <v>141386</v>
      </c>
      <c r="E83" s="101">
        <v>1307</v>
      </c>
      <c r="F83" s="101">
        <v>0</v>
      </c>
      <c r="G83" s="101">
        <v>11784</v>
      </c>
      <c r="H83" s="101">
        <v>130</v>
      </c>
      <c r="I83" s="101">
        <v>-2586</v>
      </c>
      <c r="J83" s="101">
        <v>0</v>
      </c>
      <c r="K83" s="101">
        <v>10223</v>
      </c>
      <c r="L83" s="101">
        <v>1351</v>
      </c>
      <c r="M83" s="101">
        <v>3171</v>
      </c>
      <c r="N83" s="101">
        <v>79694</v>
      </c>
      <c r="O83" s="101">
        <v>12822</v>
      </c>
      <c r="P83" s="101">
        <v>48303</v>
      </c>
      <c r="Q83" s="101">
        <v>16</v>
      </c>
      <c r="R83" s="101">
        <v>5500</v>
      </c>
      <c r="S83" s="101">
        <v>11953</v>
      </c>
      <c r="T83" s="101">
        <v>18072</v>
      </c>
      <c r="U83" s="101">
        <v>57185</v>
      </c>
      <c r="V83" s="101">
        <v>106628</v>
      </c>
      <c r="W83" s="101">
        <v>111121</v>
      </c>
      <c r="X83" s="101">
        <v>107988</v>
      </c>
      <c r="Y83" s="101">
        <v>3133</v>
      </c>
      <c r="Z83" s="101">
        <v>14854</v>
      </c>
      <c r="AA83" s="101">
        <v>6724060.0626381729</v>
      </c>
      <c r="AB83" s="101">
        <v>74311</v>
      </c>
      <c r="AC83" s="101">
        <v>66658.442999999999</v>
      </c>
      <c r="AD83" s="101">
        <v>36917</v>
      </c>
      <c r="AE83" t="s">
        <v>248</v>
      </c>
      <c r="AF83" s="149">
        <v>-0.16633219643451733</v>
      </c>
      <c r="AG83" s="149">
        <v>0.5146191988912987</v>
      </c>
      <c r="AH83" s="149">
        <f t="shared" si="6"/>
        <v>0.10604656185599481</v>
      </c>
      <c r="AI83" s="149">
        <f t="shared" si="7"/>
        <v>-2.3271928798336949E-2</v>
      </c>
      <c r="AJ83" s="149">
        <v>0.54363513647285389</v>
      </c>
      <c r="AK83" s="149">
        <v>0.45188251304150601</v>
      </c>
      <c r="AL83" s="149">
        <v>2.8194490690328561E-2</v>
      </c>
      <c r="AM83" s="149">
        <v>4.3500521658487577E-2</v>
      </c>
      <c r="AN83" s="149">
        <v>1.3213441404930767E-2</v>
      </c>
      <c r="AO83">
        <f t="shared" si="8"/>
        <v>0</v>
      </c>
      <c r="AP83" s="149">
        <v>9.9780869502614264E-2</v>
      </c>
      <c r="AQ83" s="149">
        <v>6.0511155070942242E-2</v>
      </c>
      <c r="AR83" s="149">
        <v>0.66873948218608548</v>
      </c>
      <c r="AS83" s="208">
        <v>1805.6300078554596</v>
      </c>
      <c r="AT83" s="149">
        <f t="shared" si="9"/>
        <v>5.0599999999999999E-2</v>
      </c>
      <c r="AU83" s="149">
        <v>0.253</v>
      </c>
      <c r="AV83">
        <v>8</v>
      </c>
    </row>
    <row r="84" spans="1:48" x14ac:dyDescent="0.25">
      <c r="A84" t="s">
        <v>177</v>
      </c>
      <c r="B84" s="101">
        <v>4102</v>
      </c>
      <c r="C84" s="101">
        <v>28973</v>
      </c>
      <c r="D84" s="101">
        <v>324855</v>
      </c>
      <c r="E84" s="101">
        <v>3018</v>
      </c>
      <c r="F84" s="101">
        <v>33679</v>
      </c>
      <c r="G84" s="101">
        <v>9408</v>
      </c>
      <c r="H84" s="101">
        <v>9464</v>
      </c>
      <c r="I84" s="101">
        <v>31160</v>
      </c>
      <c r="J84" s="101">
        <v>206</v>
      </c>
      <c r="K84" s="101">
        <v>7999</v>
      </c>
      <c r="L84" s="101">
        <v>29110</v>
      </c>
      <c r="M84" s="101">
        <v>44086</v>
      </c>
      <c r="N84" s="101">
        <v>178690</v>
      </c>
      <c r="O84" s="101">
        <v>41588</v>
      </c>
      <c r="P84" s="101">
        <v>145503</v>
      </c>
      <c r="Q84" s="101">
        <v>1922</v>
      </c>
      <c r="R84" s="101">
        <v>25190</v>
      </c>
      <c r="S84" s="101">
        <v>31773</v>
      </c>
      <c r="T84" s="101">
        <v>101394</v>
      </c>
      <c r="U84" s="101">
        <v>172036</v>
      </c>
      <c r="V84" s="101">
        <v>261032</v>
      </c>
      <c r="W84" s="101">
        <v>439310</v>
      </c>
      <c r="X84" s="101">
        <v>428743</v>
      </c>
      <c r="Y84" s="101">
        <v>10567</v>
      </c>
      <c r="Z84" s="101">
        <v>63350</v>
      </c>
      <c r="AA84" s="101">
        <v>15715430.768580064</v>
      </c>
      <c r="AB84" s="101">
        <v>313511</v>
      </c>
      <c r="AC84" s="101">
        <v>263336.91899999999</v>
      </c>
      <c r="AD84" s="101">
        <v>123532</v>
      </c>
      <c r="AE84" t="s">
        <v>177</v>
      </c>
      <c r="AF84" s="149">
        <v>-0.12450433634563292</v>
      </c>
      <c r="AG84" s="149">
        <v>0.39160501695841204</v>
      </c>
      <c r="AH84" s="149">
        <f t="shared" si="6"/>
        <v>9.8078805399376301E-2</v>
      </c>
      <c r="AI84" s="149">
        <f t="shared" si="7"/>
        <v>7.1398329198060592E-2</v>
      </c>
      <c r="AJ84" s="149">
        <v>0.35339564316769478</v>
      </c>
      <c r="AK84" s="149">
        <v>0.33967608257613202</v>
      </c>
      <c r="AL84" s="149">
        <v>2.4053629555439212E-2</v>
      </c>
      <c r="AM84" s="149">
        <v>3.8414782941588663E-2</v>
      </c>
      <c r="AN84" s="149">
        <v>-2.9088700506564664E-2</v>
      </c>
      <c r="AO84">
        <f t="shared" si="8"/>
        <v>1</v>
      </c>
      <c r="AP84" s="149">
        <v>5.514215474266463E-2</v>
      </c>
      <c r="AQ84" s="149">
        <v>3.584168233161842E-2</v>
      </c>
      <c r="AR84" s="149">
        <v>0.7150145506627622</v>
      </c>
      <c r="AS84" s="208">
        <v>2131.7303937441311</v>
      </c>
      <c r="AT84" s="149">
        <f t="shared" si="9"/>
        <v>5.439999999999999E-2</v>
      </c>
      <c r="AU84" s="149">
        <v>0.27199999999999996</v>
      </c>
      <c r="AV84">
        <v>7.5</v>
      </c>
    </row>
    <row r="85" spans="1:48" x14ac:dyDescent="0.25">
      <c r="A85" t="s">
        <v>218</v>
      </c>
      <c r="B85" s="101">
        <v>1314</v>
      </c>
      <c r="C85" s="101">
        <v>4817</v>
      </c>
      <c r="D85" s="101">
        <v>35824</v>
      </c>
      <c r="E85" s="101">
        <v>8</v>
      </c>
      <c r="F85" s="101">
        <v>706</v>
      </c>
      <c r="G85" s="101">
        <v>6528</v>
      </c>
      <c r="H85" s="101">
        <v>0</v>
      </c>
      <c r="I85" s="101">
        <v>5291</v>
      </c>
      <c r="J85" s="101">
        <v>0</v>
      </c>
      <c r="K85" s="101">
        <v>12046</v>
      </c>
      <c r="L85" s="101">
        <v>501</v>
      </c>
      <c r="M85" s="101">
        <v>6492</v>
      </c>
      <c r="N85" s="101">
        <v>14116</v>
      </c>
      <c r="O85" s="101">
        <v>2069</v>
      </c>
      <c r="P85" s="101">
        <v>47205</v>
      </c>
      <c r="Q85" s="101">
        <v>0</v>
      </c>
      <c r="R85" s="101">
        <v>0</v>
      </c>
      <c r="S85" s="101">
        <v>2592</v>
      </c>
      <c r="T85" s="101">
        <v>7545</v>
      </c>
      <c r="U85" s="101">
        <v>31069</v>
      </c>
      <c r="V85" s="101">
        <v>39262</v>
      </c>
      <c r="W85" s="101">
        <v>36639</v>
      </c>
      <c r="X85" s="101">
        <v>35267</v>
      </c>
      <c r="Y85" s="101">
        <v>1372</v>
      </c>
      <c r="Z85" s="101">
        <v>-447</v>
      </c>
      <c r="AA85" s="101">
        <v>1384926.7627118649</v>
      </c>
      <c r="AB85" s="101">
        <v>20731</v>
      </c>
      <c r="AC85" s="101">
        <v>20103.214</v>
      </c>
      <c r="AD85" s="101">
        <v>9755</v>
      </c>
      <c r="AE85" t="s">
        <v>218</v>
      </c>
      <c r="AF85" s="149">
        <v>0.10977373836622178</v>
      </c>
      <c r="AG85" s="149">
        <v>0.84797620022380527</v>
      </c>
      <c r="AH85" s="149">
        <f t="shared" si="6"/>
        <v>0.1974398864597833</v>
      </c>
      <c r="AI85" s="149">
        <f t="shared" si="7"/>
        <v>0.14440896312672288</v>
      </c>
      <c r="AJ85" s="149">
        <v>0.77058271241027332</v>
      </c>
      <c r="AK85" s="149">
        <v>0.19198389707182395</v>
      </c>
      <c r="AL85" s="149">
        <v>3.7446436856901119E-2</v>
      </c>
      <c r="AM85" s="149">
        <v>9.5553618134263298E-3</v>
      </c>
      <c r="AN85" s="149">
        <v>-5.8677931421405233E-2</v>
      </c>
      <c r="AO85">
        <f t="shared" si="8"/>
        <v>1</v>
      </c>
      <c r="AP85" s="149">
        <v>1.8375228581566091E-2</v>
      </c>
      <c r="AQ85" s="149">
        <v>3.7799251145278663E-2</v>
      </c>
      <c r="AR85" s="149">
        <v>0.56581784437348182</v>
      </c>
      <c r="AS85" s="208">
        <v>2060.8112762685801</v>
      </c>
      <c r="AT85" s="149">
        <f t="shared" si="9"/>
        <v>7.1999999999999995E-2</v>
      </c>
      <c r="AU85" s="149">
        <v>0.36</v>
      </c>
      <c r="AV85">
        <v>9</v>
      </c>
    </row>
    <row r="86" spans="1:48" x14ac:dyDescent="0.25">
      <c r="A86" t="s">
        <v>719</v>
      </c>
      <c r="B86" s="101">
        <v>2162</v>
      </c>
      <c r="C86" s="101">
        <v>5610</v>
      </c>
      <c r="D86" s="101">
        <v>196549</v>
      </c>
      <c r="E86" s="101">
        <v>3659</v>
      </c>
      <c r="F86" s="101">
        <v>0</v>
      </c>
      <c r="G86" s="101">
        <v>0</v>
      </c>
      <c r="H86" s="101">
        <v>4819</v>
      </c>
      <c r="I86" s="101">
        <v>-307</v>
      </c>
      <c r="J86" s="101">
        <v>1769</v>
      </c>
      <c r="K86" s="101">
        <v>127497</v>
      </c>
      <c r="L86" s="101">
        <v>602</v>
      </c>
      <c r="M86" s="101">
        <v>39374</v>
      </c>
      <c r="N86" s="101">
        <v>80474</v>
      </c>
      <c r="O86" s="101">
        <v>12685</v>
      </c>
      <c r="P86" s="101">
        <v>69987</v>
      </c>
      <c r="Q86" s="101">
        <v>8</v>
      </c>
      <c r="R86" s="101">
        <v>0</v>
      </c>
      <c r="S86" s="101">
        <v>22611</v>
      </c>
      <c r="T86" s="101">
        <v>195969</v>
      </c>
      <c r="U86" s="101">
        <v>116283</v>
      </c>
      <c r="V86" s="101">
        <v>151913</v>
      </c>
      <c r="W86" s="101">
        <v>328697</v>
      </c>
      <c r="X86" s="101">
        <v>326335</v>
      </c>
      <c r="Y86" s="101">
        <v>2362</v>
      </c>
      <c r="Z86" s="101">
        <v>15267</v>
      </c>
      <c r="AA86" s="101">
        <v>-7971417.7420202773</v>
      </c>
      <c r="AB86" s="101">
        <v>262376</v>
      </c>
      <c r="AC86" s="101">
        <v>135091.94099999999</v>
      </c>
      <c r="AD86" s="101">
        <v>45106</v>
      </c>
      <c r="AE86" t="s">
        <v>719</v>
      </c>
      <c r="AF86" s="149">
        <v>-3.1974736611529768E-2</v>
      </c>
      <c r="AG86" s="149">
        <v>0.35376958110356954</v>
      </c>
      <c r="AH86" s="149">
        <f t="shared" si="6"/>
        <v>0</v>
      </c>
      <c r="AI86" s="149">
        <f t="shared" si="7"/>
        <v>4.4478653592822572E-3</v>
      </c>
      <c r="AJ86" s="149">
        <v>0.35065607535207194</v>
      </c>
      <c r="AK86" s="149">
        <v>0.21081171705952312</v>
      </c>
      <c r="AL86" s="149">
        <v>7.1859493697843304E-3</v>
      </c>
      <c r="AM86" s="149">
        <v>4.8814395131675584E-3</v>
      </c>
      <c r="AN86" s="149">
        <v>1.7887472478676756E-2</v>
      </c>
      <c r="AO86">
        <f t="shared" si="8"/>
        <v>0</v>
      </c>
      <c r="AP86" s="149">
        <v>3.9860418561775739E-2</v>
      </c>
      <c r="AQ86" s="149">
        <v>-2.4251568289398069E-2</v>
      </c>
      <c r="AR86" s="149">
        <v>0.79823058926610224</v>
      </c>
      <c r="AS86" s="208">
        <v>2994.9882720702344</v>
      </c>
      <c r="AT86" s="149">
        <f t="shared" si="9"/>
        <v>6.8699999999999997E-2</v>
      </c>
      <c r="AU86" s="149">
        <v>0.34349999999999997</v>
      </c>
      <c r="AV86">
        <v>7.5</v>
      </c>
    </row>
    <row r="87" spans="1:48" x14ac:dyDescent="0.25">
      <c r="A87" t="s">
        <v>358</v>
      </c>
      <c r="B87" s="101">
        <v>1201</v>
      </c>
      <c r="C87" s="101">
        <v>5393</v>
      </c>
      <c r="D87" s="101">
        <v>55579</v>
      </c>
      <c r="E87" s="101">
        <v>0</v>
      </c>
      <c r="F87" s="101">
        <v>803</v>
      </c>
      <c r="G87" s="101">
        <v>43</v>
      </c>
      <c r="H87" s="101">
        <v>0</v>
      </c>
      <c r="I87" s="101">
        <v>-2828</v>
      </c>
      <c r="J87" s="101">
        <v>0</v>
      </c>
      <c r="K87" s="101">
        <v>41755</v>
      </c>
      <c r="L87" s="101">
        <v>228</v>
      </c>
      <c r="M87" s="101">
        <v>10303</v>
      </c>
      <c r="N87" s="101">
        <v>70957</v>
      </c>
      <c r="O87" s="101">
        <v>22380</v>
      </c>
      <c r="P87" s="101">
        <v>6287</v>
      </c>
      <c r="Q87" s="101">
        <v>333</v>
      </c>
      <c r="R87" s="101">
        <v>0</v>
      </c>
      <c r="S87" s="101">
        <v>3630</v>
      </c>
      <c r="T87" s="101">
        <v>8889</v>
      </c>
      <c r="U87" s="101">
        <v>-33993</v>
      </c>
      <c r="V87" s="101">
        <v>47996</v>
      </c>
      <c r="W87" s="101">
        <v>68892</v>
      </c>
      <c r="X87" s="101">
        <v>59707</v>
      </c>
      <c r="Y87" s="101">
        <v>9185</v>
      </c>
      <c r="Z87" s="101">
        <v>6631</v>
      </c>
      <c r="AA87" s="101">
        <v>3738376.1164801633</v>
      </c>
      <c r="AB87" s="101">
        <v>43362</v>
      </c>
      <c r="AC87" s="101">
        <v>35887.216999999997</v>
      </c>
      <c r="AD87" s="101">
        <v>20199</v>
      </c>
      <c r="AE87" t="s">
        <v>358</v>
      </c>
      <c r="AF87" s="149">
        <v>5.4331417290832025E-2</v>
      </c>
      <c r="AG87" s="149">
        <v>-0.49342449050688031</v>
      </c>
      <c r="AH87" s="149">
        <f t="shared" si="6"/>
        <v>1.2280090576554607E-2</v>
      </c>
      <c r="AI87" s="149">
        <f t="shared" si="7"/>
        <v>-4.104975904313999E-2</v>
      </c>
      <c r="AJ87" s="149">
        <v>-0.46321604830749574</v>
      </c>
      <c r="AK87" s="149">
        <v>0.63086347309648283</v>
      </c>
      <c r="AL87" s="149">
        <v>0.13332462404923648</v>
      </c>
      <c r="AM87" s="149">
        <v>0.13468244357227271</v>
      </c>
      <c r="AN87" s="149">
        <v>6.5176874044805599E-2</v>
      </c>
      <c r="AO87">
        <f t="shared" si="8"/>
        <v>0</v>
      </c>
      <c r="AP87" s="149">
        <v>5.1446466933751378E-2</v>
      </c>
      <c r="AQ87" s="149">
        <v>5.4264299432157048E-2</v>
      </c>
      <c r="AR87" s="149">
        <v>0.62941996167914993</v>
      </c>
      <c r="AS87" s="208">
        <v>1776.6828555869101</v>
      </c>
      <c r="AT87" s="149">
        <f t="shared" si="9"/>
        <v>3.9699999999999999E-2</v>
      </c>
      <c r="AU87" s="149">
        <v>0.19850000000000001</v>
      </c>
      <c r="AV87">
        <v>9.5</v>
      </c>
    </row>
    <row r="88" spans="1:48" x14ac:dyDescent="0.25">
      <c r="A88" t="s">
        <v>402</v>
      </c>
      <c r="B88" s="101">
        <v>5291</v>
      </c>
      <c r="C88" s="101">
        <v>7319</v>
      </c>
      <c r="D88" s="101">
        <v>87489</v>
      </c>
      <c r="E88" s="101">
        <v>559</v>
      </c>
      <c r="F88" s="101">
        <v>2431</v>
      </c>
      <c r="G88" s="101">
        <v>5566</v>
      </c>
      <c r="H88" s="101">
        <v>26</v>
      </c>
      <c r="I88" s="101">
        <v>52</v>
      </c>
      <c r="J88" s="101">
        <v>0</v>
      </c>
      <c r="K88" s="101">
        <v>7734</v>
      </c>
      <c r="L88" s="101">
        <v>1770</v>
      </c>
      <c r="M88" s="101">
        <v>7369</v>
      </c>
      <c r="N88" s="101">
        <v>22859</v>
      </c>
      <c r="O88" s="101">
        <v>6380</v>
      </c>
      <c r="P88" s="101">
        <v>78392</v>
      </c>
      <c r="Q88" s="101">
        <v>5</v>
      </c>
      <c r="R88" s="101">
        <v>1000</v>
      </c>
      <c r="S88" s="101">
        <v>9334</v>
      </c>
      <c r="T88" s="101">
        <v>7636</v>
      </c>
      <c r="U88" s="101">
        <v>71471</v>
      </c>
      <c r="V88" s="101">
        <v>84055</v>
      </c>
      <c r="W88" s="101">
        <v>72997</v>
      </c>
      <c r="X88" s="101">
        <v>69980</v>
      </c>
      <c r="Y88" s="101">
        <v>3017</v>
      </c>
      <c r="Z88" s="101">
        <v>6084</v>
      </c>
      <c r="AA88" s="101">
        <v>2910737.9107142854</v>
      </c>
      <c r="AB88" s="101">
        <v>49563</v>
      </c>
      <c r="AC88" s="101">
        <v>43261.525000000001</v>
      </c>
      <c r="AD88" s="101">
        <v>26034</v>
      </c>
      <c r="AE88" t="s">
        <v>402</v>
      </c>
      <c r="AF88" s="149">
        <v>-4.7289614641697605E-2</v>
      </c>
      <c r="AG88" s="149">
        <v>0.91770894694302507</v>
      </c>
      <c r="AH88" s="149">
        <f t="shared" si="6"/>
        <v>0.10955244736085044</v>
      </c>
      <c r="AI88" s="149">
        <f t="shared" si="7"/>
        <v>7.123580421113196E-4</v>
      </c>
      <c r="AJ88" s="149">
        <v>0.93035658999684911</v>
      </c>
      <c r="AK88" s="149">
        <v>0.18198971386717194</v>
      </c>
      <c r="AL88" s="149">
        <v>4.1330465635574062E-2</v>
      </c>
      <c r="AM88" s="149">
        <v>2.5469779302389119E-2</v>
      </c>
      <c r="AN88" s="149">
        <v>-2.1505376344086023E-2</v>
      </c>
      <c r="AO88">
        <f t="shared" si="8"/>
        <v>1</v>
      </c>
      <c r="AP88" s="149">
        <v>5.4947463594394293E-2</v>
      </c>
      <c r="AQ88" s="149">
        <v>3.9971682377290381E-2</v>
      </c>
      <c r="AR88" s="149">
        <v>0.68062345509475419</v>
      </c>
      <c r="AS88" s="208">
        <v>1661.7317738342167</v>
      </c>
      <c r="AT88" s="149">
        <f t="shared" si="9"/>
        <v>4.3499999999999997E-2</v>
      </c>
      <c r="AU88" s="149">
        <v>0.21749999999999997</v>
      </c>
      <c r="AV88">
        <v>7</v>
      </c>
    </row>
    <row r="89" spans="1:48" x14ac:dyDescent="0.25">
      <c r="A89" t="s">
        <v>359</v>
      </c>
      <c r="B89" s="101">
        <v>227752</v>
      </c>
      <c r="C89" s="101">
        <v>129727</v>
      </c>
      <c r="D89" s="101">
        <v>524759</v>
      </c>
      <c r="E89" s="101">
        <v>8529</v>
      </c>
      <c r="F89" s="101">
        <v>4224</v>
      </c>
      <c r="G89" s="101">
        <v>8992</v>
      </c>
      <c r="H89" s="101">
        <v>0</v>
      </c>
      <c r="I89" s="101">
        <v>41213</v>
      </c>
      <c r="J89" s="101">
        <v>1359</v>
      </c>
      <c r="K89" s="101">
        <v>92143</v>
      </c>
      <c r="L89" s="101">
        <v>84673</v>
      </c>
      <c r="M89" s="101">
        <v>43964</v>
      </c>
      <c r="N89" s="101">
        <v>501376</v>
      </c>
      <c r="O89" s="101">
        <v>29708</v>
      </c>
      <c r="P89" s="101">
        <v>306852</v>
      </c>
      <c r="Q89" s="101">
        <v>172</v>
      </c>
      <c r="R89" s="101">
        <v>0</v>
      </c>
      <c r="S89" s="101">
        <v>66901</v>
      </c>
      <c r="T89" s="101">
        <v>262326</v>
      </c>
      <c r="U89" s="101">
        <v>402255</v>
      </c>
      <c r="V89" s="101">
        <v>665198</v>
      </c>
      <c r="W89" s="101">
        <v>1134672</v>
      </c>
      <c r="X89" s="101">
        <v>1107814</v>
      </c>
      <c r="Y89" s="101">
        <v>26858</v>
      </c>
      <c r="Z89" s="101">
        <v>75975</v>
      </c>
      <c r="AA89" s="101">
        <v>22221824</v>
      </c>
      <c r="AB89" s="101">
        <v>836428</v>
      </c>
      <c r="AC89" s="101">
        <v>621622.94906000001</v>
      </c>
      <c r="AD89" s="101">
        <v>246417</v>
      </c>
      <c r="AE89" t="s">
        <v>359</v>
      </c>
      <c r="AF89" s="149">
        <v>-3.8565329892691458E-2</v>
      </c>
      <c r="AG89" s="149">
        <v>0.35451214095350903</v>
      </c>
      <c r="AH89" s="149">
        <f t="shared" si="6"/>
        <v>1.1647418813542592E-2</v>
      </c>
      <c r="AI89" s="149">
        <f t="shared" si="7"/>
        <v>3.7519212600645828E-2</v>
      </c>
      <c r="AJ89" s="149">
        <v>0.32964638239068206</v>
      </c>
      <c r="AK89" s="149">
        <v>0.42950481224327208</v>
      </c>
      <c r="AL89" s="149">
        <v>2.3670276520439387E-2</v>
      </c>
      <c r="AM89" s="149">
        <v>4.7696252200859525E-2</v>
      </c>
      <c r="AN89" s="149">
        <v>3.908797900834296E-2</v>
      </c>
      <c r="AO89">
        <f t="shared" si="8"/>
        <v>0</v>
      </c>
      <c r="AP89" s="149">
        <v>4.7819986745068176E-2</v>
      </c>
      <c r="AQ89" s="149">
        <v>1.9586413327539569E-2</v>
      </c>
      <c r="AR89" s="149">
        <v>0.73723131488788973</v>
      </c>
      <c r="AS89" s="208">
        <v>2522.6463639278136</v>
      </c>
      <c r="AT89" s="149">
        <f t="shared" si="9"/>
        <v>5.0200000000000002E-2</v>
      </c>
      <c r="AU89" s="149">
        <v>0.251</v>
      </c>
      <c r="AV89">
        <v>10</v>
      </c>
    </row>
    <row r="90" spans="1:48" x14ac:dyDescent="0.25">
      <c r="A90" t="s">
        <v>178</v>
      </c>
      <c r="B90" s="101">
        <v>1705</v>
      </c>
      <c r="C90" s="101">
        <v>7427</v>
      </c>
      <c r="D90" s="101">
        <v>49770</v>
      </c>
      <c r="E90" s="101">
        <v>3354</v>
      </c>
      <c r="F90" s="101">
        <v>0</v>
      </c>
      <c r="G90" s="101">
        <v>4380</v>
      </c>
      <c r="H90" s="101">
        <v>0</v>
      </c>
      <c r="I90" s="101">
        <v>3867</v>
      </c>
      <c r="J90" s="101">
        <v>0</v>
      </c>
      <c r="K90" s="101">
        <v>17642</v>
      </c>
      <c r="L90" s="101">
        <v>409</v>
      </c>
      <c r="M90" s="101">
        <v>8128</v>
      </c>
      <c r="N90" s="101">
        <v>62831</v>
      </c>
      <c r="O90" s="101">
        <v>6652</v>
      </c>
      <c r="P90" s="101">
        <v>10269</v>
      </c>
      <c r="Q90" s="101">
        <v>0</v>
      </c>
      <c r="R90" s="101">
        <v>4000</v>
      </c>
      <c r="S90" s="101">
        <v>1893</v>
      </c>
      <c r="T90" s="101">
        <v>11039</v>
      </c>
      <c r="U90" s="101">
        <v>-3358</v>
      </c>
      <c r="V90" s="101">
        <v>58742</v>
      </c>
      <c r="W90" s="101">
        <v>83104</v>
      </c>
      <c r="X90" s="101">
        <v>76414</v>
      </c>
      <c r="Y90" s="101">
        <v>6690</v>
      </c>
      <c r="Z90" s="101">
        <v>1602</v>
      </c>
      <c r="AA90" s="101">
        <v>2708265.9046653155</v>
      </c>
      <c r="AB90" s="101">
        <v>58053</v>
      </c>
      <c r="AC90" s="101">
        <v>49256.601000000002</v>
      </c>
      <c r="AD90" s="101">
        <v>23906</v>
      </c>
      <c r="AE90" t="s">
        <v>178</v>
      </c>
      <c r="AF90" s="149">
        <v>5.9431555641124373E-2</v>
      </c>
      <c r="AG90" s="149">
        <v>-4.0407200616095491E-2</v>
      </c>
      <c r="AH90" s="149">
        <f t="shared" si="6"/>
        <v>5.2705044281863692E-2</v>
      </c>
      <c r="AI90" s="149">
        <f t="shared" si="7"/>
        <v>4.6532056218713903E-2</v>
      </c>
      <c r="AJ90" s="149">
        <v>-6.6655034655371578E-2</v>
      </c>
      <c r="AK90" s="149">
        <v>0.64985933556741549</v>
      </c>
      <c r="AL90" s="149">
        <v>8.0501540238736999E-2</v>
      </c>
      <c r="AM90" s="149">
        <v>9.9063405255842354E-2</v>
      </c>
      <c r="AN90" s="149">
        <v>2.638370646766169E-2</v>
      </c>
      <c r="AO90">
        <f t="shared" si="8"/>
        <v>0</v>
      </c>
      <c r="AP90" s="149">
        <v>4.8132460531382363E-4</v>
      </c>
      <c r="AQ90" s="149">
        <v>3.2588875441197963E-2</v>
      </c>
      <c r="AR90" s="149">
        <v>0.69855843280708507</v>
      </c>
      <c r="AS90" s="208">
        <v>2060.4283861792019</v>
      </c>
      <c r="AT90" s="149">
        <f t="shared" si="9"/>
        <v>4.3799999999999999E-2</v>
      </c>
      <c r="AU90" s="149">
        <v>0.219</v>
      </c>
      <c r="AV90">
        <v>9.5</v>
      </c>
    </row>
    <row r="91" spans="1:48" x14ac:dyDescent="0.25">
      <c r="A91" t="s">
        <v>108</v>
      </c>
      <c r="B91" s="101">
        <v>14135</v>
      </c>
      <c r="C91" s="101">
        <v>56355</v>
      </c>
      <c r="D91" s="101">
        <v>464298</v>
      </c>
      <c r="E91" s="101">
        <v>5895</v>
      </c>
      <c r="F91" s="101">
        <v>69684</v>
      </c>
      <c r="G91" s="101">
        <v>5053</v>
      </c>
      <c r="H91" s="101">
        <v>0</v>
      </c>
      <c r="I91" s="101">
        <v>27012</v>
      </c>
      <c r="J91" s="101">
        <v>25</v>
      </c>
      <c r="K91" s="101">
        <v>40443</v>
      </c>
      <c r="L91" s="101">
        <v>392</v>
      </c>
      <c r="M91" s="101">
        <v>20653</v>
      </c>
      <c r="N91" s="101">
        <v>137789</v>
      </c>
      <c r="O91" s="101">
        <v>17786</v>
      </c>
      <c r="P91" s="101">
        <v>425116</v>
      </c>
      <c r="Q91" s="101">
        <v>244</v>
      </c>
      <c r="R91" s="101">
        <v>21200</v>
      </c>
      <c r="S91" s="101">
        <v>25461</v>
      </c>
      <c r="T91" s="101">
        <v>76349</v>
      </c>
      <c r="U91" s="101">
        <v>412145</v>
      </c>
      <c r="V91" s="101">
        <v>484989</v>
      </c>
      <c r="W91" s="101">
        <v>520948</v>
      </c>
      <c r="X91" s="101">
        <v>497519</v>
      </c>
      <c r="Y91" s="101">
        <v>23429</v>
      </c>
      <c r="Z91" s="101">
        <v>19185</v>
      </c>
      <c r="AA91" s="101">
        <v>-1418834.8427315056</v>
      </c>
      <c r="AB91" s="101">
        <v>363418</v>
      </c>
      <c r="AC91" s="101">
        <v>287991.99400000001</v>
      </c>
      <c r="AD91" s="101">
        <v>109346</v>
      </c>
      <c r="AE91" t="s">
        <v>108</v>
      </c>
      <c r="AF91" s="149">
        <v>2.3939049578844723E-2</v>
      </c>
      <c r="AG91" s="149">
        <v>0.79114422168815313</v>
      </c>
      <c r="AH91" s="149">
        <f t="shared" si="6"/>
        <v>0.14346345508572833</v>
      </c>
      <c r="AI91" s="149">
        <f t="shared" si="7"/>
        <v>5.1899613781029967E-2</v>
      </c>
      <c r="AJ91" s="149">
        <v>0.77203010665171956</v>
      </c>
      <c r="AK91" s="149">
        <v>0.19573830341859094</v>
      </c>
      <c r="AL91" s="149">
        <v>4.4973778572909386E-2</v>
      </c>
      <c r="AM91" s="149">
        <v>0.10430626755019433</v>
      </c>
      <c r="AN91" s="149">
        <v>5.1804039085781739E-2</v>
      </c>
      <c r="AO91">
        <f t="shared" si="8"/>
        <v>0</v>
      </c>
      <c r="AP91" s="149">
        <v>2.3898258559395563E-2</v>
      </c>
      <c r="AQ91" s="149">
        <v>-2.7244418808930943E-3</v>
      </c>
      <c r="AR91" s="149">
        <v>0.69783401820346402</v>
      </c>
      <c r="AS91" s="208">
        <v>2633.767984196953</v>
      </c>
      <c r="AT91" s="149">
        <f t="shared" si="9"/>
        <v>3.78E-2</v>
      </c>
      <c r="AU91" s="149">
        <v>0.189</v>
      </c>
      <c r="AV91">
        <v>8.5</v>
      </c>
    </row>
    <row r="92" spans="1:48" x14ac:dyDescent="0.25">
      <c r="A92" t="s">
        <v>249</v>
      </c>
      <c r="B92" s="101">
        <v>439</v>
      </c>
      <c r="C92" s="101">
        <v>6086</v>
      </c>
      <c r="D92" s="101">
        <v>41600</v>
      </c>
      <c r="E92" s="101">
        <v>372</v>
      </c>
      <c r="F92" s="101">
        <v>0</v>
      </c>
      <c r="G92" s="101">
        <v>5971</v>
      </c>
      <c r="H92" s="101">
        <v>0</v>
      </c>
      <c r="I92" s="101">
        <v>4492</v>
      </c>
      <c r="J92" s="101">
        <v>71</v>
      </c>
      <c r="K92" s="101">
        <v>3314</v>
      </c>
      <c r="L92" s="101">
        <v>5468</v>
      </c>
      <c r="M92" s="101">
        <v>18426</v>
      </c>
      <c r="N92" s="101">
        <v>17828</v>
      </c>
      <c r="O92" s="101">
        <v>6070</v>
      </c>
      <c r="P92" s="101">
        <v>43017</v>
      </c>
      <c r="Q92" s="101">
        <v>24</v>
      </c>
      <c r="R92" s="101">
        <v>0</v>
      </c>
      <c r="S92" s="101">
        <v>6387</v>
      </c>
      <c r="T92" s="101">
        <v>12916</v>
      </c>
      <c r="U92" s="101">
        <v>29165</v>
      </c>
      <c r="V92" s="101">
        <v>44774</v>
      </c>
      <c r="W92" s="101">
        <v>77630</v>
      </c>
      <c r="X92" s="101">
        <v>75169</v>
      </c>
      <c r="Y92" s="101">
        <v>2461</v>
      </c>
      <c r="Z92" s="101">
        <v>102</v>
      </c>
      <c r="AA92" s="101">
        <v>312658.45285524614</v>
      </c>
      <c r="AB92" s="101">
        <v>56888</v>
      </c>
      <c r="AC92" s="101">
        <v>48083.463000000003</v>
      </c>
      <c r="AD92" s="101">
        <v>18895</v>
      </c>
      <c r="AE92" t="s">
        <v>249</v>
      </c>
      <c r="AF92" s="149">
        <v>4.6026020868221051E-2</v>
      </c>
      <c r="AG92" s="149">
        <v>0.37569238696380264</v>
      </c>
      <c r="AH92" s="149">
        <f t="shared" si="6"/>
        <v>7.6916140667267804E-2</v>
      </c>
      <c r="AI92" s="149">
        <f t="shared" si="7"/>
        <v>5.8778822620121088E-2</v>
      </c>
      <c r="AJ92" s="149">
        <v>0.34377714800978998</v>
      </c>
      <c r="AK92" s="149">
        <v>0.20672062336216693</v>
      </c>
      <c r="AL92" s="149">
        <v>3.1701661728713124E-2</v>
      </c>
      <c r="AM92" s="149">
        <v>4.4367032315446191E-2</v>
      </c>
      <c r="AN92" s="149">
        <v>-2.2883642495784149E-2</v>
      </c>
      <c r="AO92">
        <f t="shared" si="8"/>
        <v>1</v>
      </c>
      <c r="AP92" s="149">
        <v>1.0791575421872987E-2</v>
      </c>
      <c r="AQ92" s="149">
        <v>4.0310777552828208E-3</v>
      </c>
      <c r="AR92" s="149">
        <v>0.73345194811892422</v>
      </c>
      <c r="AS92" s="208">
        <v>2544.7717914792274</v>
      </c>
      <c r="AT92" s="149">
        <f t="shared" si="9"/>
        <v>5.1400000000000001E-2</v>
      </c>
      <c r="AU92" s="149">
        <v>0.25700000000000001</v>
      </c>
      <c r="AV92">
        <v>8.5</v>
      </c>
    </row>
    <row r="93" spans="1:48" x14ac:dyDescent="0.25">
      <c r="A93" t="s">
        <v>144</v>
      </c>
      <c r="B93" s="101">
        <v>4982</v>
      </c>
      <c r="C93" s="101">
        <v>60066</v>
      </c>
      <c r="D93" s="101">
        <v>352683</v>
      </c>
      <c r="E93" s="101">
        <v>1381</v>
      </c>
      <c r="F93" s="101">
        <v>398</v>
      </c>
      <c r="G93" s="101">
        <v>14322</v>
      </c>
      <c r="H93" s="101">
        <v>1608</v>
      </c>
      <c r="I93" s="101">
        <v>14512</v>
      </c>
      <c r="J93" s="101">
        <v>490</v>
      </c>
      <c r="K93" s="101">
        <v>11632</v>
      </c>
      <c r="L93" s="101">
        <v>216360</v>
      </c>
      <c r="M93" s="101">
        <v>48785</v>
      </c>
      <c r="N93" s="101">
        <v>242970</v>
      </c>
      <c r="O93" s="101">
        <v>49078</v>
      </c>
      <c r="P93" s="101">
        <v>235352</v>
      </c>
      <c r="Q93" s="101">
        <v>1084</v>
      </c>
      <c r="R93" s="101">
        <v>0</v>
      </c>
      <c r="S93" s="101">
        <v>67847</v>
      </c>
      <c r="T93" s="101">
        <v>130888</v>
      </c>
      <c r="U93" s="101">
        <v>142066</v>
      </c>
      <c r="V93" s="101">
        <v>463902</v>
      </c>
      <c r="W93" s="101">
        <v>858387</v>
      </c>
      <c r="X93" s="101">
        <v>836001</v>
      </c>
      <c r="Y93" s="101">
        <v>22386</v>
      </c>
      <c r="Z93" s="101">
        <v>-4237</v>
      </c>
      <c r="AA93" s="101">
        <v>-4316167.1653510034</v>
      </c>
      <c r="AB93" s="101">
        <v>623879</v>
      </c>
      <c r="AC93" s="101">
        <v>475721.26412000001</v>
      </c>
      <c r="AD93" s="101">
        <v>161738</v>
      </c>
      <c r="AE93" t="s">
        <v>144</v>
      </c>
      <c r="AF93" s="149">
        <v>3.43749381106657E-2</v>
      </c>
      <c r="AG93" s="149">
        <v>0.16550343842579163</v>
      </c>
      <c r="AH93" s="149">
        <f t="shared" si="6"/>
        <v>1.7148442369234389E-2</v>
      </c>
      <c r="AI93" s="149">
        <f t="shared" si="7"/>
        <v>1.7476965517884125E-2</v>
      </c>
      <c r="AJ93" s="149">
        <v>0.15532737564758087</v>
      </c>
      <c r="AK93" s="149">
        <v>0.33410843226043324</v>
      </c>
      <c r="AL93" s="149">
        <v>2.6079146119407679E-2</v>
      </c>
      <c r="AM93" s="149">
        <v>2.5795651523006245E-2</v>
      </c>
      <c r="AN93" s="149">
        <v>5.4296404270882122E-2</v>
      </c>
      <c r="AO93">
        <f t="shared" si="8"/>
        <v>0</v>
      </c>
      <c r="AP93" s="149">
        <v>-1.3447023312328821E-2</v>
      </c>
      <c r="AQ93" s="149">
        <v>-5.0282298838996899E-3</v>
      </c>
      <c r="AR93" s="149">
        <v>0.72680387750513464</v>
      </c>
      <c r="AS93" s="208">
        <v>2941.3079432168074</v>
      </c>
      <c r="AT93" s="149">
        <f t="shared" si="9"/>
        <v>4.8599999999999997E-2</v>
      </c>
      <c r="AU93" s="149">
        <v>0.24299999999999999</v>
      </c>
      <c r="AV93">
        <v>8</v>
      </c>
    </row>
    <row r="94" spans="1:48" x14ac:dyDescent="0.25">
      <c r="A94" t="s">
        <v>179</v>
      </c>
      <c r="B94" s="101">
        <v>513</v>
      </c>
      <c r="C94" s="101">
        <v>3724</v>
      </c>
      <c r="D94" s="101">
        <v>63818</v>
      </c>
      <c r="E94" s="101">
        <v>0</v>
      </c>
      <c r="F94" s="101">
        <v>0</v>
      </c>
      <c r="G94" s="101">
        <v>6790</v>
      </c>
      <c r="H94" s="101">
        <v>189</v>
      </c>
      <c r="I94" s="101">
        <v>-445</v>
      </c>
      <c r="J94" s="101">
        <v>0</v>
      </c>
      <c r="K94" s="101">
        <v>21726</v>
      </c>
      <c r="L94" s="101">
        <v>3</v>
      </c>
      <c r="M94" s="101">
        <v>13783</v>
      </c>
      <c r="N94" s="101">
        <v>81123</v>
      </c>
      <c r="O94" s="101">
        <v>11489</v>
      </c>
      <c r="P94" s="101">
        <v>0</v>
      </c>
      <c r="Q94" s="101">
        <v>0</v>
      </c>
      <c r="R94" s="101">
        <v>0</v>
      </c>
      <c r="S94" s="101">
        <v>4617</v>
      </c>
      <c r="T94" s="101">
        <v>12872</v>
      </c>
      <c r="U94" s="101">
        <v>-25002</v>
      </c>
      <c r="V94" s="101">
        <v>55803</v>
      </c>
      <c r="W94" s="101">
        <v>106044</v>
      </c>
      <c r="X94" s="101">
        <v>97743</v>
      </c>
      <c r="Y94" s="101">
        <v>8301</v>
      </c>
      <c r="Z94" s="101">
        <v>2447</v>
      </c>
      <c r="AA94" s="101">
        <v>6905316.2647058815</v>
      </c>
      <c r="AB94" s="101">
        <v>80324</v>
      </c>
      <c r="AC94" s="101">
        <v>61832.682000000001</v>
      </c>
      <c r="AD94" s="101">
        <v>33168</v>
      </c>
      <c r="AE94" t="s">
        <v>179</v>
      </c>
      <c r="AF94" s="149">
        <v>5.6363396326053333E-2</v>
      </c>
      <c r="AG94" s="149">
        <v>-0.23577005771189319</v>
      </c>
      <c r="AH94" s="149">
        <f t="shared" si="6"/>
        <v>6.4030025272528379E-2</v>
      </c>
      <c r="AI94" s="149">
        <f t="shared" si="7"/>
        <v>-4.1963713175662935E-3</v>
      </c>
      <c r="AJ94" s="149">
        <v>-0.22514899475689337</v>
      </c>
      <c r="AK94" s="149">
        <v>0.73680529695461439</v>
      </c>
      <c r="AL94" s="149">
        <v>7.8278827656444491E-2</v>
      </c>
      <c r="AM94" s="149">
        <v>4.9851274136010058E-2</v>
      </c>
      <c r="AN94" s="149">
        <v>8.2139456610792499E-2</v>
      </c>
      <c r="AO94">
        <f t="shared" si="8"/>
        <v>0</v>
      </c>
      <c r="AP94" s="149">
        <v>2.88842367319226E-2</v>
      </c>
      <c r="AQ94" s="149">
        <v>6.5273809100159577E-2</v>
      </c>
      <c r="AR94" s="149">
        <v>0.75927781453823617</v>
      </c>
      <c r="AS94" s="208">
        <v>1864.2270260492041</v>
      </c>
      <c r="AT94" s="149">
        <f t="shared" si="9"/>
        <v>4.3299999999999998E-2</v>
      </c>
      <c r="AU94" s="149">
        <v>0.2165</v>
      </c>
      <c r="AV94">
        <v>9.5</v>
      </c>
    </row>
    <row r="95" spans="1:48" x14ac:dyDescent="0.25">
      <c r="A95" t="s">
        <v>180</v>
      </c>
      <c r="B95" s="101">
        <v>0</v>
      </c>
      <c r="C95" s="101">
        <v>1113</v>
      </c>
      <c r="D95" s="101">
        <v>102047</v>
      </c>
      <c r="E95" s="101">
        <v>795</v>
      </c>
      <c r="F95" s="101">
        <v>0</v>
      </c>
      <c r="G95" s="101">
        <v>6744</v>
      </c>
      <c r="H95" s="101">
        <v>4003</v>
      </c>
      <c r="I95" s="101">
        <v>1351</v>
      </c>
      <c r="J95" s="101">
        <v>0</v>
      </c>
      <c r="K95" s="101">
        <v>43456</v>
      </c>
      <c r="L95" s="101">
        <v>407</v>
      </c>
      <c r="M95" s="101">
        <v>18</v>
      </c>
      <c r="N95" s="101">
        <v>65478</v>
      </c>
      <c r="O95" s="101">
        <v>15399</v>
      </c>
      <c r="P95" s="101">
        <v>64550</v>
      </c>
      <c r="Q95" s="101">
        <v>1</v>
      </c>
      <c r="R95" s="101">
        <v>0</v>
      </c>
      <c r="S95" s="101">
        <v>3119</v>
      </c>
      <c r="T95" s="101">
        <v>11389</v>
      </c>
      <c r="U95" s="101">
        <v>24431</v>
      </c>
      <c r="V95" s="101">
        <v>51388</v>
      </c>
      <c r="W95" s="101">
        <v>103540</v>
      </c>
      <c r="X95" s="101">
        <v>92601</v>
      </c>
      <c r="Y95" s="101">
        <v>10939</v>
      </c>
      <c r="Z95" s="101">
        <v>17692</v>
      </c>
      <c r="AA95" s="101">
        <v>103445.85065381974</v>
      </c>
      <c r="AB95" s="101">
        <v>70579</v>
      </c>
      <c r="AC95" s="101">
        <v>61883.957000000002</v>
      </c>
      <c r="AD95" s="101">
        <v>27856</v>
      </c>
      <c r="AE95" t="s">
        <v>180</v>
      </c>
      <c r="AF95" s="149">
        <v>-6.4042881977979527E-2</v>
      </c>
      <c r="AG95" s="149">
        <v>0.23595711802202046</v>
      </c>
      <c r="AH95" s="149">
        <f t="shared" si="6"/>
        <v>6.5134247633764727E-2</v>
      </c>
      <c r="AI95" s="149">
        <f t="shared" si="7"/>
        <v>1.3048097353679738E-2</v>
      </c>
      <c r="AJ95" s="149">
        <v>0.2346395595904964</v>
      </c>
      <c r="AK95" s="149">
        <v>0.40940126050420167</v>
      </c>
      <c r="AL95" s="149">
        <v>0.10564999034189686</v>
      </c>
      <c r="AM95" s="149">
        <v>8.1137594913983382E-2</v>
      </c>
      <c r="AN95" s="149">
        <v>3.5162317276021988E-2</v>
      </c>
      <c r="AO95">
        <f t="shared" si="8"/>
        <v>0</v>
      </c>
      <c r="AP95" s="149">
        <v>0.12500482905157428</v>
      </c>
      <c r="AQ95" s="149">
        <v>9.9909069590322329E-4</v>
      </c>
      <c r="AR95" s="149">
        <v>0.68165926212091943</v>
      </c>
      <c r="AS95" s="208">
        <v>2221.5665206777712</v>
      </c>
      <c r="AT95" s="149">
        <f t="shared" si="9"/>
        <v>3.6600000000000001E-2</v>
      </c>
      <c r="AU95" s="149">
        <v>0.183</v>
      </c>
      <c r="AV95">
        <v>8</v>
      </c>
    </row>
    <row r="96" spans="1:48" x14ac:dyDescent="0.25">
      <c r="A96" t="s">
        <v>360</v>
      </c>
      <c r="B96" s="101">
        <v>0</v>
      </c>
      <c r="C96" s="101">
        <v>25852</v>
      </c>
      <c r="D96" s="101">
        <v>134982</v>
      </c>
      <c r="E96" s="101">
        <v>202</v>
      </c>
      <c r="F96" s="101">
        <v>0</v>
      </c>
      <c r="G96" s="101">
        <v>1285</v>
      </c>
      <c r="H96" s="101">
        <v>816</v>
      </c>
      <c r="I96" s="101">
        <v>17183</v>
      </c>
      <c r="J96" s="101">
        <v>0</v>
      </c>
      <c r="K96" s="101">
        <v>12096</v>
      </c>
      <c r="L96" s="101">
        <v>3486</v>
      </c>
      <c r="M96" s="101">
        <v>4380</v>
      </c>
      <c r="N96" s="101">
        <v>56054</v>
      </c>
      <c r="O96" s="101">
        <v>39673</v>
      </c>
      <c r="P96" s="101">
        <v>83000</v>
      </c>
      <c r="Q96" s="101">
        <v>633</v>
      </c>
      <c r="R96" s="101">
        <v>0</v>
      </c>
      <c r="S96" s="101">
        <v>6390</v>
      </c>
      <c r="T96" s="101">
        <v>14530</v>
      </c>
      <c r="U96" s="101">
        <v>82490</v>
      </c>
      <c r="V96" s="101">
        <v>124917</v>
      </c>
      <c r="W96" s="101">
        <v>148469</v>
      </c>
      <c r="X96" s="101">
        <v>145531</v>
      </c>
      <c r="Y96" s="101">
        <v>2938</v>
      </c>
      <c r="Z96" s="101">
        <v>18342</v>
      </c>
      <c r="AA96" s="101">
        <v>6341546.6070190649</v>
      </c>
      <c r="AB96" s="101">
        <v>109200</v>
      </c>
      <c r="AC96" s="101">
        <v>91523.910999999993</v>
      </c>
      <c r="AD96" s="101">
        <v>45237</v>
      </c>
      <c r="AE96" t="s">
        <v>360</v>
      </c>
      <c r="AF96" s="149">
        <v>-9.6363550640200982E-2</v>
      </c>
      <c r="AG96" s="149">
        <v>0.5556042002034095</v>
      </c>
      <c r="AH96" s="149">
        <f t="shared" si="6"/>
        <v>8.6550054220072871E-3</v>
      </c>
      <c r="AI96" s="149">
        <f t="shared" si="7"/>
        <v>0.11573459779482585</v>
      </c>
      <c r="AJ96" s="149">
        <v>0.47562858239767231</v>
      </c>
      <c r="AK96" s="149">
        <v>0.27987817056121428</v>
      </c>
      <c r="AL96" s="149">
        <v>1.9788642746970748E-2</v>
      </c>
      <c r="AM96" s="149">
        <v>5.4858115269215267E-2</v>
      </c>
      <c r="AN96" s="149">
        <v>4.3267670915411359E-2</v>
      </c>
      <c r="AO96">
        <f t="shared" si="8"/>
        <v>0</v>
      </c>
      <c r="AP96" s="149">
        <v>6.0478955202769601E-2</v>
      </c>
      <c r="AQ96" s="149">
        <v>4.2712934060437295E-2</v>
      </c>
      <c r="AR96" s="149">
        <v>0.73550707555112516</v>
      </c>
      <c r="AS96" s="208">
        <v>2023.2091208523996</v>
      </c>
      <c r="AT96" s="149">
        <f t="shared" si="9"/>
        <v>5.04E-2</v>
      </c>
      <c r="AU96" s="149">
        <v>0.252</v>
      </c>
      <c r="AV96">
        <v>8.5</v>
      </c>
    </row>
    <row r="97" spans="1:48" x14ac:dyDescent="0.25">
      <c r="A97" t="s">
        <v>361</v>
      </c>
      <c r="B97" s="101">
        <v>0</v>
      </c>
      <c r="C97" s="101">
        <v>3755</v>
      </c>
      <c r="D97" s="101">
        <v>45938</v>
      </c>
      <c r="E97" s="101">
        <v>401</v>
      </c>
      <c r="F97" s="101">
        <v>0</v>
      </c>
      <c r="G97" s="101">
        <v>2987</v>
      </c>
      <c r="H97" s="101">
        <v>3477</v>
      </c>
      <c r="I97" s="101">
        <v>3035</v>
      </c>
      <c r="J97" s="101">
        <v>574</v>
      </c>
      <c r="K97" s="101">
        <v>2681</v>
      </c>
      <c r="L97" s="101">
        <v>148</v>
      </c>
      <c r="M97" s="101">
        <v>12963</v>
      </c>
      <c r="N97" s="101">
        <v>22582</v>
      </c>
      <c r="O97" s="101">
        <v>11833</v>
      </c>
      <c r="P97" s="101">
        <v>29124</v>
      </c>
      <c r="Q97" s="101">
        <v>70</v>
      </c>
      <c r="R97" s="101">
        <v>0</v>
      </c>
      <c r="S97" s="101">
        <v>2841</v>
      </c>
      <c r="T97" s="101">
        <v>9510</v>
      </c>
      <c r="U97" s="101">
        <v>19289</v>
      </c>
      <c r="V97" s="101">
        <v>43931</v>
      </c>
      <c r="W97" s="101">
        <v>74567</v>
      </c>
      <c r="X97" s="101">
        <v>69867</v>
      </c>
      <c r="Y97" s="101">
        <v>4700</v>
      </c>
      <c r="Z97" s="101">
        <v>-476</v>
      </c>
      <c r="AA97" s="101">
        <v>850199.86650485266</v>
      </c>
      <c r="AB97" s="101">
        <v>53838</v>
      </c>
      <c r="AC97" s="101">
        <v>44706.644999999997</v>
      </c>
      <c r="AD97" s="101">
        <v>22060</v>
      </c>
      <c r="AE97" t="s">
        <v>361</v>
      </c>
      <c r="AF97" s="149">
        <v>8.4487776093982586E-2</v>
      </c>
      <c r="AG97" s="149">
        <v>0.25868011318679845</v>
      </c>
      <c r="AH97" s="149">
        <f t="shared" si="6"/>
        <v>4.0057934475035875E-2</v>
      </c>
      <c r="AI97" s="149">
        <f t="shared" si="7"/>
        <v>4.8399426019552882E-2</v>
      </c>
      <c r="AJ97" s="149">
        <v>0.22960746711011573</v>
      </c>
      <c r="AK97" s="149">
        <v>0.29728804634017902</v>
      </c>
      <c r="AL97" s="149">
        <v>6.3030563117733043E-2</v>
      </c>
      <c r="AM97" s="149">
        <v>6.1664160534404981E-2</v>
      </c>
      <c r="AN97" s="149">
        <v>8.2987551867219917E-3</v>
      </c>
      <c r="AO97">
        <f t="shared" si="8"/>
        <v>0</v>
      </c>
      <c r="AP97" s="149">
        <v>1.9318197057679672E-2</v>
      </c>
      <c r="AQ97" s="149">
        <v>1.1401824754983473E-2</v>
      </c>
      <c r="AR97" s="149">
        <v>0.72200839513457693</v>
      </c>
      <c r="AS97" s="208">
        <v>2026.5931550317316</v>
      </c>
      <c r="AT97" s="149">
        <f t="shared" si="9"/>
        <v>4.5699999999999998E-2</v>
      </c>
      <c r="AU97" s="149">
        <v>0.22849999999999998</v>
      </c>
      <c r="AV97">
        <v>9.5</v>
      </c>
    </row>
    <row r="98" spans="1:48" x14ac:dyDescent="0.25">
      <c r="A98" t="s">
        <v>362</v>
      </c>
      <c r="B98" s="101">
        <v>11440</v>
      </c>
      <c r="C98" s="101">
        <v>7919</v>
      </c>
      <c r="D98" s="101">
        <v>103974</v>
      </c>
      <c r="E98" s="101">
        <v>170</v>
      </c>
      <c r="F98" s="101">
        <v>0</v>
      </c>
      <c r="G98" s="101">
        <v>9168</v>
      </c>
      <c r="H98" s="101">
        <v>-107</v>
      </c>
      <c r="I98" s="101">
        <v>19573</v>
      </c>
      <c r="J98" s="101">
        <v>0</v>
      </c>
      <c r="K98" s="101">
        <v>15792</v>
      </c>
      <c r="L98" s="101">
        <v>-3465</v>
      </c>
      <c r="M98" s="101">
        <v>8584</v>
      </c>
      <c r="N98" s="101">
        <v>47773</v>
      </c>
      <c r="O98" s="101">
        <v>16520</v>
      </c>
      <c r="P98" s="101">
        <v>72431</v>
      </c>
      <c r="Q98" s="101">
        <v>166</v>
      </c>
      <c r="R98" s="101">
        <v>8500</v>
      </c>
      <c r="S98" s="101">
        <v>8531</v>
      </c>
      <c r="T98" s="101">
        <v>19127</v>
      </c>
      <c r="U98" s="101">
        <v>78783</v>
      </c>
      <c r="V98" s="101">
        <v>93961</v>
      </c>
      <c r="W98" s="101">
        <v>116500</v>
      </c>
      <c r="X98" s="101">
        <v>115996</v>
      </c>
      <c r="Y98" s="101">
        <v>504</v>
      </c>
      <c r="Z98" s="101">
        <v>2202</v>
      </c>
      <c r="AA98" s="101">
        <v>7677612.1617055517</v>
      </c>
      <c r="AB98" s="101">
        <v>90605</v>
      </c>
      <c r="AC98" s="101">
        <v>77818.820999999996</v>
      </c>
      <c r="AD98" s="101">
        <v>40733</v>
      </c>
      <c r="AE98" t="s">
        <v>362</v>
      </c>
      <c r="AF98" s="149">
        <v>-3.5450643776824033E-2</v>
      </c>
      <c r="AG98" s="149">
        <v>0.5863175965665236</v>
      </c>
      <c r="AH98" s="149">
        <f t="shared" ref="AH98:AH129" si="10">SUM(F98,G98)/W98</f>
        <v>7.869527896995708E-2</v>
      </c>
      <c r="AI98" s="149">
        <f t="shared" ref="AI98:AI129" si="11">SUM(I98,J98)/W98</f>
        <v>0.16800858369098712</v>
      </c>
      <c r="AJ98" s="149">
        <v>0.4781550214592275</v>
      </c>
      <c r="AK98" s="149">
        <v>0.27606791179325968</v>
      </c>
      <c r="AL98" s="149">
        <v>4.3261802575107295E-3</v>
      </c>
      <c r="AM98" s="149">
        <v>2.536739132348927E-2</v>
      </c>
      <c r="AN98" s="149">
        <v>1.3301375697009914E-2</v>
      </c>
      <c r="AO98">
        <f t="shared" si="8"/>
        <v>0</v>
      </c>
      <c r="AP98" s="149">
        <v>6.3030042918454932E-2</v>
      </c>
      <c r="AQ98" s="149">
        <v>6.6076943005590333E-2</v>
      </c>
      <c r="AR98" s="149">
        <v>0.7797869044340402</v>
      </c>
      <c r="AS98" s="208">
        <v>1910.4613212874083</v>
      </c>
      <c r="AT98" s="149">
        <f t="shared" si="9"/>
        <v>5.04E-2</v>
      </c>
      <c r="AU98" s="149">
        <v>0.252</v>
      </c>
      <c r="AV98">
        <v>9</v>
      </c>
    </row>
    <row r="99" spans="1:48" x14ac:dyDescent="0.25">
      <c r="A99" t="s">
        <v>363</v>
      </c>
      <c r="B99" s="101">
        <v>3087</v>
      </c>
      <c r="C99" s="101">
        <v>14906</v>
      </c>
      <c r="D99" s="101">
        <v>71144</v>
      </c>
      <c r="E99" s="101">
        <v>106</v>
      </c>
      <c r="F99" s="101">
        <v>11008</v>
      </c>
      <c r="G99" s="101">
        <v>9280</v>
      </c>
      <c r="H99" s="101">
        <v>-681</v>
      </c>
      <c r="I99" s="101">
        <v>17259</v>
      </c>
      <c r="J99" s="101">
        <v>2</v>
      </c>
      <c r="K99" s="101">
        <v>19110</v>
      </c>
      <c r="L99" s="101">
        <v>6123</v>
      </c>
      <c r="M99" s="101">
        <v>226</v>
      </c>
      <c r="N99" s="101">
        <v>39877</v>
      </c>
      <c r="O99" s="101">
        <v>28215</v>
      </c>
      <c r="P99" s="101">
        <v>77292</v>
      </c>
      <c r="Q99" s="101">
        <v>109</v>
      </c>
      <c r="R99" s="101">
        <v>-3302</v>
      </c>
      <c r="S99" s="101">
        <v>11715</v>
      </c>
      <c r="T99" s="101">
        <v>-2335</v>
      </c>
      <c r="U99" s="101">
        <v>38413</v>
      </c>
      <c r="V99" s="101">
        <v>81439</v>
      </c>
      <c r="W99" s="101">
        <v>101192</v>
      </c>
      <c r="X99" s="101">
        <v>92661</v>
      </c>
      <c r="Y99" s="101">
        <v>8531</v>
      </c>
      <c r="Z99" s="101">
        <v>1437</v>
      </c>
      <c r="AA99" s="101">
        <v>1118150.0352852847</v>
      </c>
      <c r="AB99" s="101">
        <v>68420</v>
      </c>
      <c r="AC99" s="101">
        <v>60406.957999999999</v>
      </c>
      <c r="AD99" s="101">
        <v>31435</v>
      </c>
      <c r="AE99" t="s">
        <v>363</v>
      </c>
      <c r="AF99" s="149">
        <v>6.5874772709305085E-2</v>
      </c>
      <c r="AG99" s="149">
        <v>0.37688750098822044</v>
      </c>
      <c r="AH99" s="149">
        <f t="shared" si="10"/>
        <v>0.20049015732468969</v>
      </c>
      <c r="AI99" s="149">
        <f t="shared" si="11"/>
        <v>0.17057672543284055</v>
      </c>
      <c r="AJ99" s="149">
        <v>0.28154261206419484</v>
      </c>
      <c r="AK99" s="149">
        <v>0.26309122457462181</v>
      </c>
      <c r="AL99" s="149">
        <v>8.4305083405802825E-2</v>
      </c>
      <c r="AM99" s="149">
        <v>9.5960137684904384E-2</v>
      </c>
      <c r="AN99" s="149">
        <v>6.9747677182988591E-2</v>
      </c>
      <c r="AO99">
        <f t="shared" si="8"/>
        <v>0</v>
      </c>
      <c r="AP99" s="149">
        <v>1.901830184204285E-2</v>
      </c>
      <c r="AQ99" s="149">
        <v>1.1049786893087247E-2</v>
      </c>
      <c r="AR99" s="149">
        <v>0.67614040635623374</v>
      </c>
      <c r="AS99" s="208">
        <v>1921.6465086686815</v>
      </c>
      <c r="AT99" s="149">
        <f t="shared" si="9"/>
        <v>3.0699999999999998E-2</v>
      </c>
      <c r="AU99" s="149">
        <v>0.1535</v>
      </c>
      <c r="AV99">
        <v>9.5</v>
      </c>
    </row>
    <row r="100" spans="1:48" x14ac:dyDescent="0.25">
      <c r="A100" t="s">
        <v>403</v>
      </c>
      <c r="B100" s="101">
        <v>61</v>
      </c>
      <c r="C100" s="101">
        <v>467</v>
      </c>
      <c r="D100" s="101">
        <v>51825</v>
      </c>
      <c r="E100" s="101">
        <v>132</v>
      </c>
      <c r="F100" s="101">
        <v>1020</v>
      </c>
      <c r="G100" s="101">
        <v>2</v>
      </c>
      <c r="H100" s="101">
        <v>502</v>
      </c>
      <c r="I100" s="101">
        <v>1537</v>
      </c>
      <c r="J100" s="101">
        <v>0</v>
      </c>
      <c r="K100" s="101">
        <v>27573</v>
      </c>
      <c r="L100" s="101">
        <v>256</v>
      </c>
      <c r="M100" s="101">
        <v>6824</v>
      </c>
      <c r="N100" s="101">
        <v>40024</v>
      </c>
      <c r="O100" s="101">
        <v>8745</v>
      </c>
      <c r="P100" s="101">
        <v>30751</v>
      </c>
      <c r="Q100" s="101">
        <v>14</v>
      </c>
      <c r="R100" s="101">
        <v>0</v>
      </c>
      <c r="S100" s="101">
        <v>1727</v>
      </c>
      <c r="T100" s="101">
        <v>8937</v>
      </c>
      <c r="U100" s="101">
        <v>5252</v>
      </c>
      <c r="V100" s="101">
        <v>36295</v>
      </c>
      <c r="W100" s="101">
        <v>78968</v>
      </c>
      <c r="X100" s="101">
        <v>66437</v>
      </c>
      <c r="Y100" s="101">
        <v>12531</v>
      </c>
      <c r="Z100" s="101">
        <v>875</v>
      </c>
      <c r="AA100" s="101">
        <v>2091377.9741935479</v>
      </c>
      <c r="AB100" s="101">
        <v>59051</v>
      </c>
      <c r="AC100" s="101">
        <v>31809.707000000002</v>
      </c>
      <c r="AD100" s="101">
        <v>17789</v>
      </c>
      <c r="AE100" t="s">
        <v>403</v>
      </c>
      <c r="AF100" s="149">
        <v>0.11183010839833857</v>
      </c>
      <c r="AG100" s="149">
        <v>6.6507952588390234E-2</v>
      </c>
      <c r="AH100" s="149">
        <f t="shared" si="10"/>
        <v>1.2941951170094215E-2</v>
      </c>
      <c r="AI100" s="149">
        <f t="shared" si="11"/>
        <v>1.9463580184378482E-2</v>
      </c>
      <c r="AJ100" s="149">
        <v>5.4436480599736603E-2</v>
      </c>
      <c r="AK100" s="149">
        <v>0.44373489434355529</v>
      </c>
      <c r="AL100" s="149">
        <v>0.15868453044271097</v>
      </c>
      <c r="AM100" s="149">
        <v>0.13315972474795235</v>
      </c>
      <c r="AN100" s="149">
        <v>-1.4199830339689447E-3</v>
      </c>
      <c r="AO100">
        <f t="shared" si="8"/>
        <v>1</v>
      </c>
      <c r="AP100" s="149">
        <v>5.0837047918144057E-2</v>
      </c>
      <c r="AQ100" s="149">
        <v>2.6560553393364845E-2</v>
      </c>
      <c r="AR100" s="149">
        <v>0.74994919989839981</v>
      </c>
      <c r="AS100" s="208">
        <v>1788.1672381808985</v>
      </c>
      <c r="AT100" s="149">
        <f t="shared" si="9"/>
        <v>1.84E-2</v>
      </c>
      <c r="AU100" s="149">
        <v>9.1999999999999998E-2</v>
      </c>
      <c r="AV100">
        <v>8.5</v>
      </c>
    </row>
    <row r="101" spans="1:48" x14ac:dyDescent="0.25">
      <c r="A101" t="s">
        <v>364</v>
      </c>
      <c r="B101" s="101">
        <v>1782</v>
      </c>
      <c r="C101" s="101">
        <v>7577</v>
      </c>
      <c r="D101" s="101">
        <v>47116</v>
      </c>
      <c r="E101" s="101">
        <v>355</v>
      </c>
      <c r="F101" s="101">
        <v>75</v>
      </c>
      <c r="G101" s="101">
        <v>1525</v>
      </c>
      <c r="H101" s="101">
        <v>4695</v>
      </c>
      <c r="I101" s="101">
        <v>9709</v>
      </c>
      <c r="J101" s="101">
        <v>0</v>
      </c>
      <c r="K101" s="101">
        <v>11932</v>
      </c>
      <c r="L101" s="101">
        <v>7734</v>
      </c>
      <c r="M101" s="101">
        <v>6271</v>
      </c>
      <c r="N101" s="101">
        <v>29397</v>
      </c>
      <c r="O101" s="101">
        <v>11827</v>
      </c>
      <c r="P101" s="101">
        <v>38823</v>
      </c>
      <c r="Q101" s="101">
        <v>348</v>
      </c>
      <c r="R101" s="101">
        <v>0</v>
      </c>
      <c r="S101" s="101">
        <v>9304</v>
      </c>
      <c r="T101" s="101">
        <v>9072</v>
      </c>
      <c r="U101" s="101">
        <v>25315</v>
      </c>
      <c r="V101" s="101">
        <v>50555</v>
      </c>
      <c r="W101" s="101">
        <v>78741</v>
      </c>
      <c r="X101" s="101">
        <v>80092</v>
      </c>
      <c r="Y101" s="101">
        <v>-1351</v>
      </c>
      <c r="Z101" s="101">
        <v>3077</v>
      </c>
      <c r="AA101" s="101">
        <v>466495.32809870876</v>
      </c>
      <c r="AB101" s="101">
        <v>59234</v>
      </c>
      <c r="AC101" s="101">
        <v>57414.570999999996</v>
      </c>
      <c r="AD101" s="101">
        <v>27343</v>
      </c>
      <c r="AE101" t="s">
        <v>364</v>
      </c>
      <c r="AF101" s="149">
        <v>-8.1202931128636927E-2</v>
      </c>
      <c r="AG101" s="149">
        <v>0.32149705998145822</v>
      </c>
      <c r="AH101" s="149">
        <f t="shared" si="10"/>
        <v>2.0319782578326413E-2</v>
      </c>
      <c r="AI101" s="149">
        <f t="shared" si="11"/>
        <v>0.12330298065810696</v>
      </c>
      <c r="AJ101" s="149">
        <v>0.23762334743018251</v>
      </c>
      <c r="AK101" s="149">
        <v>0.29762784623016875</v>
      </c>
      <c r="AL101" s="149">
        <v>-1.7157516414574366E-2</v>
      </c>
      <c r="AM101" s="149">
        <v>6.8738785926825738E-2</v>
      </c>
      <c r="AN101" s="149">
        <v>4.3204320432043204E-2</v>
      </c>
      <c r="AO101">
        <f t="shared" si="8"/>
        <v>1</v>
      </c>
      <c r="AP101" s="149">
        <v>1.879579888495193E-2</v>
      </c>
      <c r="AQ101" s="149">
        <v>5.9442058142778163E-3</v>
      </c>
      <c r="AR101" s="149">
        <v>0.75477516278240042</v>
      </c>
      <c r="AS101" s="208">
        <v>2099.7904765387852</v>
      </c>
      <c r="AT101" s="149">
        <f t="shared" si="9"/>
        <v>5.4600000000000003E-2</v>
      </c>
      <c r="AU101" s="149">
        <v>0.27300000000000002</v>
      </c>
      <c r="AV101">
        <v>7</v>
      </c>
    </row>
    <row r="102" spans="1:48" x14ac:dyDescent="0.25">
      <c r="A102" t="s">
        <v>290</v>
      </c>
      <c r="B102" s="101">
        <v>1233</v>
      </c>
      <c r="C102" s="101">
        <v>28750</v>
      </c>
      <c r="D102" s="101">
        <v>124178</v>
      </c>
      <c r="E102" s="101">
        <v>7883</v>
      </c>
      <c r="F102" s="101">
        <v>1041</v>
      </c>
      <c r="G102" s="101">
        <v>14397</v>
      </c>
      <c r="H102" s="101">
        <v>0</v>
      </c>
      <c r="I102" s="101">
        <v>222</v>
      </c>
      <c r="J102" s="101">
        <v>0</v>
      </c>
      <c r="K102" s="101">
        <v>7377</v>
      </c>
      <c r="L102" s="101">
        <v>28929</v>
      </c>
      <c r="M102" s="101">
        <v>15417</v>
      </c>
      <c r="N102" s="101">
        <v>132226</v>
      </c>
      <c r="O102" s="101">
        <v>34561</v>
      </c>
      <c r="P102" s="101">
        <v>31774</v>
      </c>
      <c r="Q102" s="101">
        <v>0</v>
      </c>
      <c r="R102" s="101">
        <v>0</v>
      </c>
      <c r="S102" s="101">
        <v>5682</v>
      </c>
      <c r="T102" s="101">
        <v>25184</v>
      </c>
      <c r="U102" s="101">
        <v>-4521</v>
      </c>
      <c r="V102" s="101">
        <v>133231</v>
      </c>
      <c r="W102" s="101">
        <v>177523</v>
      </c>
      <c r="X102" s="101">
        <v>161435</v>
      </c>
      <c r="Y102" s="101">
        <v>16088</v>
      </c>
      <c r="Z102" s="101">
        <v>3888</v>
      </c>
      <c r="AA102" s="101">
        <v>8163424.5074626841</v>
      </c>
      <c r="AB102" s="101">
        <v>125213</v>
      </c>
      <c r="AC102" s="101">
        <v>95305.089000000007</v>
      </c>
      <c r="AD102" s="101">
        <v>51867</v>
      </c>
      <c r="AE102" t="s">
        <v>290</v>
      </c>
      <c r="AF102" s="149">
        <v>3.4688462903398436E-2</v>
      </c>
      <c r="AG102" s="149">
        <v>-2.5467122570033179E-2</v>
      </c>
      <c r="AH102" s="149">
        <f t="shared" si="10"/>
        <v>8.6963379393092732E-2</v>
      </c>
      <c r="AI102" s="149">
        <f t="shared" si="11"/>
        <v>1.2505421832663937E-3</v>
      </c>
      <c r="AJ102" s="149">
        <v>-1.5906896571148528E-2</v>
      </c>
      <c r="AK102" s="149">
        <v>0.57633146926909218</v>
      </c>
      <c r="AL102" s="149">
        <v>9.0624876776530361E-2</v>
      </c>
      <c r="AM102" s="149">
        <v>0.13449277502892451</v>
      </c>
      <c r="AN102" s="149">
        <v>1.8924148060274825E-2</v>
      </c>
      <c r="AO102">
        <f t="shared" si="8"/>
        <v>0</v>
      </c>
      <c r="AP102" s="149">
        <v>2.9475053936672994E-2</v>
      </c>
      <c r="AQ102" s="149">
        <v>4.5997343344805403E-2</v>
      </c>
      <c r="AR102" s="149">
        <v>0.70552074646712792</v>
      </c>
      <c r="AS102" s="208">
        <v>1837.4899068772052</v>
      </c>
      <c r="AT102" s="149">
        <f t="shared" si="9"/>
        <v>3.39E-2</v>
      </c>
      <c r="AU102" s="149">
        <v>0.16949999999999998</v>
      </c>
      <c r="AV102">
        <v>10</v>
      </c>
    </row>
    <row r="103" spans="1:48" x14ac:dyDescent="0.25">
      <c r="A103" t="s">
        <v>329</v>
      </c>
      <c r="B103" s="101">
        <v>1519</v>
      </c>
      <c r="C103" s="101">
        <v>84088</v>
      </c>
      <c r="D103" s="101">
        <v>132581</v>
      </c>
      <c r="E103" s="101">
        <v>17761</v>
      </c>
      <c r="F103" s="101">
        <v>476</v>
      </c>
      <c r="G103" s="101">
        <v>3428</v>
      </c>
      <c r="H103" s="101">
        <v>0</v>
      </c>
      <c r="I103" s="101">
        <v>6361</v>
      </c>
      <c r="J103" s="101">
        <v>0</v>
      </c>
      <c r="K103" s="101">
        <v>4314</v>
      </c>
      <c r="L103" s="101">
        <v>17532</v>
      </c>
      <c r="M103" s="101">
        <v>13433</v>
      </c>
      <c r="N103" s="101">
        <v>88320</v>
      </c>
      <c r="O103" s="101">
        <v>23677</v>
      </c>
      <c r="P103" s="101">
        <v>127582</v>
      </c>
      <c r="Q103" s="101">
        <v>0</v>
      </c>
      <c r="R103" s="101">
        <v>0</v>
      </c>
      <c r="S103" s="101">
        <v>7713</v>
      </c>
      <c r="T103" s="101">
        <v>34198</v>
      </c>
      <c r="U103" s="101">
        <v>130310</v>
      </c>
      <c r="V103" s="101">
        <v>178726</v>
      </c>
      <c r="W103" s="101">
        <v>185039</v>
      </c>
      <c r="X103" s="101">
        <v>176223</v>
      </c>
      <c r="Y103" s="101">
        <v>8816</v>
      </c>
      <c r="Z103" s="101">
        <v>15057</v>
      </c>
      <c r="AA103" s="101">
        <v>1609657.32411067</v>
      </c>
      <c r="AB103" s="101">
        <v>125758</v>
      </c>
      <c r="AC103" s="101">
        <v>97471.678</v>
      </c>
      <c r="AD103" s="101">
        <v>39682</v>
      </c>
      <c r="AE103" t="s">
        <v>329</v>
      </c>
      <c r="AF103" s="149">
        <v>-5.7771604904911934E-2</v>
      </c>
      <c r="AG103" s="149">
        <v>0.70422991909813604</v>
      </c>
      <c r="AH103" s="149">
        <f t="shared" si="10"/>
        <v>2.1098254962467373E-2</v>
      </c>
      <c r="AI103" s="149">
        <f t="shared" si="11"/>
        <v>3.4376536838180059E-2</v>
      </c>
      <c r="AJ103" s="149">
        <v>0.68269813390690615</v>
      </c>
      <c r="AK103" s="149">
        <v>0.3137589257167217</v>
      </c>
      <c r="AL103" s="149">
        <v>4.7644010181637386E-2</v>
      </c>
      <c r="AM103" s="149">
        <v>8.4931675077033003E-2</v>
      </c>
      <c r="AN103" s="149">
        <v>1.3501616251872487E-2</v>
      </c>
      <c r="AO103">
        <f t="shared" si="8"/>
        <v>0</v>
      </c>
      <c r="AP103" s="149">
        <v>5.3315787482638793E-2</v>
      </c>
      <c r="AQ103" s="149">
        <v>8.6990165538652388E-3</v>
      </c>
      <c r="AR103" s="149">
        <v>0.67962969968493125</v>
      </c>
      <c r="AS103" s="208">
        <v>2456.3196915478052</v>
      </c>
      <c r="AT103" s="149">
        <f t="shared" si="9"/>
        <v>3.9199999999999999E-2</v>
      </c>
      <c r="AU103" s="149">
        <v>0.19600000000000001</v>
      </c>
      <c r="AV103">
        <v>8.5</v>
      </c>
    </row>
    <row r="104" spans="1:48" x14ac:dyDescent="0.25">
      <c r="A104" t="s">
        <v>365</v>
      </c>
      <c r="B104" s="101">
        <v>0</v>
      </c>
      <c r="C104" s="101">
        <v>2058</v>
      </c>
      <c r="D104" s="101">
        <v>54478</v>
      </c>
      <c r="E104" s="101">
        <v>527</v>
      </c>
      <c r="F104" s="101">
        <v>0</v>
      </c>
      <c r="G104" s="101">
        <v>3357</v>
      </c>
      <c r="H104" s="101">
        <v>2</v>
      </c>
      <c r="I104" s="101">
        <v>1145</v>
      </c>
      <c r="J104" s="101">
        <v>0</v>
      </c>
      <c r="K104" s="101">
        <v>8137</v>
      </c>
      <c r="L104" s="101">
        <v>7869</v>
      </c>
      <c r="M104" s="101">
        <v>5538</v>
      </c>
      <c r="N104" s="101">
        <v>40383</v>
      </c>
      <c r="O104" s="101">
        <v>5226</v>
      </c>
      <c r="P104" s="101">
        <v>28419</v>
      </c>
      <c r="Q104" s="101">
        <v>0</v>
      </c>
      <c r="R104" s="101">
        <v>0</v>
      </c>
      <c r="S104" s="101">
        <v>3556</v>
      </c>
      <c r="T104" s="101">
        <v>5527</v>
      </c>
      <c r="U104" s="101">
        <v>12599</v>
      </c>
      <c r="V104" s="101">
        <v>62277</v>
      </c>
      <c r="W104" s="101">
        <v>81086</v>
      </c>
      <c r="X104" s="101">
        <v>69796</v>
      </c>
      <c r="Y104" s="101">
        <v>11290</v>
      </c>
      <c r="Z104" s="101">
        <v>493</v>
      </c>
      <c r="AA104" s="101">
        <v>1885664</v>
      </c>
      <c r="AB104" s="101">
        <v>58366</v>
      </c>
      <c r="AC104" s="101">
        <v>43411.139000000003</v>
      </c>
      <c r="AD104" s="101">
        <v>24327</v>
      </c>
      <c r="AE104" t="s">
        <v>365</v>
      </c>
      <c r="AF104" s="149">
        <v>0.1050612929482278</v>
      </c>
      <c r="AG104" s="149">
        <v>0.15537824038674988</v>
      </c>
      <c r="AH104" s="149">
        <f t="shared" si="10"/>
        <v>4.1400488370372197E-2</v>
      </c>
      <c r="AI104" s="149">
        <f t="shared" si="11"/>
        <v>1.4120810004193079E-2</v>
      </c>
      <c r="AJ104" s="149">
        <v>0.15046173198825938</v>
      </c>
      <c r="AK104" s="149">
        <v>0.48589236081866422</v>
      </c>
      <c r="AL104" s="149">
        <v>0.13923488641689072</v>
      </c>
      <c r="AM104" s="149">
        <v>0.10453740528928498</v>
      </c>
      <c r="AN104" s="149">
        <v>1.2758250388677854E-2</v>
      </c>
      <c r="AO104">
        <f t="shared" si="8"/>
        <v>0</v>
      </c>
      <c r="AP104" s="149">
        <v>-1.7700342845867349E-2</v>
      </c>
      <c r="AQ104" s="149">
        <v>2.3258553913708464E-2</v>
      </c>
      <c r="AR104" s="149">
        <v>0.7199102054912796</v>
      </c>
      <c r="AS104" s="208">
        <v>1784.4838656636659</v>
      </c>
      <c r="AT104" s="149">
        <f t="shared" si="9"/>
        <v>2.8400000000000002E-2</v>
      </c>
      <c r="AU104" s="149">
        <v>0.14200000000000002</v>
      </c>
      <c r="AV104">
        <v>9</v>
      </c>
    </row>
    <row r="105" spans="1:48" x14ac:dyDescent="0.25">
      <c r="A105" t="s">
        <v>486</v>
      </c>
      <c r="B105" s="101">
        <v>0</v>
      </c>
      <c r="C105" s="101">
        <v>6463</v>
      </c>
      <c r="D105" s="101">
        <v>184342</v>
      </c>
      <c r="E105" s="101">
        <v>252</v>
      </c>
      <c r="F105" s="101">
        <v>0</v>
      </c>
      <c r="G105" s="101">
        <v>48932</v>
      </c>
      <c r="H105" s="101">
        <v>0</v>
      </c>
      <c r="I105" s="101">
        <v>8290</v>
      </c>
      <c r="J105" s="101">
        <v>2</v>
      </c>
      <c r="K105" s="101">
        <v>20696</v>
      </c>
      <c r="L105" s="101">
        <v>-1021</v>
      </c>
      <c r="M105" s="101">
        <v>9093</v>
      </c>
      <c r="N105" s="101">
        <v>59248</v>
      </c>
      <c r="O105" s="101">
        <v>26609</v>
      </c>
      <c r="P105" s="101">
        <v>159949</v>
      </c>
      <c r="Q105" s="101">
        <v>316</v>
      </c>
      <c r="R105" s="101">
        <v>0</v>
      </c>
      <c r="S105" s="101">
        <v>9059</v>
      </c>
      <c r="T105" s="101">
        <v>21868</v>
      </c>
      <c r="U105" s="101">
        <v>113492</v>
      </c>
      <c r="V105" s="101">
        <v>164455</v>
      </c>
      <c r="W105" s="101">
        <v>190511</v>
      </c>
      <c r="X105" s="101">
        <v>185709</v>
      </c>
      <c r="Y105" s="101">
        <v>4802</v>
      </c>
      <c r="Z105" s="101">
        <v>1335</v>
      </c>
      <c r="AA105" s="101">
        <v>17031998.82572614</v>
      </c>
      <c r="AB105" s="101">
        <v>127987</v>
      </c>
      <c r="AC105" s="101">
        <v>110398.539</v>
      </c>
      <c r="AD105" s="101">
        <v>60370</v>
      </c>
      <c r="AE105" t="s">
        <v>486</v>
      </c>
      <c r="AF105" s="149">
        <v>2.4229572045708647E-2</v>
      </c>
      <c r="AG105" s="149">
        <v>0.59572413141498393</v>
      </c>
      <c r="AH105" s="149">
        <f t="shared" si="10"/>
        <v>0.25684606138228239</v>
      </c>
      <c r="AI105" s="149">
        <f t="shared" si="11"/>
        <v>4.3525045797880441E-2</v>
      </c>
      <c r="AJ105" s="149">
        <v>0.59607812672234151</v>
      </c>
      <c r="AK105" s="149">
        <v>0.21385386700547557</v>
      </c>
      <c r="AL105" s="149">
        <v>2.5205893622940408E-2</v>
      </c>
      <c r="AM105" s="149">
        <v>2.3979207339144677E-2</v>
      </c>
      <c r="AN105" s="149">
        <v>6.81348014681348E-3</v>
      </c>
      <c r="AO105">
        <f t="shared" si="8"/>
        <v>0</v>
      </c>
      <c r="AP105" s="149">
        <v>3.4578055860291529E-2</v>
      </c>
      <c r="AQ105" s="149">
        <v>8.9422777953682753E-2</v>
      </c>
      <c r="AR105" s="149">
        <v>0.67196770027196451</v>
      </c>
      <c r="AS105" s="208">
        <v>1828.6986748384959</v>
      </c>
      <c r="AT105" s="149">
        <f t="shared" si="9"/>
        <v>3.85E-2</v>
      </c>
      <c r="AU105" s="149">
        <v>0.1925</v>
      </c>
      <c r="AV105">
        <v>10</v>
      </c>
    </row>
    <row r="106" spans="1:48" x14ac:dyDescent="0.25">
      <c r="A106" t="s">
        <v>291</v>
      </c>
      <c r="B106" s="101">
        <v>114</v>
      </c>
      <c r="C106" s="101">
        <v>24424</v>
      </c>
      <c r="D106" s="101">
        <v>153980</v>
      </c>
      <c r="E106" s="101">
        <v>2389</v>
      </c>
      <c r="F106" s="101">
        <v>252</v>
      </c>
      <c r="G106" s="101">
        <v>750</v>
      </c>
      <c r="H106" s="101">
        <v>0</v>
      </c>
      <c r="I106" s="101">
        <v>69054</v>
      </c>
      <c r="J106" s="101">
        <v>0</v>
      </c>
      <c r="K106" s="101">
        <v>10195</v>
      </c>
      <c r="L106" s="101">
        <v>3867</v>
      </c>
      <c r="M106" s="101">
        <v>3976</v>
      </c>
      <c r="N106" s="101">
        <v>107593</v>
      </c>
      <c r="O106" s="101">
        <v>46949</v>
      </c>
      <c r="P106" s="101">
        <v>89090</v>
      </c>
      <c r="Q106" s="101">
        <v>0</v>
      </c>
      <c r="R106" s="101">
        <v>-1144</v>
      </c>
      <c r="S106" s="101">
        <v>4702</v>
      </c>
      <c r="T106" s="101">
        <v>21808</v>
      </c>
      <c r="U106" s="101">
        <v>95416</v>
      </c>
      <c r="V106" s="101">
        <v>161264</v>
      </c>
      <c r="W106" s="101">
        <v>169854</v>
      </c>
      <c r="X106" s="101">
        <v>169654</v>
      </c>
      <c r="Y106" s="101">
        <v>200</v>
      </c>
      <c r="Z106" s="101">
        <v>9291</v>
      </c>
      <c r="AA106" s="101">
        <v>2849403.5002536774</v>
      </c>
      <c r="AB106" s="101">
        <v>121762</v>
      </c>
      <c r="AC106" s="101">
        <v>103696.686</v>
      </c>
      <c r="AD106" s="101">
        <v>38671</v>
      </c>
      <c r="AE106" t="s">
        <v>291</v>
      </c>
      <c r="AF106" s="149">
        <v>-4.9148091890682588E-2</v>
      </c>
      <c r="AG106" s="149">
        <v>0.56175303495943574</v>
      </c>
      <c r="AH106" s="149">
        <f t="shared" si="10"/>
        <v>5.8991840050867219E-3</v>
      </c>
      <c r="AI106" s="149">
        <f t="shared" si="11"/>
        <v>0.40654915397929986</v>
      </c>
      <c r="AJ106" s="149">
        <v>0.27787652925453626</v>
      </c>
      <c r="AK106" s="149">
        <v>0.39997695150149815</v>
      </c>
      <c r="AL106" s="149">
        <v>1.1774818373426589E-3</v>
      </c>
      <c r="AM106" s="149">
        <v>7.6705130223153201E-3</v>
      </c>
      <c r="AN106" s="149">
        <v>5.609456314234159E-2</v>
      </c>
      <c r="AO106">
        <f t="shared" si="8"/>
        <v>0</v>
      </c>
      <c r="AP106" s="149">
        <v>2.5395339526887797E-2</v>
      </c>
      <c r="AQ106" s="149">
        <v>1.677560434404652E-2</v>
      </c>
      <c r="AR106" s="149">
        <v>0.71686271739258423</v>
      </c>
      <c r="AS106" s="208">
        <v>2681.5103307387967</v>
      </c>
      <c r="AT106" s="149">
        <f t="shared" si="9"/>
        <v>4.8500000000000001E-2</v>
      </c>
      <c r="AU106" s="149">
        <v>0.24249999999999999</v>
      </c>
      <c r="AV106">
        <v>9</v>
      </c>
    </row>
    <row r="107" spans="1:48" x14ac:dyDescent="0.25">
      <c r="A107" t="s">
        <v>292</v>
      </c>
      <c r="B107" s="101">
        <v>11806</v>
      </c>
      <c r="C107" s="101">
        <v>31572</v>
      </c>
      <c r="D107" s="101">
        <v>322340</v>
      </c>
      <c r="E107" s="101">
        <v>1941</v>
      </c>
      <c r="F107" s="101">
        <v>0</v>
      </c>
      <c r="G107" s="101">
        <v>1333</v>
      </c>
      <c r="H107" s="101">
        <v>18</v>
      </c>
      <c r="I107" s="101">
        <v>29742</v>
      </c>
      <c r="J107" s="101">
        <v>11</v>
      </c>
      <c r="K107" s="101">
        <v>39333</v>
      </c>
      <c r="L107" s="101">
        <v>3736</v>
      </c>
      <c r="M107" s="101">
        <v>10243</v>
      </c>
      <c r="N107" s="101">
        <v>113793</v>
      </c>
      <c r="O107" s="101">
        <v>29505</v>
      </c>
      <c r="P107" s="101">
        <v>234123</v>
      </c>
      <c r="Q107" s="101">
        <v>148</v>
      </c>
      <c r="R107" s="101">
        <v>10000</v>
      </c>
      <c r="S107" s="101">
        <v>23584</v>
      </c>
      <c r="T107" s="101">
        <v>40922</v>
      </c>
      <c r="U107" s="101">
        <v>254114</v>
      </c>
      <c r="V107" s="101">
        <v>355994</v>
      </c>
      <c r="W107" s="101">
        <v>372828</v>
      </c>
      <c r="X107" s="101">
        <v>367675</v>
      </c>
      <c r="Y107" s="101">
        <v>5153</v>
      </c>
      <c r="Z107" s="101">
        <v>-5029</v>
      </c>
      <c r="AA107" s="101">
        <v>4890515.4320189282</v>
      </c>
      <c r="AB107" s="101">
        <v>253546</v>
      </c>
      <c r="AC107" s="101">
        <v>184147.641</v>
      </c>
      <c r="AD107" s="101">
        <v>75758</v>
      </c>
      <c r="AE107" t="s">
        <v>292</v>
      </c>
      <c r="AF107" s="149">
        <v>-3.2105957707039168E-2</v>
      </c>
      <c r="AG107" s="149">
        <v>0.68158507408241875</v>
      </c>
      <c r="AH107" s="149">
        <f t="shared" si="10"/>
        <v>3.5753752400570771E-3</v>
      </c>
      <c r="AI107" s="149">
        <f t="shared" si="11"/>
        <v>7.9803555526945402E-2</v>
      </c>
      <c r="AJ107" s="149">
        <v>0.62615163024236375</v>
      </c>
      <c r="AK107" s="149">
        <v>0.25171265829784883</v>
      </c>
      <c r="AL107" s="149">
        <v>1.3821386805712018E-2</v>
      </c>
      <c r="AM107" s="149">
        <v>6.9007850612218521E-2</v>
      </c>
      <c r="AN107" s="149">
        <v>2.4292223166684578E-2</v>
      </c>
      <c r="AO107">
        <f t="shared" si="8"/>
        <v>0</v>
      </c>
      <c r="AP107" s="149">
        <v>6.520433014687738E-3</v>
      </c>
      <c r="AQ107" s="149">
        <v>1.3166650778659158E-2</v>
      </c>
      <c r="AR107" s="149">
        <v>0.68261754506881478</v>
      </c>
      <c r="AS107" s="208">
        <v>2430.7352490826052</v>
      </c>
      <c r="AT107" s="149">
        <f t="shared" si="9"/>
        <v>4.4699999999999997E-2</v>
      </c>
      <c r="AU107" s="149">
        <v>0.22349999999999998</v>
      </c>
      <c r="AV107">
        <v>9.5</v>
      </c>
    </row>
    <row r="108" spans="1:48" x14ac:dyDescent="0.25">
      <c r="A108" t="s">
        <v>721</v>
      </c>
      <c r="B108" s="101">
        <v>8689</v>
      </c>
      <c r="C108" s="101">
        <v>152414</v>
      </c>
      <c r="D108" s="101">
        <v>1361943</v>
      </c>
      <c r="E108" s="101">
        <v>49018</v>
      </c>
      <c r="F108" s="101">
        <v>371816</v>
      </c>
      <c r="G108" s="101">
        <v>14482</v>
      </c>
      <c r="H108" s="101">
        <v>0</v>
      </c>
      <c r="I108" s="101">
        <v>47734</v>
      </c>
      <c r="J108" s="101">
        <v>1930</v>
      </c>
      <c r="K108" s="101">
        <v>155122</v>
      </c>
      <c r="L108" s="101">
        <v>102482</v>
      </c>
      <c r="M108" s="101">
        <v>80814</v>
      </c>
      <c r="N108" s="101">
        <v>307291</v>
      </c>
      <c r="O108" s="101">
        <v>64226</v>
      </c>
      <c r="P108" s="101">
        <v>1487418</v>
      </c>
      <c r="Q108" s="101">
        <v>1231</v>
      </c>
      <c r="R108" s="101">
        <v>69983</v>
      </c>
      <c r="S108" s="101">
        <v>209671</v>
      </c>
      <c r="T108" s="101">
        <v>206626</v>
      </c>
      <c r="U108" s="101">
        <v>1250213</v>
      </c>
      <c r="V108" s="101">
        <v>1329237</v>
      </c>
      <c r="W108" s="101">
        <v>1309781</v>
      </c>
      <c r="X108" s="101">
        <v>1282166</v>
      </c>
      <c r="Y108" s="101">
        <v>27615</v>
      </c>
      <c r="Z108" s="101">
        <v>71056</v>
      </c>
      <c r="AA108" s="101">
        <v>-27981320.163279623</v>
      </c>
      <c r="AB108" s="101">
        <v>970939</v>
      </c>
      <c r="AC108" s="101">
        <v>654814.40662999998</v>
      </c>
      <c r="AD108" s="101">
        <v>243768</v>
      </c>
      <c r="AE108" t="s">
        <v>721</v>
      </c>
      <c r="AF108" s="149">
        <v>-3.1412885054829774E-2</v>
      </c>
      <c r="AG108" s="149">
        <v>0.95452064123697011</v>
      </c>
      <c r="AH108" s="149">
        <f t="shared" si="10"/>
        <v>0.29493327510476941</v>
      </c>
      <c r="AI108" s="149">
        <f t="shared" si="11"/>
        <v>3.7917789309815916E-2</v>
      </c>
      <c r="AJ108" s="149">
        <v>0.9633701817326713</v>
      </c>
      <c r="AK108" s="149">
        <v>0.13096018404003332</v>
      </c>
      <c r="AL108" s="149">
        <v>2.1083677347587117E-2</v>
      </c>
      <c r="AM108" s="149">
        <v>3.3138083531856655E-2</v>
      </c>
      <c r="AN108" s="149">
        <v>3.6765896654566017E-5</v>
      </c>
      <c r="AO108">
        <f t="shared" si="8"/>
        <v>0</v>
      </c>
      <c r="AP108" s="149">
        <v>3.6992634646555417E-2</v>
      </c>
      <c r="AQ108" s="149">
        <v>-2.1391089222380859E-2</v>
      </c>
      <c r="AR108" s="149">
        <v>0.74226100331553879</v>
      </c>
      <c r="AS108" s="208">
        <v>2686.2197114879723</v>
      </c>
      <c r="AT108" s="149">
        <f t="shared" si="9"/>
        <v>4.2700000000000002E-2</v>
      </c>
      <c r="AU108" s="149">
        <v>0.21350000000000002</v>
      </c>
      <c r="AV108">
        <v>8</v>
      </c>
    </row>
    <row r="109" spans="1:48" x14ac:dyDescent="0.25">
      <c r="A109" t="s">
        <v>404</v>
      </c>
      <c r="B109" s="101">
        <v>57</v>
      </c>
      <c r="C109" s="101">
        <v>-7141</v>
      </c>
      <c r="D109" s="101">
        <v>65111</v>
      </c>
      <c r="E109" s="101">
        <v>483</v>
      </c>
      <c r="F109" s="101">
        <v>1938</v>
      </c>
      <c r="G109" s="101">
        <v>10</v>
      </c>
      <c r="H109" s="101">
        <v>0</v>
      </c>
      <c r="I109" s="101">
        <v>257</v>
      </c>
      <c r="J109" s="101">
        <v>1535</v>
      </c>
      <c r="K109" s="101">
        <v>6099</v>
      </c>
      <c r="L109" s="101">
        <v>-40</v>
      </c>
      <c r="M109" s="101">
        <v>360</v>
      </c>
      <c r="N109" s="101">
        <v>11319</v>
      </c>
      <c r="O109" s="101">
        <v>3855</v>
      </c>
      <c r="P109" s="101">
        <v>40246</v>
      </c>
      <c r="Q109" s="101">
        <v>5</v>
      </c>
      <c r="R109" s="101">
        <v>3000</v>
      </c>
      <c r="S109" s="101">
        <v>5490</v>
      </c>
      <c r="T109" s="101">
        <v>4756</v>
      </c>
      <c r="U109" s="101">
        <v>45130</v>
      </c>
      <c r="V109" s="101">
        <v>36988</v>
      </c>
      <c r="W109" s="101">
        <v>48161</v>
      </c>
      <c r="X109" s="101">
        <v>47394</v>
      </c>
      <c r="Y109" s="101">
        <v>767</v>
      </c>
      <c r="Z109" s="101">
        <v>5402</v>
      </c>
      <c r="AA109" s="101">
        <v>489712.67469879519</v>
      </c>
      <c r="AB109" s="101">
        <v>35568</v>
      </c>
      <c r="AC109" s="101">
        <v>28718.274000000001</v>
      </c>
      <c r="AD109" s="101">
        <v>14054</v>
      </c>
      <c r="AE109" t="s">
        <v>404</v>
      </c>
      <c r="AF109" s="149">
        <v>-8.6605344573410015E-2</v>
      </c>
      <c r="AG109" s="149">
        <v>0.93706526027283488</v>
      </c>
      <c r="AH109" s="149">
        <f t="shared" si="10"/>
        <v>4.0447665123232494E-2</v>
      </c>
      <c r="AI109" s="149">
        <f t="shared" si="11"/>
        <v>3.720852972322003E-2</v>
      </c>
      <c r="AJ109" s="149">
        <v>0.91587300928136872</v>
      </c>
      <c r="AK109" s="149">
        <v>0.1648294039696524</v>
      </c>
      <c r="AL109" s="149">
        <v>1.5925749050061253E-2</v>
      </c>
      <c r="AM109" s="149">
        <v>7.6318447284064464E-2</v>
      </c>
      <c r="AN109" s="149">
        <v>-3.5392845371802345E-2</v>
      </c>
      <c r="AO109">
        <f t="shared" si="8"/>
        <v>1</v>
      </c>
      <c r="AP109" s="149">
        <v>0.10921181038599696</v>
      </c>
      <c r="AQ109" s="149">
        <v>1.016824141315162E-2</v>
      </c>
      <c r="AR109" s="149">
        <v>0.73852287120284044</v>
      </c>
      <c r="AS109" s="208">
        <v>2043.4235093211896</v>
      </c>
      <c r="AT109" s="149">
        <f t="shared" si="9"/>
        <v>5.5000000000000007E-2</v>
      </c>
      <c r="AU109" s="149">
        <v>0.27500000000000002</v>
      </c>
      <c r="AV109">
        <v>7</v>
      </c>
    </row>
    <row r="110" spans="1:48" x14ac:dyDescent="0.25">
      <c r="A110" t="s">
        <v>145</v>
      </c>
      <c r="B110" s="101">
        <v>1619</v>
      </c>
      <c r="C110" s="101">
        <v>2656</v>
      </c>
      <c r="D110" s="101">
        <v>44328</v>
      </c>
      <c r="E110" s="101">
        <v>682</v>
      </c>
      <c r="F110" s="101">
        <v>83</v>
      </c>
      <c r="G110" s="101">
        <v>4521</v>
      </c>
      <c r="H110" s="101">
        <v>0</v>
      </c>
      <c r="I110" s="101">
        <v>1015</v>
      </c>
      <c r="J110" s="101">
        <v>0</v>
      </c>
      <c r="K110" s="101">
        <v>7048</v>
      </c>
      <c r="L110" s="101">
        <v>15719</v>
      </c>
      <c r="M110" s="101">
        <v>971</v>
      </c>
      <c r="N110" s="101">
        <v>21740</v>
      </c>
      <c r="O110" s="101">
        <v>11371</v>
      </c>
      <c r="P110" s="101">
        <v>31732</v>
      </c>
      <c r="Q110" s="101">
        <v>0</v>
      </c>
      <c r="R110" s="101">
        <v>0</v>
      </c>
      <c r="S110" s="101">
        <v>7550</v>
      </c>
      <c r="T110" s="101">
        <v>6252</v>
      </c>
      <c r="U110" s="101">
        <v>17192</v>
      </c>
      <c r="V110" s="101">
        <v>51014</v>
      </c>
      <c r="W110" s="101">
        <v>77992</v>
      </c>
      <c r="X110" s="101">
        <v>73185</v>
      </c>
      <c r="Y110" s="101">
        <v>4807</v>
      </c>
      <c r="Z110" s="101">
        <v>1922</v>
      </c>
      <c r="AA110" s="101">
        <v>1050079.9238820188</v>
      </c>
      <c r="AB110" s="101">
        <v>57396</v>
      </c>
      <c r="AC110" s="101">
        <v>45854.523000000001</v>
      </c>
      <c r="AD110" s="101">
        <v>24359</v>
      </c>
      <c r="AE110" t="s">
        <v>145</v>
      </c>
      <c r="AF110" s="149">
        <v>4.6786849933326498E-2</v>
      </c>
      <c r="AG110" s="149">
        <v>0.22043286490922145</v>
      </c>
      <c r="AH110" s="149">
        <f t="shared" si="10"/>
        <v>5.9031695558518824E-2</v>
      </c>
      <c r="AI110" s="149">
        <f t="shared" si="11"/>
        <v>1.301415529797928E-2</v>
      </c>
      <c r="AJ110" s="149">
        <v>0.21840675966765821</v>
      </c>
      <c r="AK110" s="149">
        <v>0.27643206815436455</v>
      </c>
      <c r="AL110" s="149">
        <v>6.1634526618114679E-2</v>
      </c>
      <c r="AM110" s="149">
        <v>0.11785531041559774</v>
      </c>
      <c r="AN110" s="149">
        <v>9.4773587827090638E-2</v>
      </c>
      <c r="AO110">
        <f t="shared" si="8"/>
        <v>0</v>
      </c>
      <c r="AP110" s="149">
        <v>-7.7283567545389275E-3</v>
      </c>
      <c r="AQ110" s="149">
        <v>1.3463944044030398E-2</v>
      </c>
      <c r="AR110" s="149">
        <v>0.73592163298799873</v>
      </c>
      <c r="AS110" s="208">
        <v>1882.4468574243606</v>
      </c>
      <c r="AT110" s="149">
        <f t="shared" si="9"/>
        <v>3.7499999999999999E-2</v>
      </c>
      <c r="AU110" s="149">
        <v>0.1875</v>
      </c>
      <c r="AV110">
        <v>8</v>
      </c>
    </row>
    <row r="111" spans="1:48" x14ac:dyDescent="0.25">
      <c r="A111" t="s">
        <v>250</v>
      </c>
      <c r="B111" s="101">
        <v>6590</v>
      </c>
      <c r="C111" s="101">
        <v>16941</v>
      </c>
      <c r="D111" s="101">
        <v>679709</v>
      </c>
      <c r="E111" s="101">
        <v>14126</v>
      </c>
      <c r="F111" s="101">
        <v>560</v>
      </c>
      <c r="G111" s="101">
        <v>15642</v>
      </c>
      <c r="H111" s="101">
        <v>3823</v>
      </c>
      <c r="I111" s="101">
        <v>2892</v>
      </c>
      <c r="J111" s="101">
        <v>0</v>
      </c>
      <c r="K111" s="101">
        <v>68853</v>
      </c>
      <c r="L111" s="101">
        <v>457</v>
      </c>
      <c r="M111" s="101">
        <v>51588</v>
      </c>
      <c r="N111" s="101">
        <v>293166</v>
      </c>
      <c r="O111" s="101">
        <v>23805</v>
      </c>
      <c r="P111" s="101">
        <v>389067</v>
      </c>
      <c r="Q111" s="101">
        <v>141</v>
      </c>
      <c r="R111" s="101">
        <v>784</v>
      </c>
      <c r="S111" s="101">
        <v>44139</v>
      </c>
      <c r="T111" s="101">
        <v>110081</v>
      </c>
      <c r="U111" s="101">
        <v>403289</v>
      </c>
      <c r="V111" s="101">
        <v>628307</v>
      </c>
      <c r="W111" s="101">
        <v>743948</v>
      </c>
      <c r="X111" s="101">
        <v>714195</v>
      </c>
      <c r="Y111" s="101">
        <v>29753</v>
      </c>
      <c r="Z111" s="101">
        <v>30701</v>
      </c>
      <c r="AA111" s="101">
        <v>31708704.797427669</v>
      </c>
      <c r="AB111" s="101">
        <v>538849</v>
      </c>
      <c r="AC111" s="101">
        <v>374920.55099999998</v>
      </c>
      <c r="AD111" s="101">
        <v>167636</v>
      </c>
      <c r="AE111" t="s">
        <v>250</v>
      </c>
      <c r="AF111" s="149">
        <v>-5.894229166554652E-3</v>
      </c>
      <c r="AG111" s="149">
        <v>0.54209299574701453</v>
      </c>
      <c r="AH111" s="149">
        <f t="shared" si="10"/>
        <v>2.1778403866936937E-2</v>
      </c>
      <c r="AI111" s="149">
        <f t="shared" si="11"/>
        <v>3.8873684719899779E-3</v>
      </c>
      <c r="AJ111" s="149">
        <v>0.54198524628065403</v>
      </c>
      <c r="AK111" s="149">
        <v>0.3404224189283811</v>
      </c>
      <c r="AL111" s="149">
        <v>3.9993386634549724E-2</v>
      </c>
      <c r="AM111" s="149">
        <v>9.3199967779726375E-2</v>
      </c>
      <c r="AN111" s="149">
        <v>6.0467503958043962E-2</v>
      </c>
      <c r="AO111">
        <f t="shared" si="8"/>
        <v>0</v>
      </c>
      <c r="AP111" s="149">
        <v>2.5180859414905343E-2</v>
      </c>
      <c r="AQ111" s="149">
        <v>4.2622205849639584E-2</v>
      </c>
      <c r="AR111" s="149">
        <v>0.72431003242162084</v>
      </c>
      <c r="AS111" s="208">
        <v>2236.5157305113462</v>
      </c>
      <c r="AT111" s="149">
        <f t="shared" si="9"/>
        <v>4.1000000000000002E-2</v>
      </c>
      <c r="AU111" s="149">
        <v>0.20500000000000002</v>
      </c>
      <c r="AV111">
        <v>9</v>
      </c>
    </row>
    <row r="112" spans="1:48" x14ac:dyDescent="0.25">
      <c r="A112" t="s">
        <v>251</v>
      </c>
      <c r="B112" s="101">
        <v>5696</v>
      </c>
      <c r="C112" s="101">
        <v>113271</v>
      </c>
      <c r="D112" s="101">
        <v>520399</v>
      </c>
      <c r="E112" s="101">
        <v>34444</v>
      </c>
      <c r="F112" s="101">
        <v>37966</v>
      </c>
      <c r="G112" s="101">
        <v>669</v>
      </c>
      <c r="H112" s="101">
        <v>40353</v>
      </c>
      <c r="I112" s="101">
        <v>52652</v>
      </c>
      <c r="J112" s="101">
        <v>8</v>
      </c>
      <c r="K112" s="101">
        <v>58776</v>
      </c>
      <c r="L112" s="101">
        <v>30528</v>
      </c>
      <c r="M112" s="101">
        <v>45859</v>
      </c>
      <c r="N112" s="101">
        <v>350444</v>
      </c>
      <c r="O112" s="101">
        <v>21648</v>
      </c>
      <c r="P112" s="101">
        <v>377346</v>
      </c>
      <c r="Q112" s="101">
        <v>2397</v>
      </c>
      <c r="R112" s="101">
        <v>3</v>
      </c>
      <c r="S112" s="101">
        <v>41071</v>
      </c>
      <c r="T112" s="101">
        <v>147711</v>
      </c>
      <c r="U112" s="101">
        <v>354377</v>
      </c>
      <c r="V112" s="101">
        <v>623784</v>
      </c>
      <c r="W112" s="101">
        <v>580656</v>
      </c>
      <c r="X112" s="101">
        <v>564253</v>
      </c>
      <c r="Y112" s="101">
        <v>16403</v>
      </c>
      <c r="Z112" s="101">
        <v>19846</v>
      </c>
      <c r="AA112" s="101">
        <v>17110735</v>
      </c>
      <c r="AB112" s="101">
        <v>332437</v>
      </c>
      <c r="AC112" s="101">
        <v>357188.64</v>
      </c>
      <c r="AD112" s="101">
        <v>163128</v>
      </c>
      <c r="AE112" t="s">
        <v>251</v>
      </c>
      <c r="AF112" s="149">
        <v>7.6482461216279524E-2</v>
      </c>
      <c r="AG112" s="149">
        <v>0.61030455209280543</v>
      </c>
      <c r="AH112" s="149">
        <f t="shared" si="10"/>
        <v>6.6536813535036238E-2</v>
      </c>
      <c r="AI112" s="149">
        <f t="shared" si="11"/>
        <v>9.0690529332341355E-2</v>
      </c>
      <c r="AJ112" s="149">
        <v>0.55480559918437078</v>
      </c>
      <c r="AK112" s="149">
        <v>0.37256703025663923</v>
      </c>
      <c r="AL112" s="149">
        <v>2.8249083794880274E-2</v>
      </c>
      <c r="AM112" s="149">
        <v>-9.0725639862727202E-3</v>
      </c>
      <c r="AN112" s="149">
        <v>3.9962487431355866E-2</v>
      </c>
      <c r="AO112">
        <f t="shared" si="8"/>
        <v>1</v>
      </c>
      <c r="AP112" s="149">
        <v>6.7087914358931969E-3</v>
      </c>
      <c r="AQ112" s="149">
        <v>2.9467937987379792E-2</v>
      </c>
      <c r="AR112" s="149">
        <v>0.57251970185445422</v>
      </c>
      <c r="AS112" s="208">
        <v>2189.6218920111814</v>
      </c>
      <c r="AT112" s="149">
        <f t="shared" si="9"/>
        <v>3.9300000000000002E-2</v>
      </c>
      <c r="AU112" s="149">
        <v>0.19650000000000001</v>
      </c>
      <c r="AV112">
        <v>9.5</v>
      </c>
    </row>
    <row r="113" spans="1:48" x14ac:dyDescent="0.25">
      <c r="A113" t="s">
        <v>368</v>
      </c>
      <c r="B113" s="101">
        <v>546</v>
      </c>
      <c r="C113" s="101">
        <v>11085</v>
      </c>
      <c r="D113" s="101">
        <v>94915</v>
      </c>
      <c r="E113" s="101">
        <v>676</v>
      </c>
      <c r="F113" s="101">
        <v>0</v>
      </c>
      <c r="G113" s="101">
        <v>1809</v>
      </c>
      <c r="H113" s="101">
        <v>0</v>
      </c>
      <c r="I113" s="101">
        <v>3293</v>
      </c>
      <c r="J113" s="101">
        <v>13</v>
      </c>
      <c r="K113" s="101">
        <v>27532</v>
      </c>
      <c r="L113" s="101">
        <v>419</v>
      </c>
      <c r="M113" s="101">
        <v>5870</v>
      </c>
      <c r="N113" s="101">
        <v>29778</v>
      </c>
      <c r="O113" s="101">
        <v>7337</v>
      </c>
      <c r="P113" s="101">
        <v>96946</v>
      </c>
      <c r="Q113" s="101">
        <v>0</v>
      </c>
      <c r="R113" s="101">
        <v>0</v>
      </c>
      <c r="S113" s="101">
        <v>5749</v>
      </c>
      <c r="T113" s="101">
        <v>6346</v>
      </c>
      <c r="U113" s="101">
        <v>73411</v>
      </c>
      <c r="V113" s="101">
        <v>69637</v>
      </c>
      <c r="W113" s="101">
        <v>108400</v>
      </c>
      <c r="X113" s="101">
        <v>106657</v>
      </c>
      <c r="Y113" s="101">
        <v>1743</v>
      </c>
      <c r="Z113" s="101">
        <v>18152</v>
      </c>
      <c r="AA113" s="101">
        <v>3156338.5078125</v>
      </c>
      <c r="AB113" s="101">
        <v>75962</v>
      </c>
      <c r="AC113" s="101">
        <v>63800.464</v>
      </c>
      <c r="AD113" s="101">
        <v>31183</v>
      </c>
      <c r="AE113" t="s">
        <v>368</v>
      </c>
      <c r="AF113" s="149">
        <v>-0.11962177121771218</v>
      </c>
      <c r="AG113" s="149">
        <v>0.67722324723247229</v>
      </c>
      <c r="AH113" s="149">
        <f t="shared" si="10"/>
        <v>1.6688191881918821E-2</v>
      </c>
      <c r="AI113" s="149">
        <f t="shared" si="11"/>
        <v>3.0498154981549817E-2</v>
      </c>
      <c r="AJ113" s="149">
        <v>0.6578771217712176</v>
      </c>
      <c r="AK113" s="149">
        <v>0.20374120802430279</v>
      </c>
      <c r="AL113" s="149">
        <v>1.6079335793357935E-2</v>
      </c>
      <c r="AM113" s="149">
        <v>8.9927380030554796E-2</v>
      </c>
      <c r="AN113" s="149">
        <v>5.2039479025318074E-2</v>
      </c>
      <c r="AO113">
        <f t="shared" si="8"/>
        <v>0</v>
      </c>
      <c r="AP113" s="149">
        <v>8.5122232472324727E-2</v>
      </c>
      <c r="AQ113" s="149">
        <v>2.911751390970941E-2</v>
      </c>
      <c r="AR113" s="149">
        <v>0.70075645756457561</v>
      </c>
      <c r="AS113" s="208">
        <v>2046.0014751627489</v>
      </c>
      <c r="AT113" s="149">
        <f t="shared" si="9"/>
        <v>5.5300000000000002E-2</v>
      </c>
      <c r="AU113" s="149">
        <v>0.27650000000000002</v>
      </c>
      <c r="AV113">
        <v>8</v>
      </c>
    </row>
    <row r="114" spans="1:48" x14ac:dyDescent="0.25">
      <c r="A114" t="s">
        <v>146</v>
      </c>
      <c r="B114" s="101">
        <v>11158</v>
      </c>
      <c r="C114" s="101">
        <v>25705</v>
      </c>
      <c r="D114" s="101">
        <v>161446</v>
      </c>
      <c r="E114" s="101">
        <v>13102</v>
      </c>
      <c r="F114" s="101">
        <v>214</v>
      </c>
      <c r="G114" s="101">
        <v>3995</v>
      </c>
      <c r="H114" s="101">
        <v>0</v>
      </c>
      <c r="I114" s="101">
        <v>18815</v>
      </c>
      <c r="J114" s="101">
        <v>0</v>
      </c>
      <c r="K114" s="101">
        <v>18517</v>
      </c>
      <c r="L114" s="101">
        <v>15038</v>
      </c>
      <c r="M114" s="101">
        <v>10079</v>
      </c>
      <c r="N114" s="101">
        <v>128177</v>
      </c>
      <c r="O114" s="101">
        <v>26293</v>
      </c>
      <c r="P114" s="101">
        <v>88912</v>
      </c>
      <c r="Q114" s="101">
        <v>295</v>
      </c>
      <c r="R114" s="101">
        <v>0</v>
      </c>
      <c r="S114" s="101">
        <v>13654</v>
      </c>
      <c r="T114" s="101">
        <v>20692</v>
      </c>
      <c r="U114" s="101">
        <v>75710</v>
      </c>
      <c r="V114" s="101">
        <v>184655</v>
      </c>
      <c r="W114" s="101">
        <v>247259</v>
      </c>
      <c r="X114" s="101">
        <v>240139</v>
      </c>
      <c r="Y114" s="101">
        <v>7120</v>
      </c>
      <c r="Z114" s="101">
        <v>4519</v>
      </c>
      <c r="AA114" s="101">
        <v>3581529.1344406158</v>
      </c>
      <c r="AB114" s="101">
        <v>148931</v>
      </c>
      <c r="AC114" s="101">
        <v>164837.70300000001</v>
      </c>
      <c r="AD114" s="101">
        <v>62932</v>
      </c>
      <c r="AE114" t="s">
        <v>146</v>
      </c>
      <c r="AF114" s="149">
        <v>1.7228897633655399E-2</v>
      </c>
      <c r="AG114" s="149">
        <v>0.30619714550329818</v>
      </c>
      <c r="AH114" s="149">
        <f t="shared" si="10"/>
        <v>1.7022636183111638E-2</v>
      </c>
      <c r="AI114" s="149">
        <f t="shared" si="11"/>
        <v>7.609429788197801E-2</v>
      </c>
      <c r="AJ114" s="149">
        <v>0.25497385332788697</v>
      </c>
      <c r="AK114" s="149">
        <v>0.46103020253720017</v>
      </c>
      <c r="AL114" s="149">
        <v>2.8795716232776158E-2</v>
      </c>
      <c r="AM114" s="149">
        <v>8.1158448159397628E-2</v>
      </c>
      <c r="AN114" s="149">
        <v>6.1351272585972408E-2</v>
      </c>
      <c r="AO114">
        <f t="shared" si="8"/>
        <v>0</v>
      </c>
      <c r="AP114" s="149">
        <v>1.3805361988845704E-2</v>
      </c>
      <c r="AQ114" s="149">
        <v>1.4484929302636571E-2</v>
      </c>
      <c r="AR114" s="149">
        <v>0.60232792335162721</v>
      </c>
      <c r="AS114" s="208">
        <v>2619.2986556918577</v>
      </c>
      <c r="AT114" s="149">
        <f t="shared" si="9"/>
        <v>4.1599999999999998E-2</v>
      </c>
      <c r="AU114" s="149">
        <v>0.20799999999999999</v>
      </c>
      <c r="AV114">
        <v>8.5</v>
      </c>
    </row>
    <row r="115" spans="1:48" x14ac:dyDescent="0.25">
      <c r="A115" t="s">
        <v>181</v>
      </c>
      <c r="B115" s="101">
        <v>2222</v>
      </c>
      <c r="C115" s="101">
        <v>29545</v>
      </c>
      <c r="D115" s="101">
        <v>112376</v>
      </c>
      <c r="E115" s="101">
        <v>5369</v>
      </c>
      <c r="F115" s="101">
        <v>0</v>
      </c>
      <c r="G115" s="101">
        <v>4378</v>
      </c>
      <c r="H115" s="101">
        <v>0</v>
      </c>
      <c r="I115" s="101">
        <v>71145</v>
      </c>
      <c r="J115" s="101">
        <v>109</v>
      </c>
      <c r="K115" s="101">
        <v>64743</v>
      </c>
      <c r="L115" s="101">
        <v>402</v>
      </c>
      <c r="M115" s="101">
        <v>0</v>
      </c>
      <c r="N115" s="101">
        <v>92304</v>
      </c>
      <c r="O115" s="101">
        <v>19711</v>
      </c>
      <c r="P115" s="101">
        <v>132174</v>
      </c>
      <c r="Q115" s="101">
        <v>358</v>
      </c>
      <c r="R115" s="101">
        <v>0</v>
      </c>
      <c r="S115" s="101">
        <v>4670</v>
      </c>
      <c r="T115" s="101">
        <v>41075</v>
      </c>
      <c r="U115" s="101">
        <v>108754</v>
      </c>
      <c r="V115" s="101">
        <v>234783</v>
      </c>
      <c r="W115" s="101">
        <v>204788</v>
      </c>
      <c r="X115" s="101">
        <v>206977</v>
      </c>
      <c r="Y115" s="101">
        <v>-2189</v>
      </c>
      <c r="Z115" s="101">
        <v>8529</v>
      </c>
      <c r="AA115" s="101">
        <v>5497489.0454967506</v>
      </c>
      <c r="AB115" s="101">
        <v>121322</v>
      </c>
      <c r="AC115" s="101">
        <v>138007.81400000001</v>
      </c>
      <c r="AD115" s="101">
        <v>49387</v>
      </c>
      <c r="AE115" t="s">
        <v>181</v>
      </c>
      <c r="AF115" s="149">
        <v>3.8986659374572727E-2</v>
      </c>
      <c r="AG115" s="149">
        <v>0.53105650721721975</v>
      </c>
      <c r="AH115" s="149">
        <f t="shared" si="10"/>
        <v>2.1378205754243412E-2</v>
      </c>
      <c r="AI115" s="149">
        <f t="shared" si="11"/>
        <v>0.34794030900248063</v>
      </c>
      <c r="AJ115" s="149">
        <v>0.2900636756059925</v>
      </c>
      <c r="AK115" s="149">
        <v>0.31796949278657349</v>
      </c>
      <c r="AL115" s="149">
        <v>-1.0689102877121706E-2</v>
      </c>
      <c r="AM115" s="149">
        <v>1.9236585808481036E-2</v>
      </c>
      <c r="AN115" s="149">
        <v>4.0662438733420743E-2</v>
      </c>
      <c r="AO115">
        <f t="shared" si="8"/>
        <v>1</v>
      </c>
      <c r="AP115" s="149">
        <v>-0.11065101470789304</v>
      </c>
      <c r="AQ115" s="149">
        <v>2.6844781166361069E-2</v>
      </c>
      <c r="AR115" s="149">
        <v>0.59242729066156219</v>
      </c>
      <c r="AS115" s="208">
        <v>2794.4158179277947</v>
      </c>
      <c r="AT115" s="149">
        <f t="shared" si="9"/>
        <v>4.4699999999999997E-2</v>
      </c>
      <c r="AU115" s="149">
        <v>0.22349999999999998</v>
      </c>
      <c r="AV115">
        <v>8</v>
      </c>
    </row>
    <row r="116" spans="1:48" x14ac:dyDescent="0.25">
      <c r="A116" t="s">
        <v>293</v>
      </c>
      <c r="B116" s="101">
        <v>2965</v>
      </c>
      <c r="C116" s="101">
        <v>12925</v>
      </c>
      <c r="D116" s="101">
        <v>32265</v>
      </c>
      <c r="E116" s="101">
        <v>624</v>
      </c>
      <c r="F116" s="101">
        <v>0</v>
      </c>
      <c r="G116" s="101">
        <v>34</v>
      </c>
      <c r="H116" s="101">
        <v>0</v>
      </c>
      <c r="I116" s="101">
        <v>3775</v>
      </c>
      <c r="J116" s="101">
        <v>0</v>
      </c>
      <c r="K116" s="101">
        <v>4807</v>
      </c>
      <c r="L116" s="101">
        <v>78</v>
      </c>
      <c r="M116" s="101">
        <v>15348</v>
      </c>
      <c r="N116" s="101">
        <v>32278</v>
      </c>
      <c r="O116" s="101">
        <v>7092</v>
      </c>
      <c r="P116" s="101">
        <v>19390</v>
      </c>
      <c r="Q116" s="101">
        <v>1</v>
      </c>
      <c r="R116" s="101">
        <v>8085</v>
      </c>
      <c r="S116" s="101">
        <v>1929</v>
      </c>
      <c r="T116" s="101">
        <v>4046</v>
      </c>
      <c r="U116" s="101">
        <v>13184</v>
      </c>
      <c r="V116" s="101">
        <v>46114</v>
      </c>
      <c r="W116" s="101">
        <v>56037</v>
      </c>
      <c r="X116" s="101">
        <v>56101</v>
      </c>
      <c r="Y116" s="101">
        <v>-64</v>
      </c>
      <c r="Z116" s="101">
        <v>917</v>
      </c>
      <c r="AA116" s="101">
        <v>1329924.4791183304</v>
      </c>
      <c r="AB116" s="101">
        <v>40356</v>
      </c>
      <c r="AC116" s="101">
        <v>37103.372000000003</v>
      </c>
      <c r="AD116" s="101">
        <v>18762</v>
      </c>
      <c r="AE116" t="s">
        <v>293</v>
      </c>
      <c r="AF116" s="149">
        <v>-2.9248532219783359E-2</v>
      </c>
      <c r="AG116" s="149">
        <v>0.23527312311508466</v>
      </c>
      <c r="AH116" s="149">
        <f t="shared" si="10"/>
        <v>6.0674197405285795E-4</v>
      </c>
      <c r="AI116" s="149">
        <f t="shared" si="11"/>
        <v>6.7366204472045249E-2</v>
      </c>
      <c r="AJ116" s="149">
        <v>0.18818958902153932</v>
      </c>
      <c r="AK116" s="149">
        <v>0.44325125993875392</v>
      </c>
      <c r="AL116" s="149">
        <v>-1.1421025393936149E-3</v>
      </c>
      <c r="AM116" s="149">
        <v>-3.4050179211469536E-2</v>
      </c>
      <c r="AN116" s="149">
        <v>9.0521277702632404E-3</v>
      </c>
      <c r="AO116">
        <f t="shared" si="8"/>
        <v>2</v>
      </c>
      <c r="AP116" s="149">
        <v>9.1055909488373752E-3</v>
      </c>
      <c r="AQ116" s="149">
        <v>2.3732970700043373E-2</v>
      </c>
      <c r="AR116" s="149">
        <v>0.72016703249638636</v>
      </c>
      <c r="AS116" s="208">
        <v>1977.5808549195183</v>
      </c>
      <c r="AT116" s="149">
        <f t="shared" si="9"/>
        <v>6.6400000000000001E-2</v>
      </c>
      <c r="AU116" s="149">
        <v>0.33200000000000002</v>
      </c>
      <c r="AV116">
        <v>8</v>
      </c>
    </row>
    <row r="117" spans="1:48" x14ac:dyDescent="0.25">
      <c r="A117" t="s">
        <v>128</v>
      </c>
      <c r="B117" s="101">
        <v>78</v>
      </c>
      <c r="C117" s="101">
        <v>18865</v>
      </c>
      <c r="D117" s="101">
        <v>68768</v>
      </c>
      <c r="E117" s="101">
        <v>3919</v>
      </c>
      <c r="F117" s="101">
        <v>332</v>
      </c>
      <c r="G117" s="101">
        <v>178</v>
      </c>
      <c r="H117" s="101">
        <v>0</v>
      </c>
      <c r="I117" s="101">
        <v>983</v>
      </c>
      <c r="J117" s="101">
        <v>0</v>
      </c>
      <c r="K117" s="101">
        <v>9360</v>
      </c>
      <c r="L117" s="101">
        <v>-178</v>
      </c>
      <c r="M117" s="101">
        <v>3122</v>
      </c>
      <c r="N117" s="101">
        <v>42807</v>
      </c>
      <c r="O117" s="101">
        <v>8063</v>
      </c>
      <c r="P117" s="101">
        <v>45667</v>
      </c>
      <c r="Q117" s="101">
        <v>26</v>
      </c>
      <c r="R117" s="101">
        <v>0</v>
      </c>
      <c r="S117" s="101">
        <v>4756</v>
      </c>
      <c r="T117" s="101">
        <v>4108</v>
      </c>
      <c r="U117" s="101">
        <v>41743</v>
      </c>
      <c r="V117" s="101">
        <v>78512</v>
      </c>
      <c r="W117" s="101">
        <v>77183</v>
      </c>
      <c r="X117" s="101">
        <v>72534</v>
      </c>
      <c r="Y117" s="101">
        <v>4649</v>
      </c>
      <c r="Z117" s="101">
        <v>99</v>
      </c>
      <c r="AA117" s="101">
        <v>598541.54545454588</v>
      </c>
      <c r="AB117" s="101">
        <v>54001</v>
      </c>
      <c r="AC117" s="101">
        <v>42680.603000000003</v>
      </c>
      <c r="AD117" s="101">
        <v>16229</v>
      </c>
      <c r="AE117" t="s">
        <v>128</v>
      </c>
      <c r="AF117" s="149">
        <v>3.1444748195846237E-2</v>
      </c>
      <c r="AG117" s="149">
        <v>0.54083153025925401</v>
      </c>
      <c r="AH117" s="149">
        <f t="shared" si="10"/>
        <v>6.6076726740344378E-3</v>
      </c>
      <c r="AI117" s="149">
        <f t="shared" si="11"/>
        <v>1.2735965173678141E-2</v>
      </c>
      <c r="AJ117" s="149">
        <v>0.53270927535856338</v>
      </c>
      <c r="AK117" s="149">
        <v>0.40603450728940405</v>
      </c>
      <c r="AL117" s="149">
        <v>6.0233471101149218E-2</v>
      </c>
      <c r="AM117" s="149">
        <v>6.6273561837159586E-2</v>
      </c>
      <c r="AN117" s="149">
        <v>-1.5411388435971403E-2</v>
      </c>
      <c r="AO117">
        <f t="shared" si="8"/>
        <v>1</v>
      </c>
      <c r="AP117" s="149">
        <v>2.9796069082569997E-2</v>
      </c>
      <c r="AQ117" s="149">
        <v>7.7712483180283802E-3</v>
      </c>
      <c r="AR117" s="149">
        <v>0.701129576733316</v>
      </c>
      <c r="AS117" s="208">
        <v>2629.8972826421837</v>
      </c>
      <c r="AT117" s="149">
        <f t="shared" si="9"/>
        <v>2.7699999999999995E-2</v>
      </c>
      <c r="AU117" s="149">
        <v>0.13849999999999998</v>
      </c>
      <c r="AV117">
        <v>10</v>
      </c>
    </row>
    <row r="118" spans="1:48" x14ac:dyDescent="0.25">
      <c r="A118" t="s">
        <v>182</v>
      </c>
      <c r="B118" s="101">
        <v>1251</v>
      </c>
      <c r="C118" s="101">
        <v>982</v>
      </c>
      <c r="D118" s="101">
        <v>32301</v>
      </c>
      <c r="E118" s="101">
        <v>1722</v>
      </c>
      <c r="F118" s="101">
        <v>1045</v>
      </c>
      <c r="G118" s="101">
        <v>8026</v>
      </c>
      <c r="H118" s="101">
        <v>0</v>
      </c>
      <c r="I118" s="101">
        <v>1637</v>
      </c>
      <c r="J118" s="101">
        <v>701</v>
      </c>
      <c r="K118" s="101">
        <v>13300</v>
      </c>
      <c r="L118" s="101">
        <v>243</v>
      </c>
      <c r="M118" s="101">
        <v>4734</v>
      </c>
      <c r="N118" s="101">
        <v>8764</v>
      </c>
      <c r="O118" s="101">
        <v>3477</v>
      </c>
      <c r="P118" s="101">
        <v>41794</v>
      </c>
      <c r="Q118" s="101">
        <v>0</v>
      </c>
      <c r="R118" s="101">
        <v>0</v>
      </c>
      <c r="S118" s="101">
        <v>2957</v>
      </c>
      <c r="T118" s="101">
        <v>8948</v>
      </c>
      <c r="U118" s="101">
        <v>26351</v>
      </c>
      <c r="V118" s="101">
        <v>28468</v>
      </c>
      <c r="W118" s="101">
        <v>37281</v>
      </c>
      <c r="X118" s="101">
        <v>39288</v>
      </c>
      <c r="Y118" s="101">
        <v>-2007</v>
      </c>
      <c r="Z118" s="101">
        <v>1093</v>
      </c>
      <c r="AA118" s="101">
        <v>794584.45323741063</v>
      </c>
      <c r="AB118" s="101">
        <v>26199</v>
      </c>
      <c r="AC118" s="101">
        <v>25716.17</v>
      </c>
      <c r="AD118" s="101">
        <v>12624</v>
      </c>
      <c r="AE118" t="s">
        <v>182</v>
      </c>
      <c r="AF118" s="149">
        <v>-9.5410530833400398E-2</v>
      </c>
      <c r="AG118" s="149">
        <v>0.70682116896006009</v>
      </c>
      <c r="AH118" s="149">
        <f t="shared" si="10"/>
        <v>0.2433142887798074</v>
      </c>
      <c r="AI118" s="149">
        <f t="shared" si="11"/>
        <v>6.2712910061425389E-2</v>
      </c>
      <c r="AJ118" s="149">
        <v>0.69211984657063919</v>
      </c>
      <c r="AK118" s="149">
        <v>0.13290870488322717</v>
      </c>
      <c r="AL118" s="149">
        <v>-5.3834392854268928E-2</v>
      </c>
      <c r="AM118" s="149">
        <v>1.5537600994406464E-2</v>
      </c>
      <c r="AN118" s="149">
        <v>4.186934302074995E-3</v>
      </c>
      <c r="AO118">
        <f t="shared" si="8"/>
        <v>1</v>
      </c>
      <c r="AP118" s="149">
        <v>4.0677556932485717E-2</v>
      </c>
      <c r="AQ118" s="149">
        <v>2.1313388944433107E-2</v>
      </c>
      <c r="AR118" s="149">
        <v>0.70274402510662271</v>
      </c>
      <c r="AS118" s="208">
        <v>2037.0857097591888</v>
      </c>
      <c r="AT118" s="149">
        <f t="shared" si="9"/>
        <v>6.8000000000000005E-2</v>
      </c>
      <c r="AU118" s="149">
        <v>0.34</v>
      </c>
      <c r="AV118">
        <v>7.5</v>
      </c>
    </row>
    <row r="119" spans="1:48" x14ac:dyDescent="0.25">
      <c r="A119" t="s">
        <v>252</v>
      </c>
      <c r="B119" s="101">
        <v>95</v>
      </c>
      <c r="C119" s="101">
        <v>4613</v>
      </c>
      <c r="D119" s="101">
        <v>76009</v>
      </c>
      <c r="E119" s="101">
        <v>19</v>
      </c>
      <c r="F119" s="101">
        <v>316</v>
      </c>
      <c r="G119" s="101">
        <v>4924</v>
      </c>
      <c r="H119" s="101">
        <v>0</v>
      </c>
      <c r="I119" s="101">
        <v>931</v>
      </c>
      <c r="J119" s="101">
        <v>0</v>
      </c>
      <c r="K119" s="101">
        <v>1196</v>
      </c>
      <c r="L119" s="101">
        <v>1344</v>
      </c>
      <c r="M119" s="101">
        <v>13143</v>
      </c>
      <c r="N119" s="101">
        <v>59801</v>
      </c>
      <c r="O119" s="101">
        <v>5584</v>
      </c>
      <c r="P119" s="101">
        <v>17002</v>
      </c>
      <c r="Q119" s="101">
        <v>64</v>
      </c>
      <c r="R119" s="101">
        <v>4026</v>
      </c>
      <c r="S119" s="101">
        <v>5868</v>
      </c>
      <c r="T119" s="101">
        <v>10247</v>
      </c>
      <c r="U119" s="101">
        <v>16284</v>
      </c>
      <c r="V119" s="101">
        <v>80751</v>
      </c>
      <c r="W119" s="101">
        <v>126704</v>
      </c>
      <c r="X119" s="101">
        <v>125522</v>
      </c>
      <c r="Y119" s="101">
        <v>1182</v>
      </c>
      <c r="Z119" s="101">
        <v>1662</v>
      </c>
      <c r="AA119" s="101">
        <v>7674223.2741433028</v>
      </c>
      <c r="AB119" s="101">
        <v>100382</v>
      </c>
      <c r="AC119" s="101">
        <v>81730.66</v>
      </c>
      <c r="AD119" s="101">
        <v>39452</v>
      </c>
      <c r="AE119" t="s">
        <v>252</v>
      </c>
      <c r="AF119" s="149">
        <v>-1.6952898093193586E-2</v>
      </c>
      <c r="AG119" s="149">
        <v>0.12852001515342845</v>
      </c>
      <c r="AH119" s="149">
        <f t="shared" si="10"/>
        <v>4.1356231847455488E-2</v>
      </c>
      <c r="AI119" s="149">
        <f t="shared" si="11"/>
        <v>7.3478343225154693E-3</v>
      </c>
      <c r="AJ119" s="149">
        <v>0.12833927894936228</v>
      </c>
      <c r="AK119" s="149">
        <v>0.58290120087336239</v>
      </c>
      <c r="AL119" s="149">
        <v>9.3288293976512178E-3</v>
      </c>
      <c r="AM119" s="149">
        <v>3.4034127604609263E-2</v>
      </c>
      <c r="AN119" s="149">
        <v>1.6806288582572087E-2</v>
      </c>
      <c r="AO119">
        <f t="shared" si="8"/>
        <v>0</v>
      </c>
      <c r="AP119" s="149">
        <v>-6.70854905922465E-5</v>
      </c>
      <c r="AQ119" s="149">
        <v>6.0568121560039954E-2</v>
      </c>
      <c r="AR119" s="149">
        <v>0.79225596666245734</v>
      </c>
      <c r="AS119" s="208">
        <v>2071.648078677887</v>
      </c>
      <c r="AT119" s="149">
        <f t="shared" si="9"/>
        <v>5.6000000000000008E-2</v>
      </c>
      <c r="AU119" s="149">
        <v>0.28000000000000003</v>
      </c>
      <c r="AV119">
        <v>8.5</v>
      </c>
    </row>
    <row r="120" spans="1:48" x14ac:dyDescent="0.25">
      <c r="A120" t="s">
        <v>253</v>
      </c>
      <c r="B120" s="101">
        <v>5</v>
      </c>
      <c r="C120" s="101">
        <v>2398</v>
      </c>
      <c r="D120" s="101">
        <v>59647</v>
      </c>
      <c r="E120" s="101">
        <v>3030</v>
      </c>
      <c r="F120" s="101">
        <v>1500</v>
      </c>
      <c r="G120" s="101">
        <v>532</v>
      </c>
      <c r="H120" s="101">
        <v>0</v>
      </c>
      <c r="I120" s="101">
        <v>0</v>
      </c>
      <c r="J120" s="101">
        <v>0</v>
      </c>
      <c r="K120" s="101">
        <v>26578</v>
      </c>
      <c r="L120" s="101">
        <v>3051</v>
      </c>
      <c r="M120" s="101">
        <v>3659</v>
      </c>
      <c r="N120" s="101">
        <v>60380</v>
      </c>
      <c r="O120" s="101">
        <v>14664</v>
      </c>
      <c r="P120" s="101">
        <v>9900</v>
      </c>
      <c r="Q120" s="101">
        <v>182</v>
      </c>
      <c r="R120" s="101">
        <v>3375</v>
      </c>
      <c r="S120" s="101">
        <v>4869</v>
      </c>
      <c r="T120" s="101">
        <v>7032</v>
      </c>
      <c r="U120" s="101">
        <v>-9962</v>
      </c>
      <c r="V120" s="101">
        <v>57556</v>
      </c>
      <c r="W120" s="101">
        <v>80537</v>
      </c>
      <c r="X120" s="101">
        <v>80457</v>
      </c>
      <c r="Y120" s="101">
        <v>80</v>
      </c>
      <c r="Z120" s="101">
        <v>2464</v>
      </c>
      <c r="AA120" s="101">
        <v>9098737.5364238396</v>
      </c>
      <c r="AB120" s="101">
        <v>51378</v>
      </c>
      <c r="AC120" s="101">
        <v>55457.947</v>
      </c>
      <c r="AD120" s="101">
        <v>27593</v>
      </c>
      <c r="AE120" t="s">
        <v>253</v>
      </c>
      <c r="AF120" s="149">
        <v>-1.1274321119485453E-2</v>
      </c>
      <c r="AG120" s="149">
        <v>-0.1236946993307424</v>
      </c>
      <c r="AH120" s="149">
        <f t="shared" si="10"/>
        <v>2.5230639333474057E-2</v>
      </c>
      <c r="AI120" s="149">
        <f t="shared" si="11"/>
        <v>0</v>
      </c>
      <c r="AJ120" s="149">
        <v>-0.12066702261072551</v>
      </c>
      <c r="AK120" s="149">
        <v>0.60138244258082507</v>
      </c>
      <c r="AL120" s="149">
        <v>9.9333225722338797E-4</v>
      </c>
      <c r="AM120" s="149">
        <v>3.5867086823969462E-2</v>
      </c>
      <c r="AN120" s="149">
        <v>1.3267212879114561E-2</v>
      </c>
      <c r="AO120">
        <f t="shared" si="8"/>
        <v>0</v>
      </c>
      <c r="AP120" s="149">
        <v>1.3950109887380956E-2</v>
      </c>
      <c r="AQ120" s="149">
        <v>0.11306290818793215</v>
      </c>
      <c r="AR120" s="149">
        <v>0.63843429636533089</v>
      </c>
      <c r="AS120" s="208">
        <v>2009.8556517957452</v>
      </c>
      <c r="AT120" s="149">
        <f t="shared" si="9"/>
        <v>4.9599999999999998E-2</v>
      </c>
      <c r="AU120" s="149">
        <v>0.248</v>
      </c>
      <c r="AV120">
        <v>9.5</v>
      </c>
    </row>
    <row r="121" spans="1:48" x14ac:dyDescent="0.25">
      <c r="A121" t="s">
        <v>183</v>
      </c>
      <c r="B121" s="101">
        <v>0</v>
      </c>
      <c r="C121" s="101">
        <v>6233</v>
      </c>
      <c r="D121" s="101">
        <v>58855</v>
      </c>
      <c r="E121" s="101">
        <v>66</v>
      </c>
      <c r="F121" s="101">
        <v>475</v>
      </c>
      <c r="G121" s="101">
        <v>1141</v>
      </c>
      <c r="H121" s="101">
        <v>1057</v>
      </c>
      <c r="I121" s="101">
        <v>1192</v>
      </c>
      <c r="J121" s="101">
        <v>0</v>
      </c>
      <c r="K121" s="101">
        <v>3496</v>
      </c>
      <c r="L121" s="101">
        <v>17171</v>
      </c>
      <c r="M121" s="101">
        <v>4929</v>
      </c>
      <c r="N121" s="101">
        <v>29737</v>
      </c>
      <c r="O121" s="101">
        <v>9257</v>
      </c>
      <c r="P121" s="101">
        <v>46695</v>
      </c>
      <c r="Q121" s="101">
        <v>0</v>
      </c>
      <c r="R121" s="101">
        <v>-100</v>
      </c>
      <c r="S121" s="101">
        <v>3014</v>
      </c>
      <c r="T121" s="101">
        <v>6001</v>
      </c>
      <c r="U121" s="101">
        <v>27341</v>
      </c>
      <c r="V121" s="101">
        <v>59330</v>
      </c>
      <c r="W121" s="101">
        <v>66282</v>
      </c>
      <c r="X121" s="101">
        <v>67550</v>
      </c>
      <c r="Y121" s="101">
        <v>-1268</v>
      </c>
      <c r="Z121" s="101">
        <v>3541</v>
      </c>
      <c r="AA121" s="101">
        <v>1450843.8525754884</v>
      </c>
      <c r="AB121" s="101">
        <v>46368</v>
      </c>
      <c r="AC121" s="101">
        <v>44787.925000000003</v>
      </c>
      <c r="AD121" s="101">
        <v>19226</v>
      </c>
      <c r="AE121" t="s">
        <v>183</v>
      </c>
      <c r="AF121" s="149">
        <v>-6.0649950212727434E-2</v>
      </c>
      <c r="AG121" s="149">
        <v>0.41249509670800522</v>
      </c>
      <c r="AH121" s="149">
        <f t="shared" si="10"/>
        <v>2.4380676503424761E-2</v>
      </c>
      <c r="AI121" s="149">
        <f t="shared" si="11"/>
        <v>1.7983766331734107E-2</v>
      </c>
      <c r="AJ121" s="149">
        <v>0.40283214145620233</v>
      </c>
      <c r="AK121" s="149">
        <v>0.31433131791467589</v>
      </c>
      <c r="AL121" s="149">
        <v>-1.9130382305905073E-2</v>
      </c>
      <c r="AM121" s="149">
        <v>9.1970729751403371E-2</v>
      </c>
      <c r="AN121" s="149">
        <v>3.1588316500762915E-2</v>
      </c>
      <c r="AO121">
        <f t="shared" si="8"/>
        <v>1</v>
      </c>
      <c r="AP121" s="149">
        <v>2.171781177393561E-2</v>
      </c>
      <c r="AQ121" s="149">
        <v>2.1888957070931601E-2</v>
      </c>
      <c r="AR121" s="149">
        <v>0.69955644066262335</v>
      </c>
      <c r="AS121" s="208">
        <v>2329.5498283574325</v>
      </c>
      <c r="AT121" s="149">
        <f t="shared" si="9"/>
        <v>5.7599999999999998E-2</v>
      </c>
      <c r="AU121" s="149">
        <v>0.28799999999999998</v>
      </c>
      <c r="AV121">
        <v>7</v>
      </c>
    </row>
    <row r="122" spans="1:48" x14ac:dyDescent="0.25">
      <c r="A122" t="s">
        <v>129</v>
      </c>
      <c r="B122" s="101">
        <v>14368</v>
      </c>
      <c r="C122" s="101">
        <v>5989</v>
      </c>
      <c r="D122" s="101">
        <v>123303</v>
      </c>
      <c r="E122" s="101">
        <v>12281</v>
      </c>
      <c r="F122" s="101">
        <v>0</v>
      </c>
      <c r="G122" s="101">
        <v>150</v>
      </c>
      <c r="H122" s="101">
        <v>0</v>
      </c>
      <c r="I122" s="101">
        <v>25298</v>
      </c>
      <c r="J122" s="101">
        <v>11</v>
      </c>
      <c r="K122" s="101">
        <v>49263</v>
      </c>
      <c r="L122" s="101">
        <v>1693</v>
      </c>
      <c r="M122" s="101">
        <v>10561</v>
      </c>
      <c r="N122" s="101">
        <v>72259</v>
      </c>
      <c r="O122" s="101">
        <v>28955</v>
      </c>
      <c r="P122" s="101">
        <v>103864</v>
      </c>
      <c r="Q122" s="101">
        <v>12</v>
      </c>
      <c r="R122" s="101">
        <v>0</v>
      </c>
      <c r="S122" s="101">
        <v>9808</v>
      </c>
      <c r="T122" s="101">
        <v>28020</v>
      </c>
      <c r="U122" s="101">
        <v>80037</v>
      </c>
      <c r="V122" s="101">
        <v>131109</v>
      </c>
      <c r="W122" s="101">
        <v>215158</v>
      </c>
      <c r="X122" s="101">
        <v>206668</v>
      </c>
      <c r="Y122" s="101">
        <v>8490</v>
      </c>
      <c r="Z122" s="101">
        <v>10627</v>
      </c>
      <c r="AA122" s="101">
        <v>559513.50934393704</v>
      </c>
      <c r="AB122" s="101">
        <v>150324</v>
      </c>
      <c r="AC122" s="101">
        <v>127030.916</v>
      </c>
      <c r="AD122" s="101">
        <v>51787</v>
      </c>
      <c r="AE122" t="s">
        <v>129</v>
      </c>
      <c r="AF122" s="149">
        <v>-4.1876202604597554E-2</v>
      </c>
      <c r="AG122" s="149">
        <v>0.37199174560090725</v>
      </c>
      <c r="AH122" s="149">
        <f t="shared" si="10"/>
        <v>6.9716208553714017E-4</v>
      </c>
      <c r="AI122" s="149">
        <f t="shared" si="11"/>
        <v>0.11762983481906319</v>
      </c>
      <c r="AJ122" s="149">
        <v>0.28973452067782746</v>
      </c>
      <c r="AK122" s="149">
        <v>0.29746251821602354</v>
      </c>
      <c r="AL122" s="149">
        <v>3.945937404140213E-2</v>
      </c>
      <c r="AM122" s="149">
        <v>3.2060416072955261E-2</v>
      </c>
      <c r="AN122" s="149">
        <v>7.5613128974469104E-2</v>
      </c>
      <c r="AO122">
        <f t="shared" si="8"/>
        <v>0</v>
      </c>
      <c r="AP122" s="149">
        <v>1.4583468892627743E-2</v>
      </c>
      <c r="AQ122" s="149">
        <v>2.6004773670694889E-3</v>
      </c>
      <c r="AR122" s="149">
        <v>0.69866795564190032</v>
      </c>
      <c r="AS122" s="208">
        <v>2452.9498908992605</v>
      </c>
      <c r="AT122" s="149">
        <f t="shared" si="9"/>
        <v>5.5500000000000008E-2</v>
      </c>
      <c r="AU122" s="149">
        <v>0.27750000000000002</v>
      </c>
      <c r="AV122">
        <v>9</v>
      </c>
    </row>
    <row r="123" spans="1:48" x14ac:dyDescent="0.25">
      <c r="A123" t="s">
        <v>405</v>
      </c>
      <c r="B123" s="101">
        <v>26424</v>
      </c>
      <c r="C123" s="101">
        <v>19508</v>
      </c>
      <c r="D123" s="101">
        <v>421018</v>
      </c>
      <c r="E123" s="101">
        <v>2295</v>
      </c>
      <c r="F123" s="101">
        <v>1443</v>
      </c>
      <c r="G123" s="101">
        <v>27121</v>
      </c>
      <c r="H123" s="101">
        <v>0</v>
      </c>
      <c r="I123" s="101">
        <v>12570</v>
      </c>
      <c r="J123" s="101">
        <v>2</v>
      </c>
      <c r="K123" s="101">
        <v>25583</v>
      </c>
      <c r="L123" s="101">
        <v>38804</v>
      </c>
      <c r="M123" s="101">
        <v>8130</v>
      </c>
      <c r="N123" s="101">
        <v>61777</v>
      </c>
      <c r="O123" s="101">
        <v>23994</v>
      </c>
      <c r="P123" s="101">
        <v>328625</v>
      </c>
      <c r="Q123" s="101">
        <v>-138</v>
      </c>
      <c r="R123" s="101">
        <v>42500</v>
      </c>
      <c r="S123" s="101">
        <v>12459</v>
      </c>
      <c r="T123" s="101">
        <v>113681</v>
      </c>
      <c r="U123" s="101">
        <v>396046</v>
      </c>
      <c r="V123" s="101">
        <v>354725</v>
      </c>
      <c r="W123" s="101">
        <v>528461</v>
      </c>
      <c r="X123" s="101">
        <v>536982</v>
      </c>
      <c r="Y123" s="101">
        <v>-8521</v>
      </c>
      <c r="Z123" s="101">
        <v>22344</v>
      </c>
      <c r="AA123" s="101">
        <v>-3468683.1238283217</v>
      </c>
      <c r="AB123" s="101">
        <v>422326</v>
      </c>
      <c r="AC123" s="101">
        <v>298328.277</v>
      </c>
      <c r="AD123" s="101">
        <v>87461</v>
      </c>
      <c r="AE123" t="s">
        <v>405</v>
      </c>
      <c r="AF123" s="149">
        <v>-5.4577348186526535E-2</v>
      </c>
      <c r="AG123" s="149">
        <v>0.74943278690385862</v>
      </c>
      <c r="AH123" s="149">
        <f t="shared" si="10"/>
        <v>5.4051292337561334E-2</v>
      </c>
      <c r="AI123" s="149">
        <f t="shared" si="11"/>
        <v>2.3789835011476721E-2</v>
      </c>
      <c r="AJ123" s="149">
        <v>0.73926605747633223</v>
      </c>
      <c r="AK123" s="149">
        <v>0.1059825218134219</v>
      </c>
      <c r="AL123" s="149">
        <v>-1.6124179456951413E-2</v>
      </c>
      <c r="AM123" s="149">
        <v>4.3539000726936027E-2</v>
      </c>
      <c r="AN123" s="149">
        <v>3.5100493610879871E-2</v>
      </c>
      <c r="AO123">
        <f t="shared" si="8"/>
        <v>1</v>
      </c>
      <c r="AP123" s="149">
        <v>5.3090483498309242E-2</v>
      </c>
      <c r="AQ123" s="149">
        <v>-6.5637447679740262E-3</v>
      </c>
      <c r="AR123" s="149">
        <v>0.7991620952161087</v>
      </c>
      <c r="AS123" s="208">
        <v>3410.9863482009123</v>
      </c>
      <c r="AT123" s="149">
        <f t="shared" si="9"/>
        <v>5.8099999999999999E-2</v>
      </c>
      <c r="AU123" s="149">
        <v>0.29049999999999998</v>
      </c>
      <c r="AV123">
        <v>4.5</v>
      </c>
    </row>
    <row r="124" spans="1:48" x14ac:dyDescent="0.25">
      <c r="A124" t="s">
        <v>369</v>
      </c>
      <c r="B124" s="101">
        <v>43</v>
      </c>
      <c r="C124" s="101">
        <v>3427</v>
      </c>
      <c r="D124" s="101">
        <v>30471</v>
      </c>
      <c r="E124" s="101">
        <v>1051</v>
      </c>
      <c r="F124" s="101">
        <v>2362</v>
      </c>
      <c r="G124" s="101">
        <v>6778</v>
      </c>
      <c r="H124" s="101">
        <v>0</v>
      </c>
      <c r="I124" s="101">
        <v>-474</v>
      </c>
      <c r="J124" s="101">
        <v>0</v>
      </c>
      <c r="K124" s="101">
        <v>9241</v>
      </c>
      <c r="L124" s="101">
        <v>104</v>
      </c>
      <c r="M124" s="101">
        <v>2812</v>
      </c>
      <c r="N124" s="101">
        <v>17019</v>
      </c>
      <c r="O124" s="101">
        <v>6270</v>
      </c>
      <c r="P124" s="101">
        <v>17132</v>
      </c>
      <c r="Q124" s="101">
        <v>1388</v>
      </c>
      <c r="R124" s="101">
        <v>5000</v>
      </c>
      <c r="S124" s="101">
        <v>3618</v>
      </c>
      <c r="T124" s="101">
        <v>5365</v>
      </c>
      <c r="U124" s="101">
        <v>11206</v>
      </c>
      <c r="V124" s="101">
        <v>23188</v>
      </c>
      <c r="W124" s="101">
        <v>43385</v>
      </c>
      <c r="X124" s="101">
        <v>42646</v>
      </c>
      <c r="Y124" s="101">
        <v>739</v>
      </c>
      <c r="Z124" s="101">
        <v>2729</v>
      </c>
      <c r="AA124" s="101">
        <v>2641014.044585987</v>
      </c>
      <c r="AB124" s="101">
        <v>30764</v>
      </c>
      <c r="AC124" s="101">
        <v>31280.117999999999</v>
      </c>
      <c r="AD124" s="101">
        <v>16807</v>
      </c>
      <c r="AE124" t="s">
        <v>369</v>
      </c>
      <c r="AF124" s="149">
        <v>-9.2036418116860669E-2</v>
      </c>
      <c r="AG124" s="149">
        <v>0.25829203641811688</v>
      </c>
      <c r="AH124" s="149">
        <f t="shared" si="10"/>
        <v>0.21067189120663823</v>
      </c>
      <c r="AI124" s="149">
        <f t="shared" si="11"/>
        <v>-1.0925435058199838E-2</v>
      </c>
      <c r="AJ124" s="149">
        <v>0.29122046790365336</v>
      </c>
      <c r="AK124" s="149">
        <v>0.30504373386865502</v>
      </c>
      <c r="AL124" s="149">
        <v>1.7033536936729283E-2</v>
      </c>
      <c r="AM124" s="149">
        <v>3.9921844847549209E-2</v>
      </c>
      <c r="AN124" s="149">
        <v>2.1919154687308023E-2</v>
      </c>
      <c r="AO124">
        <f t="shared" si="8"/>
        <v>0</v>
      </c>
      <c r="AP124" s="149">
        <v>6.1962659905497292E-2</v>
      </c>
      <c r="AQ124" s="149">
        <v>6.0930073701372406E-2</v>
      </c>
      <c r="AR124" s="149">
        <v>0.70974737570654056</v>
      </c>
      <c r="AS124" s="208">
        <v>1861.1363122508478</v>
      </c>
      <c r="AT124" s="149">
        <f t="shared" si="9"/>
        <v>5.2400000000000002E-2</v>
      </c>
      <c r="AU124" s="149">
        <v>0.26200000000000001</v>
      </c>
      <c r="AV124">
        <v>8.5</v>
      </c>
    </row>
    <row r="125" spans="1:48" x14ac:dyDescent="0.25">
      <c r="A125" t="s">
        <v>255</v>
      </c>
      <c r="B125" s="101">
        <v>0</v>
      </c>
      <c r="C125" s="101">
        <v>2755</v>
      </c>
      <c r="D125" s="101">
        <v>48116</v>
      </c>
      <c r="E125" s="101">
        <v>357</v>
      </c>
      <c r="F125" s="101">
        <v>0</v>
      </c>
      <c r="G125" s="101">
        <v>714</v>
      </c>
      <c r="H125" s="101">
        <v>0</v>
      </c>
      <c r="I125" s="101">
        <v>2580</v>
      </c>
      <c r="J125" s="101">
        <v>0</v>
      </c>
      <c r="K125" s="101">
        <v>8324</v>
      </c>
      <c r="L125" s="101">
        <v>30254</v>
      </c>
      <c r="M125" s="101">
        <v>5932</v>
      </c>
      <c r="N125" s="101">
        <v>29302</v>
      </c>
      <c r="O125" s="101">
        <v>4044</v>
      </c>
      <c r="P125" s="101">
        <v>50200</v>
      </c>
      <c r="Q125" s="101">
        <v>496</v>
      </c>
      <c r="R125" s="101">
        <v>0</v>
      </c>
      <c r="S125" s="101">
        <v>3053</v>
      </c>
      <c r="T125" s="101">
        <v>11937</v>
      </c>
      <c r="U125" s="101">
        <v>20462</v>
      </c>
      <c r="V125" s="101">
        <v>51977</v>
      </c>
      <c r="W125" s="101">
        <v>64358</v>
      </c>
      <c r="X125" s="101">
        <v>62118</v>
      </c>
      <c r="Y125" s="101">
        <v>2240</v>
      </c>
      <c r="Z125" s="101">
        <v>1123</v>
      </c>
      <c r="AA125" s="101">
        <v>5846408.4974226803</v>
      </c>
      <c r="AB125" s="101">
        <v>41867</v>
      </c>
      <c r="AC125" s="101">
        <v>42580.703000000001</v>
      </c>
      <c r="AD125" s="101">
        <v>24312</v>
      </c>
      <c r="AE125" t="s">
        <v>255</v>
      </c>
      <c r="AF125" s="149">
        <v>3.4867460144814941E-2</v>
      </c>
      <c r="AG125" s="149">
        <v>0.31794027160570559</v>
      </c>
      <c r="AH125" s="149">
        <f t="shared" si="10"/>
        <v>1.1094191864259299E-2</v>
      </c>
      <c r="AI125" s="149">
        <f t="shared" si="11"/>
        <v>4.0088256316231086E-2</v>
      </c>
      <c r="AJ125" s="149">
        <v>0.29120979520805496</v>
      </c>
      <c r="AK125" s="149">
        <v>0.29588415865578804</v>
      </c>
      <c r="AL125" s="149">
        <v>3.4805307809440938E-2</v>
      </c>
      <c r="AM125" s="149">
        <v>4.5280804428161327E-2</v>
      </c>
      <c r="AN125" s="149">
        <v>-1.2045748016971039E-2</v>
      </c>
      <c r="AO125">
        <f t="shared" si="8"/>
        <v>1</v>
      </c>
      <c r="AP125" s="149">
        <v>-4.2962801827278662E-3</v>
      </c>
      <c r="AQ125" s="149">
        <v>9.0841985416306906E-2</v>
      </c>
      <c r="AR125" s="149">
        <v>0.65053295627583207</v>
      </c>
      <c r="AS125" s="208">
        <v>1751.4274021059559</v>
      </c>
      <c r="AT125" s="149">
        <f t="shared" si="9"/>
        <v>3.7900000000000003E-2</v>
      </c>
      <c r="AU125" s="149">
        <v>0.1895</v>
      </c>
      <c r="AV125">
        <v>8</v>
      </c>
    </row>
    <row r="126" spans="1:48" x14ac:dyDescent="0.25">
      <c r="A126" t="s">
        <v>147</v>
      </c>
      <c r="B126" s="101">
        <v>1164</v>
      </c>
      <c r="C126" s="101">
        <v>3703</v>
      </c>
      <c r="D126" s="101">
        <v>112337</v>
      </c>
      <c r="E126" s="101">
        <v>137</v>
      </c>
      <c r="F126" s="101">
        <v>71</v>
      </c>
      <c r="G126" s="101">
        <v>4037</v>
      </c>
      <c r="H126" s="101">
        <v>74</v>
      </c>
      <c r="I126" s="101">
        <v>-87</v>
      </c>
      <c r="J126" s="101">
        <v>25</v>
      </c>
      <c r="K126" s="101">
        <v>3794</v>
      </c>
      <c r="L126" s="101">
        <v>56034</v>
      </c>
      <c r="M126" s="101">
        <v>7540</v>
      </c>
      <c r="N126" s="101">
        <v>50941</v>
      </c>
      <c r="O126" s="101">
        <v>11384</v>
      </c>
      <c r="P126" s="101">
        <v>108891</v>
      </c>
      <c r="Q126" s="101">
        <v>0</v>
      </c>
      <c r="R126" s="101">
        <v>0</v>
      </c>
      <c r="S126" s="101">
        <v>5251</v>
      </c>
      <c r="T126" s="101">
        <v>12361</v>
      </c>
      <c r="U126" s="101">
        <v>54953</v>
      </c>
      <c r="V126" s="101">
        <v>127500</v>
      </c>
      <c r="W126" s="101">
        <v>124264</v>
      </c>
      <c r="X126" s="101">
        <v>113747</v>
      </c>
      <c r="Y126" s="101">
        <v>10517</v>
      </c>
      <c r="Z126" s="101">
        <v>-1199</v>
      </c>
      <c r="AA126" s="101">
        <v>2409975.6595273279</v>
      </c>
      <c r="AB126" s="101">
        <v>87713</v>
      </c>
      <c r="AC126" s="101">
        <v>67682.725000000006</v>
      </c>
      <c r="AD126" s="101">
        <v>36264</v>
      </c>
      <c r="AE126" t="s">
        <v>147</v>
      </c>
      <c r="AF126" s="149">
        <v>9.9489795918367346E-2</v>
      </c>
      <c r="AG126" s="149">
        <v>0.44222783750724265</v>
      </c>
      <c r="AH126" s="149">
        <f t="shared" si="10"/>
        <v>3.305864932723878E-2</v>
      </c>
      <c r="AI126" s="149">
        <f t="shared" si="11"/>
        <v>-4.9893774544518125E-4</v>
      </c>
      <c r="AJ126" s="149">
        <v>0.44654413184832292</v>
      </c>
      <c r="AK126" s="149">
        <v>0.26977460969771433</v>
      </c>
      <c r="AL126" s="149">
        <v>8.4634326916886632E-2</v>
      </c>
      <c r="AM126" s="149">
        <v>0.11379413674274584</v>
      </c>
      <c r="AN126" s="149">
        <v>6.7106691099290156E-2</v>
      </c>
      <c r="AO126">
        <f t="shared" si="8"/>
        <v>0</v>
      </c>
      <c r="AP126" s="149">
        <v>-2.0713963818966074E-2</v>
      </c>
      <c r="AQ126" s="149">
        <v>1.9393997131327882E-2</v>
      </c>
      <c r="AR126" s="149">
        <v>0.70586010429408352</v>
      </c>
      <c r="AS126" s="208">
        <v>1866.3888429296271</v>
      </c>
      <c r="AT126" s="149">
        <f t="shared" si="9"/>
        <v>3.2800000000000003E-2</v>
      </c>
      <c r="AU126" s="149">
        <v>0.16400000000000001</v>
      </c>
      <c r="AV126">
        <v>8</v>
      </c>
    </row>
    <row r="127" spans="1:48" x14ac:dyDescent="0.25">
      <c r="A127" t="s">
        <v>370</v>
      </c>
      <c r="B127" s="101">
        <v>852</v>
      </c>
      <c r="C127" s="101">
        <v>53668</v>
      </c>
      <c r="D127" s="101">
        <v>255750</v>
      </c>
      <c r="E127" s="101">
        <v>6550</v>
      </c>
      <c r="F127" s="101">
        <v>1922</v>
      </c>
      <c r="G127" s="101">
        <v>20060</v>
      </c>
      <c r="H127" s="101">
        <v>0</v>
      </c>
      <c r="I127" s="101">
        <v>114000</v>
      </c>
      <c r="J127" s="101">
        <v>398</v>
      </c>
      <c r="K127" s="101">
        <v>39176</v>
      </c>
      <c r="L127" s="101">
        <v>33208</v>
      </c>
      <c r="M127" s="101">
        <v>21052</v>
      </c>
      <c r="N127" s="101">
        <v>275691</v>
      </c>
      <c r="O127" s="101">
        <v>39186</v>
      </c>
      <c r="P127" s="101">
        <v>66921</v>
      </c>
      <c r="Q127" s="101">
        <v>605</v>
      </c>
      <c r="R127" s="101">
        <v>0</v>
      </c>
      <c r="S127" s="101">
        <v>34888</v>
      </c>
      <c r="T127" s="101">
        <v>129345</v>
      </c>
      <c r="U127" s="101">
        <v>116341</v>
      </c>
      <c r="V127" s="101">
        <v>238265</v>
      </c>
      <c r="W127" s="101">
        <v>435225</v>
      </c>
      <c r="X127" s="101">
        <v>435523</v>
      </c>
      <c r="Y127" s="101">
        <v>-298</v>
      </c>
      <c r="Z127" s="101">
        <v>40119</v>
      </c>
      <c r="AA127" s="101">
        <v>5438427.1795476004</v>
      </c>
      <c r="AB127" s="101">
        <v>329916</v>
      </c>
      <c r="AC127" s="101">
        <v>249744.80154000001</v>
      </c>
      <c r="AD127" s="101">
        <v>95874</v>
      </c>
      <c r="AE127" t="s">
        <v>370</v>
      </c>
      <c r="AF127" s="149">
        <v>-8.2453903153541272E-2</v>
      </c>
      <c r="AG127" s="149">
        <v>0.26731230972485498</v>
      </c>
      <c r="AH127" s="149">
        <f t="shared" si="10"/>
        <v>5.0507208914929061E-2</v>
      </c>
      <c r="AI127" s="149">
        <f t="shared" si="11"/>
        <v>0.26284795220862772</v>
      </c>
      <c r="AJ127" s="149">
        <v>8.9379608248607065E-2</v>
      </c>
      <c r="AK127" s="149">
        <v>0.50434109718350051</v>
      </c>
      <c r="AL127" s="149">
        <v>-6.8470331437762077E-4</v>
      </c>
      <c r="AM127" s="149">
        <v>5.9049704624159708E-3</v>
      </c>
      <c r="AN127" s="149">
        <v>7.0710997286502639E-2</v>
      </c>
      <c r="AO127">
        <f t="shared" si="8"/>
        <v>1</v>
      </c>
      <c r="AP127" s="149">
        <v>4.1360790395772298E-2</v>
      </c>
      <c r="AQ127" s="149">
        <v>1.2509809882267048E-2</v>
      </c>
      <c r="AR127" s="149">
        <v>0.75889338973576881</v>
      </c>
      <c r="AS127" s="208">
        <v>2604.9273164778774</v>
      </c>
      <c r="AT127" s="149">
        <f t="shared" si="9"/>
        <v>6.5299999999999997E-2</v>
      </c>
      <c r="AU127" s="149">
        <v>0.32650000000000001</v>
      </c>
      <c r="AV127">
        <v>7.5</v>
      </c>
    </row>
    <row r="128" spans="1:48" x14ac:dyDescent="0.25">
      <c r="A128" t="s">
        <v>295</v>
      </c>
      <c r="B128" s="101">
        <v>3393</v>
      </c>
      <c r="C128" s="101">
        <v>5019</v>
      </c>
      <c r="D128" s="101">
        <v>82326</v>
      </c>
      <c r="E128" s="101">
        <v>1563</v>
      </c>
      <c r="F128" s="101">
        <v>41</v>
      </c>
      <c r="G128" s="101">
        <v>2788</v>
      </c>
      <c r="H128" s="101">
        <v>0</v>
      </c>
      <c r="I128" s="101">
        <v>51375</v>
      </c>
      <c r="J128" s="101">
        <v>5573</v>
      </c>
      <c r="K128" s="101">
        <v>9936</v>
      </c>
      <c r="L128" s="101">
        <v>188</v>
      </c>
      <c r="M128" s="101">
        <v>7836</v>
      </c>
      <c r="N128" s="101">
        <v>49839</v>
      </c>
      <c r="O128" s="101">
        <v>13556</v>
      </c>
      <c r="P128" s="101">
        <v>76958</v>
      </c>
      <c r="Q128" s="101">
        <v>0</v>
      </c>
      <c r="R128" s="101">
        <v>16500</v>
      </c>
      <c r="S128" s="101">
        <v>4861</v>
      </c>
      <c r="T128" s="101">
        <v>8321</v>
      </c>
      <c r="U128" s="101">
        <v>85851</v>
      </c>
      <c r="V128" s="101">
        <v>80902</v>
      </c>
      <c r="W128" s="101">
        <v>102479</v>
      </c>
      <c r="X128" s="101">
        <v>101064</v>
      </c>
      <c r="Y128" s="101">
        <v>1415</v>
      </c>
      <c r="Z128" s="101">
        <v>8564</v>
      </c>
      <c r="AA128" s="101">
        <v>3111062.2752043586</v>
      </c>
      <c r="AB128" s="101">
        <v>68944</v>
      </c>
      <c r="AC128" s="101">
        <v>62844.250999999997</v>
      </c>
      <c r="AD128" s="101">
        <v>32689</v>
      </c>
      <c r="AE128" t="s">
        <v>295</v>
      </c>
      <c r="AF128" s="149">
        <v>-2.0609100401057779E-2</v>
      </c>
      <c r="AG128" s="149">
        <v>0.83774236672879321</v>
      </c>
      <c r="AH128" s="149">
        <f t="shared" si="10"/>
        <v>2.7605655792894153E-2</v>
      </c>
      <c r="AI128" s="149">
        <f t="shared" si="11"/>
        <v>0.55570409547321886</v>
      </c>
      <c r="AJ128" s="149">
        <v>0.45206217859268732</v>
      </c>
      <c r="AK128" s="149">
        <v>0.29311024200899816</v>
      </c>
      <c r="AL128" s="149">
        <v>1.3807706944837479E-2</v>
      </c>
      <c r="AM128" s="149">
        <v>-4.5650832819247381E-2</v>
      </c>
      <c r="AN128" s="149">
        <v>1.1735257456144796E-2</v>
      </c>
      <c r="AO128">
        <f t="shared" si="8"/>
        <v>1</v>
      </c>
      <c r="AP128" s="149">
        <v>2.3995159983996723E-2</v>
      </c>
      <c r="AQ128" s="149">
        <v>3.0358046772552022E-2</v>
      </c>
      <c r="AR128" s="149">
        <v>0.67276222445574219</v>
      </c>
      <c r="AS128" s="208">
        <v>1922.4892471473584</v>
      </c>
      <c r="AT128" s="149">
        <f t="shared" si="9"/>
        <v>5.800000000000001E-2</v>
      </c>
      <c r="AU128" s="149">
        <v>0.29000000000000004</v>
      </c>
      <c r="AV128">
        <v>10</v>
      </c>
    </row>
    <row r="129" spans="1:48" x14ac:dyDescent="0.25">
      <c r="A129" t="s">
        <v>722</v>
      </c>
      <c r="B129" s="101">
        <v>2326</v>
      </c>
      <c r="C129" s="101">
        <v>55717</v>
      </c>
      <c r="D129" s="101">
        <v>227824</v>
      </c>
      <c r="E129" s="101">
        <v>850</v>
      </c>
      <c r="F129" s="101">
        <v>240978</v>
      </c>
      <c r="G129" s="101">
        <v>13836</v>
      </c>
      <c r="H129" s="101">
        <v>865</v>
      </c>
      <c r="I129" s="101">
        <v>41936</v>
      </c>
      <c r="J129" s="101">
        <v>2920</v>
      </c>
      <c r="K129" s="101">
        <v>155592</v>
      </c>
      <c r="L129" s="101">
        <v>707</v>
      </c>
      <c r="M129" s="101">
        <v>24298</v>
      </c>
      <c r="N129" s="101">
        <v>141132</v>
      </c>
      <c r="O129" s="101">
        <v>39029</v>
      </c>
      <c r="P129" s="101">
        <v>502159</v>
      </c>
      <c r="Q129" s="101">
        <v>92</v>
      </c>
      <c r="R129" s="101">
        <v>0</v>
      </c>
      <c r="S129" s="101">
        <v>9419</v>
      </c>
      <c r="T129" s="101">
        <v>76019</v>
      </c>
      <c r="U129" s="101">
        <v>151413</v>
      </c>
      <c r="V129" s="101">
        <v>289811</v>
      </c>
      <c r="W129" s="101">
        <v>376991</v>
      </c>
      <c r="X129" s="101">
        <v>357762</v>
      </c>
      <c r="Y129" s="101">
        <v>19229</v>
      </c>
      <c r="Z129" s="101">
        <v>1182</v>
      </c>
      <c r="AA129" s="101">
        <v>-999190.98550724611</v>
      </c>
      <c r="AB129" s="101">
        <v>255794</v>
      </c>
      <c r="AC129" s="101">
        <v>218292.633</v>
      </c>
      <c r="AD129" s="101">
        <v>83058</v>
      </c>
      <c r="AE129" t="s">
        <v>722</v>
      </c>
      <c r="AF129" s="149">
        <v>7.1221859407784277E-2</v>
      </c>
      <c r="AG129" s="149">
        <v>0.40077879843285386</v>
      </c>
      <c r="AH129" s="149">
        <f t="shared" si="10"/>
        <v>0.675915340154009</v>
      </c>
      <c r="AI129" s="149">
        <f t="shared" si="11"/>
        <v>0.11898427283409949</v>
      </c>
      <c r="AJ129" s="149">
        <v>0.3985996482674653</v>
      </c>
      <c r="AK129" s="149">
        <v>0.1838015237351045</v>
      </c>
      <c r="AL129" s="149">
        <v>5.1006522702133475E-2</v>
      </c>
      <c r="AM129" s="149">
        <v>6.8626772742995501E-2</v>
      </c>
      <c r="AN129" s="149">
        <v>5.0255773436631207E-2</v>
      </c>
      <c r="AO129">
        <f t="shared" si="8"/>
        <v>0</v>
      </c>
      <c r="AP129" s="149">
        <v>-2.6154470531126739E-3</v>
      </c>
      <c r="AQ129" s="149">
        <v>-2.650514577715651E-3</v>
      </c>
      <c r="AR129" s="149">
        <v>0.67853467027428516</v>
      </c>
      <c r="AS129" s="208">
        <v>2628.1951527848009</v>
      </c>
      <c r="AT129" s="149">
        <f t="shared" si="9"/>
        <v>4.1300000000000003E-2</v>
      </c>
      <c r="AU129" s="149">
        <v>0.20650000000000002</v>
      </c>
      <c r="AV129">
        <v>7.5</v>
      </c>
    </row>
    <row r="130" spans="1:48" x14ac:dyDescent="0.25">
      <c r="A130" t="s">
        <v>593</v>
      </c>
      <c r="B130" s="101">
        <v>-18</v>
      </c>
      <c r="C130" s="101">
        <v>12232</v>
      </c>
      <c r="D130" s="101">
        <v>157540</v>
      </c>
      <c r="E130" s="101">
        <v>1056</v>
      </c>
      <c r="F130" s="101">
        <v>2808</v>
      </c>
      <c r="G130" s="101">
        <v>9451</v>
      </c>
      <c r="H130" s="101">
        <v>0</v>
      </c>
      <c r="I130" s="101">
        <v>4699</v>
      </c>
      <c r="J130" s="101">
        <v>1200</v>
      </c>
      <c r="K130" s="101">
        <v>10058</v>
      </c>
      <c r="L130" s="101">
        <v>54526</v>
      </c>
      <c r="M130" s="101">
        <v>13722</v>
      </c>
      <c r="N130" s="101">
        <v>92583</v>
      </c>
      <c r="O130" s="101">
        <v>24197</v>
      </c>
      <c r="P130" s="101">
        <v>71683</v>
      </c>
      <c r="Q130" s="101">
        <v>0</v>
      </c>
      <c r="R130" s="101">
        <v>0</v>
      </c>
      <c r="S130" s="101">
        <v>9716</v>
      </c>
      <c r="T130" s="101">
        <v>69095</v>
      </c>
      <c r="U130" s="101">
        <v>59929</v>
      </c>
      <c r="V130" s="101">
        <v>148563</v>
      </c>
      <c r="W130" s="101">
        <v>218586</v>
      </c>
      <c r="X130" s="101">
        <v>198044</v>
      </c>
      <c r="Y130" s="101">
        <v>20542</v>
      </c>
      <c r="Z130" s="101">
        <v>9367</v>
      </c>
      <c r="AA130" s="101">
        <v>-14038796</v>
      </c>
      <c r="AB130" s="101">
        <v>150549</v>
      </c>
      <c r="AC130" s="101">
        <v>122672.058</v>
      </c>
      <c r="AD130" s="101">
        <v>48224</v>
      </c>
      <c r="AE130" t="s">
        <v>593</v>
      </c>
      <c r="AF130" s="149">
        <v>5.5982542340314564E-2</v>
      </c>
      <c r="AG130" s="149">
        <v>0.27416668954095869</v>
      </c>
      <c r="AH130" s="149">
        <f t="shared" ref="AH130:AH154" si="12">SUM(F130,G130)/W130</f>
        <v>5.6083189225293477E-2</v>
      </c>
      <c r="AI130" s="149">
        <f t="shared" ref="AI130:AI154" si="13">SUM(I130,J130)/W130</f>
        <v>2.698708974957225E-2</v>
      </c>
      <c r="AJ130" s="149">
        <v>0.26200570942329332</v>
      </c>
      <c r="AK130" s="149">
        <v>0.34639733008074114</v>
      </c>
      <c r="AL130" s="149">
        <v>9.3976741419853058E-2</v>
      </c>
      <c r="AM130" s="149">
        <v>0.11632606107893446</v>
      </c>
      <c r="AN130" s="149">
        <v>4.4837764490912431E-2</v>
      </c>
      <c r="AO130">
        <f t="shared" ref="AO130:AO193" si="14">COUNTIF(AL130:AN130,"&lt;0")</f>
        <v>0</v>
      </c>
      <c r="AP130" s="149">
        <v>2.4236456131682724E-2</v>
      </c>
      <c r="AQ130" s="149">
        <v>-6.4225503920653654E-2</v>
      </c>
      <c r="AR130" s="149">
        <v>0.68874035848590487</v>
      </c>
      <c r="AS130" s="208">
        <v>2543.7968231585933</v>
      </c>
      <c r="AT130" s="149">
        <f t="shared" ref="AT130:AT193" si="15">AU130/5</f>
        <v>2.3900000000000001E-2</v>
      </c>
      <c r="AU130" s="149">
        <v>0.11950000000000001</v>
      </c>
      <c r="AV130">
        <v>8</v>
      </c>
    </row>
    <row r="131" spans="1:48" x14ac:dyDescent="0.25">
      <c r="A131" t="s">
        <v>184</v>
      </c>
      <c r="B131" s="101">
        <v>7631</v>
      </c>
      <c r="C131" s="101">
        <v>25937</v>
      </c>
      <c r="D131" s="101">
        <v>21849</v>
      </c>
      <c r="E131" s="101">
        <v>740</v>
      </c>
      <c r="F131" s="101">
        <v>5590</v>
      </c>
      <c r="G131" s="101">
        <v>377</v>
      </c>
      <c r="H131" s="101">
        <v>4907</v>
      </c>
      <c r="I131" s="101">
        <v>0</v>
      </c>
      <c r="J131" s="101">
        <v>2</v>
      </c>
      <c r="K131" s="101">
        <v>6262</v>
      </c>
      <c r="L131" s="101">
        <v>706</v>
      </c>
      <c r="M131" s="101">
        <v>99</v>
      </c>
      <c r="N131" s="101">
        <v>18211</v>
      </c>
      <c r="O131" s="101">
        <v>8181</v>
      </c>
      <c r="P131" s="101">
        <v>38977</v>
      </c>
      <c r="Q131" s="101">
        <v>0</v>
      </c>
      <c r="R131" s="101">
        <v>0</v>
      </c>
      <c r="S131" s="101">
        <v>2213</v>
      </c>
      <c r="T131" s="101">
        <v>6518</v>
      </c>
      <c r="U131" s="101">
        <v>29767</v>
      </c>
      <c r="V131" s="101">
        <v>27219</v>
      </c>
      <c r="W131" s="101">
        <v>52275</v>
      </c>
      <c r="X131" s="101">
        <v>49769</v>
      </c>
      <c r="Y131" s="101">
        <v>2506</v>
      </c>
      <c r="Z131" s="101">
        <v>23186</v>
      </c>
      <c r="AA131" s="101">
        <v>788439</v>
      </c>
      <c r="AB131" s="101">
        <v>36825</v>
      </c>
      <c r="AC131" s="101">
        <v>33485.999000000003</v>
      </c>
      <c r="AD131" s="101">
        <v>16836</v>
      </c>
      <c r="AE131" t="s">
        <v>184</v>
      </c>
      <c r="AF131" s="149">
        <v>-0.41034911525585843</v>
      </c>
      <c r="AG131" s="149">
        <v>0.56943089430894311</v>
      </c>
      <c r="AH131" s="149">
        <f t="shared" si="12"/>
        <v>0.11414634146341464</v>
      </c>
      <c r="AI131" s="149">
        <f t="shared" si="13"/>
        <v>3.8259206121472979E-5</v>
      </c>
      <c r="AJ131" s="149">
        <v>0.58310167384026779</v>
      </c>
      <c r="AK131" s="149">
        <v>0.24576248313090418</v>
      </c>
      <c r="AL131" s="149">
        <v>4.793878527020564E-2</v>
      </c>
      <c r="AM131" s="149">
        <v>7.8046502941451115E-2</v>
      </c>
      <c r="AN131" s="149">
        <v>9.3218996764486278E-3</v>
      </c>
      <c r="AO131">
        <f t="shared" si="14"/>
        <v>0</v>
      </c>
      <c r="AP131" s="149">
        <v>0.13485413677666189</v>
      </c>
      <c r="AQ131" s="149">
        <v>1.5082525107604017E-2</v>
      </c>
      <c r="AR131" s="149">
        <v>0.70444763271162125</v>
      </c>
      <c r="AS131" s="208">
        <v>1988.9521857923498</v>
      </c>
      <c r="AT131" s="149">
        <f t="shared" si="15"/>
        <v>4.2099999999999999E-2</v>
      </c>
      <c r="AU131" s="149">
        <v>0.21049999999999999</v>
      </c>
      <c r="AV131">
        <v>8</v>
      </c>
    </row>
    <row r="132" spans="1:48" x14ac:dyDescent="0.25">
      <c r="A132" t="s">
        <v>371</v>
      </c>
      <c r="B132" s="101">
        <v>42</v>
      </c>
      <c r="C132" s="101">
        <v>25908</v>
      </c>
      <c r="D132" s="101">
        <v>89150</v>
      </c>
      <c r="E132" s="101">
        <v>520</v>
      </c>
      <c r="F132" s="101">
        <v>0</v>
      </c>
      <c r="G132" s="101">
        <v>5898</v>
      </c>
      <c r="H132" s="101">
        <v>0</v>
      </c>
      <c r="I132" s="101">
        <v>0</v>
      </c>
      <c r="J132" s="101">
        <v>41853</v>
      </c>
      <c r="K132" s="101">
        <v>9942</v>
      </c>
      <c r="L132" s="101">
        <v>24896</v>
      </c>
      <c r="M132" s="101">
        <v>8314</v>
      </c>
      <c r="N132" s="101">
        <v>64590</v>
      </c>
      <c r="O132" s="101">
        <v>24046</v>
      </c>
      <c r="P132" s="101">
        <v>89387</v>
      </c>
      <c r="Q132" s="101">
        <v>148</v>
      </c>
      <c r="R132" s="101">
        <v>-166</v>
      </c>
      <c r="S132" s="101">
        <v>9919</v>
      </c>
      <c r="T132" s="101">
        <v>18600</v>
      </c>
      <c r="U132" s="101">
        <v>68838</v>
      </c>
      <c r="V132" s="101">
        <v>87325</v>
      </c>
      <c r="W132" s="101">
        <v>149327</v>
      </c>
      <c r="X132" s="101">
        <v>140420</v>
      </c>
      <c r="Y132" s="101">
        <v>8907</v>
      </c>
      <c r="Z132" s="101">
        <v>13816</v>
      </c>
      <c r="AA132" s="101">
        <v>6719730.4745762702</v>
      </c>
      <c r="AB132" s="101">
        <v>104426</v>
      </c>
      <c r="AC132" s="101">
        <v>82679.001999999993</v>
      </c>
      <c r="AD132" s="101">
        <v>46026</v>
      </c>
      <c r="AE132" t="s">
        <v>371</v>
      </c>
      <c r="AF132" s="149">
        <v>2.007004761362647E-2</v>
      </c>
      <c r="AG132" s="149">
        <v>0.46098830084311609</v>
      </c>
      <c r="AH132" s="149">
        <f t="shared" si="12"/>
        <v>3.9497210819208851E-2</v>
      </c>
      <c r="AI132" s="149">
        <f t="shared" si="13"/>
        <v>0.28027751176947235</v>
      </c>
      <c r="AJ132" s="149">
        <v>0.26953370790279052</v>
      </c>
      <c r="AK132" s="149">
        <v>0.31274815517809068</v>
      </c>
      <c r="AL132" s="149">
        <v>5.9647618983840835E-2</v>
      </c>
      <c r="AM132" s="149">
        <v>4.5949736499121666E-2</v>
      </c>
      <c r="AN132" s="149">
        <v>8.2792167910050521E-2</v>
      </c>
      <c r="AO132">
        <f t="shared" si="14"/>
        <v>0</v>
      </c>
      <c r="AP132" s="149">
        <v>4.6500298003709979E-2</v>
      </c>
      <c r="AQ132" s="149">
        <v>4.5000103628789638E-2</v>
      </c>
      <c r="AR132" s="149">
        <v>0.69931090827512776</v>
      </c>
      <c r="AS132" s="208">
        <v>1796.3542780167732</v>
      </c>
      <c r="AT132" s="149">
        <f t="shared" si="15"/>
        <v>5.2500000000000005E-2</v>
      </c>
      <c r="AU132" s="149">
        <v>0.26250000000000001</v>
      </c>
      <c r="AV132">
        <v>10</v>
      </c>
    </row>
    <row r="133" spans="1:48" x14ac:dyDescent="0.25">
      <c r="A133" t="s">
        <v>296</v>
      </c>
      <c r="B133" s="101">
        <v>1722</v>
      </c>
      <c r="C133" s="101">
        <v>4711</v>
      </c>
      <c r="D133" s="101">
        <v>56703</v>
      </c>
      <c r="E133" s="101">
        <v>1775</v>
      </c>
      <c r="F133" s="101">
        <v>2234</v>
      </c>
      <c r="G133" s="101">
        <v>10100</v>
      </c>
      <c r="H133" s="101">
        <v>0</v>
      </c>
      <c r="I133" s="101">
        <v>-2066</v>
      </c>
      <c r="J133" s="101">
        <v>0</v>
      </c>
      <c r="K133" s="101">
        <v>22536</v>
      </c>
      <c r="L133" s="101">
        <v>294</v>
      </c>
      <c r="M133" s="101">
        <v>2679</v>
      </c>
      <c r="N133" s="101">
        <v>73511</v>
      </c>
      <c r="O133" s="101">
        <v>6023</v>
      </c>
      <c r="P133" s="101">
        <v>10600</v>
      </c>
      <c r="Q133" s="101">
        <v>21</v>
      </c>
      <c r="R133" s="101">
        <v>0</v>
      </c>
      <c r="S133" s="101">
        <v>3361</v>
      </c>
      <c r="T133" s="101">
        <v>7172</v>
      </c>
      <c r="U133" s="101">
        <v>-16689</v>
      </c>
      <c r="V133" s="101">
        <v>57921</v>
      </c>
      <c r="W133" s="101">
        <v>67293</v>
      </c>
      <c r="X133" s="101">
        <v>63860</v>
      </c>
      <c r="Y133" s="101">
        <v>3433</v>
      </c>
      <c r="Z133" s="101">
        <v>472</v>
      </c>
      <c r="AA133" s="101">
        <v>3549802.5781433601</v>
      </c>
      <c r="AB133" s="101">
        <v>49080</v>
      </c>
      <c r="AC133" s="101">
        <v>44441.972000000002</v>
      </c>
      <c r="AD133" s="101">
        <v>22822</v>
      </c>
      <c r="AE133" t="s">
        <v>296</v>
      </c>
      <c r="AF133" s="149">
        <v>3.5248837174743287E-2</v>
      </c>
      <c r="AG133" s="149">
        <v>-0.24800499308992019</v>
      </c>
      <c r="AH133" s="149">
        <f t="shared" si="12"/>
        <v>0.18328800915399818</v>
      </c>
      <c r="AI133" s="149">
        <f t="shared" si="13"/>
        <v>-3.0701558854561394E-2</v>
      </c>
      <c r="AJ133" s="149">
        <v>-0.20451934079324743</v>
      </c>
      <c r="AK133" s="149">
        <v>0.73008700143016048</v>
      </c>
      <c r="AL133" s="149">
        <v>5.1015707428707292E-2</v>
      </c>
      <c r="AM133" s="149">
        <v>8.5250242988547845E-2</v>
      </c>
      <c r="AN133" s="149">
        <v>1.491347132677299E-2</v>
      </c>
      <c r="AO133">
        <f t="shared" si="14"/>
        <v>0</v>
      </c>
      <c r="AP133" s="149">
        <v>1.9374229117441636E-2</v>
      </c>
      <c r="AQ133" s="149">
        <v>5.2751438903650603E-2</v>
      </c>
      <c r="AR133" s="149">
        <v>0.72934777762917391</v>
      </c>
      <c r="AS133" s="208">
        <v>1947.3302953290683</v>
      </c>
      <c r="AT133" s="149">
        <f t="shared" si="15"/>
        <v>4.6199999999999998E-2</v>
      </c>
      <c r="AU133" s="149">
        <v>0.23099999999999998</v>
      </c>
      <c r="AV133">
        <v>9.5</v>
      </c>
    </row>
    <row r="134" spans="1:48" x14ac:dyDescent="0.25">
      <c r="A134" t="s">
        <v>372</v>
      </c>
      <c r="B134" s="101">
        <v>2324</v>
      </c>
      <c r="C134" s="101">
        <v>2113</v>
      </c>
      <c r="D134" s="101">
        <v>37055</v>
      </c>
      <c r="E134" s="101">
        <v>194</v>
      </c>
      <c r="F134" s="101">
        <v>1195</v>
      </c>
      <c r="G134" s="101">
        <v>2179</v>
      </c>
      <c r="H134" s="101">
        <v>377</v>
      </c>
      <c r="I134" s="101">
        <v>2937</v>
      </c>
      <c r="J134" s="101">
        <v>0</v>
      </c>
      <c r="K134" s="101">
        <v>5553</v>
      </c>
      <c r="L134" s="101">
        <v>7136</v>
      </c>
      <c r="M134" s="101">
        <v>2304</v>
      </c>
      <c r="N134" s="101">
        <v>16231</v>
      </c>
      <c r="O134" s="101">
        <v>11293</v>
      </c>
      <c r="P134" s="101">
        <v>27920</v>
      </c>
      <c r="Q134" s="101">
        <v>0</v>
      </c>
      <c r="R134" s="101">
        <v>1052</v>
      </c>
      <c r="S134" s="101">
        <v>4180</v>
      </c>
      <c r="T134" s="101">
        <v>2691</v>
      </c>
      <c r="U134" s="101">
        <v>17099</v>
      </c>
      <c r="V134" s="101">
        <v>42712</v>
      </c>
      <c r="W134" s="101">
        <v>46009</v>
      </c>
      <c r="X134" s="101">
        <v>44782</v>
      </c>
      <c r="Y134" s="101">
        <v>1227</v>
      </c>
      <c r="Z134" s="101">
        <v>-880</v>
      </c>
      <c r="AA134" s="101">
        <v>2583959</v>
      </c>
      <c r="AB134" s="101">
        <v>31646</v>
      </c>
      <c r="AC134" s="101">
        <v>28243.56</v>
      </c>
      <c r="AD134" s="101">
        <v>15961</v>
      </c>
      <c r="AE134" t="s">
        <v>372</v>
      </c>
      <c r="AF134" s="149">
        <v>0.11867243365428504</v>
      </c>
      <c r="AG134" s="149">
        <v>0.37164467821513181</v>
      </c>
      <c r="AH134" s="149">
        <f t="shared" si="12"/>
        <v>7.3333478232519719E-2</v>
      </c>
      <c r="AI134" s="149">
        <f t="shared" si="13"/>
        <v>6.3835336564585191E-2</v>
      </c>
      <c r="AJ134" s="149">
        <v>0.33575996000782454</v>
      </c>
      <c r="AK134" s="149">
        <v>0.2561427872551959</v>
      </c>
      <c r="AL134" s="149">
        <v>2.6668695255276143E-2</v>
      </c>
      <c r="AM134" s="149">
        <v>-3.1682111493862498E-2</v>
      </c>
      <c r="AN134" s="149">
        <v>2.6097681302417367E-2</v>
      </c>
      <c r="AO134">
        <f t="shared" si="14"/>
        <v>1</v>
      </c>
      <c r="AP134" s="149">
        <v>-6.6291377773913798E-3</v>
      </c>
      <c r="AQ134" s="149">
        <v>5.6162033515181814E-2</v>
      </c>
      <c r="AR134" s="149">
        <v>0.6878219478797627</v>
      </c>
      <c r="AS134" s="208">
        <v>1769.5357433744753</v>
      </c>
      <c r="AT134" s="149">
        <f t="shared" si="15"/>
        <v>4.8399999999999999E-2</v>
      </c>
      <c r="AU134" s="149">
        <v>0.24199999999999999</v>
      </c>
      <c r="AV134">
        <v>9</v>
      </c>
    </row>
    <row r="135" spans="1:48" x14ac:dyDescent="0.25">
      <c r="A135" t="s">
        <v>256</v>
      </c>
      <c r="B135" s="101">
        <v>1726</v>
      </c>
      <c r="C135" s="101">
        <v>19003</v>
      </c>
      <c r="D135" s="101">
        <v>260992</v>
      </c>
      <c r="E135" s="101">
        <v>2364</v>
      </c>
      <c r="F135" s="101">
        <v>16081</v>
      </c>
      <c r="G135" s="101">
        <v>5786</v>
      </c>
      <c r="H135" s="101">
        <v>3</v>
      </c>
      <c r="I135" s="101">
        <v>3570</v>
      </c>
      <c r="J135" s="101">
        <v>38</v>
      </c>
      <c r="K135" s="101">
        <v>67776</v>
      </c>
      <c r="L135" s="101">
        <v>17</v>
      </c>
      <c r="M135" s="101">
        <v>2380</v>
      </c>
      <c r="N135" s="101">
        <v>92108</v>
      </c>
      <c r="O135" s="101">
        <v>18302</v>
      </c>
      <c r="P135" s="101">
        <v>192194</v>
      </c>
      <c r="Q135" s="101">
        <v>519</v>
      </c>
      <c r="R135" s="101">
        <v>4901</v>
      </c>
      <c r="S135" s="101">
        <v>42375</v>
      </c>
      <c r="T135" s="101">
        <v>29337</v>
      </c>
      <c r="U135" s="101">
        <v>177283</v>
      </c>
      <c r="V135" s="101">
        <v>286542</v>
      </c>
      <c r="W135" s="101">
        <v>365980</v>
      </c>
      <c r="X135" s="101">
        <v>361138</v>
      </c>
      <c r="Y135" s="101">
        <v>4842</v>
      </c>
      <c r="Z135" s="101">
        <v>7753</v>
      </c>
      <c r="AA135" s="101">
        <v>17723994.666666664</v>
      </c>
      <c r="AB135" s="101">
        <v>278725</v>
      </c>
      <c r="AC135" s="101">
        <v>205439.514</v>
      </c>
      <c r="AD135" s="101">
        <v>94435</v>
      </c>
      <c r="AE135" t="s">
        <v>256</v>
      </c>
      <c r="AF135" s="149">
        <v>5.4647794961473302E-3</v>
      </c>
      <c r="AG135" s="149">
        <v>0.4844062517077436</v>
      </c>
      <c r="AH135" s="149">
        <f t="shared" si="12"/>
        <v>5.9749166621126837E-2</v>
      </c>
      <c r="AI135" s="149">
        <f t="shared" si="13"/>
        <v>9.8584622110497837E-3</v>
      </c>
      <c r="AJ135" s="149">
        <v>0.48467522815454395</v>
      </c>
      <c r="AK135" s="149">
        <v>0.24255798765458109</v>
      </c>
      <c r="AL135" s="149">
        <v>1.3230231160172688E-2</v>
      </c>
      <c r="AM135" s="149">
        <v>3.7684322266337333E-2</v>
      </c>
      <c r="AN135" s="149">
        <v>-8.8413055924086124E-3</v>
      </c>
      <c r="AO135">
        <f t="shared" si="14"/>
        <v>1</v>
      </c>
      <c r="AP135" s="149">
        <v>-3.2932127438657852E-3</v>
      </c>
      <c r="AQ135" s="149">
        <v>4.8428861322112313E-2</v>
      </c>
      <c r="AR135" s="149">
        <v>0.76158533253183236</v>
      </c>
      <c r="AS135" s="208">
        <v>2175.459458887065</v>
      </c>
      <c r="AT135" s="149">
        <f t="shared" si="15"/>
        <v>5.4699999999999992E-2</v>
      </c>
      <c r="AU135" s="149">
        <v>0.27349999999999997</v>
      </c>
      <c r="AV135">
        <v>7.5</v>
      </c>
    </row>
    <row r="136" spans="1:48" x14ac:dyDescent="0.25">
      <c r="A136" t="s">
        <v>594</v>
      </c>
      <c r="B136" s="101">
        <v>1607</v>
      </c>
      <c r="C136" s="101">
        <v>13152</v>
      </c>
      <c r="D136" s="101">
        <v>227350</v>
      </c>
      <c r="E136" s="101">
        <v>13964</v>
      </c>
      <c r="F136" s="101">
        <v>0</v>
      </c>
      <c r="G136" s="101">
        <v>20231</v>
      </c>
      <c r="H136" s="101">
        <v>14</v>
      </c>
      <c r="I136" s="101">
        <v>989</v>
      </c>
      <c r="J136" s="101">
        <v>19</v>
      </c>
      <c r="K136" s="101">
        <v>34085</v>
      </c>
      <c r="L136" s="101">
        <v>1595</v>
      </c>
      <c r="M136" s="101">
        <v>15931</v>
      </c>
      <c r="N136" s="101">
        <v>207488</v>
      </c>
      <c r="O136" s="101">
        <v>19358</v>
      </c>
      <c r="P136" s="101">
        <v>47500</v>
      </c>
      <c r="Q136" s="101">
        <v>32</v>
      </c>
      <c r="R136" s="101">
        <v>0</v>
      </c>
      <c r="S136" s="101">
        <v>16142</v>
      </c>
      <c r="T136" s="101">
        <v>38419</v>
      </c>
      <c r="U136" s="101">
        <v>30237</v>
      </c>
      <c r="V136" s="101">
        <v>189918</v>
      </c>
      <c r="W136" s="101">
        <v>249373</v>
      </c>
      <c r="X136" s="101">
        <v>245806</v>
      </c>
      <c r="Y136" s="101">
        <v>3567</v>
      </c>
      <c r="Z136" s="101">
        <v>17493</v>
      </c>
      <c r="AA136" s="101">
        <v>11054468.515232496</v>
      </c>
      <c r="AB136" s="101">
        <v>182221</v>
      </c>
      <c r="AC136" s="101">
        <v>169351.40299999999</v>
      </c>
      <c r="AD136" s="101">
        <v>90256</v>
      </c>
      <c r="AE136" t="s">
        <v>594</v>
      </c>
      <c r="AF136" s="149">
        <v>-6.2476691542388309E-2</v>
      </c>
      <c r="AG136" s="149">
        <v>0.12125210026747081</v>
      </c>
      <c r="AH136" s="149">
        <f t="shared" si="12"/>
        <v>8.1127467688963922E-2</v>
      </c>
      <c r="AI136" s="149">
        <f t="shared" si="13"/>
        <v>4.0421376813047126E-3</v>
      </c>
      <c r="AJ136" s="149">
        <v>0.12815790001323318</v>
      </c>
      <c r="AK136" s="149">
        <v>0.6307795670321853</v>
      </c>
      <c r="AL136" s="149">
        <v>1.430387411628364E-2</v>
      </c>
      <c r="AM136" s="149">
        <v>3.3987542020961041E-2</v>
      </c>
      <c r="AN136" s="149">
        <v>-2.1105443130220305E-2</v>
      </c>
      <c r="AO136">
        <f t="shared" si="14"/>
        <v>1</v>
      </c>
      <c r="AP136" s="149">
        <v>5.2322224138138453E-2</v>
      </c>
      <c r="AQ136" s="149">
        <v>4.432905132164467E-2</v>
      </c>
      <c r="AR136" s="149">
        <v>0.73071663732641468</v>
      </c>
      <c r="AS136" s="208">
        <v>1876.3450961708918</v>
      </c>
      <c r="AT136" s="149">
        <f t="shared" si="15"/>
        <v>5.6500000000000009E-2</v>
      </c>
      <c r="AU136" s="149">
        <v>0.28250000000000003</v>
      </c>
      <c r="AV136">
        <v>8.5</v>
      </c>
    </row>
    <row r="137" spans="1:48" x14ac:dyDescent="0.25">
      <c r="A137" t="s">
        <v>148</v>
      </c>
      <c r="B137" s="101">
        <v>11871</v>
      </c>
      <c r="C137" s="101">
        <v>13016</v>
      </c>
      <c r="D137" s="101">
        <v>95082</v>
      </c>
      <c r="E137" s="101">
        <v>1532</v>
      </c>
      <c r="F137" s="101">
        <v>1404</v>
      </c>
      <c r="G137" s="101">
        <v>5094</v>
      </c>
      <c r="H137" s="101">
        <v>0</v>
      </c>
      <c r="I137" s="101">
        <v>-1444</v>
      </c>
      <c r="J137" s="101">
        <v>0</v>
      </c>
      <c r="K137" s="101">
        <v>37806</v>
      </c>
      <c r="L137" s="101">
        <v>523</v>
      </c>
      <c r="M137" s="101">
        <v>7081</v>
      </c>
      <c r="N137" s="101">
        <v>101874</v>
      </c>
      <c r="O137" s="101">
        <v>6346</v>
      </c>
      <c r="P137" s="101">
        <v>46186</v>
      </c>
      <c r="Q137" s="101">
        <v>37</v>
      </c>
      <c r="R137" s="101">
        <v>423</v>
      </c>
      <c r="S137" s="101">
        <v>8441</v>
      </c>
      <c r="T137" s="101">
        <v>8659</v>
      </c>
      <c r="U137" s="101">
        <v>11838</v>
      </c>
      <c r="V137" s="101">
        <v>115060</v>
      </c>
      <c r="W137" s="101">
        <v>118347</v>
      </c>
      <c r="X137" s="101">
        <v>113034</v>
      </c>
      <c r="Y137" s="101">
        <v>5313</v>
      </c>
      <c r="Z137" s="101">
        <v>1064</v>
      </c>
      <c r="AA137" s="101">
        <v>1769233.3353695776</v>
      </c>
      <c r="AB137" s="101">
        <v>79155</v>
      </c>
      <c r="AC137" s="101">
        <v>77470.710000000006</v>
      </c>
      <c r="AD137" s="101">
        <v>35446</v>
      </c>
      <c r="AE137" t="s">
        <v>148</v>
      </c>
      <c r="AF137" s="149">
        <v>5.6528682602854319E-2</v>
      </c>
      <c r="AG137" s="149">
        <v>0.10002788410352607</v>
      </c>
      <c r="AH137" s="149">
        <f t="shared" si="12"/>
        <v>5.4906334761337425E-2</v>
      </c>
      <c r="AI137" s="149">
        <f t="shared" si="13"/>
        <v>-1.220140772474165E-2</v>
      </c>
      <c r="AJ137" s="149">
        <v>0.11515762968220572</v>
      </c>
      <c r="AK137" s="149">
        <v>0.59240780154216532</v>
      </c>
      <c r="AL137" s="149">
        <v>4.4893406676975334E-2</v>
      </c>
      <c r="AM137" s="149">
        <v>0.10751879033614561</v>
      </c>
      <c r="AN137" s="149">
        <v>4.5583880146332967E-2</v>
      </c>
      <c r="AO137">
        <f t="shared" si="14"/>
        <v>0</v>
      </c>
      <c r="AP137" s="149">
        <v>1.0369929106779217E-2</v>
      </c>
      <c r="AQ137" s="149">
        <v>1.4949541056127976E-2</v>
      </c>
      <c r="AR137" s="149">
        <v>0.66883824685036375</v>
      </c>
      <c r="AS137" s="208">
        <v>2185.5980928736672</v>
      </c>
      <c r="AT137" s="149">
        <f t="shared" si="15"/>
        <v>4.4200000000000003E-2</v>
      </c>
      <c r="AU137" s="149">
        <v>0.22100000000000003</v>
      </c>
      <c r="AV137">
        <v>9.5</v>
      </c>
    </row>
    <row r="138" spans="1:48" x14ac:dyDescent="0.25">
      <c r="A138" t="s">
        <v>257</v>
      </c>
      <c r="B138" s="101">
        <v>9</v>
      </c>
      <c r="C138" s="101">
        <v>3177</v>
      </c>
      <c r="D138" s="101">
        <v>171675</v>
      </c>
      <c r="E138" s="101">
        <v>1943</v>
      </c>
      <c r="F138" s="101">
        <v>2372</v>
      </c>
      <c r="G138" s="101">
        <v>2845</v>
      </c>
      <c r="H138" s="101">
        <v>0</v>
      </c>
      <c r="I138" s="101">
        <v>3287</v>
      </c>
      <c r="J138" s="101">
        <v>0</v>
      </c>
      <c r="K138" s="101">
        <v>15044</v>
      </c>
      <c r="L138" s="101">
        <v>330</v>
      </c>
      <c r="M138" s="101">
        <v>17506</v>
      </c>
      <c r="N138" s="101">
        <v>84085</v>
      </c>
      <c r="O138" s="101">
        <v>25677</v>
      </c>
      <c r="P138" s="101">
        <v>78318</v>
      </c>
      <c r="Q138" s="101">
        <v>0</v>
      </c>
      <c r="R138" s="101">
        <v>3704</v>
      </c>
      <c r="S138" s="101">
        <v>10265</v>
      </c>
      <c r="T138" s="101">
        <v>16140</v>
      </c>
      <c r="U138" s="101">
        <v>70330</v>
      </c>
      <c r="V138" s="101">
        <v>106983</v>
      </c>
      <c r="W138" s="101">
        <v>155084</v>
      </c>
      <c r="X138" s="101">
        <v>146196</v>
      </c>
      <c r="Y138" s="101">
        <v>8888</v>
      </c>
      <c r="Z138" s="101">
        <v>21939</v>
      </c>
      <c r="AA138" s="101">
        <v>6181151</v>
      </c>
      <c r="AB138" s="101">
        <v>110937</v>
      </c>
      <c r="AC138" s="101">
        <v>98439.047999999995</v>
      </c>
      <c r="AD138" s="101">
        <v>49522</v>
      </c>
      <c r="AE138" t="s">
        <v>257</v>
      </c>
      <c r="AF138" s="149">
        <v>-7.7203322070619793E-2</v>
      </c>
      <c r="AG138" s="149">
        <v>0.45349616981764723</v>
      </c>
      <c r="AH138" s="149">
        <f t="shared" si="12"/>
        <v>3.3639833896469011E-2</v>
      </c>
      <c r="AI138" s="149">
        <f t="shared" si="13"/>
        <v>2.1194965309122796E-2</v>
      </c>
      <c r="AJ138" s="149">
        <v>0.44269647416883756</v>
      </c>
      <c r="AK138" s="149">
        <v>0.38537689801044051</v>
      </c>
      <c r="AL138" s="149">
        <v>5.7310876686182975E-2</v>
      </c>
      <c r="AM138" s="149">
        <v>3.6668045257156362E-2</v>
      </c>
      <c r="AN138" s="149">
        <v>6.3989878316525875E-2</v>
      </c>
      <c r="AO138">
        <f t="shared" si="14"/>
        <v>0</v>
      </c>
      <c r="AP138" s="149">
        <v>0.10942134585128059</v>
      </c>
      <c r="AQ138" s="149">
        <v>3.9882510452691894E-2</v>
      </c>
      <c r="AR138" s="149">
        <v>0.71579646931296137</v>
      </c>
      <c r="AS138" s="208">
        <v>1987.7841767295342</v>
      </c>
      <c r="AT138" s="149">
        <f t="shared" si="15"/>
        <v>3.78E-2</v>
      </c>
      <c r="AU138" s="149">
        <v>0.189</v>
      </c>
      <c r="AV138">
        <v>8</v>
      </c>
    </row>
    <row r="139" spans="1:48" x14ac:dyDescent="0.25">
      <c r="A139" t="s">
        <v>109</v>
      </c>
      <c r="B139" s="101">
        <v>8582</v>
      </c>
      <c r="C139" s="101">
        <v>7124</v>
      </c>
      <c r="D139" s="101">
        <v>111448</v>
      </c>
      <c r="E139" s="101">
        <v>1037</v>
      </c>
      <c r="F139" s="101">
        <v>11584</v>
      </c>
      <c r="G139" s="101">
        <v>607</v>
      </c>
      <c r="H139" s="101">
        <v>0</v>
      </c>
      <c r="I139" s="101">
        <v>14276</v>
      </c>
      <c r="J139" s="101">
        <v>108</v>
      </c>
      <c r="K139" s="101">
        <v>89752</v>
      </c>
      <c r="L139" s="101">
        <v>96</v>
      </c>
      <c r="M139" s="101">
        <v>7826</v>
      </c>
      <c r="N139" s="101">
        <v>75517</v>
      </c>
      <c r="O139" s="101">
        <v>8775</v>
      </c>
      <c r="P139" s="101">
        <v>108283</v>
      </c>
      <c r="Q139" s="101">
        <v>0</v>
      </c>
      <c r="R139" s="101">
        <v>2</v>
      </c>
      <c r="S139" s="101">
        <v>11797</v>
      </c>
      <c r="T139" s="101">
        <v>48069</v>
      </c>
      <c r="U139" s="101">
        <v>58286</v>
      </c>
      <c r="V139" s="101">
        <v>139968</v>
      </c>
      <c r="W139" s="101">
        <v>242658</v>
      </c>
      <c r="X139" s="101">
        <v>218763</v>
      </c>
      <c r="Y139" s="101">
        <v>23895</v>
      </c>
      <c r="Z139" s="101">
        <v>-3632</v>
      </c>
      <c r="AA139" s="101">
        <v>-1550295.2513966504</v>
      </c>
      <c r="AB139" s="101">
        <v>185072</v>
      </c>
      <c r="AC139" s="101">
        <v>125300.955</v>
      </c>
      <c r="AD139" s="101">
        <v>56591</v>
      </c>
      <c r="AE139" t="s">
        <v>109</v>
      </c>
      <c r="AF139" s="149">
        <v>0.11041053664004484</v>
      </c>
      <c r="AG139" s="149">
        <v>0.24019813894452274</v>
      </c>
      <c r="AH139" s="149">
        <f t="shared" si="12"/>
        <v>5.0239431628052653E-2</v>
      </c>
      <c r="AI139" s="149">
        <f t="shared" si="13"/>
        <v>5.9276842304807592E-2</v>
      </c>
      <c r="AJ139" s="149">
        <v>0.20473308112652375</v>
      </c>
      <c r="AK139" s="149">
        <v>0.29914475743039021</v>
      </c>
      <c r="AL139" s="149">
        <v>9.847192344781544E-2</v>
      </c>
      <c r="AM139" s="149">
        <v>0.11066873521445469</v>
      </c>
      <c r="AN139" s="149">
        <v>6.2124077523568473E-2</v>
      </c>
      <c r="AO139">
        <f t="shared" si="14"/>
        <v>0</v>
      </c>
      <c r="AP139" s="149">
        <v>-1.3201707753298882E-2</v>
      </c>
      <c r="AQ139" s="149">
        <v>-6.3888075043750893E-3</v>
      </c>
      <c r="AR139" s="149">
        <v>0.76268657946575014</v>
      </c>
      <c r="AS139" s="208">
        <v>2214.1498648194943</v>
      </c>
      <c r="AT139" s="149">
        <f t="shared" si="15"/>
        <v>0.03</v>
      </c>
      <c r="AU139" s="149">
        <v>0.15</v>
      </c>
      <c r="AV139">
        <v>6.5</v>
      </c>
    </row>
    <row r="140" spans="1:48" x14ac:dyDescent="0.25">
      <c r="A140" t="s">
        <v>258</v>
      </c>
      <c r="B140" s="101">
        <v>1500</v>
      </c>
      <c r="C140" s="101">
        <v>22085</v>
      </c>
      <c r="D140" s="101">
        <v>216511</v>
      </c>
      <c r="E140" s="101">
        <v>957</v>
      </c>
      <c r="F140" s="101">
        <v>35376</v>
      </c>
      <c r="G140" s="101">
        <v>22023</v>
      </c>
      <c r="H140" s="101">
        <v>14600</v>
      </c>
      <c r="I140" s="101">
        <v>-10560</v>
      </c>
      <c r="J140" s="101">
        <v>0</v>
      </c>
      <c r="K140" s="101">
        <v>27990</v>
      </c>
      <c r="L140" s="101">
        <v>19034</v>
      </c>
      <c r="M140" s="101">
        <v>28025</v>
      </c>
      <c r="N140" s="101">
        <v>106100</v>
      </c>
      <c r="O140" s="101">
        <v>24576</v>
      </c>
      <c r="P140" s="101">
        <v>162326</v>
      </c>
      <c r="Q140" s="101">
        <v>135</v>
      </c>
      <c r="R140" s="101">
        <v>10000</v>
      </c>
      <c r="S140" s="101">
        <v>14425</v>
      </c>
      <c r="T140" s="101">
        <v>59979</v>
      </c>
      <c r="U140" s="101">
        <v>99817</v>
      </c>
      <c r="V140" s="101">
        <v>184656</v>
      </c>
      <c r="W140" s="101">
        <v>315072</v>
      </c>
      <c r="X140" s="101">
        <v>311092</v>
      </c>
      <c r="Y140" s="101">
        <v>3980</v>
      </c>
      <c r="Z140" s="101">
        <v>29307</v>
      </c>
      <c r="AA140" s="101">
        <v>8429691.1205311529</v>
      </c>
      <c r="AB140" s="101">
        <v>223831</v>
      </c>
      <c r="AC140" s="101">
        <v>172553.01800000001</v>
      </c>
      <c r="AD140" s="101">
        <v>75645</v>
      </c>
      <c r="AE140" t="s">
        <v>258</v>
      </c>
      <c r="AF140" s="149">
        <v>-4.5107150111720493E-2</v>
      </c>
      <c r="AG140" s="149">
        <v>0.31680695206175097</v>
      </c>
      <c r="AH140" s="149">
        <f t="shared" si="12"/>
        <v>0.18217740706886046</v>
      </c>
      <c r="AI140" s="149">
        <f t="shared" si="13"/>
        <v>-3.3516148689823277E-2</v>
      </c>
      <c r="AJ140" s="149">
        <v>0.36212954499289052</v>
      </c>
      <c r="AK140" s="149">
        <v>0.28102908028532003</v>
      </c>
      <c r="AL140" s="149">
        <v>1.2632033313020517E-2</v>
      </c>
      <c r="AM140" s="149">
        <v>7.1597223635734494E-2</v>
      </c>
      <c r="AN140" s="149">
        <v>5.1258808737097573E-2</v>
      </c>
      <c r="AO140">
        <f t="shared" si="14"/>
        <v>0</v>
      </c>
      <c r="AP140" s="149">
        <v>4.3989945155393055E-2</v>
      </c>
      <c r="AQ140" s="149">
        <v>2.6754808807292151E-2</v>
      </c>
      <c r="AR140" s="149">
        <v>0.71041222323786313</v>
      </c>
      <c r="AS140" s="208">
        <v>2281.0895366514642</v>
      </c>
      <c r="AT140" s="149">
        <f t="shared" si="15"/>
        <v>4.0500000000000001E-2</v>
      </c>
      <c r="AU140" s="149">
        <v>0.20250000000000001</v>
      </c>
      <c r="AV140">
        <v>8.5</v>
      </c>
    </row>
    <row r="141" spans="1:48" x14ac:dyDescent="0.25">
      <c r="A141" t="s">
        <v>406</v>
      </c>
      <c r="B141" s="101">
        <v>8082</v>
      </c>
      <c r="C141" s="101">
        <v>14091</v>
      </c>
      <c r="D141" s="101">
        <v>111647</v>
      </c>
      <c r="E141" s="101">
        <v>2202</v>
      </c>
      <c r="F141" s="101">
        <v>6184</v>
      </c>
      <c r="G141" s="101">
        <v>2102</v>
      </c>
      <c r="H141" s="101">
        <v>12454</v>
      </c>
      <c r="I141" s="101">
        <v>-27</v>
      </c>
      <c r="J141" s="101">
        <v>69</v>
      </c>
      <c r="K141" s="101">
        <v>56294</v>
      </c>
      <c r="L141" s="101">
        <v>443</v>
      </c>
      <c r="M141" s="101">
        <v>779</v>
      </c>
      <c r="N141" s="101">
        <v>80335</v>
      </c>
      <c r="O141" s="101">
        <v>16116</v>
      </c>
      <c r="P141" s="101">
        <v>89396</v>
      </c>
      <c r="Q141" s="101">
        <v>11</v>
      </c>
      <c r="R141" s="101">
        <v>0</v>
      </c>
      <c r="S141" s="101">
        <v>8574</v>
      </c>
      <c r="T141" s="101">
        <v>19890</v>
      </c>
      <c r="U141" s="101">
        <v>39615</v>
      </c>
      <c r="V141" s="101">
        <v>101666</v>
      </c>
      <c r="W141" s="101">
        <v>148148</v>
      </c>
      <c r="X141" s="101">
        <v>138809</v>
      </c>
      <c r="Y141" s="101">
        <v>9339</v>
      </c>
      <c r="Z141" s="101">
        <v>8285</v>
      </c>
      <c r="AA141" s="101">
        <v>-1600321.8022611924</v>
      </c>
      <c r="AB141" s="101">
        <v>92803</v>
      </c>
      <c r="AC141" s="101">
        <v>88868.676999999996</v>
      </c>
      <c r="AD141" s="101">
        <v>43917</v>
      </c>
      <c r="AE141" t="s">
        <v>406</v>
      </c>
      <c r="AF141" s="149">
        <v>-2.4975024975024975E-3</v>
      </c>
      <c r="AG141" s="149">
        <v>0.26740151740151741</v>
      </c>
      <c r="AH141" s="149">
        <f t="shared" si="12"/>
        <v>5.5930555930555931E-2</v>
      </c>
      <c r="AI141" s="149">
        <f t="shared" si="13"/>
        <v>2.8350028350028348E-4</v>
      </c>
      <c r="AJ141" s="149">
        <v>0.27391473391473392</v>
      </c>
      <c r="AK141" s="149">
        <v>0.37483319491232819</v>
      </c>
      <c r="AL141" s="149">
        <v>6.3038313038313032E-2</v>
      </c>
      <c r="AM141" s="149">
        <v>9.4049862298883902E-2</v>
      </c>
      <c r="AN141" s="149">
        <v>4.5592982630849536E-2</v>
      </c>
      <c r="AO141">
        <f t="shared" si="14"/>
        <v>0</v>
      </c>
      <c r="AP141" s="149">
        <v>5.4259929259929257E-2</v>
      </c>
      <c r="AQ141" s="149">
        <v>-1.0811231977660327E-2</v>
      </c>
      <c r="AR141" s="149">
        <v>0.62694563043830731</v>
      </c>
      <c r="AS141" s="208">
        <v>2023.5598287679031</v>
      </c>
      <c r="AT141" s="149">
        <f t="shared" si="15"/>
        <v>4.0399999999999998E-2</v>
      </c>
      <c r="AU141" s="149">
        <v>0.20199999999999999</v>
      </c>
      <c r="AV141">
        <v>8.5</v>
      </c>
    </row>
    <row r="142" spans="1:48" x14ac:dyDescent="0.25">
      <c r="A142" t="s">
        <v>219</v>
      </c>
      <c r="B142" s="101">
        <v>2164</v>
      </c>
      <c r="C142" s="101">
        <v>26748</v>
      </c>
      <c r="D142" s="101">
        <v>96532</v>
      </c>
      <c r="E142" s="101">
        <v>18</v>
      </c>
      <c r="F142" s="101">
        <v>0</v>
      </c>
      <c r="G142" s="101">
        <v>2079</v>
      </c>
      <c r="H142" s="101">
        <v>0</v>
      </c>
      <c r="I142" s="101">
        <v>7052</v>
      </c>
      <c r="J142" s="101">
        <v>19</v>
      </c>
      <c r="K142" s="101">
        <v>9143</v>
      </c>
      <c r="L142" s="101">
        <v>9</v>
      </c>
      <c r="M142" s="101">
        <v>3020</v>
      </c>
      <c r="N142" s="101">
        <v>57166</v>
      </c>
      <c r="O142" s="101">
        <v>12849</v>
      </c>
      <c r="P142" s="101">
        <v>45190</v>
      </c>
      <c r="Q142" s="101">
        <v>94</v>
      </c>
      <c r="R142" s="101">
        <v>1478</v>
      </c>
      <c r="S142" s="101">
        <v>6388</v>
      </c>
      <c r="T142" s="101">
        <v>23618</v>
      </c>
      <c r="U142" s="101">
        <v>62517</v>
      </c>
      <c r="V142" s="101">
        <v>122714</v>
      </c>
      <c r="W142" s="101">
        <v>133230</v>
      </c>
      <c r="X142" s="101">
        <v>130915</v>
      </c>
      <c r="Y142" s="101">
        <v>2315</v>
      </c>
      <c r="Z142" s="101">
        <v>5714</v>
      </c>
      <c r="AA142" s="101">
        <v>7242821.8641732261</v>
      </c>
      <c r="AB142" s="101">
        <v>91792</v>
      </c>
      <c r="AC142" s="101">
        <v>99376.028000000006</v>
      </c>
      <c r="AD142" s="101">
        <v>50847</v>
      </c>
      <c r="AE142" t="s">
        <v>219</v>
      </c>
      <c r="AF142" s="149">
        <v>-3.8985213540493883E-2</v>
      </c>
      <c r="AG142" s="149">
        <v>0.46924116190047288</v>
      </c>
      <c r="AH142" s="149">
        <f t="shared" si="12"/>
        <v>1.5604593560009006E-2</v>
      </c>
      <c r="AI142" s="149">
        <f t="shared" si="13"/>
        <v>5.307363206485026E-2</v>
      </c>
      <c r="AJ142" s="149">
        <v>0.43396217068227877</v>
      </c>
      <c r="AK142" s="149">
        <v>0.38945926980644896</v>
      </c>
      <c r="AL142" s="149">
        <v>1.7375966373939802E-2</v>
      </c>
      <c r="AM142" s="149">
        <v>4.3182032787837846E-2</v>
      </c>
      <c r="AN142" s="149">
        <v>-1.2368314739426334E-2</v>
      </c>
      <c r="AO142">
        <f t="shared" si="14"/>
        <v>1</v>
      </c>
      <c r="AP142" s="149">
        <v>5.1227201080837649E-3</v>
      </c>
      <c r="AQ142" s="149">
        <v>5.4363295535339085E-2</v>
      </c>
      <c r="AR142" s="149">
        <v>0.68897395481498158</v>
      </c>
      <c r="AS142" s="208">
        <v>1954.4128070485967</v>
      </c>
      <c r="AT142" s="149">
        <f t="shared" si="15"/>
        <v>5.2000000000000005E-2</v>
      </c>
      <c r="AU142" s="149">
        <v>0.26</v>
      </c>
      <c r="AV142">
        <v>9.5</v>
      </c>
    </row>
    <row r="143" spans="1:48" x14ac:dyDescent="0.25">
      <c r="A143" t="s">
        <v>259</v>
      </c>
      <c r="B143" s="101">
        <v>314</v>
      </c>
      <c r="C143" s="101">
        <v>7418</v>
      </c>
      <c r="D143" s="101">
        <v>52679</v>
      </c>
      <c r="E143" s="101">
        <v>265</v>
      </c>
      <c r="F143" s="101">
        <v>0</v>
      </c>
      <c r="G143" s="101">
        <v>53894</v>
      </c>
      <c r="H143" s="101">
        <v>0</v>
      </c>
      <c r="I143" s="101">
        <v>1260</v>
      </c>
      <c r="J143" s="101">
        <v>0</v>
      </c>
      <c r="K143" s="101">
        <v>60926</v>
      </c>
      <c r="L143" s="101">
        <v>415</v>
      </c>
      <c r="M143" s="101">
        <v>1456</v>
      </c>
      <c r="N143" s="101">
        <v>113172</v>
      </c>
      <c r="O143" s="101">
        <v>37382</v>
      </c>
      <c r="P143" s="101">
        <v>0</v>
      </c>
      <c r="Q143" s="101">
        <v>24</v>
      </c>
      <c r="R143" s="101">
        <v>0</v>
      </c>
      <c r="S143" s="101">
        <v>19525</v>
      </c>
      <c r="T143" s="101">
        <v>8523</v>
      </c>
      <c r="U143" s="101">
        <v>-88619</v>
      </c>
      <c r="V143" s="101">
        <v>53426</v>
      </c>
      <c r="W143" s="101">
        <v>135552</v>
      </c>
      <c r="X143" s="101">
        <v>123279</v>
      </c>
      <c r="Y143" s="101">
        <v>12273</v>
      </c>
      <c r="Z143" s="101">
        <v>2122</v>
      </c>
      <c r="AA143" s="101">
        <v>11182364.784530386</v>
      </c>
      <c r="AB143" s="101">
        <v>99297</v>
      </c>
      <c r="AC143" s="101">
        <v>79361.67</v>
      </c>
      <c r="AD143" s="101">
        <v>41193</v>
      </c>
      <c r="AE143" t="s">
        <v>259</v>
      </c>
      <c r="AF143" s="149">
        <v>7.9334867799811137E-2</v>
      </c>
      <c r="AG143" s="149">
        <v>-0.65376386921624174</v>
      </c>
      <c r="AH143" s="149">
        <f t="shared" si="12"/>
        <v>0.39758911709159583</v>
      </c>
      <c r="AI143" s="149">
        <f t="shared" si="13"/>
        <v>9.2953257790368265E-3</v>
      </c>
      <c r="AJ143" s="149">
        <v>-0.61255990321057607</v>
      </c>
      <c r="AK143" s="149">
        <v>0.63356958113600481</v>
      </c>
      <c r="AL143" s="149">
        <v>9.054089943342776E-2</v>
      </c>
      <c r="AM143" s="149">
        <v>8.089659996301686E-2</v>
      </c>
      <c r="AN143" s="149">
        <v>-1.4410268830225236E-2</v>
      </c>
      <c r="AO143">
        <f t="shared" si="14"/>
        <v>1</v>
      </c>
      <c r="AP143" s="149">
        <v>1.2882510033050047E-2</v>
      </c>
      <c r="AQ143" s="149">
        <v>8.2495018771618175E-2</v>
      </c>
      <c r="AR143" s="149">
        <v>0.73253806657223797</v>
      </c>
      <c r="AS143" s="208">
        <v>1926.5814580147112</v>
      </c>
      <c r="AT143" s="149">
        <f t="shared" si="15"/>
        <v>4.0300000000000002E-2</v>
      </c>
      <c r="AU143" s="149">
        <v>0.20150000000000001</v>
      </c>
      <c r="AV143">
        <v>9.5</v>
      </c>
    </row>
    <row r="144" spans="1:48" x14ac:dyDescent="0.25">
      <c r="A144" t="s">
        <v>330</v>
      </c>
      <c r="B144" s="101">
        <v>407</v>
      </c>
      <c r="C144" s="101">
        <v>8513</v>
      </c>
      <c r="D144" s="101">
        <v>70215</v>
      </c>
      <c r="E144" s="101">
        <v>5806</v>
      </c>
      <c r="F144" s="101">
        <v>0</v>
      </c>
      <c r="G144" s="101">
        <v>489</v>
      </c>
      <c r="H144" s="101">
        <v>0</v>
      </c>
      <c r="I144" s="101">
        <v>1827</v>
      </c>
      <c r="J144" s="101">
        <v>0</v>
      </c>
      <c r="K144" s="101">
        <v>10594</v>
      </c>
      <c r="L144" s="101">
        <v>8268</v>
      </c>
      <c r="M144" s="101">
        <v>-81</v>
      </c>
      <c r="N144" s="101">
        <v>48427</v>
      </c>
      <c r="O144" s="101">
        <v>13435</v>
      </c>
      <c r="P144" s="101">
        <v>24635</v>
      </c>
      <c r="Q144" s="101">
        <v>-11</v>
      </c>
      <c r="R144" s="101">
        <v>5189</v>
      </c>
      <c r="S144" s="101">
        <v>7403</v>
      </c>
      <c r="T144" s="101">
        <v>6959</v>
      </c>
      <c r="U144" s="101">
        <v>24905</v>
      </c>
      <c r="V144" s="101">
        <v>60037</v>
      </c>
      <c r="W144" s="101">
        <v>96995</v>
      </c>
      <c r="X144" s="101">
        <v>87595</v>
      </c>
      <c r="Y144" s="101">
        <v>9400</v>
      </c>
      <c r="Z144" s="101">
        <v>5150</v>
      </c>
      <c r="AA144" s="101">
        <v>2309956.494692144</v>
      </c>
      <c r="AB144" s="101">
        <v>72270</v>
      </c>
      <c r="AC144" s="101">
        <v>51885.491999999998</v>
      </c>
      <c r="AD144" s="101">
        <v>27330</v>
      </c>
      <c r="AE144" t="s">
        <v>330</v>
      </c>
      <c r="AF144" s="149">
        <v>2.8321047476674056E-2</v>
      </c>
      <c r="AG144" s="149">
        <v>0.25676581267075621</v>
      </c>
      <c r="AH144" s="149">
        <f t="shared" si="12"/>
        <v>5.0414969843806381E-3</v>
      </c>
      <c r="AI144" s="149">
        <f t="shared" si="13"/>
        <v>1.8836022475385329E-2</v>
      </c>
      <c r="AJ144" s="149">
        <v>0.24418557657611215</v>
      </c>
      <c r="AK144" s="149">
        <v>0.45669907673736526</v>
      </c>
      <c r="AL144" s="149">
        <v>9.691221196968916E-2</v>
      </c>
      <c r="AM144" s="149">
        <v>0.14041485482207597</v>
      </c>
      <c r="AN144" s="149">
        <v>5.6328377504848093E-2</v>
      </c>
      <c r="AO144">
        <f t="shared" si="14"/>
        <v>0</v>
      </c>
      <c r="AP144" s="149">
        <v>4.9224186813753283E-2</v>
      </c>
      <c r="AQ144" s="149">
        <v>2.3815212069613321E-2</v>
      </c>
      <c r="AR144" s="149">
        <v>0.74508995309036552</v>
      </c>
      <c r="AS144" s="208">
        <v>1898.4812294182218</v>
      </c>
      <c r="AT144" s="149">
        <f t="shared" si="15"/>
        <v>3.6999999999999998E-2</v>
      </c>
      <c r="AU144" s="149">
        <v>0.185</v>
      </c>
      <c r="AV144">
        <v>9</v>
      </c>
    </row>
    <row r="145" spans="1:48" x14ac:dyDescent="0.25">
      <c r="A145" t="s">
        <v>220</v>
      </c>
      <c r="B145" s="101">
        <v>76</v>
      </c>
      <c r="C145" s="101">
        <v>6998</v>
      </c>
      <c r="D145" s="101">
        <v>56485</v>
      </c>
      <c r="E145" s="101">
        <v>44</v>
      </c>
      <c r="F145" s="101">
        <v>11345</v>
      </c>
      <c r="G145" s="101">
        <v>1260</v>
      </c>
      <c r="H145" s="101">
        <v>4193</v>
      </c>
      <c r="I145" s="101">
        <v>-170</v>
      </c>
      <c r="J145" s="101">
        <v>0</v>
      </c>
      <c r="K145" s="101">
        <v>7740</v>
      </c>
      <c r="L145" s="101">
        <v>18574</v>
      </c>
      <c r="M145" s="101">
        <v>4672</v>
      </c>
      <c r="N145" s="101">
        <v>32746</v>
      </c>
      <c r="O145" s="101">
        <v>25567</v>
      </c>
      <c r="P145" s="101">
        <v>36326</v>
      </c>
      <c r="Q145" s="101">
        <v>6</v>
      </c>
      <c r="R145" s="101">
        <v>0</v>
      </c>
      <c r="S145" s="101">
        <v>6647</v>
      </c>
      <c r="T145" s="101">
        <v>9924</v>
      </c>
      <c r="U145" s="101">
        <v>5119</v>
      </c>
      <c r="V145" s="101">
        <v>68171</v>
      </c>
      <c r="W145" s="101">
        <v>100389</v>
      </c>
      <c r="X145" s="101">
        <v>99648</v>
      </c>
      <c r="Y145" s="101">
        <v>741</v>
      </c>
      <c r="Z145" s="101">
        <v>-2911</v>
      </c>
      <c r="AA145" s="101">
        <v>6171340.1297071129</v>
      </c>
      <c r="AB145" s="101">
        <v>74776</v>
      </c>
      <c r="AC145" s="101">
        <v>65585.244999999995</v>
      </c>
      <c r="AD145" s="101">
        <v>33421</v>
      </c>
      <c r="AE145" t="s">
        <v>220</v>
      </c>
      <c r="AF145" s="149">
        <v>4.4945163314705792E-2</v>
      </c>
      <c r="AG145" s="149">
        <v>5.0991642510633636E-2</v>
      </c>
      <c r="AH145" s="149">
        <f t="shared" si="12"/>
        <v>0.12556156551016545</v>
      </c>
      <c r="AI145" s="149">
        <f t="shared" si="13"/>
        <v>-1.693412624889181E-3</v>
      </c>
      <c r="AJ145" s="149">
        <v>6.7244419209275916E-2</v>
      </c>
      <c r="AK145" s="149">
        <v>0.29443605236656595</v>
      </c>
      <c r="AL145" s="149">
        <v>7.3812867943699014E-3</v>
      </c>
      <c r="AM145" s="149">
        <v>2.9165814651786002E-2</v>
      </c>
      <c r="AN145" s="149">
        <v>-5.8459584078291143E-3</v>
      </c>
      <c r="AO145">
        <f t="shared" si="14"/>
        <v>1</v>
      </c>
      <c r="AP145" s="149">
        <v>-1.1485322097042505E-2</v>
      </c>
      <c r="AQ145" s="149">
        <v>6.1474266400772123E-2</v>
      </c>
      <c r="AR145" s="149">
        <v>0.74486248493360829</v>
      </c>
      <c r="AS145" s="208">
        <v>1962.3962478681067</v>
      </c>
      <c r="AT145" s="149">
        <f t="shared" si="15"/>
        <v>5.7399999999999993E-2</v>
      </c>
      <c r="AU145" s="149">
        <v>0.28699999999999998</v>
      </c>
      <c r="AV145">
        <v>9</v>
      </c>
    </row>
    <row r="146" spans="1:48" x14ac:dyDescent="0.25">
      <c r="A146" t="s">
        <v>297</v>
      </c>
      <c r="B146" s="101">
        <v>0</v>
      </c>
      <c r="C146" s="101">
        <v>2930</v>
      </c>
      <c r="D146" s="101">
        <v>72788</v>
      </c>
      <c r="E146" s="101">
        <v>5445</v>
      </c>
      <c r="F146" s="101">
        <v>2745</v>
      </c>
      <c r="G146" s="101">
        <v>5634</v>
      </c>
      <c r="H146" s="101">
        <v>0</v>
      </c>
      <c r="I146" s="101">
        <v>9661</v>
      </c>
      <c r="J146" s="101">
        <v>4</v>
      </c>
      <c r="K146" s="101">
        <v>2483</v>
      </c>
      <c r="L146" s="101">
        <v>-2221</v>
      </c>
      <c r="M146" s="101">
        <v>18343</v>
      </c>
      <c r="N146" s="101">
        <v>49434</v>
      </c>
      <c r="O146" s="101">
        <v>17181</v>
      </c>
      <c r="P146" s="101">
        <v>40186</v>
      </c>
      <c r="Q146" s="101">
        <v>0</v>
      </c>
      <c r="R146" s="101">
        <v>0</v>
      </c>
      <c r="S146" s="101">
        <v>3618</v>
      </c>
      <c r="T146" s="101">
        <v>7391</v>
      </c>
      <c r="U146" s="101">
        <v>24211</v>
      </c>
      <c r="V146" s="101">
        <v>64992</v>
      </c>
      <c r="W146" s="101">
        <v>81165</v>
      </c>
      <c r="X146" s="101">
        <v>76535</v>
      </c>
      <c r="Y146" s="101">
        <v>4630</v>
      </c>
      <c r="Z146" s="101">
        <v>2338</v>
      </c>
      <c r="AA146" s="101">
        <v>5176705.3054003716</v>
      </c>
      <c r="AB146" s="101">
        <v>55924</v>
      </c>
      <c r="AC146" s="101">
        <v>47910.936000000002</v>
      </c>
      <c r="AD146" s="101">
        <v>29168</v>
      </c>
      <c r="AE146" t="s">
        <v>297</v>
      </c>
      <c r="AF146" s="149">
        <v>4.4625146306905686E-2</v>
      </c>
      <c r="AG146" s="149">
        <v>0.29829359945789441</v>
      </c>
      <c r="AH146" s="149">
        <f t="shared" si="12"/>
        <v>0.10323415265200517</v>
      </c>
      <c r="AI146" s="149">
        <f t="shared" si="13"/>
        <v>0.11907842050144767</v>
      </c>
      <c r="AJ146" s="149">
        <v>0.22732680342512168</v>
      </c>
      <c r="AK146" s="149">
        <v>0.41960784313725491</v>
      </c>
      <c r="AL146" s="149">
        <v>5.704429249060556E-2</v>
      </c>
      <c r="AM146" s="149">
        <v>0.11102031922427412</v>
      </c>
      <c r="AN146" s="149">
        <v>7.1515936398302032E-2</v>
      </c>
      <c r="AO146">
        <f t="shared" si="14"/>
        <v>0</v>
      </c>
      <c r="AP146" s="149">
        <v>3.3037639376578574E-2</v>
      </c>
      <c r="AQ146" s="149">
        <v>6.3780019779466166E-2</v>
      </c>
      <c r="AR146" s="149">
        <v>0.68901620156471388</v>
      </c>
      <c r="AS146" s="208">
        <v>1642.5855732309381</v>
      </c>
      <c r="AT146" s="149">
        <f t="shared" si="15"/>
        <v>4.7899999999999998E-2</v>
      </c>
      <c r="AU146" s="149">
        <v>0.23949999999999999</v>
      </c>
      <c r="AV146">
        <v>9</v>
      </c>
    </row>
    <row r="147" spans="1:48" x14ac:dyDescent="0.25">
      <c r="A147" t="s">
        <v>149</v>
      </c>
      <c r="B147" s="101">
        <v>21673</v>
      </c>
      <c r="C147" s="101">
        <v>41154</v>
      </c>
      <c r="D147" s="101">
        <v>125419</v>
      </c>
      <c r="E147" s="101">
        <v>382</v>
      </c>
      <c r="F147" s="101">
        <v>705</v>
      </c>
      <c r="G147" s="101">
        <v>15695</v>
      </c>
      <c r="H147" s="101">
        <v>0</v>
      </c>
      <c r="I147" s="101">
        <v>22116</v>
      </c>
      <c r="J147" s="101">
        <v>16089</v>
      </c>
      <c r="K147" s="101">
        <v>33490</v>
      </c>
      <c r="L147" s="101">
        <v>13</v>
      </c>
      <c r="M147" s="101">
        <v>11198</v>
      </c>
      <c r="N147" s="101">
        <v>89577</v>
      </c>
      <c r="O147" s="101">
        <v>46188</v>
      </c>
      <c r="P147" s="101">
        <v>94348</v>
      </c>
      <c r="Q147" s="101">
        <v>0</v>
      </c>
      <c r="R147" s="101">
        <v>-543</v>
      </c>
      <c r="S147" s="101">
        <v>13442</v>
      </c>
      <c r="T147" s="101">
        <v>44921</v>
      </c>
      <c r="U147" s="101">
        <v>91067</v>
      </c>
      <c r="V147" s="101">
        <v>144116</v>
      </c>
      <c r="W147" s="101">
        <v>207193</v>
      </c>
      <c r="X147" s="101">
        <v>194544</v>
      </c>
      <c r="Y147" s="101">
        <v>12649</v>
      </c>
      <c r="Z147" s="101">
        <v>23349</v>
      </c>
      <c r="AA147" s="101">
        <v>3498158.9723154362</v>
      </c>
      <c r="AB147" s="101">
        <v>146738</v>
      </c>
      <c r="AC147" s="101">
        <v>128407.179</v>
      </c>
      <c r="AD147" s="101">
        <v>56177</v>
      </c>
      <c r="AE147" t="s">
        <v>149</v>
      </c>
      <c r="AF147" s="149">
        <v>0</v>
      </c>
      <c r="AG147" s="149">
        <v>0</v>
      </c>
      <c r="AH147" s="149">
        <f t="shared" si="12"/>
        <v>7.915325324697263E-2</v>
      </c>
      <c r="AI147" s="149">
        <f t="shared" si="13"/>
        <v>0.18439329514027983</v>
      </c>
      <c r="AJ147" s="149">
        <v>-0.11957691620855916</v>
      </c>
      <c r="AK147" s="149">
        <v>0.193</v>
      </c>
      <c r="AL147" s="149">
        <v>0</v>
      </c>
      <c r="AM147" s="149">
        <v>8.2709166737594694E-2</v>
      </c>
      <c r="AN147" s="149">
        <v>0.12030450829653962</v>
      </c>
      <c r="AO147">
        <f t="shared" si="14"/>
        <v>0</v>
      </c>
      <c r="AP147" s="149">
        <v>5.3247455271172292E-2</v>
      </c>
      <c r="AQ147" s="149">
        <v>1.6883577014259344E-2</v>
      </c>
      <c r="AR147" s="149">
        <v>0.70821890700940671</v>
      </c>
      <c r="AS147" s="208">
        <v>2285.7607027787171</v>
      </c>
      <c r="AT147" s="149">
        <f t="shared" si="15"/>
        <v>4.1700000000000001E-2</v>
      </c>
      <c r="AU147" s="149">
        <v>0.20850000000000002</v>
      </c>
      <c r="AV147">
        <v>8</v>
      </c>
    </row>
    <row r="148" spans="1:48" x14ac:dyDescent="0.25">
      <c r="A148" t="s">
        <v>331</v>
      </c>
      <c r="B148" s="101">
        <v>1082</v>
      </c>
      <c r="C148" s="101">
        <v>9609</v>
      </c>
      <c r="D148" s="101">
        <v>55222</v>
      </c>
      <c r="E148" s="101">
        <v>2514</v>
      </c>
      <c r="F148" s="101">
        <v>0</v>
      </c>
      <c r="G148" s="101">
        <v>1490</v>
      </c>
      <c r="H148" s="101">
        <v>0</v>
      </c>
      <c r="I148" s="101">
        <v>3976</v>
      </c>
      <c r="J148" s="101">
        <v>0</v>
      </c>
      <c r="K148" s="101">
        <v>11638</v>
      </c>
      <c r="L148" s="101">
        <v>-2066</v>
      </c>
      <c r="M148" s="101">
        <v>1865</v>
      </c>
      <c r="N148" s="101">
        <v>30981</v>
      </c>
      <c r="O148" s="101">
        <v>3458</v>
      </c>
      <c r="P148" s="101">
        <v>44080</v>
      </c>
      <c r="Q148" s="101">
        <v>1</v>
      </c>
      <c r="R148" s="101">
        <v>0</v>
      </c>
      <c r="S148" s="101">
        <v>3043</v>
      </c>
      <c r="T148" s="101">
        <v>3773</v>
      </c>
      <c r="U148" s="101">
        <v>37970</v>
      </c>
      <c r="V148" s="101">
        <v>49144</v>
      </c>
      <c r="W148" s="101">
        <v>44352</v>
      </c>
      <c r="X148" s="101">
        <v>41856</v>
      </c>
      <c r="Y148" s="101">
        <v>2496</v>
      </c>
      <c r="Z148" s="101">
        <v>974</v>
      </c>
      <c r="AA148" s="101">
        <v>1284442.722014925</v>
      </c>
      <c r="AB148" s="101">
        <v>29377</v>
      </c>
      <c r="AC148" s="101">
        <v>24359.597999999998</v>
      </c>
      <c r="AD148" s="101">
        <v>13009</v>
      </c>
      <c r="AE148" t="s">
        <v>331</v>
      </c>
      <c r="AF148" s="149">
        <v>-2.7822871572871572E-2</v>
      </c>
      <c r="AG148" s="149">
        <v>0.85610569985569984</v>
      </c>
      <c r="AH148" s="149">
        <f t="shared" si="12"/>
        <v>3.3594877344877344E-2</v>
      </c>
      <c r="AI148" s="149">
        <f t="shared" si="13"/>
        <v>8.9646464646464641E-2</v>
      </c>
      <c r="AJ148" s="149">
        <v>0.79738455988455981</v>
      </c>
      <c r="AK148" s="149">
        <v>0.36304724852348363</v>
      </c>
      <c r="AL148" s="149">
        <v>5.627705627705628E-2</v>
      </c>
      <c r="AM148" s="149">
        <v>0.11978986659293564</v>
      </c>
      <c r="AN148" s="149">
        <v>-7.9411356379286407E-3</v>
      </c>
      <c r="AO148">
        <f t="shared" si="14"/>
        <v>1</v>
      </c>
      <c r="AP148" s="149">
        <v>9.4522231240981247E-2</v>
      </c>
      <c r="AQ148" s="149">
        <v>2.8960198458128718E-2</v>
      </c>
      <c r="AR148" s="149">
        <v>0.66236020923520922</v>
      </c>
      <c r="AS148" s="208">
        <v>1872.5188715504651</v>
      </c>
      <c r="AT148" s="149">
        <f t="shared" si="15"/>
        <v>4.7600000000000003E-2</v>
      </c>
      <c r="AU148" s="149">
        <v>0.23800000000000002</v>
      </c>
      <c r="AV148">
        <v>9</v>
      </c>
    </row>
    <row r="149" spans="1:48" x14ac:dyDescent="0.25">
      <c r="A149" t="s">
        <v>298</v>
      </c>
      <c r="B149" s="101">
        <v>662</v>
      </c>
      <c r="C149" s="101">
        <v>20348</v>
      </c>
      <c r="D149" s="101">
        <v>224292</v>
      </c>
      <c r="E149" s="101">
        <v>5240</v>
      </c>
      <c r="F149" s="101">
        <v>469</v>
      </c>
      <c r="G149" s="101">
        <v>23660</v>
      </c>
      <c r="H149" s="101">
        <v>0</v>
      </c>
      <c r="I149" s="101">
        <v>20617</v>
      </c>
      <c r="J149" s="101">
        <v>2238</v>
      </c>
      <c r="K149" s="101">
        <v>26020</v>
      </c>
      <c r="L149" s="101">
        <v>24188</v>
      </c>
      <c r="M149" s="101">
        <v>6061</v>
      </c>
      <c r="N149" s="101">
        <v>101222</v>
      </c>
      <c r="O149" s="101">
        <v>13004</v>
      </c>
      <c r="P149" s="101">
        <v>197002</v>
      </c>
      <c r="Q149" s="101">
        <v>44</v>
      </c>
      <c r="R149" s="101">
        <v>0</v>
      </c>
      <c r="S149" s="101">
        <v>11703</v>
      </c>
      <c r="T149" s="101">
        <v>30817</v>
      </c>
      <c r="U149" s="101">
        <v>159168</v>
      </c>
      <c r="V149" s="101">
        <v>202925</v>
      </c>
      <c r="W149" s="101">
        <v>209351</v>
      </c>
      <c r="X149" s="101">
        <v>213899</v>
      </c>
      <c r="Y149" s="101">
        <v>-4548</v>
      </c>
      <c r="Z149" s="101">
        <v>16588</v>
      </c>
      <c r="AA149" s="101">
        <v>5112079.6000000015</v>
      </c>
      <c r="AB149" s="101">
        <v>146240</v>
      </c>
      <c r="AC149" s="101">
        <v>136610.421</v>
      </c>
      <c r="AD149" s="101">
        <v>66966</v>
      </c>
      <c r="AE149" t="s">
        <v>298</v>
      </c>
      <c r="AF149" s="149">
        <v>-8.8449541678807364E-2</v>
      </c>
      <c r="AG149" s="149">
        <v>0.76029252308324302</v>
      </c>
      <c r="AH149" s="149">
        <f t="shared" si="12"/>
        <v>0.11525619653118448</v>
      </c>
      <c r="AI149" s="149">
        <f t="shared" si="13"/>
        <v>0.10917072285300763</v>
      </c>
      <c r="AJ149" s="149">
        <v>0.69770376066987982</v>
      </c>
      <c r="AK149" s="149">
        <v>0.28610596056439941</v>
      </c>
      <c r="AL149" s="149">
        <v>-2.1724281231042603E-2</v>
      </c>
      <c r="AM149" s="149">
        <v>3.9425803699149248E-2</v>
      </c>
      <c r="AN149" s="149">
        <v>1.9741418334787073E-2</v>
      </c>
      <c r="AO149">
        <f t="shared" si="14"/>
        <v>1</v>
      </c>
      <c r="AP149" s="149">
        <v>5.060520370096154E-2</v>
      </c>
      <c r="AQ149" s="149">
        <v>2.4418701606393096E-2</v>
      </c>
      <c r="AR149" s="149">
        <v>0.69853977291725378</v>
      </c>
      <c r="AS149" s="208">
        <v>2039.9967296837201</v>
      </c>
      <c r="AT149" s="149">
        <f t="shared" si="15"/>
        <v>5.4100000000000002E-2</v>
      </c>
      <c r="AU149" s="149">
        <v>0.27050000000000002</v>
      </c>
      <c r="AV149">
        <v>7.5</v>
      </c>
    </row>
    <row r="150" spans="1:48" x14ac:dyDescent="0.25">
      <c r="A150" t="s">
        <v>407</v>
      </c>
      <c r="B150" s="101">
        <v>7544</v>
      </c>
      <c r="C150" s="101">
        <v>13775</v>
      </c>
      <c r="D150" s="101">
        <v>148551</v>
      </c>
      <c r="E150" s="101">
        <v>5782</v>
      </c>
      <c r="F150" s="101">
        <v>20860</v>
      </c>
      <c r="G150" s="101">
        <v>8679</v>
      </c>
      <c r="H150" s="101">
        <v>0</v>
      </c>
      <c r="I150" s="101">
        <v>1070</v>
      </c>
      <c r="J150" s="101">
        <v>144</v>
      </c>
      <c r="K150" s="101">
        <v>18762</v>
      </c>
      <c r="L150" s="101">
        <v>17050</v>
      </c>
      <c r="M150" s="101">
        <v>9319</v>
      </c>
      <c r="N150" s="101">
        <v>55354</v>
      </c>
      <c r="O150" s="101">
        <v>9997</v>
      </c>
      <c r="P150" s="101">
        <v>144234</v>
      </c>
      <c r="Q150" s="101">
        <v>0</v>
      </c>
      <c r="R150" s="101">
        <v>87</v>
      </c>
      <c r="S150" s="101">
        <v>10097</v>
      </c>
      <c r="T150" s="101">
        <v>31767</v>
      </c>
      <c r="U150" s="101">
        <v>111515</v>
      </c>
      <c r="V150" s="101">
        <v>137634</v>
      </c>
      <c r="W150" s="101">
        <v>224457</v>
      </c>
      <c r="X150" s="101">
        <v>220004</v>
      </c>
      <c r="Y150" s="101">
        <v>4453</v>
      </c>
      <c r="Z150" s="101">
        <v>2838</v>
      </c>
      <c r="AA150" s="101">
        <v>-3246365.6074637175</v>
      </c>
      <c r="AB150" s="101">
        <v>178685</v>
      </c>
      <c r="AC150" s="101">
        <v>126089.712</v>
      </c>
      <c r="AD150" s="101">
        <v>45311</v>
      </c>
      <c r="AE150" t="s">
        <v>407</v>
      </c>
      <c r="AF150" s="149">
        <v>1.2429997727849878E-3</v>
      </c>
      <c r="AG150" s="149">
        <v>0.4968212174269459</v>
      </c>
      <c r="AH150" s="149">
        <f t="shared" si="12"/>
        <v>0.1316020440440708</v>
      </c>
      <c r="AI150" s="149">
        <f t="shared" si="13"/>
        <v>5.408608330326076E-3</v>
      </c>
      <c r="AJ150" s="149">
        <v>0.50882743688100618</v>
      </c>
      <c r="AK150" s="149">
        <v>0.22006392723109217</v>
      </c>
      <c r="AL150" s="149">
        <v>1.9838989205059322E-2</v>
      </c>
      <c r="AM150" s="149">
        <v>4.6096471300923821E-2</v>
      </c>
      <c r="AN150" s="149">
        <v>4.8662819558203028E-2</v>
      </c>
      <c r="AO150">
        <f t="shared" si="14"/>
        <v>0</v>
      </c>
      <c r="AP150" s="149">
        <v>3.5904427128581419E-2</v>
      </c>
      <c r="AQ150" s="149">
        <v>-1.4481713018975408E-2</v>
      </c>
      <c r="AR150" s="149">
        <v>0.79709595396350985</v>
      </c>
      <c r="AS150" s="208">
        <v>2782.7616252124208</v>
      </c>
      <c r="AT150" s="149">
        <f t="shared" si="15"/>
        <v>4.4200000000000003E-2</v>
      </c>
      <c r="AU150" s="149">
        <v>0.22100000000000003</v>
      </c>
      <c r="AV150">
        <v>8.5</v>
      </c>
    </row>
    <row r="151" spans="1:48" x14ac:dyDescent="0.25">
      <c r="A151" t="s">
        <v>260</v>
      </c>
      <c r="B151" s="101">
        <v>607</v>
      </c>
      <c r="C151" s="101">
        <v>6307</v>
      </c>
      <c r="D151" s="101">
        <v>55958</v>
      </c>
      <c r="E151" s="101">
        <v>119</v>
      </c>
      <c r="F151" s="101">
        <v>0</v>
      </c>
      <c r="G151" s="101">
        <v>5816</v>
      </c>
      <c r="H151" s="101">
        <v>0</v>
      </c>
      <c r="I151" s="101">
        <v>2950</v>
      </c>
      <c r="J151" s="101">
        <v>0</v>
      </c>
      <c r="K151" s="101">
        <v>12212</v>
      </c>
      <c r="L151" s="101">
        <v>6053</v>
      </c>
      <c r="M151" s="101">
        <v>95</v>
      </c>
      <c r="N151" s="101">
        <v>50579</v>
      </c>
      <c r="O151" s="101">
        <v>14476</v>
      </c>
      <c r="P151" s="101">
        <v>11644</v>
      </c>
      <c r="Q151" s="101">
        <v>219</v>
      </c>
      <c r="R151" s="101">
        <v>0</v>
      </c>
      <c r="S151" s="101">
        <v>13196</v>
      </c>
      <c r="T151" s="101">
        <v>0</v>
      </c>
      <c r="U151" s="101">
        <v>883</v>
      </c>
      <c r="V151" s="101">
        <v>58410</v>
      </c>
      <c r="W151" s="101">
        <v>88835</v>
      </c>
      <c r="X151" s="101">
        <v>79850</v>
      </c>
      <c r="Y151" s="101">
        <v>8985</v>
      </c>
      <c r="Z151" s="101">
        <v>1511</v>
      </c>
      <c r="AA151" s="101">
        <v>3045649.1140065147</v>
      </c>
      <c r="AB151" s="101">
        <v>46569</v>
      </c>
      <c r="AC151" s="101">
        <v>54316.459000000003</v>
      </c>
      <c r="AD151" s="101">
        <v>23587</v>
      </c>
      <c r="AE151" t="s">
        <v>260</v>
      </c>
      <c r="AF151" s="149">
        <v>5.9796251477458207E-2</v>
      </c>
      <c r="AG151" s="149">
        <v>9.939775989193449E-3</v>
      </c>
      <c r="AH151" s="149">
        <f t="shared" si="12"/>
        <v>6.5469691000168848E-2</v>
      </c>
      <c r="AI151" s="149">
        <f t="shared" si="13"/>
        <v>3.3207632126976978E-2</v>
      </c>
      <c r="AJ151" s="149">
        <v>-5.4492035796701727E-3</v>
      </c>
      <c r="AK151" s="149">
        <v>0.56127793683556382</v>
      </c>
      <c r="AL151" s="149">
        <v>0.10114256768165701</v>
      </c>
      <c r="AM151" s="149">
        <v>3.2608695652173912E-2</v>
      </c>
      <c r="AN151" s="149">
        <v>-5.9031153253667951E-2</v>
      </c>
      <c r="AO151">
        <f t="shared" si="14"/>
        <v>1</v>
      </c>
      <c r="AP151" s="149">
        <v>1.2556987673777227E-2</v>
      </c>
      <c r="AQ151" s="149">
        <v>3.4284337412129391E-2</v>
      </c>
      <c r="AR151" s="149">
        <v>0.52421905780379352</v>
      </c>
      <c r="AS151" s="208">
        <v>2302.8133717725864</v>
      </c>
      <c r="AT151" s="149">
        <f t="shared" si="15"/>
        <v>2.8899999999999999E-2</v>
      </c>
      <c r="AU151" s="149">
        <v>0.14449999999999999</v>
      </c>
      <c r="AV151">
        <v>8.5</v>
      </c>
    </row>
    <row r="152" spans="1:48" x14ac:dyDescent="0.25">
      <c r="A152" t="s">
        <v>299</v>
      </c>
      <c r="B152" s="101">
        <v>0</v>
      </c>
      <c r="C152" s="101">
        <v>4155</v>
      </c>
      <c r="D152" s="101">
        <v>87183</v>
      </c>
      <c r="E152" s="101">
        <v>3626</v>
      </c>
      <c r="F152" s="101">
        <v>97</v>
      </c>
      <c r="G152" s="101">
        <v>12508</v>
      </c>
      <c r="H152" s="101">
        <v>0</v>
      </c>
      <c r="I152" s="101">
        <v>7160</v>
      </c>
      <c r="J152" s="101">
        <v>0</v>
      </c>
      <c r="K152" s="101">
        <v>11237</v>
      </c>
      <c r="L152" s="101">
        <v>17373</v>
      </c>
      <c r="M152" s="101">
        <v>6306</v>
      </c>
      <c r="N152" s="101">
        <v>63687</v>
      </c>
      <c r="O152" s="101">
        <v>10972</v>
      </c>
      <c r="P152" s="101">
        <v>55743</v>
      </c>
      <c r="Q152" s="101">
        <v>12</v>
      </c>
      <c r="R152" s="101">
        <v>0</v>
      </c>
      <c r="S152" s="101">
        <v>9394</v>
      </c>
      <c r="T152" s="101">
        <v>9838</v>
      </c>
      <c r="U152" s="101">
        <v>27466</v>
      </c>
      <c r="V152" s="101">
        <v>59126</v>
      </c>
      <c r="W152" s="101">
        <v>99392</v>
      </c>
      <c r="X152" s="101">
        <v>96365</v>
      </c>
      <c r="Y152" s="101">
        <v>3027</v>
      </c>
      <c r="Z152" s="101">
        <v>6953</v>
      </c>
      <c r="AA152" s="101">
        <v>3060582.7021739129</v>
      </c>
      <c r="AB152" s="101">
        <v>75209</v>
      </c>
      <c r="AC152" s="101">
        <v>58264.502</v>
      </c>
      <c r="AD152" s="101">
        <v>29626</v>
      </c>
      <c r="AE152" t="s">
        <v>299</v>
      </c>
      <c r="AF152" s="149">
        <v>-3.8031229877656149E-2</v>
      </c>
      <c r="AG152" s="149">
        <v>0.27634014810045077</v>
      </c>
      <c r="AH152" s="149">
        <f t="shared" si="12"/>
        <v>0.12682107211848037</v>
      </c>
      <c r="AI152" s="149">
        <f t="shared" si="13"/>
        <v>7.2037990985189954E-2</v>
      </c>
      <c r="AJ152" s="149">
        <v>0.24113208306503542</v>
      </c>
      <c r="AK152" s="149">
        <v>0.42558437913475805</v>
      </c>
      <c r="AL152" s="149">
        <v>3.0455167417900837E-2</v>
      </c>
      <c r="AM152" s="149">
        <v>0.12709451027656601</v>
      </c>
      <c r="AN152" s="149">
        <v>4.3794974219502521E-2</v>
      </c>
      <c r="AO152">
        <f t="shared" si="14"/>
        <v>0</v>
      </c>
      <c r="AP152" s="149">
        <v>8.1022617514488082E-2</v>
      </c>
      <c r="AQ152" s="149">
        <v>3.0793048758188918E-2</v>
      </c>
      <c r="AR152" s="149">
        <v>0.75669067933032841</v>
      </c>
      <c r="AS152" s="208">
        <v>1966.6678593127658</v>
      </c>
      <c r="AT152" s="149">
        <f t="shared" si="15"/>
        <v>4.8300000000000003E-2</v>
      </c>
      <c r="AU152" s="149">
        <v>0.24150000000000002</v>
      </c>
      <c r="AV152">
        <v>8.5</v>
      </c>
    </row>
    <row r="153" spans="1:48" x14ac:dyDescent="0.25">
      <c r="A153" t="s">
        <v>474</v>
      </c>
      <c r="B153" s="101">
        <v>3444</v>
      </c>
      <c r="C153" s="101">
        <v>10098</v>
      </c>
      <c r="D153" s="101">
        <v>135403</v>
      </c>
      <c r="E153" s="101">
        <v>4330</v>
      </c>
      <c r="F153" s="101">
        <v>20</v>
      </c>
      <c r="G153" s="101">
        <v>8563</v>
      </c>
      <c r="H153" s="101">
        <v>30</v>
      </c>
      <c r="I153" s="101">
        <v>-361</v>
      </c>
      <c r="J153" s="101">
        <v>2359</v>
      </c>
      <c r="K153" s="101">
        <v>7478</v>
      </c>
      <c r="L153" s="101">
        <v>54283</v>
      </c>
      <c r="M153" s="101">
        <v>22270</v>
      </c>
      <c r="N153" s="101">
        <v>93726</v>
      </c>
      <c r="O153" s="101">
        <v>40063</v>
      </c>
      <c r="P153" s="101">
        <v>89925</v>
      </c>
      <c r="Q153" s="101">
        <v>0</v>
      </c>
      <c r="R153" s="101">
        <v>0</v>
      </c>
      <c r="S153" s="101">
        <v>12254</v>
      </c>
      <c r="T153" s="101">
        <v>11951</v>
      </c>
      <c r="U153" s="101">
        <v>21486</v>
      </c>
      <c r="V153" s="101">
        <v>128777</v>
      </c>
      <c r="W153" s="101">
        <v>181873</v>
      </c>
      <c r="X153" s="101">
        <v>175041</v>
      </c>
      <c r="Y153" s="101">
        <v>6832</v>
      </c>
      <c r="Z153" s="101">
        <v>5964</v>
      </c>
      <c r="AA153" s="101">
        <v>7026191.4804705866</v>
      </c>
      <c r="AB153" s="101">
        <v>127691</v>
      </c>
      <c r="AC153" s="101">
        <v>112383.292</v>
      </c>
      <c r="AD153" s="101">
        <v>57785</v>
      </c>
      <c r="AE153" t="s">
        <v>474</v>
      </c>
      <c r="AF153" s="149">
        <v>2.9861496758727242E-2</v>
      </c>
      <c r="AG153" s="149">
        <v>0.11813738157945379</v>
      </c>
      <c r="AH153" s="149">
        <f t="shared" si="12"/>
        <v>4.7192271530133667E-2</v>
      </c>
      <c r="AI153" s="149">
        <f t="shared" si="13"/>
        <v>1.098568781512374E-2</v>
      </c>
      <c r="AJ153" s="149">
        <v>0.1161104726924832</v>
      </c>
      <c r="AK153" s="149">
        <v>0.37805089565543587</v>
      </c>
      <c r="AL153" s="149">
        <v>3.7564674250713408E-2</v>
      </c>
      <c r="AM153" s="149">
        <v>4.4414862183295281E-2</v>
      </c>
      <c r="AN153" s="149">
        <v>-1.4267491850522038E-2</v>
      </c>
      <c r="AO153">
        <f t="shared" si="14"/>
        <v>1</v>
      </c>
      <c r="AP153" s="149">
        <v>2.7722641623550499E-2</v>
      </c>
      <c r="AQ153" s="149">
        <v>3.8687073167950989E-2</v>
      </c>
      <c r="AR153" s="149">
        <v>0.70308232754823363</v>
      </c>
      <c r="AS153" s="208">
        <v>1944.8523319200485</v>
      </c>
      <c r="AT153" s="149">
        <f t="shared" si="15"/>
        <v>5.1000000000000004E-2</v>
      </c>
      <c r="AU153" s="149">
        <v>0.255</v>
      </c>
      <c r="AV153">
        <v>10</v>
      </c>
    </row>
    <row r="154" spans="1:48" x14ac:dyDescent="0.25">
      <c r="A154" t="s">
        <v>373</v>
      </c>
      <c r="B154" s="101">
        <v>64</v>
      </c>
      <c r="C154" s="101">
        <v>5338</v>
      </c>
      <c r="D154" s="101">
        <v>49268</v>
      </c>
      <c r="E154" s="101">
        <v>54</v>
      </c>
      <c r="F154" s="101">
        <v>0</v>
      </c>
      <c r="G154" s="101">
        <v>41</v>
      </c>
      <c r="H154" s="101">
        <v>1752</v>
      </c>
      <c r="I154" s="101">
        <v>6939</v>
      </c>
      <c r="J154" s="101">
        <v>5440</v>
      </c>
      <c r="K154" s="101">
        <v>8958</v>
      </c>
      <c r="L154" s="101">
        <v>10661</v>
      </c>
      <c r="M154" s="101">
        <v>6684</v>
      </c>
      <c r="N154" s="101">
        <v>58123</v>
      </c>
      <c r="O154" s="101">
        <v>9740</v>
      </c>
      <c r="P154" s="101">
        <v>13250</v>
      </c>
      <c r="Q154" s="101">
        <v>8</v>
      </c>
      <c r="R154" s="101">
        <v>0</v>
      </c>
      <c r="S154" s="101">
        <v>7118</v>
      </c>
      <c r="T154" s="101">
        <v>6960</v>
      </c>
      <c r="U154" s="101">
        <v>-760</v>
      </c>
      <c r="V154" s="101">
        <v>51271</v>
      </c>
      <c r="W154" s="101">
        <v>71570</v>
      </c>
      <c r="X154" s="101">
        <v>68973</v>
      </c>
      <c r="Y154" s="101">
        <v>2597</v>
      </c>
      <c r="Z154" s="101">
        <v>2347</v>
      </c>
      <c r="AA154" s="101">
        <v>2344011.1914672218</v>
      </c>
      <c r="AB154" s="101">
        <v>48506</v>
      </c>
      <c r="AC154" s="101">
        <v>47480.705000000002</v>
      </c>
      <c r="AD154" s="101">
        <v>23220</v>
      </c>
      <c r="AE154" t="s">
        <v>373</v>
      </c>
      <c r="AF154" s="149">
        <v>8.5301103814447388E-2</v>
      </c>
      <c r="AG154" s="149">
        <v>-1.0730753108844488E-2</v>
      </c>
      <c r="AH154" s="149">
        <f t="shared" si="12"/>
        <v>5.7286572586279162E-4</v>
      </c>
      <c r="AI154" s="149">
        <f t="shared" si="13"/>
        <v>0.17296353220623167</v>
      </c>
      <c r="AJ154" s="149">
        <v>-0.13173648176610311</v>
      </c>
      <c r="AK154" s="149">
        <v>0.61054212754335657</v>
      </c>
      <c r="AL154" s="149">
        <v>3.6286153416235853E-2</v>
      </c>
      <c r="AM154" s="149">
        <v>0.10448782764252935</v>
      </c>
      <c r="AN154" s="149">
        <v>6.2886186964321314E-2</v>
      </c>
      <c r="AO154">
        <f t="shared" si="14"/>
        <v>0</v>
      </c>
      <c r="AP154" s="149">
        <v>1.1872991476875787E-2</v>
      </c>
      <c r="AQ154" s="149">
        <v>3.2751309088545788E-2</v>
      </c>
      <c r="AR154" s="149">
        <v>0.67774207070001402</v>
      </c>
      <c r="AS154" s="208">
        <v>2044.8193367786391</v>
      </c>
      <c r="AT154" s="149">
        <f t="shared" si="15"/>
        <v>4.6600000000000003E-2</v>
      </c>
      <c r="AU154" s="149">
        <v>0.23300000000000001</v>
      </c>
      <c r="AV154">
        <v>9.5</v>
      </c>
    </row>
    <row r="155" spans="1:48" x14ac:dyDescent="0.25">
      <c r="A155" t="s">
        <v>408</v>
      </c>
      <c r="B155" s="101">
        <v>31</v>
      </c>
      <c r="C155" s="101">
        <v>5339</v>
      </c>
      <c r="D155" s="101">
        <v>125628</v>
      </c>
      <c r="E155" s="101">
        <v>803</v>
      </c>
      <c r="F155" s="101">
        <v>2038</v>
      </c>
      <c r="G155" s="101">
        <v>9371</v>
      </c>
      <c r="H155" s="101">
        <v>0</v>
      </c>
      <c r="I155" s="101">
        <v>240</v>
      </c>
      <c r="J155" s="101">
        <v>7</v>
      </c>
      <c r="K155" s="101">
        <v>11510</v>
      </c>
      <c r="L155" s="101">
        <v>21917</v>
      </c>
      <c r="M155" s="101">
        <v>6470</v>
      </c>
      <c r="N155" s="101">
        <v>58031</v>
      </c>
      <c r="O155" s="101">
        <v>23576</v>
      </c>
      <c r="P155" s="101">
        <v>71597</v>
      </c>
      <c r="Q155" s="101">
        <v>22</v>
      </c>
      <c r="R155" s="101">
        <v>0</v>
      </c>
      <c r="S155" s="101">
        <v>9337</v>
      </c>
      <c r="T155" s="101">
        <v>20791</v>
      </c>
      <c r="U155" s="187">
        <v>50441</v>
      </c>
      <c r="V155" s="101">
        <v>81956</v>
      </c>
      <c r="W155" s="101">
        <v>155053</v>
      </c>
      <c r="X155" s="101">
        <v>152945</v>
      </c>
      <c r="Y155" s="101">
        <v>2108</v>
      </c>
      <c r="Z155" s="187">
        <v>23212</v>
      </c>
      <c r="AA155" s="187">
        <v>1049569.3389830515</v>
      </c>
      <c r="AB155" s="101">
        <v>116851</v>
      </c>
      <c r="AC155" s="101">
        <v>102265.246</v>
      </c>
      <c r="AD155" s="101">
        <v>37112</v>
      </c>
      <c r="AE155" t="s">
        <v>408</v>
      </c>
      <c r="AF155" s="149">
        <v>-0.12403500738457172</v>
      </c>
      <c r="AG155" s="149">
        <f>U155/W155</f>
        <v>0.32531456985675866</v>
      </c>
      <c r="AH155" s="149">
        <f>SUM(F155,G155)/W155</f>
        <v>7.3581291558370357E-2</v>
      </c>
      <c r="AI155" s="149">
        <f>SUM(I155,J155)/W155</f>
        <v>1.593003682611752E-3</v>
      </c>
      <c r="AJ155" s="149">
        <f>SUM(AG155,-0.12*AH155,0.7*AI155)</f>
        <v>0.31759991744758242</v>
      </c>
      <c r="AK155" s="149">
        <v>0.31649704942351953</v>
      </c>
      <c r="AL155" s="149">
        <f>Y155/W155</f>
        <v>1.3595351266986128E-2</v>
      </c>
      <c r="AM155" s="149">
        <v>3.1866943750175521E-2</v>
      </c>
      <c r="AN155" s="149">
        <v>6.0056222846920519E-2</v>
      </c>
      <c r="AO155">
        <f t="shared" si="14"/>
        <v>0</v>
      </c>
      <c r="AP155" s="149">
        <v>7.907296214842667E-2</v>
      </c>
      <c r="AQ155" s="149">
        <v>6.7691004945602566E-3</v>
      </c>
      <c r="AR155" s="149">
        <v>0.75361973002779692</v>
      </c>
      <c r="AS155" s="208">
        <v>2755.5843392972624</v>
      </c>
      <c r="AT155" s="149">
        <f t="shared" si="15"/>
        <v>4.8800000000000003E-2</v>
      </c>
      <c r="AU155" s="149">
        <v>0.24400000000000002</v>
      </c>
      <c r="AV155">
        <v>7.5</v>
      </c>
    </row>
    <row r="156" spans="1:48" x14ac:dyDescent="0.25">
      <c r="A156" t="s">
        <v>261</v>
      </c>
      <c r="B156" s="101">
        <v>115</v>
      </c>
      <c r="C156" s="101">
        <v>1252</v>
      </c>
      <c r="D156" s="101">
        <v>24355</v>
      </c>
      <c r="E156" s="101">
        <v>139</v>
      </c>
      <c r="F156" s="101">
        <v>0</v>
      </c>
      <c r="G156" s="101">
        <v>347</v>
      </c>
      <c r="H156" s="101">
        <v>0</v>
      </c>
      <c r="I156" s="101">
        <v>962</v>
      </c>
      <c r="J156" s="101">
        <v>0</v>
      </c>
      <c r="K156" s="101">
        <v>4655</v>
      </c>
      <c r="L156" s="101">
        <v>4097</v>
      </c>
      <c r="M156" s="101">
        <v>398</v>
      </c>
      <c r="N156" s="101">
        <v>6305</v>
      </c>
      <c r="O156" s="101">
        <v>3692</v>
      </c>
      <c r="P156" s="101">
        <v>21800</v>
      </c>
      <c r="Q156" s="101">
        <v>0</v>
      </c>
      <c r="R156" s="101">
        <v>0</v>
      </c>
      <c r="S156" s="101">
        <v>2371</v>
      </c>
      <c r="T156" s="101">
        <v>2152</v>
      </c>
      <c r="U156" s="187">
        <v>16826</v>
      </c>
      <c r="V156" s="101">
        <v>20828</v>
      </c>
      <c r="W156" s="101">
        <v>31285</v>
      </c>
      <c r="X156" s="101">
        <v>30678</v>
      </c>
      <c r="Y156" s="101">
        <v>607</v>
      </c>
      <c r="Z156" s="187">
        <v>2301</v>
      </c>
      <c r="AA156" s="187">
        <v>1972404.1340579716</v>
      </c>
      <c r="AB156" s="101">
        <v>22323</v>
      </c>
      <c r="AC156" s="101">
        <v>20894.539000000001</v>
      </c>
      <c r="AD156" s="101">
        <v>11661</v>
      </c>
      <c r="AE156" t="s">
        <v>261</v>
      </c>
      <c r="AF156" s="149">
        <v>-4.8361834745085507E-2</v>
      </c>
      <c r="AG156" s="149">
        <f>U156/W156</f>
        <v>0.53782963081348889</v>
      </c>
      <c r="AH156" s="149">
        <f>SUM(F156,G156)/W156</f>
        <v>1.1091577433274732E-2</v>
      </c>
      <c r="AI156" s="149">
        <f>SUM(I156,J156)/W156</f>
        <v>3.0749560492248681E-2</v>
      </c>
      <c r="AJ156" s="149">
        <f>SUM(AG156,-0.12*AH156,0.7*AI156)</f>
        <v>0.55802333386607006</v>
      </c>
      <c r="AK156" s="149">
        <v>0.17359581497797358</v>
      </c>
      <c r="AL156" s="149">
        <f>Y156/W156</f>
        <v>1.9402269458206809E-2</v>
      </c>
      <c r="AM156" s="149">
        <v>6.6695452884711195E-2</v>
      </c>
      <c r="AN156" s="149">
        <v>2.3308380645933331E-2</v>
      </c>
      <c r="AO156">
        <f t="shared" si="14"/>
        <v>0</v>
      </c>
      <c r="AP156" s="149">
        <v>3.9108198817324594E-2</v>
      </c>
      <c r="AQ156" s="149">
        <v>6.3068495685168882E-2</v>
      </c>
      <c r="AR156" s="149">
        <v>0.71378781096118182</v>
      </c>
      <c r="AS156" s="208">
        <v>1791.8308035331447</v>
      </c>
      <c r="AT156" s="149">
        <f t="shared" si="15"/>
        <v>4.8899999999999999E-2</v>
      </c>
      <c r="AU156" s="149">
        <v>0.2445</v>
      </c>
      <c r="AV156">
        <v>8.5</v>
      </c>
    </row>
    <row r="157" spans="1:48" x14ac:dyDescent="0.25">
      <c r="A157" t="s">
        <v>975</v>
      </c>
      <c r="B157" s="101">
        <v>9536</v>
      </c>
      <c r="C157" s="101">
        <v>17348</v>
      </c>
      <c r="D157" s="101">
        <v>275386</v>
      </c>
      <c r="E157" s="101">
        <v>7901</v>
      </c>
      <c r="F157" s="101">
        <v>577</v>
      </c>
      <c r="G157" s="101">
        <v>14421</v>
      </c>
      <c r="H157" s="101">
        <v>2071</v>
      </c>
      <c r="I157" s="101">
        <v>22299</v>
      </c>
      <c r="J157" s="101">
        <v>0</v>
      </c>
      <c r="K157" s="101">
        <v>29004</v>
      </c>
      <c r="L157" s="101">
        <v>30858</v>
      </c>
      <c r="M157" s="101">
        <v>10939</v>
      </c>
      <c r="N157" s="101">
        <v>189000</v>
      </c>
      <c r="O157" s="101">
        <v>41393</v>
      </c>
      <c r="P157" s="101">
        <v>136235</v>
      </c>
      <c r="Q157" s="101">
        <v>66</v>
      </c>
      <c r="R157" s="101">
        <v>0</v>
      </c>
      <c r="S157" s="101">
        <v>20689</v>
      </c>
      <c r="T157" s="101">
        <v>32958</v>
      </c>
      <c r="U157" s="187">
        <v>102078</v>
      </c>
      <c r="V157" s="101">
        <v>269598</v>
      </c>
      <c r="W157" s="101">
        <v>318206</v>
      </c>
      <c r="X157" s="101">
        <v>304738</v>
      </c>
      <c r="Y157" s="101">
        <v>13468</v>
      </c>
      <c r="Z157" s="187">
        <v>9162</v>
      </c>
      <c r="AA157" s="187">
        <v>6909686</v>
      </c>
      <c r="AB157" s="101">
        <v>221370</v>
      </c>
      <c r="AC157" s="101">
        <v>184991.916</v>
      </c>
      <c r="AD157" s="101">
        <v>91722</v>
      </c>
      <c r="AE157" t="s">
        <v>975</v>
      </c>
      <c r="AF157" s="149">
        <v>3.3321181875891719E-2</v>
      </c>
      <c r="AG157" s="149">
        <f>U157/W157</f>
        <v>0.32079219122203856</v>
      </c>
      <c r="AH157" s="149">
        <f>SUM(F157,G157)/W157</f>
        <v>4.7132989321383004E-2</v>
      </c>
      <c r="AI157" s="149">
        <f>SUM(I157,J157)/W157</f>
        <v>7.0077245557909021E-2</v>
      </c>
      <c r="AJ157" s="149">
        <f>SUM(AG157,-0.12*AH157,0.7*AI157)</f>
        <v>0.3641903043940089</v>
      </c>
      <c r="AK157" s="149">
        <v>0.44963493925170278</v>
      </c>
      <c r="AL157" s="149">
        <f>Y157/W157</f>
        <v>4.2324783316467947E-2</v>
      </c>
      <c r="AM157" s="149">
        <v>8.9911082883455062E-2</v>
      </c>
      <c r="AN157" s="149">
        <v>2.9480752081413038E-2</v>
      </c>
      <c r="AO157">
        <f t="shared" si="14"/>
        <v>0</v>
      </c>
      <c r="AP157" s="149">
        <v>2.5668906305977887E-2</v>
      </c>
      <c r="AQ157" s="149">
        <v>2.1714505697566985E-2</v>
      </c>
      <c r="AR157" s="149">
        <v>0.69568141392682725</v>
      </c>
      <c r="AS157" s="208">
        <v>2016.8761692941716</v>
      </c>
      <c r="AT157" s="149">
        <f t="shared" si="15"/>
        <v>4.5400000000000003E-2</v>
      </c>
      <c r="AU157" s="149">
        <v>0.22700000000000001</v>
      </c>
      <c r="AV157">
        <v>10</v>
      </c>
    </row>
    <row r="158" spans="1:48" x14ac:dyDescent="0.25">
      <c r="A158" t="s">
        <v>300</v>
      </c>
      <c r="B158" s="101">
        <v>11808</v>
      </c>
      <c r="C158" s="101">
        <v>22846</v>
      </c>
      <c r="D158" s="101">
        <v>196397</v>
      </c>
      <c r="E158" s="101">
        <v>13464</v>
      </c>
      <c r="F158" s="101">
        <v>671</v>
      </c>
      <c r="G158" s="101">
        <v>4411</v>
      </c>
      <c r="H158" s="101">
        <v>376</v>
      </c>
      <c r="I158" s="101">
        <v>94635</v>
      </c>
      <c r="J158" s="101">
        <v>0</v>
      </c>
      <c r="K158" s="101">
        <v>18735</v>
      </c>
      <c r="L158" s="101">
        <v>19822</v>
      </c>
      <c r="M158" s="101">
        <v>14205</v>
      </c>
      <c r="N158" s="101">
        <v>252148</v>
      </c>
      <c r="O158" s="101">
        <v>35147</v>
      </c>
      <c r="P158" s="101">
        <v>52505</v>
      </c>
      <c r="Q158" s="101">
        <v>55</v>
      </c>
      <c r="R158" s="101">
        <v>15000</v>
      </c>
      <c r="S158" s="101">
        <v>13200</v>
      </c>
      <c r="T158" s="101">
        <v>29314</v>
      </c>
      <c r="U158" s="101">
        <v>51854</v>
      </c>
      <c r="V158" s="101">
        <v>225739</v>
      </c>
      <c r="W158" s="101">
        <v>207785</v>
      </c>
      <c r="X158" s="101">
        <v>206978</v>
      </c>
      <c r="Y158" s="101">
        <v>807</v>
      </c>
      <c r="Z158" s="101">
        <v>10830</v>
      </c>
      <c r="AA158" s="101">
        <v>8068513.259040419</v>
      </c>
      <c r="AB158" s="101">
        <v>116120</v>
      </c>
      <c r="AC158" s="101">
        <v>131022.719</v>
      </c>
      <c r="AD158" s="101">
        <v>65594</v>
      </c>
      <c r="AE158" t="s">
        <v>300</v>
      </c>
      <c r="AF158" s="149">
        <v>-7.7233679043241812E-2</v>
      </c>
      <c r="AG158" s="149">
        <v>0.24955603147484179</v>
      </c>
      <c r="AH158" s="149">
        <f t="shared" ref="AH158:AH189" si="16">SUM(F158,G158)/W158</f>
        <v>2.4457973385951823E-2</v>
      </c>
      <c r="AI158" s="149">
        <f t="shared" ref="AI158:AI189" si="17">SUM(I158,J158)/W158</f>
        <v>0.45544673580864836</v>
      </c>
      <c r="AJ158" s="149">
        <v>-6.6321726784897853E-2</v>
      </c>
      <c r="AK158" s="149">
        <v>0.63454371126081799</v>
      </c>
      <c r="AL158" s="149">
        <v>3.8838222200832592E-3</v>
      </c>
      <c r="AM158" s="149">
        <v>1.4462461986508307E-2</v>
      </c>
      <c r="AN158" s="149">
        <v>-4.1611621385940087E-2</v>
      </c>
      <c r="AO158">
        <f t="shared" si="14"/>
        <v>1</v>
      </c>
      <c r="AP158" s="149">
        <v>1.5158697692326202E-2</v>
      </c>
      <c r="AQ158" s="149">
        <v>3.8843779079422575E-2</v>
      </c>
      <c r="AR158" s="149">
        <v>0.55902983386049288</v>
      </c>
      <c r="AS158" s="208">
        <v>1997.4802420953135</v>
      </c>
      <c r="AT158" s="149">
        <f t="shared" si="15"/>
        <v>6.0199999999999997E-2</v>
      </c>
      <c r="AU158" s="149">
        <v>0.30099999999999999</v>
      </c>
      <c r="AV158">
        <v>8.5</v>
      </c>
    </row>
    <row r="159" spans="1:48" x14ac:dyDescent="0.25">
      <c r="A159" t="s">
        <v>724</v>
      </c>
      <c r="B159" s="101">
        <v>0</v>
      </c>
      <c r="C159" s="101">
        <v>1119</v>
      </c>
      <c r="D159" s="101">
        <v>26462</v>
      </c>
      <c r="E159" s="101">
        <v>0</v>
      </c>
      <c r="F159" s="101">
        <v>8617</v>
      </c>
      <c r="G159" s="101">
        <v>6057</v>
      </c>
      <c r="H159" s="101">
        <v>0</v>
      </c>
      <c r="I159" s="101">
        <v>655</v>
      </c>
      <c r="J159" s="101">
        <v>0</v>
      </c>
      <c r="K159" s="101">
        <v>3401</v>
      </c>
      <c r="L159" s="101">
        <v>109</v>
      </c>
      <c r="M159" s="101">
        <v>5740</v>
      </c>
      <c r="N159" s="101">
        <v>13617</v>
      </c>
      <c r="O159" s="101">
        <v>2837</v>
      </c>
      <c r="P159" s="101">
        <v>26897</v>
      </c>
      <c r="Q159" s="101">
        <v>183</v>
      </c>
      <c r="R159" s="101">
        <v>0</v>
      </c>
      <c r="S159" s="101">
        <v>4841</v>
      </c>
      <c r="T159" s="101">
        <v>3779</v>
      </c>
      <c r="U159" s="101">
        <v>11776</v>
      </c>
      <c r="V159" s="101">
        <v>30733</v>
      </c>
      <c r="W159" s="101">
        <v>33897</v>
      </c>
      <c r="X159" s="101">
        <v>33107</v>
      </c>
      <c r="Y159" s="101">
        <v>790</v>
      </c>
      <c r="Z159" s="101">
        <v>3617</v>
      </c>
      <c r="AA159" s="101">
        <v>4058656.5</v>
      </c>
      <c r="AB159" s="101">
        <v>20993</v>
      </c>
      <c r="AC159" s="101">
        <v>23401.333999999999</v>
      </c>
      <c r="AD159" s="101">
        <v>11439</v>
      </c>
      <c r="AE159" t="s">
        <v>724</v>
      </c>
      <c r="AF159" s="149">
        <v>-8.8031389208484523E-2</v>
      </c>
      <c r="AG159" s="149">
        <v>0.34740537510694164</v>
      </c>
      <c r="AH159" s="149">
        <f t="shared" si="16"/>
        <v>0.4328996666371655</v>
      </c>
      <c r="AI159" s="149">
        <f t="shared" si="17"/>
        <v>1.9323243944891877E-2</v>
      </c>
      <c r="AJ159" s="149">
        <v>0.38582706434197717</v>
      </c>
      <c r="AK159" s="149">
        <v>0.26109215017064846</v>
      </c>
      <c r="AL159" s="149">
        <v>2.3305897277045167E-2</v>
      </c>
      <c r="AM159" s="149">
        <v>0.15920750044224305</v>
      </c>
      <c r="AN159" s="149">
        <v>2.3090347697677541E-2</v>
      </c>
      <c r="AO159">
        <f t="shared" si="14"/>
        <v>0</v>
      </c>
      <c r="AP159" s="149">
        <v>-2.3246895005457711E-2</v>
      </c>
      <c r="AQ159" s="149">
        <v>0.11973497654659704</v>
      </c>
      <c r="AR159" s="149">
        <v>0.61931734371773317</v>
      </c>
      <c r="AS159" s="208">
        <v>2045.7499781449428</v>
      </c>
      <c r="AT159" s="149">
        <f t="shared" si="15"/>
        <v>4.4699999999999997E-2</v>
      </c>
      <c r="AU159" s="149">
        <v>0.22349999999999998</v>
      </c>
      <c r="AV159">
        <v>8</v>
      </c>
    </row>
    <row r="160" spans="1:48" x14ac:dyDescent="0.25">
      <c r="A160" t="s">
        <v>130</v>
      </c>
      <c r="B160" s="101">
        <v>12370</v>
      </c>
      <c r="C160" s="101">
        <v>38327</v>
      </c>
      <c r="D160" s="101">
        <v>406972</v>
      </c>
      <c r="E160" s="101">
        <v>4334</v>
      </c>
      <c r="F160" s="101">
        <v>5156</v>
      </c>
      <c r="G160" s="101">
        <v>108</v>
      </c>
      <c r="H160" s="101">
        <v>29722</v>
      </c>
      <c r="I160" s="101">
        <v>183948</v>
      </c>
      <c r="J160" s="101">
        <v>0</v>
      </c>
      <c r="K160" s="101">
        <v>48039</v>
      </c>
      <c r="L160" s="101">
        <v>28992</v>
      </c>
      <c r="M160" s="101">
        <v>38470</v>
      </c>
      <c r="N160" s="101">
        <v>134676</v>
      </c>
      <c r="O160" s="101">
        <v>64325</v>
      </c>
      <c r="P160" s="101">
        <v>378293</v>
      </c>
      <c r="Q160" s="101">
        <v>18</v>
      </c>
      <c r="R160" s="101">
        <v>29749</v>
      </c>
      <c r="S160" s="101">
        <v>17740</v>
      </c>
      <c r="T160" s="101">
        <v>171638</v>
      </c>
      <c r="U160" s="101">
        <v>446951</v>
      </c>
      <c r="V160" s="101">
        <v>434695</v>
      </c>
      <c r="W160" s="101">
        <v>695117</v>
      </c>
      <c r="X160" s="101">
        <v>685963</v>
      </c>
      <c r="Y160" s="101">
        <v>9154</v>
      </c>
      <c r="Z160" s="101">
        <v>14649</v>
      </c>
      <c r="AA160" s="101">
        <v>-2345005.0023866445</v>
      </c>
      <c r="AB160" s="101">
        <v>532662</v>
      </c>
      <c r="AC160" s="101">
        <v>366399.07799999998</v>
      </c>
      <c r="AD160" s="101">
        <v>128810</v>
      </c>
      <c r="AE160" t="s">
        <v>130</v>
      </c>
      <c r="AF160" s="149">
        <v>-3.4146769536639157E-2</v>
      </c>
      <c r="AG160" s="149">
        <v>0.64298672022120018</v>
      </c>
      <c r="AH160" s="149">
        <f t="shared" si="16"/>
        <v>7.5728258696018081E-3</v>
      </c>
      <c r="AI160" s="149">
        <f t="shared" si="17"/>
        <v>0.26462883226852457</v>
      </c>
      <c r="AJ160" s="149">
        <v>0.45865527673758527</v>
      </c>
      <c r="AK160" s="149">
        <v>0.16909769611985351</v>
      </c>
      <c r="AL160" s="149">
        <v>1.3169006080990682E-2</v>
      </c>
      <c r="AM160" s="149">
        <v>2.3331553657234383E-2</v>
      </c>
      <c r="AN160" s="149">
        <v>4.6688022631776009E-2</v>
      </c>
      <c r="AO160">
        <f t="shared" si="14"/>
        <v>0</v>
      </c>
      <c r="AP160" s="149">
        <v>8.2626378005429303E-3</v>
      </c>
      <c r="AQ160" s="149">
        <v>-3.3735399974200667E-3</v>
      </c>
      <c r="AR160" s="149">
        <v>0.76629114235445261</v>
      </c>
      <c r="AS160" s="208">
        <v>2844.4924928188807</v>
      </c>
      <c r="AT160" s="149">
        <f t="shared" si="15"/>
        <v>5.5599999999999997E-2</v>
      </c>
      <c r="AU160" s="149">
        <v>0.27799999999999997</v>
      </c>
      <c r="AV160">
        <v>7.5</v>
      </c>
    </row>
    <row r="161" spans="1:48" x14ac:dyDescent="0.25">
      <c r="A161" t="s">
        <v>301</v>
      </c>
      <c r="B161" s="101">
        <v>3420</v>
      </c>
      <c r="C161" s="101">
        <v>218696</v>
      </c>
      <c r="D161" s="101">
        <v>744563</v>
      </c>
      <c r="E161" s="101">
        <v>12649</v>
      </c>
      <c r="F161" s="101">
        <v>14576</v>
      </c>
      <c r="G161" s="101">
        <v>4494</v>
      </c>
      <c r="H161" s="101">
        <v>0</v>
      </c>
      <c r="I161" s="101">
        <v>7648</v>
      </c>
      <c r="J161" s="101">
        <v>2707</v>
      </c>
      <c r="K161" s="101">
        <v>112801</v>
      </c>
      <c r="L161" s="101">
        <v>144</v>
      </c>
      <c r="M161" s="101">
        <v>38078</v>
      </c>
      <c r="N161" s="101">
        <v>343065</v>
      </c>
      <c r="O161" s="101">
        <v>30931</v>
      </c>
      <c r="P161" s="101">
        <v>633272</v>
      </c>
      <c r="Q161" s="101">
        <v>907</v>
      </c>
      <c r="R161" s="101">
        <v>4410</v>
      </c>
      <c r="S161" s="101">
        <v>60467</v>
      </c>
      <c r="T161" s="101">
        <v>86724</v>
      </c>
      <c r="U161" s="101">
        <v>615687</v>
      </c>
      <c r="V161" s="101">
        <v>761260</v>
      </c>
      <c r="W161" s="101">
        <v>652040</v>
      </c>
      <c r="X161" s="101">
        <v>644318</v>
      </c>
      <c r="Y161" s="101">
        <v>7722</v>
      </c>
      <c r="Z161" s="101">
        <v>44068</v>
      </c>
      <c r="AA161" s="101">
        <v>-13666450.592115238</v>
      </c>
      <c r="AB161" s="101">
        <v>439382</v>
      </c>
      <c r="AC161" s="101">
        <v>327074.33999999997</v>
      </c>
      <c r="AD161" s="101">
        <v>130108</v>
      </c>
      <c r="AE161" t="s">
        <v>301</v>
      </c>
      <c r="AF161" s="149">
        <v>-6.4615667750444764E-2</v>
      </c>
      <c r="AG161" s="149">
        <v>0.94424728544261083</v>
      </c>
      <c r="AH161" s="149">
        <f t="shared" si="16"/>
        <v>2.9246671983313908E-2</v>
      </c>
      <c r="AI161" s="149">
        <f t="shared" si="17"/>
        <v>1.5880927550457027E-2</v>
      </c>
      <c r="AJ161" s="149">
        <v>0.93664023679528852</v>
      </c>
      <c r="AK161" s="149">
        <v>0.29580281019783128</v>
      </c>
      <c r="AL161" s="149">
        <v>1.1842831728114839E-2</v>
      </c>
      <c r="AM161" s="149">
        <v>4.6728285405174375E-2</v>
      </c>
      <c r="AN161" s="149">
        <v>-1.8644083297513329E-2</v>
      </c>
      <c r="AO161">
        <f t="shared" si="14"/>
        <v>1</v>
      </c>
      <c r="AP161" s="149">
        <v>7.8760122078400094E-2</v>
      </c>
      <c r="AQ161" s="149">
        <v>-2.098824014220306E-2</v>
      </c>
      <c r="AR161" s="149">
        <v>0.67478054144372712</v>
      </c>
      <c r="AS161" s="208">
        <v>2513.8680173394405</v>
      </c>
      <c r="AT161" s="149">
        <f t="shared" si="15"/>
        <v>4.2000000000000003E-2</v>
      </c>
      <c r="AU161" s="149">
        <v>0.21000000000000002</v>
      </c>
      <c r="AV161">
        <v>6.5</v>
      </c>
    </row>
    <row r="162" spans="1:48" x14ac:dyDescent="0.25">
      <c r="A162" t="s">
        <v>302</v>
      </c>
      <c r="B162" s="101">
        <v>74</v>
      </c>
      <c r="C162" s="101">
        <v>4246</v>
      </c>
      <c r="D162" s="101">
        <v>78686</v>
      </c>
      <c r="E162" s="101">
        <v>2136</v>
      </c>
      <c r="F162" s="101">
        <v>2673</v>
      </c>
      <c r="G162" s="101">
        <v>1803</v>
      </c>
      <c r="H162" s="101">
        <v>17</v>
      </c>
      <c r="I162" s="101">
        <v>-1383</v>
      </c>
      <c r="J162" s="101">
        <v>0</v>
      </c>
      <c r="K162" s="101">
        <v>25814</v>
      </c>
      <c r="L162" s="101">
        <v>5</v>
      </c>
      <c r="M162" s="101">
        <v>207</v>
      </c>
      <c r="N162" s="101">
        <v>52056</v>
      </c>
      <c r="O162" s="101">
        <v>18904</v>
      </c>
      <c r="P162" s="101">
        <v>29564</v>
      </c>
      <c r="Q162" s="101">
        <v>14</v>
      </c>
      <c r="R162" s="101">
        <v>1506</v>
      </c>
      <c r="S162" s="101">
        <v>6624</v>
      </c>
      <c r="T162" s="101">
        <v>5611</v>
      </c>
      <c r="U162" s="101">
        <v>12800</v>
      </c>
      <c r="V162" s="101">
        <v>78964</v>
      </c>
      <c r="W162" s="101">
        <v>83216</v>
      </c>
      <c r="X162" s="101">
        <v>75062</v>
      </c>
      <c r="Y162" s="101">
        <v>8154</v>
      </c>
      <c r="Z162" s="101">
        <v>-904</v>
      </c>
      <c r="AA162" s="101">
        <v>1713867.8018867914</v>
      </c>
      <c r="AB162" s="101">
        <v>59606</v>
      </c>
      <c r="AC162" s="101">
        <v>50354.858</v>
      </c>
      <c r="AD162" s="101">
        <v>27736</v>
      </c>
      <c r="AE162" t="s">
        <v>302</v>
      </c>
      <c r="AF162" s="149">
        <v>0.1133556046914055</v>
      </c>
      <c r="AG162" s="149">
        <v>0.15381657373582003</v>
      </c>
      <c r="AH162" s="149">
        <f t="shared" si="16"/>
        <v>5.3787733128244565E-2</v>
      </c>
      <c r="AI162" s="149">
        <f t="shared" si="17"/>
        <v>-1.6619400115362431E-2</v>
      </c>
      <c r="AJ162" s="149">
        <v>0.17190468179196308</v>
      </c>
      <c r="AK162" s="149">
        <v>0.45551676160974458</v>
      </c>
      <c r="AL162" s="149">
        <v>9.7985964237646606E-2</v>
      </c>
      <c r="AM162" s="149">
        <v>4.7177382220994331E-2</v>
      </c>
      <c r="AN162" s="149">
        <v>-1.447947489373207E-2</v>
      </c>
      <c r="AO162">
        <f t="shared" si="14"/>
        <v>1</v>
      </c>
      <c r="AP162" s="149">
        <v>1.2143097481253605E-2</v>
      </c>
      <c r="AQ162" s="149">
        <v>2.0595411962684957E-2</v>
      </c>
      <c r="AR162" s="149">
        <v>0.7162805229763507</v>
      </c>
      <c r="AS162" s="208">
        <v>1815.5054081338333</v>
      </c>
      <c r="AT162" s="149">
        <f t="shared" si="15"/>
        <v>3.2300000000000002E-2</v>
      </c>
      <c r="AU162" s="149">
        <v>0.1615</v>
      </c>
      <c r="AV162">
        <v>9.5</v>
      </c>
    </row>
    <row r="163" spans="1:48" x14ac:dyDescent="0.25">
      <c r="A163" t="s">
        <v>303</v>
      </c>
      <c r="B163" s="101">
        <v>672</v>
      </c>
      <c r="C163" s="101">
        <v>2518</v>
      </c>
      <c r="D163" s="101">
        <v>243031</v>
      </c>
      <c r="E163" s="101">
        <v>18775</v>
      </c>
      <c r="F163" s="101">
        <v>0</v>
      </c>
      <c r="G163" s="101">
        <v>10</v>
      </c>
      <c r="H163" s="101">
        <v>8475</v>
      </c>
      <c r="I163" s="101">
        <v>49455</v>
      </c>
      <c r="J163" s="101">
        <v>0</v>
      </c>
      <c r="K163" s="101">
        <v>25621</v>
      </c>
      <c r="L163" s="101">
        <v>1168</v>
      </c>
      <c r="M163" s="101">
        <v>9400</v>
      </c>
      <c r="N163" s="101">
        <v>224501</v>
      </c>
      <c r="O163" s="101">
        <v>23464</v>
      </c>
      <c r="P163" s="101">
        <v>67438</v>
      </c>
      <c r="Q163" s="101">
        <v>0</v>
      </c>
      <c r="R163" s="101">
        <v>0</v>
      </c>
      <c r="S163" s="101">
        <v>10761</v>
      </c>
      <c r="T163" s="101">
        <v>32959</v>
      </c>
      <c r="U163" s="101">
        <v>66484</v>
      </c>
      <c r="V163" s="101">
        <v>212127</v>
      </c>
      <c r="W163" s="101">
        <v>262900</v>
      </c>
      <c r="X163" s="101">
        <v>261121</v>
      </c>
      <c r="Y163" s="101">
        <v>1779</v>
      </c>
      <c r="Z163" s="101">
        <v>-308</v>
      </c>
      <c r="AA163" s="101">
        <v>13373704.524279833</v>
      </c>
      <c r="AB163" s="101">
        <v>197818</v>
      </c>
      <c r="AC163" s="101">
        <v>168834.685</v>
      </c>
      <c r="AD163" s="101">
        <v>78229</v>
      </c>
      <c r="AE163" t="s">
        <v>303</v>
      </c>
      <c r="AF163" s="149">
        <v>-1.0452643590718905E-2</v>
      </c>
      <c r="AG163" s="149">
        <v>0.25288702928870294</v>
      </c>
      <c r="AH163" s="149">
        <f t="shared" si="16"/>
        <v>3.8037276531000377E-5</v>
      </c>
      <c r="AI163" s="149">
        <f t="shared" si="17"/>
        <v>0.18811335108406238</v>
      </c>
      <c r="AJ163" s="149">
        <v>0.121212248003043</v>
      </c>
      <c r="AK163" s="149">
        <v>0.62513679157280377</v>
      </c>
      <c r="AL163" s="149">
        <v>6.7668314948649676E-3</v>
      </c>
      <c r="AM163" s="149">
        <v>4.3859290900626442E-3</v>
      </c>
      <c r="AN163" s="149">
        <v>-2.2377604007040343E-2</v>
      </c>
      <c r="AO163">
        <f t="shared" si="14"/>
        <v>1</v>
      </c>
      <c r="AP163" s="149">
        <v>3.2421072651198174E-2</v>
      </c>
      <c r="AQ163" s="149">
        <v>5.095637530492899E-2</v>
      </c>
      <c r="AR163" s="149">
        <v>0.75372446219146971</v>
      </c>
      <c r="AS163" s="208">
        <v>2158.2109575732784</v>
      </c>
      <c r="AT163" s="149">
        <f t="shared" si="15"/>
        <v>5.0799999999999998E-2</v>
      </c>
      <c r="AU163" s="149">
        <v>0.254</v>
      </c>
      <c r="AV163">
        <v>9.5</v>
      </c>
    </row>
    <row r="164" spans="1:48" x14ac:dyDescent="0.25">
      <c r="A164" t="s">
        <v>429</v>
      </c>
      <c r="B164" s="101">
        <v>2465</v>
      </c>
      <c r="C164" s="101">
        <v>34439</v>
      </c>
      <c r="D164" s="101">
        <v>226598</v>
      </c>
      <c r="E164" s="101">
        <v>12420</v>
      </c>
      <c r="F164" s="101">
        <v>9296</v>
      </c>
      <c r="G164" s="101">
        <v>20902</v>
      </c>
      <c r="H164" s="101">
        <v>0</v>
      </c>
      <c r="I164" s="101">
        <v>-63981</v>
      </c>
      <c r="J164" s="101">
        <v>0</v>
      </c>
      <c r="K164" s="101">
        <v>93667</v>
      </c>
      <c r="L164" s="101">
        <v>103266</v>
      </c>
      <c r="M164" s="101">
        <v>11333</v>
      </c>
      <c r="N164" s="101">
        <v>132104</v>
      </c>
      <c r="O164" s="101">
        <v>138239</v>
      </c>
      <c r="P164" s="101">
        <v>72324</v>
      </c>
      <c r="Q164" s="101">
        <v>288</v>
      </c>
      <c r="R164" s="101">
        <v>0</v>
      </c>
      <c r="S164" s="101">
        <v>16351</v>
      </c>
      <c r="T164" s="101">
        <v>91099</v>
      </c>
      <c r="U164" s="101">
        <v>-58402</v>
      </c>
      <c r="V164" s="101">
        <v>234860</v>
      </c>
      <c r="W164" s="101">
        <v>477184</v>
      </c>
      <c r="X164" s="101">
        <v>471182</v>
      </c>
      <c r="Y164" s="101">
        <v>6002</v>
      </c>
      <c r="Z164" s="101">
        <v>-2835</v>
      </c>
      <c r="AA164" s="101">
        <v>-3287136.097746402</v>
      </c>
      <c r="AB164" s="101">
        <v>261477</v>
      </c>
      <c r="AC164" s="101">
        <v>340456.01299999998</v>
      </c>
      <c r="AD164" s="101">
        <v>84080</v>
      </c>
      <c r="AE164" t="s">
        <v>429</v>
      </c>
      <c r="AF164" s="149">
        <v>0.21240443937768241</v>
      </c>
      <c r="AG164" s="149">
        <v>-0.12238884790772532</v>
      </c>
      <c r="AH164" s="149">
        <f t="shared" si="16"/>
        <v>6.3283764753218882E-2</v>
      </c>
      <c r="AI164" s="149">
        <f t="shared" si="17"/>
        <v>-0.13408035474785407</v>
      </c>
      <c r="AJ164" s="149">
        <v>-2.0938547813841211E-2</v>
      </c>
      <c r="AK164" s="149">
        <v>0.29330047401782838</v>
      </c>
      <c r="AL164" s="149">
        <v>1.2577957349785408E-2</v>
      </c>
      <c r="AM164" s="149">
        <v>5.3245433651868873E-2</v>
      </c>
      <c r="AN164" s="149">
        <v>5.081541517091645E-2</v>
      </c>
      <c r="AO164">
        <f t="shared" si="14"/>
        <v>0</v>
      </c>
      <c r="AP164" s="149">
        <v>1.5005742019849786E-2</v>
      </c>
      <c r="AQ164" s="149">
        <v>-6.8913139867680549E-3</v>
      </c>
      <c r="AR164" s="149">
        <v>0.54817325895131419</v>
      </c>
      <c r="AS164" s="208">
        <v>4049.1914010466221</v>
      </c>
      <c r="AT164" s="149">
        <f t="shared" si="15"/>
        <v>0.04</v>
      </c>
      <c r="AU164" s="149">
        <v>0.2</v>
      </c>
      <c r="AV164">
        <v>7.5</v>
      </c>
    </row>
    <row r="165" spans="1:48" x14ac:dyDescent="0.25">
      <c r="A165" t="s">
        <v>409</v>
      </c>
      <c r="B165" s="101">
        <v>188</v>
      </c>
      <c r="C165" s="101">
        <v>5306</v>
      </c>
      <c r="D165" s="101">
        <v>102917</v>
      </c>
      <c r="E165" s="101">
        <v>3147</v>
      </c>
      <c r="F165" s="101">
        <v>3240</v>
      </c>
      <c r="G165" s="101">
        <v>1478</v>
      </c>
      <c r="H165" s="101">
        <v>2137</v>
      </c>
      <c r="I165" s="101">
        <v>2792</v>
      </c>
      <c r="J165" s="101">
        <v>0</v>
      </c>
      <c r="K165" s="101">
        <v>10398</v>
      </c>
      <c r="L165" s="101">
        <v>32280</v>
      </c>
      <c r="M165" s="101">
        <v>6257</v>
      </c>
      <c r="N165" s="101">
        <v>90087</v>
      </c>
      <c r="O165" s="101">
        <v>6403</v>
      </c>
      <c r="P165" s="101">
        <v>58736</v>
      </c>
      <c r="Q165" s="101">
        <v>0</v>
      </c>
      <c r="R165" s="101">
        <v>0</v>
      </c>
      <c r="S165" s="101">
        <v>992</v>
      </c>
      <c r="T165" s="101">
        <v>13924</v>
      </c>
      <c r="U165" s="101">
        <v>17862</v>
      </c>
      <c r="V165" s="101">
        <v>98093</v>
      </c>
      <c r="W165" s="101">
        <v>116126</v>
      </c>
      <c r="X165" s="101">
        <v>103515</v>
      </c>
      <c r="Y165" s="101">
        <v>12611</v>
      </c>
      <c r="Z165" s="101">
        <v>-515</v>
      </c>
      <c r="AA165" s="101">
        <v>4706173.9917808194</v>
      </c>
      <c r="AB165" s="101">
        <v>83468</v>
      </c>
      <c r="AC165" s="101">
        <v>65560.755000000005</v>
      </c>
      <c r="AD165" s="101">
        <v>36006</v>
      </c>
      <c r="AE165" t="s">
        <v>409</v>
      </c>
      <c r="AF165" s="149">
        <v>0.1049721853848406</v>
      </c>
      <c r="AG165" s="149">
        <v>0.15381568296505521</v>
      </c>
      <c r="AH165" s="149">
        <f t="shared" si="16"/>
        <v>4.0628283071835768E-2</v>
      </c>
      <c r="AI165" s="149">
        <f t="shared" si="17"/>
        <v>2.4042850007750201E-2</v>
      </c>
      <c r="AJ165" s="149">
        <v>0.14186108192825037</v>
      </c>
      <c r="AK165" s="149">
        <v>0.52948125683252811</v>
      </c>
      <c r="AL165" s="149">
        <v>0.10859755782512098</v>
      </c>
      <c r="AM165" s="149">
        <v>8.225506546284049E-2</v>
      </c>
      <c r="AN165" s="149">
        <v>1.6235262785909636E-2</v>
      </c>
      <c r="AO165">
        <f t="shared" si="14"/>
        <v>0</v>
      </c>
      <c r="AP165" s="149">
        <v>2.2212941115684687E-2</v>
      </c>
      <c r="AQ165" s="149">
        <v>4.0526445341963209E-2</v>
      </c>
      <c r="AR165" s="149">
        <v>0.71877099013140899</v>
      </c>
      <c r="AS165" s="208">
        <v>1820.8286118980172</v>
      </c>
      <c r="AT165" s="149">
        <f t="shared" si="15"/>
        <v>3.2099999999999997E-2</v>
      </c>
      <c r="AU165" s="149">
        <v>0.16049999999999998</v>
      </c>
      <c r="AV165">
        <v>10</v>
      </c>
    </row>
    <row r="166" spans="1:48" x14ac:dyDescent="0.25">
      <c r="A166" t="s">
        <v>221</v>
      </c>
      <c r="B166" s="101">
        <v>494</v>
      </c>
      <c r="C166" s="101">
        <v>3240</v>
      </c>
      <c r="D166" s="101">
        <v>63885</v>
      </c>
      <c r="E166" s="101">
        <v>31</v>
      </c>
      <c r="F166" s="101">
        <v>0</v>
      </c>
      <c r="G166" s="101">
        <v>2940</v>
      </c>
      <c r="H166" s="101">
        <v>0</v>
      </c>
      <c r="I166" s="101">
        <v>5102</v>
      </c>
      <c r="J166" s="101">
        <v>0</v>
      </c>
      <c r="K166" s="101">
        <v>28972</v>
      </c>
      <c r="L166" s="101">
        <v>77</v>
      </c>
      <c r="M166" s="101">
        <v>1951</v>
      </c>
      <c r="N166" s="101">
        <v>60633</v>
      </c>
      <c r="O166" s="101">
        <v>9024</v>
      </c>
      <c r="P166" s="101">
        <v>20260</v>
      </c>
      <c r="Q166" s="101">
        <v>7</v>
      </c>
      <c r="R166" s="101">
        <v>0</v>
      </c>
      <c r="S166" s="101">
        <v>4486</v>
      </c>
      <c r="T166" s="101">
        <v>12282</v>
      </c>
      <c r="U166" s="101">
        <v>3095</v>
      </c>
      <c r="V166" s="101">
        <v>58989</v>
      </c>
      <c r="W166" s="101">
        <v>88783</v>
      </c>
      <c r="X166" s="101">
        <v>83148</v>
      </c>
      <c r="Y166" s="101">
        <v>5635</v>
      </c>
      <c r="Z166" s="101">
        <v>103</v>
      </c>
      <c r="AA166" s="101">
        <v>3902895.6402640268</v>
      </c>
      <c r="AB166" s="101">
        <v>64335</v>
      </c>
      <c r="AC166" s="101">
        <v>54048.561000000002</v>
      </c>
      <c r="AD166" s="101">
        <v>31681</v>
      </c>
      <c r="AE166" t="s">
        <v>221</v>
      </c>
      <c r="AF166" s="149">
        <v>4.2632035412184764E-2</v>
      </c>
      <c r="AG166" s="149">
        <v>3.4860277305339984E-2</v>
      </c>
      <c r="AH166" s="149">
        <f t="shared" si="16"/>
        <v>3.3114447585686449E-2</v>
      </c>
      <c r="AI166" s="149">
        <f t="shared" si="17"/>
        <v>5.7465956320466756E-2</v>
      </c>
      <c r="AJ166" s="149">
        <v>-1.3921584087043673E-3</v>
      </c>
      <c r="AK166" s="149">
        <v>0.56829940389157574</v>
      </c>
      <c r="AL166" s="149">
        <v>6.346935787256569E-2</v>
      </c>
      <c r="AM166" s="149">
        <v>8.210085585862939E-2</v>
      </c>
      <c r="AN166" s="149">
        <v>0.12235427569671814</v>
      </c>
      <c r="AO166">
        <f t="shared" si="14"/>
        <v>0</v>
      </c>
      <c r="AP166" s="149">
        <v>2.4300823355822624E-2</v>
      </c>
      <c r="AQ166" s="149">
        <v>4.399413441242675E-2</v>
      </c>
      <c r="AR166" s="149">
        <v>0.72519557228847753</v>
      </c>
      <c r="AS166" s="208">
        <v>1706.0244626116601</v>
      </c>
      <c r="AT166" s="149">
        <f t="shared" si="15"/>
        <v>4.9299999999999997E-2</v>
      </c>
      <c r="AU166" s="149">
        <v>0.2465</v>
      </c>
      <c r="AV166">
        <v>9</v>
      </c>
    </row>
    <row r="167" spans="1:48" x14ac:dyDescent="0.25">
      <c r="A167" t="s">
        <v>185</v>
      </c>
      <c r="B167" s="101">
        <v>45</v>
      </c>
      <c r="C167" s="101">
        <v>8147</v>
      </c>
      <c r="D167" s="101">
        <v>118693</v>
      </c>
      <c r="E167" s="101">
        <v>599</v>
      </c>
      <c r="F167" s="101">
        <v>1347</v>
      </c>
      <c r="G167" s="101">
        <v>5434</v>
      </c>
      <c r="H167" s="101">
        <v>0</v>
      </c>
      <c r="I167" s="101">
        <v>105</v>
      </c>
      <c r="J167" s="101">
        <v>0</v>
      </c>
      <c r="K167" s="101">
        <v>12418</v>
      </c>
      <c r="L167" s="101">
        <v>1260</v>
      </c>
      <c r="M167" s="101">
        <v>16581</v>
      </c>
      <c r="N167" s="101">
        <v>68311</v>
      </c>
      <c r="O167" s="101">
        <v>19206</v>
      </c>
      <c r="P167" s="101">
        <v>54880</v>
      </c>
      <c r="Q167" s="101">
        <v>0</v>
      </c>
      <c r="R167" s="101">
        <v>-12544</v>
      </c>
      <c r="S167" s="101">
        <v>10608</v>
      </c>
      <c r="T167" s="101">
        <v>24168</v>
      </c>
      <c r="U167" s="101">
        <v>40072</v>
      </c>
      <c r="V167" s="101">
        <v>100901</v>
      </c>
      <c r="W167" s="101">
        <v>143898</v>
      </c>
      <c r="X167" s="101">
        <v>137408</v>
      </c>
      <c r="Y167" s="101">
        <v>6490</v>
      </c>
      <c r="Z167" s="101">
        <v>4016</v>
      </c>
      <c r="AA167" s="101">
        <v>2193224.3085106369</v>
      </c>
      <c r="AB167" s="101">
        <v>103216</v>
      </c>
      <c r="AC167" s="101">
        <v>90092.672999999995</v>
      </c>
      <c r="AD167" s="101">
        <v>47314</v>
      </c>
      <c r="AE167" t="s">
        <v>185</v>
      </c>
      <c r="AF167" s="149">
        <v>-5.4205061918859187E-4</v>
      </c>
      <c r="AG167" s="149">
        <v>0.27847503092468279</v>
      </c>
      <c r="AH167" s="149">
        <f t="shared" si="16"/>
        <v>4.7123657034844127E-2</v>
      </c>
      <c r="AI167" s="149">
        <f t="shared" si="17"/>
        <v>7.2968352583079683E-4</v>
      </c>
      <c r="AJ167" s="149">
        <v>0.2836190913007825</v>
      </c>
      <c r="AK167" s="149">
        <v>0.41493904476125104</v>
      </c>
      <c r="AL167" s="149">
        <v>4.5101391263255915E-2</v>
      </c>
      <c r="AM167" s="149">
        <v>5.6554255980824954E-2</v>
      </c>
      <c r="AN167" s="149">
        <v>4.9019171084480478E-2</v>
      </c>
      <c r="AO167">
        <f t="shared" si="14"/>
        <v>0</v>
      </c>
      <c r="AP167" s="149">
        <v>4.514308746473196E-2</v>
      </c>
      <c r="AQ167" s="149">
        <v>1.5241520441636694E-2</v>
      </c>
      <c r="AR167" s="149">
        <v>0.7172858552585859</v>
      </c>
      <c r="AS167" s="208">
        <v>1904.1440799763284</v>
      </c>
      <c r="AT167" s="149">
        <f t="shared" si="15"/>
        <v>4.8599999999999997E-2</v>
      </c>
      <c r="AU167" s="149">
        <v>0.24299999999999999</v>
      </c>
      <c r="AV167">
        <v>10</v>
      </c>
    </row>
    <row r="168" spans="1:48" x14ac:dyDescent="0.25">
      <c r="A168" t="s">
        <v>304</v>
      </c>
      <c r="B168" s="101">
        <v>-621</v>
      </c>
      <c r="C168" s="101">
        <v>1969</v>
      </c>
      <c r="D168" s="101">
        <v>89621</v>
      </c>
      <c r="E168" s="101">
        <v>1973</v>
      </c>
      <c r="F168" s="101">
        <v>3048</v>
      </c>
      <c r="G168" s="101">
        <v>7255</v>
      </c>
      <c r="H168" s="101">
        <v>0</v>
      </c>
      <c r="I168" s="101">
        <v>0</v>
      </c>
      <c r="J168" s="101">
        <v>0</v>
      </c>
      <c r="K168" s="101">
        <v>13026</v>
      </c>
      <c r="L168" s="101">
        <v>223</v>
      </c>
      <c r="M168" s="101">
        <v>3103</v>
      </c>
      <c r="N168" s="101">
        <v>25353</v>
      </c>
      <c r="O168" s="101">
        <v>6482</v>
      </c>
      <c r="P168" s="101">
        <v>76080</v>
      </c>
      <c r="Q168" s="101">
        <v>7</v>
      </c>
      <c r="R168" s="101">
        <v>0</v>
      </c>
      <c r="S168" s="101">
        <v>3750</v>
      </c>
      <c r="T168" s="101">
        <v>7925</v>
      </c>
      <c r="U168" s="101">
        <v>61107</v>
      </c>
      <c r="V168" s="101">
        <v>93121</v>
      </c>
      <c r="W168" s="101">
        <v>77580</v>
      </c>
      <c r="X168" s="101">
        <v>78676</v>
      </c>
      <c r="Y168" s="101">
        <v>-1096</v>
      </c>
      <c r="Z168" s="101">
        <v>-3049</v>
      </c>
      <c r="AA168" s="101">
        <v>2677682.5</v>
      </c>
      <c r="AB168" s="101">
        <v>51321</v>
      </c>
      <c r="AC168" s="101">
        <v>57106.436000000002</v>
      </c>
      <c r="AD168" s="101">
        <v>23447</v>
      </c>
      <c r="AE168" t="s">
        <v>304</v>
      </c>
      <c r="AF168" s="149">
        <v>2.4349059035833977E-2</v>
      </c>
      <c r="AG168" s="149">
        <v>0.78766434648105177</v>
      </c>
      <c r="AH168" s="149">
        <f t="shared" si="16"/>
        <v>0.13280484660995101</v>
      </c>
      <c r="AI168" s="149">
        <f t="shared" si="17"/>
        <v>0</v>
      </c>
      <c r="AJ168" s="149">
        <v>0.80360092807424588</v>
      </c>
      <c r="AK168" s="149">
        <v>0.21198692274889838</v>
      </c>
      <c r="AL168" s="149">
        <v>-1.4127352410415055E-2</v>
      </c>
      <c r="AM168" s="149">
        <v>4.1973933058687268E-2</v>
      </c>
      <c r="AN168" s="149">
        <v>2.5745897765973049E-2</v>
      </c>
      <c r="AO168">
        <f t="shared" si="14"/>
        <v>1</v>
      </c>
      <c r="AP168" s="149">
        <v>-6.9347770043825729E-3</v>
      </c>
      <c r="AQ168" s="149">
        <v>3.4515113431296728E-2</v>
      </c>
      <c r="AR168" s="149">
        <v>0.66152358855375093</v>
      </c>
      <c r="AS168" s="208">
        <v>2435.5540580884549</v>
      </c>
      <c r="AT168" s="149">
        <f t="shared" si="15"/>
        <v>4.7899999999999998E-2</v>
      </c>
      <c r="AU168" s="149">
        <v>0.23949999999999999</v>
      </c>
      <c r="AV168">
        <v>7</v>
      </c>
    </row>
    <row r="169" spans="1:48" x14ac:dyDescent="0.25">
      <c r="A169" t="s">
        <v>186</v>
      </c>
      <c r="B169" s="101">
        <v>344</v>
      </c>
      <c r="C169" s="101">
        <v>10367</v>
      </c>
      <c r="D169" s="101">
        <v>71207</v>
      </c>
      <c r="E169" s="101">
        <v>342</v>
      </c>
      <c r="F169" s="101">
        <v>2291</v>
      </c>
      <c r="G169" s="101">
        <v>5569</v>
      </c>
      <c r="H169" s="101">
        <v>0</v>
      </c>
      <c r="I169" s="101">
        <v>9473</v>
      </c>
      <c r="J169" s="101">
        <v>8</v>
      </c>
      <c r="K169" s="101">
        <v>21156</v>
      </c>
      <c r="L169" s="101">
        <v>472</v>
      </c>
      <c r="M169" s="101">
        <v>4388</v>
      </c>
      <c r="N169" s="101">
        <v>71892</v>
      </c>
      <c r="O169" s="101">
        <v>27935</v>
      </c>
      <c r="P169" s="101">
        <v>7731</v>
      </c>
      <c r="Q169" s="101">
        <v>323</v>
      </c>
      <c r="R169" s="101">
        <v>0</v>
      </c>
      <c r="S169" s="101">
        <v>6279</v>
      </c>
      <c r="T169" s="101">
        <v>11459</v>
      </c>
      <c r="U169" s="101">
        <v>-8084</v>
      </c>
      <c r="V169" s="101">
        <v>81440</v>
      </c>
      <c r="W169" s="101">
        <v>107818</v>
      </c>
      <c r="X169" s="101">
        <v>103297</v>
      </c>
      <c r="Y169" s="101">
        <v>4521</v>
      </c>
      <c r="Z169" s="101">
        <v>2847</v>
      </c>
      <c r="AA169" s="101">
        <v>8915631.7457969077</v>
      </c>
      <c r="AB169" s="101">
        <v>78439</v>
      </c>
      <c r="AC169" s="101">
        <v>64021.012000000002</v>
      </c>
      <c r="AD169" s="101">
        <v>34289</v>
      </c>
      <c r="AE169" t="s">
        <v>186</v>
      </c>
      <c r="AF169" s="149">
        <v>1.5739486913131387E-2</v>
      </c>
      <c r="AG169" s="149">
        <v>-7.4978204010462068E-2</v>
      </c>
      <c r="AH169" s="149">
        <f t="shared" si="16"/>
        <v>7.2900628837485396E-2</v>
      </c>
      <c r="AI169" s="149">
        <f t="shared" si="17"/>
        <v>8.7935224174071125E-2</v>
      </c>
      <c r="AJ169" s="149">
        <v>-0.1277847854718136</v>
      </c>
      <c r="AK169" s="149">
        <v>0.57230196069065986</v>
      </c>
      <c r="AL169" s="149">
        <v>4.1931773915301715E-2</v>
      </c>
      <c r="AM169" s="149">
        <v>2.3731771859692583E-2</v>
      </c>
      <c r="AN169" s="149">
        <v>2.0434577231931979E-2</v>
      </c>
      <c r="AO169">
        <f t="shared" si="14"/>
        <v>0</v>
      </c>
      <c r="AP169" s="149">
        <v>1.1083492552264001E-3</v>
      </c>
      <c r="AQ169" s="149">
        <v>8.2691496278885793E-2</v>
      </c>
      <c r="AR169" s="149">
        <v>0.72751303121927691</v>
      </c>
      <c r="AS169" s="208">
        <v>1867.1005861938231</v>
      </c>
      <c r="AT169" s="149">
        <f t="shared" si="15"/>
        <v>4.7500000000000001E-2</v>
      </c>
      <c r="AU169" s="149">
        <v>0.23749999999999999</v>
      </c>
      <c r="AV169">
        <v>9.5</v>
      </c>
    </row>
    <row r="170" spans="1:48" x14ac:dyDescent="0.25">
      <c r="A170" t="s">
        <v>375</v>
      </c>
      <c r="B170" s="101">
        <v>568</v>
      </c>
      <c r="C170" s="101">
        <v>1794</v>
      </c>
      <c r="D170" s="101">
        <v>58392</v>
      </c>
      <c r="E170" s="101">
        <v>224</v>
      </c>
      <c r="F170" s="101">
        <v>530</v>
      </c>
      <c r="G170" s="101">
        <v>270</v>
      </c>
      <c r="H170" s="101">
        <v>402</v>
      </c>
      <c r="I170" s="101">
        <v>-2586</v>
      </c>
      <c r="J170" s="101">
        <v>815</v>
      </c>
      <c r="K170" s="101">
        <v>6651</v>
      </c>
      <c r="L170" s="101">
        <v>5606</v>
      </c>
      <c r="M170" s="101">
        <v>3006</v>
      </c>
      <c r="N170" s="101">
        <v>27069</v>
      </c>
      <c r="O170" s="101">
        <v>13335</v>
      </c>
      <c r="P170" s="101">
        <v>23245</v>
      </c>
      <c r="Q170" s="101">
        <v>0</v>
      </c>
      <c r="R170" s="101">
        <v>-546</v>
      </c>
      <c r="S170" s="101">
        <v>5576</v>
      </c>
      <c r="T170" s="101">
        <v>6992</v>
      </c>
      <c r="U170" s="101">
        <v>18802</v>
      </c>
      <c r="V170" s="101">
        <v>48783</v>
      </c>
      <c r="W170" s="101">
        <v>78862</v>
      </c>
      <c r="X170" s="101">
        <v>79050</v>
      </c>
      <c r="Y170" s="101">
        <v>-188</v>
      </c>
      <c r="Z170" s="101">
        <v>3877</v>
      </c>
      <c r="AA170" s="101">
        <v>1341598.0999999996</v>
      </c>
      <c r="AB170" s="101">
        <v>51843</v>
      </c>
      <c r="AC170" s="101">
        <v>52976.741000000002</v>
      </c>
      <c r="AD170" s="101">
        <v>23850</v>
      </c>
      <c r="AE170" t="s">
        <v>375</v>
      </c>
      <c r="AF170" s="149">
        <v>-9.8526540031954549E-3</v>
      </c>
      <c r="AG170" s="149">
        <v>0.23841647434759453</v>
      </c>
      <c r="AH170" s="149">
        <f t="shared" si="16"/>
        <v>1.0144302705992746E-2</v>
      </c>
      <c r="AI170" s="149">
        <f t="shared" si="17"/>
        <v>-2.2456950115391443E-2</v>
      </c>
      <c r="AJ170" s="149">
        <v>0.25535365575308766</v>
      </c>
      <c r="AK170" s="149">
        <v>0.35771960196112118</v>
      </c>
      <c r="AL170" s="149">
        <v>-2.3839111359082953E-3</v>
      </c>
      <c r="AM170" s="149">
        <v>6.9049642279542772E-2</v>
      </c>
      <c r="AN170" s="149">
        <v>5.208880917777297E-2</v>
      </c>
      <c r="AO170">
        <f t="shared" si="14"/>
        <v>1</v>
      </c>
      <c r="AP170" s="149">
        <v>3.7949202404199744E-2</v>
      </c>
      <c r="AQ170" s="149">
        <v>1.7011971545230906E-2</v>
      </c>
      <c r="AR170" s="149">
        <v>0.65738885648347745</v>
      </c>
      <c r="AS170" s="208">
        <v>2221.2470020964361</v>
      </c>
      <c r="AT170" s="149">
        <f t="shared" si="15"/>
        <v>5.1200000000000002E-2</v>
      </c>
      <c r="AU170" s="149">
        <v>0.25600000000000001</v>
      </c>
      <c r="AV170">
        <v>9</v>
      </c>
    </row>
    <row r="171" spans="1:48" x14ac:dyDescent="0.25">
      <c r="A171" t="s">
        <v>222</v>
      </c>
      <c r="B171" s="101">
        <v>0</v>
      </c>
      <c r="C171" s="101">
        <v>851</v>
      </c>
      <c r="D171" s="101">
        <v>26165</v>
      </c>
      <c r="E171" s="101">
        <v>78</v>
      </c>
      <c r="F171" s="101">
        <v>0</v>
      </c>
      <c r="G171" s="101">
        <v>1316</v>
      </c>
      <c r="H171" s="101">
        <v>0</v>
      </c>
      <c r="I171" s="101">
        <v>0</v>
      </c>
      <c r="J171" s="101">
        <v>0</v>
      </c>
      <c r="K171" s="101">
        <v>8048</v>
      </c>
      <c r="L171" s="101">
        <v>259</v>
      </c>
      <c r="M171" s="101">
        <v>5143</v>
      </c>
      <c r="N171" s="101">
        <v>18807</v>
      </c>
      <c r="O171" s="101">
        <v>4538</v>
      </c>
      <c r="P171" s="101">
        <v>10791</v>
      </c>
      <c r="Q171" s="101">
        <v>33</v>
      </c>
      <c r="R171" s="101">
        <v>0</v>
      </c>
      <c r="S171" s="101">
        <v>3152</v>
      </c>
      <c r="T171" s="101">
        <v>4536</v>
      </c>
      <c r="U171" s="101">
        <v>3746</v>
      </c>
      <c r="V171" s="101">
        <v>17475</v>
      </c>
      <c r="W171" s="101">
        <v>40683</v>
      </c>
      <c r="X171" s="101">
        <v>40750</v>
      </c>
      <c r="Y171" s="101">
        <v>-67</v>
      </c>
      <c r="Z171" s="101">
        <v>2598</v>
      </c>
      <c r="AA171" s="101">
        <v>1791435.444444444</v>
      </c>
      <c r="AB171" s="101">
        <v>29069</v>
      </c>
      <c r="AC171" s="101">
        <v>29697.01</v>
      </c>
      <c r="AD171" s="101">
        <v>14724</v>
      </c>
      <c r="AE171" t="s">
        <v>222</v>
      </c>
      <c r="AF171" s="149">
        <v>-3.1438192856967286E-2</v>
      </c>
      <c r="AG171" s="149">
        <v>9.2077772042376424E-2</v>
      </c>
      <c r="AH171" s="149">
        <f t="shared" si="16"/>
        <v>3.2347663643290808E-2</v>
      </c>
      <c r="AI171" s="149">
        <f t="shared" si="17"/>
        <v>0</v>
      </c>
      <c r="AJ171" s="149">
        <v>9.5959491679571324E-2</v>
      </c>
      <c r="AK171" s="149">
        <v>0.44931552667415248</v>
      </c>
      <c r="AL171" s="149">
        <v>-1.6468795319912494E-3</v>
      </c>
      <c r="AM171" s="149">
        <v>8.1161637476260817E-2</v>
      </c>
      <c r="AN171" s="149">
        <v>2.1677264576461013E-2</v>
      </c>
      <c r="AO171">
        <f t="shared" si="14"/>
        <v>1</v>
      </c>
      <c r="AP171" s="149">
        <v>5.8630140353464595E-2</v>
      </c>
      <c r="AQ171" s="149">
        <v>4.4034005467749285E-2</v>
      </c>
      <c r="AR171" s="149">
        <v>0.71452449426050191</v>
      </c>
      <c r="AS171" s="208">
        <v>2016.9118446074435</v>
      </c>
      <c r="AT171" s="149">
        <f t="shared" si="15"/>
        <v>6.2700000000000006E-2</v>
      </c>
      <c r="AU171" s="149">
        <v>0.3135</v>
      </c>
      <c r="AV171">
        <v>8.5</v>
      </c>
    </row>
    <row r="172" spans="1:48" x14ac:dyDescent="0.25">
      <c r="A172" t="s">
        <v>150</v>
      </c>
      <c r="B172" s="101">
        <v>0</v>
      </c>
      <c r="C172" s="101">
        <v>4643</v>
      </c>
      <c r="D172" s="101">
        <v>68868</v>
      </c>
      <c r="E172" s="101">
        <v>113</v>
      </c>
      <c r="F172" s="101">
        <v>0</v>
      </c>
      <c r="G172" s="101">
        <v>4333</v>
      </c>
      <c r="H172" s="101">
        <v>0</v>
      </c>
      <c r="I172" s="101">
        <v>-796</v>
      </c>
      <c r="J172" s="101">
        <v>17</v>
      </c>
      <c r="K172" s="101">
        <v>8449</v>
      </c>
      <c r="L172" s="101">
        <v>10</v>
      </c>
      <c r="M172" s="101">
        <v>4423</v>
      </c>
      <c r="N172" s="101">
        <v>34345</v>
      </c>
      <c r="O172" s="101">
        <v>9168</v>
      </c>
      <c r="P172" s="101">
        <v>29682</v>
      </c>
      <c r="Q172" s="101">
        <v>32</v>
      </c>
      <c r="R172" s="101">
        <v>4958</v>
      </c>
      <c r="S172" s="101">
        <v>2892</v>
      </c>
      <c r="T172" s="101">
        <v>8982</v>
      </c>
      <c r="U172" s="101">
        <v>29331</v>
      </c>
      <c r="V172" s="101">
        <v>54440</v>
      </c>
      <c r="W172" s="101">
        <v>76826</v>
      </c>
      <c r="X172" s="101">
        <v>77127</v>
      </c>
      <c r="Y172" s="101">
        <v>-301</v>
      </c>
      <c r="Z172" s="101">
        <v>6032</v>
      </c>
      <c r="AA172" s="101">
        <v>1718187.9000000004</v>
      </c>
      <c r="AB172" s="101">
        <v>56186</v>
      </c>
      <c r="AC172" s="101">
        <v>50827.622000000003</v>
      </c>
      <c r="AD172" s="101">
        <v>23376</v>
      </c>
      <c r="AE172" t="s">
        <v>150</v>
      </c>
      <c r="AF172" s="149">
        <v>-8.2250800510243929E-2</v>
      </c>
      <c r="AG172" s="149">
        <v>0.38178481243329082</v>
      </c>
      <c r="AH172" s="149">
        <f t="shared" si="16"/>
        <v>5.6400177023403532E-2</v>
      </c>
      <c r="AI172" s="149">
        <f t="shared" si="17"/>
        <v>-1.0139796423085934E-2</v>
      </c>
      <c r="AJ172" s="149">
        <v>0.39565069117225937</v>
      </c>
      <c r="AK172" s="149">
        <v>0.38136110771827358</v>
      </c>
      <c r="AL172" s="149">
        <v>-3.9179444458907137E-3</v>
      </c>
      <c r="AM172" s="149">
        <v>7.4677922149576539E-2</v>
      </c>
      <c r="AN172" s="149">
        <v>1.2966886998323792E-2</v>
      </c>
      <c r="AO172">
        <f t="shared" si="14"/>
        <v>1</v>
      </c>
      <c r="AP172" s="149">
        <v>6.205906854450316E-2</v>
      </c>
      <c r="AQ172" s="149">
        <v>2.2364666909639969E-2</v>
      </c>
      <c r="AR172" s="149">
        <v>0.73134095228177964</v>
      </c>
      <c r="AS172" s="208">
        <v>2174.3507015742643</v>
      </c>
      <c r="AT172" s="149">
        <f t="shared" si="15"/>
        <v>5.7699999999999994E-2</v>
      </c>
      <c r="AU172" s="149">
        <v>0.28849999999999998</v>
      </c>
      <c r="AV172">
        <v>7.5</v>
      </c>
    </row>
    <row r="173" spans="1:48" x14ac:dyDescent="0.25">
      <c r="A173" t="s">
        <v>187</v>
      </c>
      <c r="B173" s="101">
        <v>799</v>
      </c>
      <c r="C173" s="101">
        <v>10109</v>
      </c>
      <c r="D173" s="101">
        <v>70672</v>
      </c>
      <c r="E173" s="101">
        <v>60</v>
      </c>
      <c r="F173" s="101">
        <v>0</v>
      </c>
      <c r="G173" s="101">
        <v>2160</v>
      </c>
      <c r="H173" s="101">
        <v>0</v>
      </c>
      <c r="I173" s="101">
        <v>6782</v>
      </c>
      <c r="J173" s="101">
        <v>0</v>
      </c>
      <c r="K173" s="101">
        <v>9158</v>
      </c>
      <c r="L173" s="101">
        <v>2986</v>
      </c>
      <c r="M173" s="101">
        <v>6525</v>
      </c>
      <c r="N173" s="101">
        <v>39486</v>
      </c>
      <c r="O173" s="101">
        <v>10274</v>
      </c>
      <c r="P173" s="101">
        <v>43630</v>
      </c>
      <c r="Q173" s="101">
        <v>472</v>
      </c>
      <c r="R173" s="101">
        <v>0</v>
      </c>
      <c r="S173" s="101">
        <v>4010</v>
      </c>
      <c r="T173" s="101">
        <v>11379</v>
      </c>
      <c r="U173" s="101">
        <v>38662</v>
      </c>
      <c r="V173" s="101">
        <v>53917</v>
      </c>
      <c r="W173" s="101">
        <v>84282</v>
      </c>
      <c r="X173" s="101">
        <v>79291</v>
      </c>
      <c r="Y173" s="101">
        <v>4991</v>
      </c>
      <c r="Z173" s="101">
        <v>5690</v>
      </c>
      <c r="AA173" s="101">
        <v>2548239.1712028086</v>
      </c>
      <c r="AB173" s="101">
        <v>59078</v>
      </c>
      <c r="AC173" s="101">
        <v>48355.862000000001</v>
      </c>
      <c r="AD173" s="101">
        <v>26197</v>
      </c>
      <c r="AE173" t="s">
        <v>187</v>
      </c>
      <c r="AF173" s="149">
        <v>-3.5832087515721032E-3</v>
      </c>
      <c r="AG173" s="149">
        <v>0.45872190977907501</v>
      </c>
      <c r="AH173" s="149">
        <f t="shared" si="16"/>
        <v>2.5628248024489216E-2</v>
      </c>
      <c r="AI173" s="149">
        <f t="shared" si="17"/>
        <v>8.0467952825039754E-2</v>
      </c>
      <c r="AJ173" s="149">
        <v>0.40546973256448587</v>
      </c>
      <c r="AK173" s="149">
        <v>0.36142460938572646</v>
      </c>
      <c r="AL173" s="149">
        <v>5.9217863838067437E-2</v>
      </c>
      <c r="AM173" s="149">
        <v>7.0140253032405175E-2</v>
      </c>
      <c r="AN173" s="149">
        <v>6.1115920358857323E-2</v>
      </c>
      <c r="AO173">
        <f t="shared" si="14"/>
        <v>0</v>
      </c>
      <c r="AP173" s="149">
        <v>8.2054887164519114E-2</v>
      </c>
      <c r="AQ173" s="149">
        <v>3.0234678474677968E-2</v>
      </c>
      <c r="AR173" s="149">
        <v>0.70095631332906194</v>
      </c>
      <c r="AS173" s="208">
        <v>1845.8549452227355</v>
      </c>
      <c r="AT173" s="149">
        <f t="shared" si="15"/>
        <v>5.1500000000000004E-2</v>
      </c>
      <c r="AU173" s="149">
        <v>0.25750000000000001</v>
      </c>
      <c r="AV173">
        <v>9</v>
      </c>
    </row>
    <row r="174" spans="1:48" x14ac:dyDescent="0.25">
      <c r="A174" t="s">
        <v>410</v>
      </c>
      <c r="B174" s="101">
        <v>518</v>
      </c>
      <c r="C174" s="101">
        <v>1704</v>
      </c>
      <c r="D174" s="101">
        <v>95421</v>
      </c>
      <c r="E174" s="101">
        <v>3081</v>
      </c>
      <c r="F174" s="101">
        <v>3292</v>
      </c>
      <c r="G174" s="101">
        <v>3646</v>
      </c>
      <c r="H174" s="101">
        <v>7533</v>
      </c>
      <c r="I174" s="101">
        <v>663</v>
      </c>
      <c r="J174" s="101">
        <v>0</v>
      </c>
      <c r="K174" s="101">
        <v>9429</v>
      </c>
      <c r="L174" s="101">
        <v>762</v>
      </c>
      <c r="M174" s="101">
        <v>5990</v>
      </c>
      <c r="N174" s="101">
        <v>59454</v>
      </c>
      <c r="O174" s="101">
        <v>9232</v>
      </c>
      <c r="P174" s="101">
        <v>40936</v>
      </c>
      <c r="Q174" s="101">
        <v>3</v>
      </c>
      <c r="R174" s="101">
        <v>7500</v>
      </c>
      <c r="S174" s="101">
        <v>6199</v>
      </c>
      <c r="T174" s="101">
        <v>8717</v>
      </c>
      <c r="U174" s="101">
        <v>32703</v>
      </c>
      <c r="V174" s="101">
        <v>80863</v>
      </c>
      <c r="W174" s="101">
        <v>80151</v>
      </c>
      <c r="X174" s="101">
        <v>78307</v>
      </c>
      <c r="Y174" s="101">
        <v>1844</v>
      </c>
      <c r="Z174" s="101">
        <v>7003</v>
      </c>
      <c r="AA174" s="101">
        <v>3197396.4468937889</v>
      </c>
      <c r="AB174" s="101">
        <v>55964</v>
      </c>
      <c r="AC174" s="101">
        <v>49300.569000000003</v>
      </c>
      <c r="AD174" s="101">
        <v>24406</v>
      </c>
      <c r="AE174" t="s">
        <v>410</v>
      </c>
      <c r="AF174" s="149">
        <v>-7.270027822485059E-2</v>
      </c>
      <c r="AG174" s="149">
        <v>0.4057591296427992</v>
      </c>
      <c r="AH174" s="149">
        <f t="shared" si="16"/>
        <v>8.6561614951778512E-2</v>
      </c>
      <c r="AI174" s="149">
        <f t="shared" si="17"/>
        <v>8.2718868136392558E-3</v>
      </c>
      <c r="AJ174" s="149">
        <v>0.41035620266746514</v>
      </c>
      <c r="AK174" s="149">
        <v>0.45026923455593337</v>
      </c>
      <c r="AL174" s="149">
        <v>2.3006575089518533E-2</v>
      </c>
      <c r="AM174" s="149">
        <v>2.6731886440863752E-2</v>
      </c>
      <c r="AN174" s="149">
        <v>1.1929845836680865E-2</v>
      </c>
      <c r="AO174">
        <f t="shared" si="14"/>
        <v>0</v>
      </c>
      <c r="AP174" s="149">
        <v>5.2338710683584734E-2</v>
      </c>
      <c r="AQ174" s="149">
        <v>3.9892159135803532E-2</v>
      </c>
      <c r="AR174" s="149">
        <v>0.69823208693590844</v>
      </c>
      <c r="AS174" s="208">
        <v>2020.0183971154634</v>
      </c>
      <c r="AT174" s="149">
        <f t="shared" si="15"/>
        <v>4.8099999999999997E-2</v>
      </c>
      <c r="AU174" s="149">
        <v>0.24049999999999999</v>
      </c>
      <c r="AV174">
        <v>8.5</v>
      </c>
    </row>
    <row r="175" spans="1:48" x14ac:dyDescent="0.25">
      <c r="A175" t="s">
        <v>774</v>
      </c>
      <c r="B175" s="101">
        <v>504</v>
      </c>
      <c r="C175" s="101">
        <v>28982</v>
      </c>
      <c r="D175" s="101">
        <v>162948</v>
      </c>
      <c r="E175" s="101">
        <v>4604</v>
      </c>
      <c r="F175" s="101">
        <v>1228</v>
      </c>
      <c r="G175" s="101">
        <v>1396</v>
      </c>
      <c r="H175" s="101">
        <v>159</v>
      </c>
      <c r="I175" s="101">
        <v>38457</v>
      </c>
      <c r="J175" s="101">
        <v>0</v>
      </c>
      <c r="K175" s="101">
        <v>18720</v>
      </c>
      <c r="L175" s="101">
        <v>2568</v>
      </c>
      <c r="M175" s="101">
        <v>20815</v>
      </c>
      <c r="N175" s="101">
        <v>125399</v>
      </c>
      <c r="O175" s="101">
        <v>54242</v>
      </c>
      <c r="P175" s="101">
        <v>67587</v>
      </c>
      <c r="Q175" s="101">
        <v>47</v>
      </c>
      <c r="R175" s="101">
        <v>0</v>
      </c>
      <c r="S175" s="101">
        <v>13439</v>
      </c>
      <c r="T175" s="101">
        <v>19668</v>
      </c>
      <c r="U175" s="101">
        <v>55855</v>
      </c>
      <c r="V175" s="101">
        <v>169008</v>
      </c>
      <c r="W175" s="101">
        <v>197892</v>
      </c>
      <c r="X175" s="101">
        <v>190629</v>
      </c>
      <c r="Y175" s="101">
        <v>7263</v>
      </c>
      <c r="Z175" s="101">
        <v>2228</v>
      </c>
      <c r="AA175" s="101">
        <v>8179525.6910878532</v>
      </c>
      <c r="AB175" s="101">
        <v>145506</v>
      </c>
      <c r="AC175" s="101">
        <v>124741.489</v>
      </c>
      <c r="AD175" s="101">
        <v>59222</v>
      </c>
      <c r="AE175" t="s">
        <v>774</v>
      </c>
      <c r="AF175" s="149">
        <v>6.4570573848361734E-2</v>
      </c>
      <c r="AG175" s="149">
        <v>0.28224991409455663</v>
      </c>
      <c r="AH175" s="149">
        <f t="shared" si="16"/>
        <v>1.3259757847714914E-2</v>
      </c>
      <c r="AI175" s="149">
        <f t="shared" si="17"/>
        <v>0.19433327269419684</v>
      </c>
      <c r="AJ175" s="149">
        <v>0.14780779415034465</v>
      </c>
      <c r="AK175" s="149">
        <v>0.44724340364217391</v>
      </c>
      <c r="AL175" s="149">
        <v>3.6701837365835911E-2</v>
      </c>
      <c r="AM175" s="149">
        <v>6.023654936905512E-2</v>
      </c>
      <c r="AN175" s="149">
        <v>5.5868482726611161E-3</v>
      </c>
      <c r="AO175">
        <f t="shared" si="14"/>
        <v>0</v>
      </c>
      <c r="AP175" s="149">
        <v>2.959442524205122E-2</v>
      </c>
      <c r="AQ175" s="149">
        <v>4.1347489137252572E-2</v>
      </c>
      <c r="AR175" s="149">
        <v>0.73553259462956977</v>
      </c>
      <c r="AS175" s="208">
        <v>2106.3369862551081</v>
      </c>
      <c r="AT175" s="149">
        <f t="shared" si="15"/>
        <v>4.8099999999999997E-2</v>
      </c>
      <c r="AU175" s="149">
        <v>0.24049999999999999</v>
      </c>
      <c r="AV175">
        <v>10</v>
      </c>
    </row>
    <row r="176" spans="1:48" x14ac:dyDescent="0.25">
      <c r="A176" t="s">
        <v>305</v>
      </c>
      <c r="B176" s="101">
        <v>1605</v>
      </c>
      <c r="C176" s="101">
        <v>4664</v>
      </c>
      <c r="D176" s="101">
        <v>98334</v>
      </c>
      <c r="E176" s="101">
        <v>2396</v>
      </c>
      <c r="F176" s="101">
        <v>0</v>
      </c>
      <c r="G176" s="101">
        <v>4632</v>
      </c>
      <c r="H176" s="101">
        <v>0</v>
      </c>
      <c r="I176" s="101">
        <v>400</v>
      </c>
      <c r="J176" s="101">
        <v>2318</v>
      </c>
      <c r="K176" s="101">
        <v>9112</v>
      </c>
      <c r="L176" s="101">
        <v>8114</v>
      </c>
      <c r="M176" s="101">
        <v>4769</v>
      </c>
      <c r="N176" s="101">
        <v>60263</v>
      </c>
      <c r="O176" s="101">
        <v>9355</v>
      </c>
      <c r="P176" s="101">
        <v>44600</v>
      </c>
      <c r="Q176" s="101">
        <v>0</v>
      </c>
      <c r="R176" s="101">
        <v>0</v>
      </c>
      <c r="S176" s="101">
        <v>7941</v>
      </c>
      <c r="T176" s="101">
        <v>14185</v>
      </c>
      <c r="U176" s="101">
        <v>40099</v>
      </c>
      <c r="V176" s="101">
        <v>91589</v>
      </c>
      <c r="W176" s="101">
        <v>128494</v>
      </c>
      <c r="X176" s="101">
        <v>119531</v>
      </c>
      <c r="Y176" s="101">
        <v>8963</v>
      </c>
      <c r="Z176" s="101">
        <v>3736</v>
      </c>
      <c r="AA176" s="101">
        <v>2411674.0214541126</v>
      </c>
      <c r="AB176" s="101">
        <v>95127</v>
      </c>
      <c r="AC176" s="101">
        <v>73791.853000000003</v>
      </c>
      <c r="AD176" s="101">
        <v>35832</v>
      </c>
      <c r="AE176" t="s">
        <v>305</v>
      </c>
      <c r="AF176" s="149">
        <v>2.9970270985415663E-2</v>
      </c>
      <c r="AG176" s="149">
        <v>0.31206904602549534</v>
      </c>
      <c r="AH176" s="149">
        <f t="shared" si="16"/>
        <v>3.604837579964823E-2</v>
      </c>
      <c r="AI176" s="149">
        <f t="shared" si="17"/>
        <v>2.1152738649275454E-2</v>
      </c>
      <c r="AJ176" s="149">
        <v>0.30158793406696033</v>
      </c>
      <c r="AK176" s="149">
        <v>0.44199231355981927</v>
      </c>
      <c r="AL176" s="149">
        <v>6.9754229769483395E-2</v>
      </c>
      <c r="AM176" s="149">
        <v>4.0661330840684698E-2</v>
      </c>
      <c r="AN176" s="149">
        <v>4.3341965380945889E-2</v>
      </c>
      <c r="AO176">
        <f t="shared" si="14"/>
        <v>0</v>
      </c>
      <c r="AP176" s="149">
        <v>2.5320248416268464E-2</v>
      </c>
      <c r="AQ176" s="149">
        <v>1.8784263493894386E-2</v>
      </c>
      <c r="AR176" s="149">
        <v>0.74093373212449765</v>
      </c>
      <c r="AS176" s="208">
        <v>2059.3841538289798</v>
      </c>
      <c r="AT176" s="149">
        <f t="shared" si="15"/>
        <v>3.9399999999999998E-2</v>
      </c>
      <c r="AU176" s="149">
        <v>0.19699999999999998</v>
      </c>
      <c r="AV176">
        <v>10</v>
      </c>
    </row>
    <row r="177" spans="1:48" x14ac:dyDescent="0.25">
      <c r="A177" t="s">
        <v>411</v>
      </c>
      <c r="B177" s="101">
        <v>21346</v>
      </c>
      <c r="C177" s="101">
        <v>43240</v>
      </c>
      <c r="D177" s="101">
        <v>478962</v>
      </c>
      <c r="E177" s="101">
        <v>1038</v>
      </c>
      <c r="F177" s="101">
        <v>83220</v>
      </c>
      <c r="G177" s="101">
        <v>4834</v>
      </c>
      <c r="H177" s="101">
        <v>0</v>
      </c>
      <c r="I177" s="101">
        <v>11680</v>
      </c>
      <c r="J177" s="101">
        <v>72</v>
      </c>
      <c r="K177" s="101">
        <v>50728</v>
      </c>
      <c r="L177" s="101">
        <v>52791</v>
      </c>
      <c r="M177" s="101">
        <v>69427</v>
      </c>
      <c r="N177" s="101">
        <v>250909</v>
      </c>
      <c r="O177" s="101">
        <v>98956</v>
      </c>
      <c r="P177" s="101">
        <v>294968</v>
      </c>
      <c r="Q177" s="101">
        <v>1722</v>
      </c>
      <c r="R177" s="101">
        <v>12400</v>
      </c>
      <c r="S177" s="101">
        <v>40751</v>
      </c>
      <c r="T177" s="101">
        <v>117632</v>
      </c>
      <c r="U177" s="101">
        <v>206473</v>
      </c>
      <c r="V177" s="101">
        <v>523539</v>
      </c>
      <c r="W177" s="101">
        <v>605052</v>
      </c>
      <c r="X177" s="101">
        <v>573854</v>
      </c>
      <c r="Y177" s="101">
        <v>31198</v>
      </c>
      <c r="Z177" s="101">
        <v>1403</v>
      </c>
      <c r="AA177" s="101">
        <v>5730423.3463687152</v>
      </c>
      <c r="AB177" s="101">
        <v>414010</v>
      </c>
      <c r="AC177" s="101">
        <v>330137.73499999999</v>
      </c>
      <c r="AD177" s="101">
        <v>125285</v>
      </c>
      <c r="AE177" t="s">
        <v>411</v>
      </c>
      <c r="AF177" s="149">
        <v>5.9413075239814102E-2</v>
      </c>
      <c r="AG177" s="149">
        <v>0.34124835551324512</v>
      </c>
      <c r="AH177" s="149">
        <f t="shared" si="16"/>
        <v>0.14553129317810701</v>
      </c>
      <c r="AI177" s="149">
        <f t="shared" si="17"/>
        <v>1.9423123962899056E-2</v>
      </c>
      <c r="AJ177" s="149">
        <v>0.3451159239205886</v>
      </c>
      <c r="AK177" s="149">
        <v>0.3069831575186765</v>
      </c>
      <c r="AL177" s="149">
        <v>5.1562510329690669E-2</v>
      </c>
      <c r="AM177" s="149">
        <v>2.6450051609433683E-2</v>
      </c>
      <c r="AN177" s="149">
        <v>4.7074054026907432E-2</v>
      </c>
      <c r="AO177">
        <f t="shared" si="14"/>
        <v>0</v>
      </c>
      <c r="AP177" s="149">
        <v>8.2674712256136668E-3</v>
      </c>
      <c r="AQ177" s="149">
        <v>9.4714140559428572E-3</v>
      </c>
      <c r="AR177" s="149">
        <v>0.68428803533088822</v>
      </c>
      <c r="AS177" s="208">
        <v>2635.0938659855528</v>
      </c>
      <c r="AT177" s="149">
        <f t="shared" si="15"/>
        <v>3.4200000000000001E-2</v>
      </c>
      <c r="AU177" s="149">
        <v>0.17100000000000001</v>
      </c>
      <c r="AV177">
        <v>9.5</v>
      </c>
    </row>
    <row r="178" spans="1:48" x14ac:dyDescent="0.25">
      <c r="A178" t="s">
        <v>264</v>
      </c>
      <c r="B178" s="101">
        <v>939</v>
      </c>
      <c r="C178" s="101">
        <v>14387</v>
      </c>
      <c r="D178" s="101">
        <v>55795</v>
      </c>
      <c r="E178" s="101">
        <v>2370</v>
      </c>
      <c r="F178" s="101">
        <v>2308</v>
      </c>
      <c r="G178" s="101">
        <v>569</v>
      </c>
      <c r="H178" s="101">
        <v>5923</v>
      </c>
      <c r="I178" s="101">
        <v>5367</v>
      </c>
      <c r="J178" s="101">
        <v>0</v>
      </c>
      <c r="K178" s="101">
        <v>45503</v>
      </c>
      <c r="L178" s="101">
        <v>478</v>
      </c>
      <c r="M178" s="101">
        <v>8835</v>
      </c>
      <c r="N178" s="101">
        <v>74554</v>
      </c>
      <c r="O178" s="101">
        <v>24686</v>
      </c>
      <c r="P178" s="101">
        <v>21656</v>
      </c>
      <c r="Q178" s="101">
        <v>159</v>
      </c>
      <c r="R178" s="101">
        <v>0</v>
      </c>
      <c r="S178" s="101">
        <v>6994</v>
      </c>
      <c r="T178" s="101">
        <v>14425</v>
      </c>
      <c r="U178" s="101">
        <v>-20382</v>
      </c>
      <c r="V178" s="101">
        <v>71919</v>
      </c>
      <c r="W178" s="101">
        <v>148410</v>
      </c>
      <c r="X178" s="101">
        <v>136833</v>
      </c>
      <c r="Y178" s="101">
        <v>11577</v>
      </c>
      <c r="Z178" s="101">
        <v>425</v>
      </c>
      <c r="AA178" s="101">
        <v>1919208.929729728</v>
      </c>
      <c r="AB178" s="101">
        <v>103310</v>
      </c>
      <c r="AC178" s="101">
        <v>90259.024999999994</v>
      </c>
      <c r="AD178" s="101">
        <v>46002</v>
      </c>
      <c r="AE178" t="s">
        <v>264</v>
      </c>
      <c r="AF178" s="149">
        <v>5.8513577252206725E-2</v>
      </c>
      <c r="AG178" s="149">
        <v>-0.13733575904588641</v>
      </c>
      <c r="AH178" s="149">
        <f t="shared" si="16"/>
        <v>1.9385486153224177E-2</v>
      </c>
      <c r="AI178" s="149">
        <f t="shared" si="17"/>
        <v>3.6163331311906209E-2</v>
      </c>
      <c r="AJ178" s="149">
        <v>-0.16032383262583386</v>
      </c>
      <c r="AK178" s="149">
        <v>0.52328144082429073</v>
      </c>
      <c r="AL178" s="149">
        <v>7.8006872852233677E-2</v>
      </c>
      <c r="AM178" s="149">
        <v>0.15976500541195532</v>
      </c>
      <c r="AN178" s="149">
        <v>-2.006453748138342E-2</v>
      </c>
      <c r="AO178">
        <f t="shared" si="14"/>
        <v>1</v>
      </c>
      <c r="AP178" s="149">
        <v>-1.3442490398221144E-3</v>
      </c>
      <c r="AQ178" s="149">
        <v>1.2957996959892836E-2</v>
      </c>
      <c r="AR178" s="149">
        <v>0.69752211194382552</v>
      </c>
      <c r="AS178" s="208">
        <v>1962.0674101126037</v>
      </c>
      <c r="AT178" s="149">
        <f t="shared" si="15"/>
        <v>4.24E-2</v>
      </c>
      <c r="AU178" s="149">
        <v>0.21199999999999999</v>
      </c>
      <c r="AV178">
        <v>9</v>
      </c>
    </row>
    <row r="179" spans="1:48" x14ac:dyDescent="0.25">
      <c r="A179" t="s">
        <v>412</v>
      </c>
      <c r="B179" s="101">
        <v>83</v>
      </c>
      <c r="C179" s="101">
        <v>814</v>
      </c>
      <c r="D179" s="101">
        <v>60219</v>
      </c>
      <c r="E179" s="101">
        <v>513</v>
      </c>
      <c r="F179" s="101">
        <v>65750</v>
      </c>
      <c r="G179" s="101">
        <v>1466</v>
      </c>
      <c r="H179" s="101">
        <v>7500</v>
      </c>
      <c r="I179" s="101">
        <v>0</v>
      </c>
      <c r="J179" s="101">
        <v>0</v>
      </c>
      <c r="K179" s="101">
        <v>5235</v>
      </c>
      <c r="L179" s="101">
        <v>16646</v>
      </c>
      <c r="M179" s="101">
        <v>3747</v>
      </c>
      <c r="N179" s="101">
        <v>49749</v>
      </c>
      <c r="O179" s="101">
        <v>20670</v>
      </c>
      <c r="P179" s="101">
        <v>75753</v>
      </c>
      <c r="Q179" s="101">
        <v>57</v>
      </c>
      <c r="R179" s="101">
        <v>0</v>
      </c>
      <c r="S179" s="101">
        <v>4182</v>
      </c>
      <c r="T179" s="101">
        <v>11560</v>
      </c>
      <c r="U179" s="101">
        <v>-8792</v>
      </c>
      <c r="V179" s="101">
        <v>53212</v>
      </c>
      <c r="W179" s="101">
        <v>60529</v>
      </c>
      <c r="X179" s="101">
        <v>56344</v>
      </c>
      <c r="Y179" s="101">
        <v>4185</v>
      </c>
      <c r="Z179" s="101">
        <v>1073</v>
      </c>
      <c r="AA179" s="101">
        <v>373827.11675126944</v>
      </c>
      <c r="AB179" s="101">
        <v>42431</v>
      </c>
      <c r="AC179" s="101">
        <v>35042.298999999999</v>
      </c>
      <c r="AD179" s="101">
        <v>18576</v>
      </c>
      <c r="AE179" t="s">
        <v>412</v>
      </c>
      <c r="AF179" s="149">
        <v>8.84369475788465E-2</v>
      </c>
      <c r="AG179" s="149">
        <v>-0.14525268879380132</v>
      </c>
      <c r="AH179" s="149">
        <f t="shared" si="16"/>
        <v>1.1104759701961044</v>
      </c>
      <c r="AI179" s="149">
        <f t="shared" si="17"/>
        <v>0</v>
      </c>
      <c r="AJ179" s="149">
        <v>-1.1995572370268798E-2</v>
      </c>
      <c r="AK179" s="149">
        <v>0.30714757580060625</v>
      </c>
      <c r="AL179" s="149">
        <v>6.9140412033901102E-2</v>
      </c>
      <c r="AM179" s="149">
        <v>4.3238222097588333E-2</v>
      </c>
      <c r="AN179" s="149">
        <v>2.1271737889569618E-2</v>
      </c>
      <c r="AO179">
        <f t="shared" si="14"/>
        <v>0</v>
      </c>
      <c r="AP179" s="149">
        <v>3.2645508764393927E-2</v>
      </c>
      <c r="AQ179" s="149">
        <v>6.1773269342201972E-3</v>
      </c>
      <c r="AR179" s="149">
        <v>0.70115341397316411</v>
      </c>
      <c r="AS179" s="208">
        <v>1886.4286714039622</v>
      </c>
      <c r="AT179" s="149">
        <f t="shared" si="15"/>
        <v>4.1599999999999998E-2</v>
      </c>
      <c r="AU179" s="149">
        <v>0.20799999999999999</v>
      </c>
      <c r="AV179">
        <v>9</v>
      </c>
    </row>
    <row r="180" spans="1:48" x14ac:dyDescent="0.25">
      <c r="A180" t="s">
        <v>581</v>
      </c>
      <c r="B180" s="101">
        <v>1054</v>
      </c>
      <c r="C180" s="101">
        <v>13028</v>
      </c>
      <c r="D180" s="101">
        <v>247230</v>
      </c>
      <c r="E180" s="101">
        <v>1018</v>
      </c>
      <c r="F180" s="101">
        <v>0</v>
      </c>
      <c r="G180" s="101">
        <v>-2859</v>
      </c>
      <c r="H180" s="101">
        <v>0</v>
      </c>
      <c r="I180" s="101">
        <v>87139</v>
      </c>
      <c r="J180" s="101">
        <v>0</v>
      </c>
      <c r="K180" s="101">
        <v>22420</v>
      </c>
      <c r="L180" s="101">
        <v>2004</v>
      </c>
      <c r="M180" s="101">
        <v>20900</v>
      </c>
      <c r="N180" s="101">
        <v>166173</v>
      </c>
      <c r="O180" s="101">
        <v>71283</v>
      </c>
      <c r="P180" s="101">
        <v>111164</v>
      </c>
      <c r="Q180" s="101">
        <v>504</v>
      </c>
      <c r="R180" s="101">
        <v>0</v>
      </c>
      <c r="S180" s="101">
        <v>18377</v>
      </c>
      <c r="T180" s="101">
        <v>24428</v>
      </c>
      <c r="U180" s="101">
        <v>112008</v>
      </c>
      <c r="V180" s="101">
        <v>199009</v>
      </c>
      <c r="W180" s="101">
        <v>316109</v>
      </c>
      <c r="X180" s="101">
        <v>305351</v>
      </c>
      <c r="Y180" s="101">
        <v>10758</v>
      </c>
      <c r="Z180" s="101">
        <v>20125</v>
      </c>
      <c r="AA180" s="101">
        <v>12438347.154150195</v>
      </c>
      <c r="AB180" s="101">
        <v>213778</v>
      </c>
      <c r="AC180" s="101">
        <v>172094.94</v>
      </c>
      <c r="AD180" s="101">
        <v>84304</v>
      </c>
      <c r="AE180" t="s">
        <v>581</v>
      </c>
      <c r="AF180" s="149">
        <v>-3.5560518681847085E-2</v>
      </c>
      <c r="AG180" s="149">
        <v>0.35433347358031564</v>
      </c>
      <c r="AH180" s="149">
        <f t="shared" si="16"/>
        <v>-9.0443486265813378E-3</v>
      </c>
      <c r="AI180" s="149">
        <f t="shared" si="17"/>
        <v>0.27566124343185422</v>
      </c>
      <c r="AJ180" s="149">
        <v>0.16028528134282793</v>
      </c>
      <c r="AK180" s="149">
        <v>0.42398750794148943</v>
      </c>
      <c r="AL180" s="149">
        <v>3.4032564716600919E-2</v>
      </c>
      <c r="AM180" s="149">
        <v>6.2453141400509823E-2</v>
      </c>
      <c r="AN180" s="149">
        <v>2.4871028643134653E-2</v>
      </c>
      <c r="AO180">
        <f t="shared" si="14"/>
        <v>0</v>
      </c>
      <c r="AP180" s="149">
        <v>4.9273351913422268E-2</v>
      </c>
      <c r="AQ180" s="149">
        <v>3.9360363385410033E-2</v>
      </c>
      <c r="AR180" s="149">
        <v>0.67648696884928416</v>
      </c>
      <c r="AS180" s="208">
        <v>2041.3615012336306</v>
      </c>
      <c r="AT180" s="149">
        <f t="shared" si="15"/>
        <v>3.7199999999999997E-2</v>
      </c>
      <c r="AU180" s="149">
        <v>0.186</v>
      </c>
      <c r="AV180">
        <v>10</v>
      </c>
    </row>
    <row r="181" spans="1:48" x14ac:dyDescent="0.25">
      <c r="A181" t="s">
        <v>110</v>
      </c>
      <c r="B181" s="101">
        <v>616</v>
      </c>
      <c r="C181" s="101">
        <v>8511</v>
      </c>
      <c r="D181" s="101">
        <v>88423</v>
      </c>
      <c r="E181" s="101">
        <v>108</v>
      </c>
      <c r="F181" s="101">
        <v>3770</v>
      </c>
      <c r="G181" s="101">
        <v>3524</v>
      </c>
      <c r="H181" s="101">
        <v>1572</v>
      </c>
      <c r="I181" s="101">
        <v>37388</v>
      </c>
      <c r="J181" s="101">
        <v>289</v>
      </c>
      <c r="K181" s="101">
        <v>20620</v>
      </c>
      <c r="L181" s="101">
        <v>19786</v>
      </c>
      <c r="M181" s="101">
        <v>4322</v>
      </c>
      <c r="N181" s="101">
        <v>40903</v>
      </c>
      <c r="O181" s="101">
        <v>6775</v>
      </c>
      <c r="P181" s="101">
        <v>91895</v>
      </c>
      <c r="Q181" s="101">
        <v>0</v>
      </c>
      <c r="R181" s="101">
        <v>58</v>
      </c>
      <c r="S181" s="101">
        <v>6292</v>
      </c>
      <c r="T181" s="101">
        <v>42987</v>
      </c>
      <c r="U181" s="101">
        <v>87638</v>
      </c>
      <c r="V181" s="101">
        <v>98572</v>
      </c>
      <c r="W181" s="101">
        <v>139909</v>
      </c>
      <c r="X181" s="101">
        <v>130935</v>
      </c>
      <c r="Y181" s="101">
        <v>8974</v>
      </c>
      <c r="Z181" s="101">
        <v>2814</v>
      </c>
      <c r="AA181" s="101">
        <v>949918.33375156857</v>
      </c>
      <c r="AB181" s="101">
        <v>108011</v>
      </c>
      <c r="AC181" s="101">
        <v>80284.702000000005</v>
      </c>
      <c r="AD181" s="101">
        <v>35810</v>
      </c>
      <c r="AE181" t="s">
        <v>110</v>
      </c>
      <c r="AF181" s="149">
        <v>4.8245645383785174E-2</v>
      </c>
      <c r="AG181" s="149">
        <v>0.62639286965098739</v>
      </c>
      <c r="AH181" s="149">
        <f t="shared" si="16"/>
        <v>5.2133887026567266E-2</v>
      </c>
      <c r="AI181" s="149">
        <f t="shared" si="17"/>
        <v>0.26929647127775913</v>
      </c>
      <c r="AJ181" s="149">
        <v>0.44414140619974407</v>
      </c>
      <c r="AK181" s="149">
        <v>0.21652109470118044</v>
      </c>
      <c r="AL181" s="149">
        <v>6.4141692099864908E-2</v>
      </c>
      <c r="AM181" s="149">
        <v>9.9214289200136641E-2</v>
      </c>
      <c r="AN181" s="149">
        <v>3.3440354526544272E-2</v>
      </c>
      <c r="AO181">
        <f t="shared" si="14"/>
        <v>0</v>
      </c>
      <c r="AP181" s="149">
        <v>-1.8261870215640166E-3</v>
      </c>
      <c r="AQ181" s="149">
        <v>6.7895926877059821E-3</v>
      </c>
      <c r="AR181" s="149">
        <v>0.77201446664951257</v>
      </c>
      <c r="AS181" s="208">
        <v>2241.9631946383693</v>
      </c>
      <c r="AT181" s="149">
        <f t="shared" si="15"/>
        <v>3.8600000000000002E-2</v>
      </c>
      <c r="AU181" s="149">
        <v>0.193</v>
      </c>
      <c r="AV181">
        <v>7.5</v>
      </c>
    </row>
    <row r="182" spans="1:48" x14ac:dyDescent="0.25">
      <c r="A182" t="s">
        <v>725</v>
      </c>
      <c r="B182" s="101">
        <v>336</v>
      </c>
      <c r="C182" s="101">
        <v>15679</v>
      </c>
      <c r="D182" s="101">
        <v>120727</v>
      </c>
      <c r="E182" s="101">
        <v>0</v>
      </c>
      <c r="F182" s="101">
        <v>15404</v>
      </c>
      <c r="G182" s="101">
        <v>7967</v>
      </c>
      <c r="H182" s="101">
        <v>0</v>
      </c>
      <c r="I182" s="101">
        <v>61378</v>
      </c>
      <c r="J182" s="101">
        <v>65</v>
      </c>
      <c r="K182" s="101">
        <v>9359</v>
      </c>
      <c r="L182" s="101">
        <v>38968</v>
      </c>
      <c r="M182" s="101">
        <v>7810</v>
      </c>
      <c r="N182" s="101">
        <v>82768</v>
      </c>
      <c r="O182" s="101">
        <v>52773</v>
      </c>
      <c r="P182" s="101">
        <v>122393</v>
      </c>
      <c r="Q182" s="101">
        <v>151</v>
      </c>
      <c r="R182" s="101">
        <v>0</v>
      </c>
      <c r="S182" s="101">
        <v>993</v>
      </c>
      <c r="T182" s="101">
        <v>18615</v>
      </c>
      <c r="U182" s="101">
        <v>62644</v>
      </c>
      <c r="V182" s="101">
        <v>156426</v>
      </c>
      <c r="W182" s="101">
        <v>226329</v>
      </c>
      <c r="X182" s="101">
        <v>203754</v>
      </c>
      <c r="Y182" s="101">
        <v>22575</v>
      </c>
      <c r="Z182" s="101">
        <v>-4729</v>
      </c>
      <c r="AA182" s="101">
        <v>-2518159.2330275252</v>
      </c>
      <c r="AB182" s="101">
        <v>152037</v>
      </c>
      <c r="AC182" s="101">
        <v>119061.25200000001</v>
      </c>
      <c r="AD182" s="101">
        <v>50004</v>
      </c>
      <c r="AE182" t="s">
        <v>725</v>
      </c>
      <c r="AF182" s="149">
        <v>0.15394403722015296</v>
      </c>
      <c r="AG182" s="149">
        <v>0.27678291336947541</v>
      </c>
      <c r="AH182" s="149">
        <f t="shared" si="16"/>
        <v>0.10326118173101989</v>
      </c>
      <c r="AI182" s="149">
        <f t="shared" si="17"/>
        <v>0.27147647893111354</v>
      </c>
      <c r="AJ182" s="149">
        <v>9.9140719925418341E-2</v>
      </c>
      <c r="AK182" s="149">
        <v>0.29805576661997241</v>
      </c>
      <c r="AL182" s="149">
        <v>9.9744177723579394E-2</v>
      </c>
      <c r="AM182" s="149">
        <v>5.8423585186867466E-2</v>
      </c>
      <c r="AN182" s="149">
        <v>4.0318305286687908E-2</v>
      </c>
      <c r="AO182">
        <f t="shared" si="14"/>
        <v>0</v>
      </c>
      <c r="AP182" s="149">
        <v>-2.1742684322380253E-2</v>
      </c>
      <c r="AQ182" s="149">
        <v>-1.1126100645642074E-2</v>
      </c>
      <c r="AR182" s="149">
        <v>0.67175218376787771</v>
      </c>
      <c r="AS182" s="208">
        <v>2381.0345572354213</v>
      </c>
      <c r="AT182" s="149">
        <f t="shared" si="15"/>
        <v>2.3900000000000001E-2</v>
      </c>
      <c r="AU182" s="149">
        <v>0.11950000000000001</v>
      </c>
      <c r="AV182">
        <v>8</v>
      </c>
    </row>
    <row r="183" spans="1:48" x14ac:dyDescent="0.25">
      <c r="A183" t="s">
        <v>306</v>
      </c>
      <c r="B183" s="101">
        <v>0</v>
      </c>
      <c r="C183" s="101">
        <v>99293</v>
      </c>
      <c r="D183" s="101">
        <v>48006</v>
      </c>
      <c r="E183" s="101">
        <v>1497</v>
      </c>
      <c r="F183" s="101">
        <v>0</v>
      </c>
      <c r="G183" s="101">
        <v>19092</v>
      </c>
      <c r="H183" s="101">
        <v>0</v>
      </c>
      <c r="I183" s="101">
        <v>11174</v>
      </c>
      <c r="J183" s="101">
        <v>0</v>
      </c>
      <c r="K183" s="101">
        <v>5685</v>
      </c>
      <c r="L183" s="101">
        <v>2168</v>
      </c>
      <c r="M183" s="101">
        <v>3278</v>
      </c>
      <c r="N183" s="101">
        <v>65901</v>
      </c>
      <c r="O183" s="101">
        <v>17917</v>
      </c>
      <c r="P183" s="101">
        <v>81547</v>
      </c>
      <c r="Q183" s="101">
        <v>0</v>
      </c>
      <c r="R183" s="101">
        <v>5000</v>
      </c>
      <c r="S183" s="101">
        <v>593</v>
      </c>
      <c r="T183" s="101">
        <v>19236</v>
      </c>
      <c r="U183" s="101">
        <v>76153</v>
      </c>
      <c r="V183" s="101">
        <v>114525</v>
      </c>
      <c r="W183" s="101">
        <v>56409</v>
      </c>
      <c r="X183" s="101">
        <v>59121</v>
      </c>
      <c r="Y183" s="101">
        <v>-2712</v>
      </c>
      <c r="Z183" s="101">
        <v>10118</v>
      </c>
      <c r="AA183" s="101">
        <v>1672701.6774193551</v>
      </c>
      <c r="AB183" s="101">
        <v>32398</v>
      </c>
      <c r="AC183" s="101">
        <v>38606.228000000003</v>
      </c>
      <c r="AD183" s="101">
        <v>19377</v>
      </c>
      <c r="AE183" t="s">
        <v>306</v>
      </c>
      <c r="AF183" s="149">
        <v>-0.20505593079118581</v>
      </c>
      <c r="AG183" s="149">
        <v>1.3500150685174352</v>
      </c>
      <c r="AH183" s="149">
        <f t="shared" si="16"/>
        <v>0.33845662926128811</v>
      </c>
      <c r="AI183" s="149">
        <f t="shared" si="17"/>
        <v>0.19808895743587016</v>
      </c>
      <c r="AJ183" s="149">
        <v>1.2519675938236807</v>
      </c>
      <c r="AK183" s="149">
        <v>0.34649358023912424</v>
      </c>
      <c r="AL183" s="149">
        <v>-4.8077434451949154E-2</v>
      </c>
      <c r="AM183" s="149">
        <v>4.3674814190483484E-3</v>
      </c>
      <c r="AN183" s="149">
        <v>7.3323447025869168E-2</v>
      </c>
      <c r="AO183">
        <f t="shared" si="14"/>
        <v>1</v>
      </c>
      <c r="AP183" s="149">
        <v>0.14525164424116718</v>
      </c>
      <c r="AQ183" s="149">
        <v>2.9653099282372586E-2</v>
      </c>
      <c r="AR183" s="149">
        <v>0.57434097395805639</v>
      </c>
      <c r="AS183" s="208">
        <v>1992.3738452804871</v>
      </c>
      <c r="AT183" s="149">
        <f t="shared" si="15"/>
        <v>4.58E-2</v>
      </c>
      <c r="AU183" s="149">
        <v>0.22900000000000001</v>
      </c>
      <c r="AV183">
        <v>5</v>
      </c>
    </row>
    <row r="184" spans="1:48" x14ac:dyDescent="0.25">
      <c r="A184" t="s">
        <v>111</v>
      </c>
      <c r="B184" s="101">
        <v>1222</v>
      </c>
      <c r="C184" s="101">
        <v>5451</v>
      </c>
      <c r="D184" s="101">
        <v>73812</v>
      </c>
      <c r="E184" s="101">
        <v>835</v>
      </c>
      <c r="F184" s="101">
        <v>1089</v>
      </c>
      <c r="G184" s="101">
        <v>6667</v>
      </c>
      <c r="H184" s="101">
        <v>0</v>
      </c>
      <c r="I184" s="101">
        <v>2028</v>
      </c>
      <c r="J184" s="101">
        <v>0</v>
      </c>
      <c r="K184" s="101">
        <v>28279</v>
      </c>
      <c r="L184" s="101">
        <v>419</v>
      </c>
      <c r="M184" s="101">
        <v>220</v>
      </c>
      <c r="N184" s="101">
        <v>56592</v>
      </c>
      <c r="O184" s="101">
        <v>5280</v>
      </c>
      <c r="P184" s="101">
        <v>44102</v>
      </c>
      <c r="Q184" s="101">
        <v>0</v>
      </c>
      <c r="R184" s="101">
        <v>0</v>
      </c>
      <c r="S184" s="101">
        <v>10376</v>
      </c>
      <c r="T184" s="101">
        <v>3670</v>
      </c>
      <c r="U184" s="101">
        <v>21474</v>
      </c>
      <c r="V184" s="101">
        <v>65982</v>
      </c>
      <c r="W184" s="101">
        <v>107268</v>
      </c>
      <c r="X184" s="101">
        <v>104044</v>
      </c>
      <c r="Y184" s="101">
        <v>3224</v>
      </c>
      <c r="Z184" s="101">
        <v>-1115</v>
      </c>
      <c r="AA184" s="101">
        <v>2874950.6051527839</v>
      </c>
      <c r="AB184" s="101">
        <v>80045</v>
      </c>
      <c r="AC184" s="101">
        <v>69080.423999999999</v>
      </c>
      <c r="AD184" s="101">
        <v>34092</v>
      </c>
      <c r="AE184" t="s">
        <v>111</v>
      </c>
      <c r="AF184" s="149">
        <v>4.1139948540105158E-2</v>
      </c>
      <c r="AG184" s="149">
        <v>0.20019017787224522</v>
      </c>
      <c r="AH184" s="149">
        <f t="shared" si="16"/>
        <v>7.2304881232054294E-2</v>
      </c>
      <c r="AI184" s="149">
        <f t="shared" si="17"/>
        <v>1.8905917887906926E-2</v>
      </c>
      <c r="AJ184" s="149">
        <v>0.19563262109855689</v>
      </c>
      <c r="AK184" s="149">
        <v>0.47152141309781703</v>
      </c>
      <c r="AL184" s="149">
        <v>3.0055561770518702E-2</v>
      </c>
      <c r="AM184" s="149">
        <v>8.3503721272593437E-2</v>
      </c>
      <c r="AN184" s="149">
        <v>4.2025827017532449E-2</v>
      </c>
      <c r="AO184">
        <f t="shared" si="14"/>
        <v>0</v>
      </c>
      <c r="AP184" s="149">
        <v>3.3800853935936161E-2</v>
      </c>
      <c r="AQ184" s="149">
        <v>2.6801568083238095E-2</v>
      </c>
      <c r="AR184" s="149">
        <v>0.74621508744453147</v>
      </c>
      <c r="AS184" s="208">
        <v>2026.2942625835974</v>
      </c>
      <c r="AT184" s="149">
        <f t="shared" si="15"/>
        <v>4.7800000000000002E-2</v>
      </c>
      <c r="AU184" s="149">
        <v>0.23900000000000002</v>
      </c>
      <c r="AV184">
        <v>10</v>
      </c>
    </row>
    <row r="185" spans="1:48" x14ac:dyDescent="0.25">
      <c r="A185" t="s">
        <v>595</v>
      </c>
      <c r="B185" s="101">
        <v>5985</v>
      </c>
      <c r="C185" s="101">
        <v>10550</v>
      </c>
      <c r="D185" s="101">
        <v>176562</v>
      </c>
      <c r="E185" s="101">
        <v>502</v>
      </c>
      <c r="F185" s="101">
        <v>523</v>
      </c>
      <c r="G185" s="101">
        <v>10584</v>
      </c>
      <c r="H185" s="101">
        <v>0</v>
      </c>
      <c r="I185" s="101">
        <v>0</v>
      </c>
      <c r="J185" s="101">
        <v>0</v>
      </c>
      <c r="K185" s="101">
        <v>30170</v>
      </c>
      <c r="L185" s="101">
        <v>74435</v>
      </c>
      <c r="M185" s="101">
        <v>16987</v>
      </c>
      <c r="N185" s="101">
        <v>51640</v>
      </c>
      <c r="O185" s="101">
        <v>25184</v>
      </c>
      <c r="P185" s="101">
        <v>113736</v>
      </c>
      <c r="Q185" s="101">
        <v>0</v>
      </c>
      <c r="R185" s="101">
        <v>688</v>
      </c>
      <c r="S185" s="101">
        <v>17468</v>
      </c>
      <c r="T185" s="101">
        <v>117581</v>
      </c>
      <c r="U185" s="101">
        <v>116774</v>
      </c>
      <c r="V185" s="101">
        <v>159899</v>
      </c>
      <c r="W185" s="101">
        <v>296718</v>
      </c>
      <c r="X185" s="101">
        <v>289012</v>
      </c>
      <c r="Y185" s="101">
        <v>7706</v>
      </c>
      <c r="Z185" s="101">
        <v>3028</v>
      </c>
      <c r="AA185" s="101">
        <v>-6483951.9660044163</v>
      </c>
      <c r="AB185" s="101">
        <v>219361</v>
      </c>
      <c r="AC185" s="101">
        <v>171848.36300000001</v>
      </c>
      <c r="AD185" s="101">
        <v>61433</v>
      </c>
      <c r="AE185" t="s">
        <v>595</v>
      </c>
      <c r="AF185" s="149">
        <v>1.7936222271651873E-2</v>
      </c>
      <c r="AG185" s="149">
        <v>0.39355212693533925</v>
      </c>
      <c r="AH185" s="149">
        <f t="shared" si="16"/>
        <v>3.7432848698090444E-2</v>
      </c>
      <c r="AI185" s="149">
        <f t="shared" si="17"/>
        <v>0</v>
      </c>
      <c r="AJ185" s="149">
        <v>0.39804406877911008</v>
      </c>
      <c r="AK185" s="149">
        <v>0.15826072565791288</v>
      </c>
      <c r="AL185" s="149">
        <v>2.5970787077292244E-2</v>
      </c>
      <c r="AM185" s="149">
        <v>4.2913851939550107E-2</v>
      </c>
      <c r="AN185" s="149">
        <v>2.6828021272398622E-2</v>
      </c>
      <c r="AO185">
        <f t="shared" si="14"/>
        <v>0</v>
      </c>
      <c r="AP185" s="149">
        <v>2.797100277030716E-2</v>
      </c>
      <c r="AQ185" s="149">
        <v>-2.1863731583966983E-2</v>
      </c>
      <c r="AR185" s="149">
        <v>0.73968006690000743</v>
      </c>
      <c r="AS185" s="208">
        <v>2797.32982273371</v>
      </c>
      <c r="AT185" s="149">
        <f t="shared" si="15"/>
        <v>4.2999999999999997E-2</v>
      </c>
      <c r="AU185" s="149">
        <v>0.21499999999999997</v>
      </c>
      <c r="AV185">
        <v>8.5</v>
      </c>
    </row>
    <row r="186" spans="1:48" x14ac:dyDescent="0.25">
      <c r="A186" t="s">
        <v>377</v>
      </c>
      <c r="B186" s="101">
        <v>225</v>
      </c>
      <c r="C186" s="101">
        <v>26292</v>
      </c>
      <c r="D186" s="101">
        <v>98659</v>
      </c>
      <c r="E186" s="101">
        <v>237</v>
      </c>
      <c r="F186" s="101">
        <v>0</v>
      </c>
      <c r="G186" s="101">
        <v>13973</v>
      </c>
      <c r="H186" s="101">
        <v>0</v>
      </c>
      <c r="I186" s="101">
        <v>8836</v>
      </c>
      <c r="J186" s="101">
        <v>4943</v>
      </c>
      <c r="K186" s="101">
        <v>36763</v>
      </c>
      <c r="L186" s="101">
        <v>-416</v>
      </c>
      <c r="M186" s="101">
        <v>5778</v>
      </c>
      <c r="N186" s="101">
        <v>87083</v>
      </c>
      <c r="O186" s="101">
        <v>48104</v>
      </c>
      <c r="P186" s="101">
        <v>16971</v>
      </c>
      <c r="Q186" s="101">
        <v>-510</v>
      </c>
      <c r="R186" s="101">
        <v>0</v>
      </c>
      <c r="S186" s="101">
        <v>11234</v>
      </c>
      <c r="T186" s="101">
        <v>32408</v>
      </c>
      <c r="U186" s="101">
        <v>4005</v>
      </c>
      <c r="V186" s="101">
        <v>95897</v>
      </c>
      <c r="W186" s="101">
        <v>136406</v>
      </c>
      <c r="X186" s="101">
        <v>132891</v>
      </c>
      <c r="Y186" s="101">
        <v>3515</v>
      </c>
      <c r="Z186" s="101">
        <v>16197</v>
      </c>
      <c r="AA186" s="101">
        <v>-1243462</v>
      </c>
      <c r="AB186" s="101">
        <v>89107</v>
      </c>
      <c r="AC186" s="101">
        <v>87880.063999999998</v>
      </c>
      <c r="AD186" s="101">
        <v>38091</v>
      </c>
      <c r="AE186" t="s">
        <v>377</v>
      </c>
      <c r="AF186" s="149">
        <v>-0.13937070216852632</v>
      </c>
      <c r="AG186" s="149">
        <v>2.9360878553729309E-2</v>
      </c>
      <c r="AH186" s="149">
        <f t="shared" si="16"/>
        <v>0.10243684295412225</v>
      </c>
      <c r="AI186" s="149">
        <f t="shared" si="17"/>
        <v>0.10101461812530241</v>
      </c>
      <c r="AJ186" s="149">
        <v>-2.90569329794877E-2</v>
      </c>
      <c r="AK186" s="149">
        <v>0.44591632956116545</v>
      </c>
      <c r="AL186" s="149">
        <v>2.5768661202586397E-2</v>
      </c>
      <c r="AM186" s="149">
        <v>-0.1081164353414126</v>
      </c>
      <c r="AN186" s="149">
        <v>-1.2174743375507282E-2</v>
      </c>
      <c r="AO186">
        <f t="shared" si="14"/>
        <v>2</v>
      </c>
      <c r="AP186" s="149">
        <v>5.3661495828629238E-2</v>
      </c>
      <c r="AQ186" s="149">
        <v>-9.1158893303813614E-3</v>
      </c>
      <c r="AR186" s="149">
        <v>0.65324839083324782</v>
      </c>
      <c r="AS186" s="208">
        <v>2307.1083458034705</v>
      </c>
      <c r="AT186" s="149">
        <f t="shared" si="15"/>
        <v>5.04E-2</v>
      </c>
      <c r="AU186" s="149">
        <v>0.252</v>
      </c>
      <c r="AV186">
        <v>6</v>
      </c>
    </row>
    <row r="187" spans="1:48" x14ac:dyDescent="0.25">
      <c r="A187" t="s">
        <v>596</v>
      </c>
      <c r="B187" s="101">
        <v>32</v>
      </c>
      <c r="C187" s="101">
        <v>10476</v>
      </c>
      <c r="D187" s="101">
        <v>157921</v>
      </c>
      <c r="E187" s="101">
        <v>5964</v>
      </c>
      <c r="F187" s="101">
        <v>3081</v>
      </c>
      <c r="G187" s="101">
        <v>3102</v>
      </c>
      <c r="H187" s="101">
        <v>6042</v>
      </c>
      <c r="I187" s="101">
        <v>2761</v>
      </c>
      <c r="J187" s="101">
        <v>0</v>
      </c>
      <c r="K187" s="101">
        <v>14850</v>
      </c>
      <c r="L187" s="101">
        <v>88</v>
      </c>
      <c r="M187" s="101">
        <v>8426</v>
      </c>
      <c r="N187" s="101">
        <v>140612</v>
      </c>
      <c r="O187" s="101">
        <v>23172</v>
      </c>
      <c r="P187" s="101">
        <v>31092</v>
      </c>
      <c r="Q187" s="101">
        <v>3</v>
      </c>
      <c r="R187" s="101">
        <v>66</v>
      </c>
      <c r="S187" s="101">
        <v>9962</v>
      </c>
      <c r="T187" s="101">
        <v>7836</v>
      </c>
      <c r="U187" s="101">
        <v>13370</v>
      </c>
      <c r="V187" s="101">
        <v>121540</v>
      </c>
      <c r="W187" s="101">
        <v>127550</v>
      </c>
      <c r="X187" s="101">
        <v>122251</v>
      </c>
      <c r="Y187" s="101">
        <v>5299</v>
      </c>
      <c r="Z187" s="101">
        <v>17436</v>
      </c>
      <c r="AA187" s="101">
        <v>6541043.9662162159</v>
      </c>
      <c r="AB187" s="101">
        <v>88033</v>
      </c>
      <c r="AC187" s="101">
        <v>79139.05</v>
      </c>
      <c r="AD187" s="101">
        <v>45271</v>
      </c>
      <c r="AE187" t="s">
        <v>596</v>
      </c>
      <c r="AF187" s="149">
        <v>-9.8549588396707175E-2</v>
      </c>
      <c r="AG187" s="149">
        <v>0.10482163857310858</v>
      </c>
      <c r="AH187" s="149">
        <f t="shared" si="16"/>
        <v>4.8475107800862408E-2</v>
      </c>
      <c r="AI187" s="149">
        <f t="shared" si="17"/>
        <v>2.1646413171305369E-2</v>
      </c>
      <c r="AJ187" s="149">
        <v>9.5486162289298307E-2</v>
      </c>
      <c r="AK187" s="149">
        <v>0.66094771625858428</v>
      </c>
      <c r="AL187" s="149">
        <v>4.154449235593885E-2</v>
      </c>
      <c r="AM187" s="149">
        <v>3.5143403778841661E-2</v>
      </c>
      <c r="AN187" s="149">
        <v>-5.2146087550132267E-2</v>
      </c>
      <c r="AO187">
        <f t="shared" si="14"/>
        <v>1</v>
      </c>
      <c r="AP187" s="149">
        <v>9.1903175225401798E-2</v>
      </c>
      <c r="AQ187" s="149">
        <v>5.1282194952694753E-2</v>
      </c>
      <c r="AR187" s="149">
        <v>0.69018424147393176</v>
      </c>
      <c r="AS187" s="208">
        <v>1748.1180004859623</v>
      </c>
      <c r="AT187" s="149">
        <f t="shared" si="15"/>
        <v>4.6899999999999997E-2</v>
      </c>
      <c r="AU187" s="149">
        <v>0.23449999999999999</v>
      </c>
      <c r="AV187">
        <v>7</v>
      </c>
    </row>
    <row r="188" spans="1:48" x14ac:dyDescent="0.25">
      <c r="A188" t="s">
        <v>188</v>
      </c>
      <c r="B188" s="101">
        <v>199</v>
      </c>
      <c r="C188" s="101">
        <v>22241</v>
      </c>
      <c r="D188" s="101">
        <v>97346</v>
      </c>
      <c r="E188" s="101">
        <v>147</v>
      </c>
      <c r="F188" s="101">
        <v>3609</v>
      </c>
      <c r="G188" s="101">
        <v>6397</v>
      </c>
      <c r="H188" s="101">
        <v>0</v>
      </c>
      <c r="I188" s="101">
        <v>-467</v>
      </c>
      <c r="J188" s="101">
        <v>10</v>
      </c>
      <c r="K188" s="101">
        <v>9558</v>
      </c>
      <c r="L188" s="101">
        <v>109</v>
      </c>
      <c r="M188" s="101">
        <v>4399</v>
      </c>
      <c r="N188" s="101">
        <v>55560</v>
      </c>
      <c r="O188" s="101">
        <v>7837</v>
      </c>
      <c r="P188" s="101">
        <v>56718</v>
      </c>
      <c r="Q188" s="101">
        <v>8</v>
      </c>
      <c r="R188" s="101">
        <v>0</v>
      </c>
      <c r="S188" s="101">
        <v>6732</v>
      </c>
      <c r="T188" s="101">
        <v>16692</v>
      </c>
      <c r="U188" s="101">
        <v>56078</v>
      </c>
      <c r="V188" s="101">
        <v>95541</v>
      </c>
      <c r="W188" s="101">
        <v>119576</v>
      </c>
      <c r="X188" s="101">
        <v>115764</v>
      </c>
      <c r="Y188" s="101">
        <v>3812</v>
      </c>
      <c r="Z188" s="101">
        <v>3693</v>
      </c>
      <c r="AA188" s="101">
        <v>1990024.029925188</v>
      </c>
      <c r="AB188" s="101">
        <v>90166</v>
      </c>
      <c r="AC188" s="101">
        <v>74479.335000000006</v>
      </c>
      <c r="AD188" s="101">
        <v>36873</v>
      </c>
      <c r="AE188" t="s">
        <v>188</v>
      </c>
      <c r="AF188" s="149">
        <v>3.4204188131397605E-3</v>
      </c>
      <c r="AG188" s="149">
        <v>0.46897370709841441</v>
      </c>
      <c r="AH188" s="149">
        <f t="shared" si="16"/>
        <v>8.3678999130260251E-2</v>
      </c>
      <c r="AI188" s="149">
        <f t="shared" si="17"/>
        <v>-3.8218371579581186E-3</v>
      </c>
      <c r="AJ188" s="149">
        <v>0.48169047300461637</v>
      </c>
      <c r="AK188" s="149">
        <v>0.38705093105394051</v>
      </c>
      <c r="AL188" s="149">
        <v>3.1879306884324617E-2</v>
      </c>
      <c r="AM188" s="149">
        <v>9.7679317608868318E-2</v>
      </c>
      <c r="AN188" s="149">
        <v>5.3556876138850483E-2</v>
      </c>
      <c r="AO188">
        <f t="shared" si="14"/>
        <v>0</v>
      </c>
      <c r="AP188" s="149">
        <v>5.068951963604737E-2</v>
      </c>
      <c r="AQ188" s="149">
        <v>1.6642336505027666E-2</v>
      </c>
      <c r="AR188" s="149">
        <v>0.7540476349769184</v>
      </c>
      <c r="AS188" s="208">
        <v>2019.8881295256692</v>
      </c>
      <c r="AT188" s="149">
        <f t="shared" si="15"/>
        <v>4.7899999999999998E-2</v>
      </c>
      <c r="AU188" s="149">
        <v>0.23949999999999999</v>
      </c>
      <c r="AV188">
        <v>9</v>
      </c>
    </row>
    <row r="189" spans="1:48" x14ac:dyDescent="0.25">
      <c r="A189" t="s">
        <v>436</v>
      </c>
      <c r="B189" s="101">
        <v>169</v>
      </c>
      <c r="C189" s="101">
        <v>724</v>
      </c>
      <c r="D189" s="101">
        <v>39479</v>
      </c>
      <c r="E189" s="101">
        <v>63</v>
      </c>
      <c r="F189" s="101">
        <v>0</v>
      </c>
      <c r="G189" s="101">
        <v>115</v>
      </c>
      <c r="H189" s="101">
        <v>0</v>
      </c>
      <c r="I189" s="101">
        <v>0</v>
      </c>
      <c r="J189" s="101">
        <v>0</v>
      </c>
      <c r="K189" s="101">
        <v>1728</v>
      </c>
      <c r="L189" s="101">
        <v>3423</v>
      </c>
      <c r="M189" s="101">
        <v>4909</v>
      </c>
      <c r="N189" s="101">
        <v>8942</v>
      </c>
      <c r="O189" s="101">
        <v>7943</v>
      </c>
      <c r="P189" s="101">
        <v>26571</v>
      </c>
      <c r="Q189" s="101">
        <v>16</v>
      </c>
      <c r="R189" s="101">
        <v>0</v>
      </c>
      <c r="S189" s="101">
        <v>3504</v>
      </c>
      <c r="T189" s="101">
        <v>3637</v>
      </c>
      <c r="U189" s="101">
        <v>23553</v>
      </c>
      <c r="V189" s="101">
        <v>22469</v>
      </c>
      <c r="W189" s="101">
        <v>36874</v>
      </c>
      <c r="X189" s="101">
        <v>34423</v>
      </c>
      <c r="Y189" s="101">
        <v>2451</v>
      </c>
      <c r="Z189" s="101">
        <v>12153</v>
      </c>
      <c r="AA189" s="101">
        <v>719922.42932862137</v>
      </c>
      <c r="AB189" s="101">
        <v>25654</v>
      </c>
      <c r="AC189" s="101">
        <v>23026.971000000001</v>
      </c>
      <c r="AD189" s="101">
        <v>13868</v>
      </c>
      <c r="AE189" t="s">
        <v>436</v>
      </c>
      <c r="AF189" s="149">
        <v>-0.26153929598090797</v>
      </c>
      <c r="AG189" s="149">
        <v>0.63874274556598143</v>
      </c>
      <c r="AH189" s="149">
        <f t="shared" si="16"/>
        <v>3.1187286434886368E-3</v>
      </c>
      <c r="AI189" s="149">
        <f t="shared" si="17"/>
        <v>0</v>
      </c>
      <c r="AJ189" s="149">
        <v>0.63911699300320002</v>
      </c>
      <c r="AK189" s="149">
        <v>0.17667397704147156</v>
      </c>
      <c r="AL189" s="149">
        <v>6.6469599175570868E-2</v>
      </c>
      <c r="AM189" s="149">
        <v>8.5501748562622257E-2</v>
      </c>
      <c r="AN189" s="149">
        <v>3.0682608970709182E-3</v>
      </c>
      <c r="AO189">
        <f t="shared" si="14"/>
        <v>0</v>
      </c>
      <c r="AP189" s="149">
        <v>0.12137956283560232</v>
      </c>
      <c r="AQ189" s="149">
        <v>1.9523849577713873E-2</v>
      </c>
      <c r="AR189" s="149">
        <v>0.69572056191354337</v>
      </c>
      <c r="AS189" s="208">
        <v>1660.4392125757138</v>
      </c>
      <c r="AT189" s="149">
        <f t="shared" si="15"/>
        <v>5.1000000000000004E-2</v>
      </c>
      <c r="AU189" s="149">
        <v>0.255</v>
      </c>
      <c r="AV189">
        <v>6.5</v>
      </c>
    </row>
    <row r="190" spans="1:48" x14ac:dyDescent="0.25">
      <c r="A190" t="s">
        <v>413</v>
      </c>
      <c r="B190" s="101">
        <v>36</v>
      </c>
      <c r="C190" s="101">
        <v>502</v>
      </c>
      <c r="D190" s="101">
        <v>10075</v>
      </c>
      <c r="E190" s="101">
        <v>555</v>
      </c>
      <c r="F190" s="101">
        <v>428</v>
      </c>
      <c r="G190" s="101">
        <v>313</v>
      </c>
      <c r="H190" s="101">
        <v>0</v>
      </c>
      <c r="I190" s="101">
        <v>0</v>
      </c>
      <c r="J190" s="101">
        <v>0</v>
      </c>
      <c r="K190" s="101">
        <v>2121</v>
      </c>
      <c r="L190" s="101">
        <v>5755</v>
      </c>
      <c r="M190" s="101">
        <v>1538</v>
      </c>
      <c r="N190" s="101">
        <v>8863</v>
      </c>
      <c r="O190" s="101">
        <v>7622</v>
      </c>
      <c r="P190" s="101">
        <v>363</v>
      </c>
      <c r="Q190" s="101">
        <v>0</v>
      </c>
      <c r="R190" s="101">
        <v>0</v>
      </c>
      <c r="S190" s="101">
        <v>780</v>
      </c>
      <c r="T190" s="101">
        <v>3697</v>
      </c>
      <c r="U190" s="101">
        <v>-5315</v>
      </c>
      <c r="V190" s="101">
        <v>8493</v>
      </c>
      <c r="W190" s="101">
        <v>23736</v>
      </c>
      <c r="X190" s="101">
        <v>23497</v>
      </c>
      <c r="Y190" s="101">
        <v>239</v>
      </c>
      <c r="Z190" s="101">
        <v>742</v>
      </c>
      <c r="AA190" s="101">
        <v>753823.79444444412</v>
      </c>
      <c r="AB190" s="101">
        <v>17682</v>
      </c>
      <c r="AC190" s="101">
        <v>16150.853999999999</v>
      </c>
      <c r="AD190" s="101">
        <v>8153</v>
      </c>
      <c r="AE190" t="s">
        <v>413</v>
      </c>
      <c r="AF190" s="149">
        <v>-1.0532524435456691E-3</v>
      </c>
      <c r="AG190" s="149">
        <v>-0.22392146949780922</v>
      </c>
      <c r="AH190" s="149">
        <f t="shared" ref="AH190:AH221" si="18">SUM(F190,G190)/W190</f>
        <v>3.1218402426693631E-2</v>
      </c>
      <c r="AI190" s="149">
        <f t="shared" ref="AI190:AI221" si="19">SUM(I190,J190)/W190</f>
        <v>0</v>
      </c>
      <c r="AJ190" s="149">
        <v>-0.22017526120660599</v>
      </c>
      <c r="AK190" s="149">
        <v>0.41561547479484173</v>
      </c>
      <c r="AL190" s="149">
        <v>1.0069093360296596E-2</v>
      </c>
      <c r="AM190" s="149">
        <v>7.8994524639123945E-2</v>
      </c>
      <c r="AN190" s="149">
        <v>4.010177554068256E-2</v>
      </c>
      <c r="AO190">
        <f t="shared" si="14"/>
        <v>0</v>
      </c>
      <c r="AP190" s="149">
        <v>2.2328951803168184E-2</v>
      </c>
      <c r="AQ190" s="149">
        <v>3.1758670140059155E-2</v>
      </c>
      <c r="AR190" s="149">
        <v>0.74494438827098075</v>
      </c>
      <c r="AS190" s="208">
        <v>1980.9706856371888</v>
      </c>
      <c r="AT190" s="149">
        <f t="shared" si="15"/>
        <v>7.2300000000000003E-2</v>
      </c>
      <c r="AU190" s="149">
        <v>0.36150000000000004</v>
      </c>
      <c r="AV190">
        <v>10</v>
      </c>
    </row>
    <row r="191" spans="1:48" x14ac:dyDescent="0.25">
      <c r="A191" t="s">
        <v>189</v>
      </c>
      <c r="B191" s="101">
        <v>41</v>
      </c>
      <c r="C191" s="101">
        <v>4663</v>
      </c>
      <c r="D191" s="101">
        <v>55969</v>
      </c>
      <c r="E191" s="101">
        <v>106</v>
      </c>
      <c r="F191" s="101">
        <v>0</v>
      </c>
      <c r="G191" s="101">
        <v>986</v>
      </c>
      <c r="H191" s="101">
        <v>0</v>
      </c>
      <c r="I191" s="101">
        <v>2603</v>
      </c>
      <c r="J191" s="101">
        <v>0</v>
      </c>
      <c r="K191" s="101">
        <v>9075</v>
      </c>
      <c r="L191" s="101">
        <v>1370</v>
      </c>
      <c r="M191" s="101">
        <v>6974</v>
      </c>
      <c r="N191" s="101">
        <v>41129</v>
      </c>
      <c r="O191" s="101">
        <v>4634</v>
      </c>
      <c r="P191" s="101">
        <v>24213</v>
      </c>
      <c r="Q191" s="101">
        <v>3</v>
      </c>
      <c r="R191" s="101">
        <v>-355</v>
      </c>
      <c r="S191" s="101">
        <v>5287</v>
      </c>
      <c r="T191" s="101">
        <v>6875</v>
      </c>
      <c r="U191" s="101">
        <v>17618</v>
      </c>
      <c r="V191" s="101">
        <v>48248</v>
      </c>
      <c r="W191" s="101">
        <v>75174</v>
      </c>
      <c r="X191" s="101">
        <v>76102</v>
      </c>
      <c r="Y191" s="101">
        <v>-928</v>
      </c>
      <c r="Z191" s="101">
        <v>3118</v>
      </c>
      <c r="AA191" s="101">
        <v>1240222.4347826084</v>
      </c>
      <c r="AB191" s="101">
        <v>55773</v>
      </c>
      <c r="AC191" s="101">
        <v>50919.883000000002</v>
      </c>
      <c r="AD191" s="101">
        <v>25708</v>
      </c>
      <c r="AE191" t="s">
        <v>189</v>
      </c>
      <c r="AF191" s="149">
        <v>-5.2425040572538377E-2</v>
      </c>
      <c r="AG191" s="149">
        <v>0.2343629446351132</v>
      </c>
      <c r="AH191" s="149">
        <f t="shared" si="18"/>
        <v>1.3116236996834011E-2</v>
      </c>
      <c r="AI191" s="149">
        <f t="shared" si="19"/>
        <v>3.462633357277782E-2</v>
      </c>
      <c r="AJ191" s="149">
        <v>0.2116984595737888</v>
      </c>
      <c r="AK191" s="149">
        <v>0.50288557943902379</v>
      </c>
      <c r="AL191" s="149">
        <v>-1.234469364407907E-2</v>
      </c>
      <c r="AM191" s="149">
        <v>0.12281539370029275</v>
      </c>
      <c r="AN191" s="149">
        <v>6.7190004644125181E-2</v>
      </c>
      <c r="AO191">
        <f t="shared" si="14"/>
        <v>1</v>
      </c>
      <c r="AP191" s="149">
        <v>4.1320802405086864E-2</v>
      </c>
      <c r="AQ191" s="149">
        <v>1.6498023715415016E-2</v>
      </c>
      <c r="AR191" s="149">
        <v>0.74191874850347195</v>
      </c>
      <c r="AS191" s="208">
        <v>1980.7018437840361</v>
      </c>
      <c r="AT191" s="149">
        <f t="shared" si="15"/>
        <v>6.5299999999999997E-2</v>
      </c>
      <c r="AU191" s="149">
        <v>0.32650000000000001</v>
      </c>
      <c r="AV191">
        <v>8</v>
      </c>
    </row>
    <row r="192" spans="1:48" x14ac:dyDescent="0.25">
      <c r="A192" t="s">
        <v>414</v>
      </c>
      <c r="B192" s="101">
        <v>0</v>
      </c>
      <c r="C192" s="101">
        <v>1597</v>
      </c>
      <c r="D192" s="101">
        <v>15487</v>
      </c>
      <c r="E192" s="101">
        <v>205</v>
      </c>
      <c r="F192" s="101">
        <v>595</v>
      </c>
      <c r="G192" s="101">
        <v>3</v>
      </c>
      <c r="H192" s="101">
        <v>17</v>
      </c>
      <c r="I192" s="101">
        <v>4359</v>
      </c>
      <c r="J192" s="101">
        <v>3</v>
      </c>
      <c r="K192" s="101">
        <v>6140</v>
      </c>
      <c r="L192" s="101">
        <v>39454</v>
      </c>
      <c r="M192" s="101">
        <v>-27</v>
      </c>
      <c r="N192" s="101">
        <v>33018</v>
      </c>
      <c r="O192" s="101">
        <v>25198</v>
      </c>
      <c r="P192" s="101">
        <v>0</v>
      </c>
      <c r="Q192" s="101">
        <v>8</v>
      </c>
      <c r="R192" s="101">
        <v>0</v>
      </c>
      <c r="S192" s="101">
        <v>7796</v>
      </c>
      <c r="T192" s="101">
        <v>1813</v>
      </c>
      <c r="U192" s="101">
        <v>-36565</v>
      </c>
      <c r="V192" s="101">
        <v>18096</v>
      </c>
      <c r="W192" s="101">
        <v>54328</v>
      </c>
      <c r="X192" s="101">
        <v>52636</v>
      </c>
      <c r="Y192" s="101">
        <v>1692</v>
      </c>
      <c r="Z192" s="101">
        <v>13</v>
      </c>
      <c r="AA192" s="101">
        <v>1403384.8673100118</v>
      </c>
      <c r="AB192" s="101">
        <v>39021</v>
      </c>
      <c r="AC192" s="101">
        <v>35944.07</v>
      </c>
      <c r="AD192" s="101">
        <v>17492</v>
      </c>
      <c r="AE192" t="s">
        <v>414</v>
      </c>
      <c r="AF192" s="149">
        <v>5.5606685318804298E-2</v>
      </c>
      <c r="AG192" s="149">
        <v>-0.67304152554852015</v>
      </c>
      <c r="AH192" s="149">
        <f t="shared" si="18"/>
        <v>1.1007215432189663E-2</v>
      </c>
      <c r="AI192" s="149">
        <f t="shared" si="19"/>
        <v>8.0290089824768082E-2</v>
      </c>
      <c r="AJ192" s="149">
        <v>-0.72792372257399507</v>
      </c>
      <c r="AK192" s="149">
        <v>0.48675423466454382</v>
      </c>
      <c r="AL192" s="149">
        <v>3.1144161390075101E-2</v>
      </c>
      <c r="AM192" s="149">
        <v>5.7775899541173632E-2</v>
      </c>
      <c r="AN192" s="149">
        <v>-1.1308080607337335E-2</v>
      </c>
      <c r="AO192">
        <f t="shared" si="14"/>
        <v>1</v>
      </c>
      <c r="AP192" s="149">
        <v>-4.6568988366956264E-3</v>
      </c>
      <c r="AQ192" s="149">
        <v>2.5831704964475257E-2</v>
      </c>
      <c r="AR192" s="149">
        <v>0.71824841702252984</v>
      </c>
      <c r="AS192" s="208">
        <v>2054.8862337068376</v>
      </c>
      <c r="AT192" s="149">
        <f t="shared" si="15"/>
        <v>5.2299999999999999E-2</v>
      </c>
      <c r="AU192" s="149">
        <v>0.26150000000000001</v>
      </c>
      <c r="AV192">
        <v>9</v>
      </c>
    </row>
    <row r="193" spans="1:48" x14ac:dyDescent="0.25">
      <c r="A193" t="s">
        <v>223</v>
      </c>
      <c r="B193" s="101">
        <v>3314</v>
      </c>
      <c r="C193" s="101">
        <v>34103</v>
      </c>
      <c r="D193" s="101">
        <v>222450</v>
      </c>
      <c r="E193" s="101">
        <v>11546</v>
      </c>
      <c r="F193" s="101">
        <v>0</v>
      </c>
      <c r="G193" s="101">
        <v>9686</v>
      </c>
      <c r="H193" s="101">
        <v>0</v>
      </c>
      <c r="I193" s="101">
        <v>17814</v>
      </c>
      <c r="J193" s="101">
        <v>0</v>
      </c>
      <c r="K193" s="101">
        <v>74654</v>
      </c>
      <c r="L193" s="101">
        <v>547</v>
      </c>
      <c r="M193" s="101">
        <v>9402</v>
      </c>
      <c r="N193" s="101">
        <v>113366</v>
      </c>
      <c r="O193" s="101">
        <v>30252</v>
      </c>
      <c r="P193" s="101">
        <v>178500</v>
      </c>
      <c r="Q193" s="101">
        <v>408</v>
      </c>
      <c r="R193" s="101">
        <v>0</v>
      </c>
      <c r="S193" s="101">
        <v>23256</v>
      </c>
      <c r="T193" s="101">
        <v>37735</v>
      </c>
      <c r="U193" s="101">
        <v>145610</v>
      </c>
      <c r="V193" s="101">
        <v>233948</v>
      </c>
      <c r="W193" s="101">
        <v>273265</v>
      </c>
      <c r="X193" s="101">
        <v>264957</v>
      </c>
      <c r="Y193" s="101">
        <v>8308</v>
      </c>
      <c r="Z193" s="101">
        <v>16460</v>
      </c>
      <c r="AA193" s="101">
        <v>4147459.4404821694</v>
      </c>
      <c r="AB193" s="101">
        <v>166911</v>
      </c>
      <c r="AC193" s="101">
        <v>144134.747</v>
      </c>
      <c r="AD193" s="101">
        <v>65971</v>
      </c>
      <c r="AE193" t="s">
        <v>223</v>
      </c>
      <c r="AF193" s="149">
        <v>-6.5244359870455418E-2</v>
      </c>
      <c r="AG193" s="149">
        <v>0.53285272537646611</v>
      </c>
      <c r="AH193" s="149">
        <f t="shared" si="18"/>
        <v>3.5445446727535544E-2</v>
      </c>
      <c r="AI193" s="149">
        <f t="shared" si="19"/>
        <v>6.5189468098731995E-2</v>
      </c>
      <c r="AJ193" s="149">
        <v>0.49147355131465797</v>
      </c>
      <c r="AK193" s="149">
        <v>0.29559576237819968</v>
      </c>
      <c r="AL193" s="149">
        <v>3.0402722631877481E-2</v>
      </c>
      <c r="AM193" s="149">
        <v>4.2776508243164334E-2</v>
      </c>
      <c r="AN193" s="149">
        <v>3.2085973295913957E-2</v>
      </c>
      <c r="AO193">
        <f t="shared" si="14"/>
        <v>0</v>
      </c>
      <c r="AP193" s="149">
        <v>2.3712330521654803E-2</v>
      </c>
      <c r="AQ193" s="149">
        <v>1.5201513900430189E-2</v>
      </c>
      <c r="AR193" s="149">
        <v>0.61177207952146373</v>
      </c>
      <c r="AS193" s="208">
        <v>2184.8197996089189</v>
      </c>
      <c r="AT193" s="149">
        <f t="shared" si="15"/>
        <v>3.6600000000000001E-2</v>
      </c>
      <c r="AU193" s="149">
        <v>0.183</v>
      </c>
      <c r="AV193">
        <v>9</v>
      </c>
    </row>
    <row r="194" spans="1:48" x14ac:dyDescent="0.25">
      <c r="A194" t="s">
        <v>307</v>
      </c>
      <c r="B194" s="101">
        <v>1819</v>
      </c>
      <c r="C194" s="101">
        <v>12771</v>
      </c>
      <c r="D194" s="101">
        <v>77385</v>
      </c>
      <c r="E194" s="101">
        <v>411</v>
      </c>
      <c r="F194" s="101">
        <v>0</v>
      </c>
      <c r="G194" s="101">
        <v>5431</v>
      </c>
      <c r="H194" s="101">
        <v>0</v>
      </c>
      <c r="I194" s="101">
        <v>8414</v>
      </c>
      <c r="J194" s="101">
        <v>1</v>
      </c>
      <c r="K194" s="101">
        <v>19183</v>
      </c>
      <c r="L194" s="101">
        <v>121</v>
      </c>
      <c r="M194" s="101">
        <v>3588</v>
      </c>
      <c r="N194" s="101">
        <v>67077</v>
      </c>
      <c r="O194" s="101">
        <v>24213</v>
      </c>
      <c r="P194" s="101">
        <v>29040</v>
      </c>
      <c r="Q194" s="101">
        <v>10</v>
      </c>
      <c r="R194" s="101">
        <v>0</v>
      </c>
      <c r="S194" s="101">
        <v>3726</v>
      </c>
      <c r="T194" s="101">
        <v>5058</v>
      </c>
      <c r="U194" s="101">
        <v>9511</v>
      </c>
      <c r="V194" s="101">
        <v>56730</v>
      </c>
      <c r="W194" s="101">
        <v>88332</v>
      </c>
      <c r="X194" s="101">
        <v>87070</v>
      </c>
      <c r="Y194" s="101">
        <v>1262</v>
      </c>
      <c r="Z194" s="101">
        <v>1547</v>
      </c>
      <c r="AA194" s="101">
        <v>2051554.2305863723</v>
      </c>
      <c r="AB194" s="101">
        <v>55839</v>
      </c>
      <c r="AC194" s="101">
        <v>59695.48</v>
      </c>
      <c r="AD194" s="101">
        <v>29501</v>
      </c>
      <c r="AE194" t="s">
        <v>307</v>
      </c>
      <c r="AF194" s="149">
        <v>-1.0279400443780283E-2</v>
      </c>
      <c r="AG194" s="149">
        <v>0.10767332337091881</v>
      </c>
      <c r="AH194" s="149">
        <f t="shared" si="18"/>
        <v>6.1483946927500789E-2</v>
      </c>
      <c r="AI194" s="149">
        <f t="shared" si="19"/>
        <v>9.5265588914549656E-2</v>
      </c>
      <c r="AJ194" s="149">
        <v>4.8365484762034144E-2</v>
      </c>
      <c r="AK194" s="149">
        <v>0.51947740156748556</v>
      </c>
      <c r="AL194" s="149">
        <v>1.4287008105782728E-2</v>
      </c>
      <c r="AM194" s="149">
        <v>7.4866494401378117E-2</v>
      </c>
      <c r="AN194" s="149">
        <v>1.6588765791115768E-2</v>
      </c>
      <c r="AO194">
        <f t="shared" ref="AO194:AO257" si="20">COUNTIF(AL194:AN194,"&lt;0")</f>
        <v>0</v>
      </c>
      <c r="AP194" s="149">
        <v>9.9751505683104646E-2</v>
      </c>
      <c r="AQ194" s="149">
        <v>2.3225492806529597E-2</v>
      </c>
      <c r="AR194" s="149">
        <v>0.63214916451569081</v>
      </c>
      <c r="AS194" s="208">
        <v>2023.5069997627199</v>
      </c>
      <c r="AT194" s="149">
        <f t="shared" ref="AT194:AT257" si="21">AU194/5</f>
        <v>4.9500000000000002E-2</v>
      </c>
      <c r="AU194" s="149">
        <v>0.2475</v>
      </c>
      <c r="AV194">
        <v>9</v>
      </c>
    </row>
    <row r="195" spans="1:48" x14ac:dyDescent="0.25">
      <c r="A195" t="s">
        <v>190</v>
      </c>
      <c r="B195" s="101">
        <v>519</v>
      </c>
      <c r="C195" s="101">
        <v>7604</v>
      </c>
      <c r="D195" s="101">
        <v>124718</v>
      </c>
      <c r="E195" s="101">
        <v>107</v>
      </c>
      <c r="F195" s="101">
        <v>0</v>
      </c>
      <c r="G195" s="101">
        <v>6215</v>
      </c>
      <c r="H195" s="101">
        <v>0</v>
      </c>
      <c r="I195" s="101">
        <v>38685</v>
      </c>
      <c r="J195" s="101">
        <v>30</v>
      </c>
      <c r="K195" s="101">
        <v>17571</v>
      </c>
      <c r="L195" s="101">
        <v>72</v>
      </c>
      <c r="M195" s="101">
        <v>4161</v>
      </c>
      <c r="N195" s="101">
        <v>79670</v>
      </c>
      <c r="O195" s="101">
        <v>20602</v>
      </c>
      <c r="P195" s="101">
        <v>61234</v>
      </c>
      <c r="Q195" s="101">
        <v>9</v>
      </c>
      <c r="R195" s="101">
        <v>13165</v>
      </c>
      <c r="S195" s="101">
        <v>7741</v>
      </c>
      <c r="T195" s="101">
        <v>17261</v>
      </c>
      <c r="U195" s="101">
        <v>71391</v>
      </c>
      <c r="V195" s="101">
        <v>101937</v>
      </c>
      <c r="W195" s="101">
        <v>129280</v>
      </c>
      <c r="X195" s="101">
        <v>123193</v>
      </c>
      <c r="Y195" s="101">
        <v>6087</v>
      </c>
      <c r="Z195" s="101">
        <v>13095</v>
      </c>
      <c r="AA195" s="101">
        <v>6977365.3652694598</v>
      </c>
      <c r="AB195" s="101">
        <v>88414</v>
      </c>
      <c r="AC195" s="101">
        <v>86197.98</v>
      </c>
      <c r="AD195" s="101">
        <v>45361</v>
      </c>
      <c r="AE195" t="s">
        <v>190</v>
      </c>
      <c r="AF195" s="149">
        <v>-9.0733292079207925E-2</v>
      </c>
      <c r="AG195" s="149">
        <v>0.55221998762376234</v>
      </c>
      <c r="AH195" s="149">
        <f t="shared" si="18"/>
        <v>4.8073948019801978E-2</v>
      </c>
      <c r="AI195" s="149">
        <f t="shared" si="19"/>
        <v>0.29946627475247523</v>
      </c>
      <c r="AJ195" s="149">
        <v>0.34836246905940593</v>
      </c>
      <c r="AK195" s="149">
        <v>0.39898438517242413</v>
      </c>
      <c r="AL195" s="149">
        <v>4.7083849009900987E-2</v>
      </c>
      <c r="AM195" s="149">
        <v>3.2783334204766992E-2</v>
      </c>
      <c r="AN195" s="149">
        <v>2.2841670427326693E-2</v>
      </c>
      <c r="AO195">
        <f t="shared" si="20"/>
        <v>0</v>
      </c>
      <c r="AP195" s="149">
        <v>5.9761757425742572E-2</v>
      </c>
      <c r="AQ195" s="149">
        <v>5.3970957342740253E-2</v>
      </c>
      <c r="AR195" s="149">
        <v>0.68389542079207921</v>
      </c>
      <c r="AS195" s="208">
        <v>1900.2663080619916</v>
      </c>
      <c r="AT195" s="149">
        <f t="shared" si="21"/>
        <v>3.95E-2</v>
      </c>
      <c r="AU195" s="149">
        <v>0.19750000000000001</v>
      </c>
      <c r="AV195">
        <v>8.5</v>
      </c>
    </row>
    <row r="196" spans="1:48" x14ac:dyDescent="0.25">
      <c r="A196" t="s">
        <v>191</v>
      </c>
      <c r="B196" s="101">
        <v>19019</v>
      </c>
      <c r="C196" s="101">
        <v>67313</v>
      </c>
      <c r="D196" s="101">
        <v>352897</v>
      </c>
      <c r="E196" s="101">
        <v>9542</v>
      </c>
      <c r="F196" s="101">
        <v>16663</v>
      </c>
      <c r="G196" s="101">
        <v>23066</v>
      </c>
      <c r="H196" s="101">
        <v>0</v>
      </c>
      <c r="I196" s="101">
        <v>237861</v>
      </c>
      <c r="J196" s="101">
        <v>174</v>
      </c>
      <c r="K196" s="101">
        <v>151428</v>
      </c>
      <c r="L196" s="101">
        <v>2167</v>
      </c>
      <c r="M196" s="101">
        <v>21015</v>
      </c>
      <c r="N196" s="101">
        <v>222438</v>
      </c>
      <c r="O196" s="101">
        <v>40796</v>
      </c>
      <c r="P196" s="101">
        <v>371088</v>
      </c>
      <c r="Q196" s="101">
        <v>159</v>
      </c>
      <c r="R196" s="101">
        <v>60000</v>
      </c>
      <c r="S196" s="101">
        <v>36331</v>
      </c>
      <c r="T196" s="101">
        <v>170333</v>
      </c>
      <c r="U196" s="101">
        <v>423572</v>
      </c>
      <c r="V196" s="101">
        <v>432417</v>
      </c>
      <c r="W196" s="101">
        <v>1096989</v>
      </c>
      <c r="X196" s="101">
        <v>1015990</v>
      </c>
      <c r="Y196" s="101">
        <v>80999</v>
      </c>
      <c r="Z196" s="101">
        <v>4162</v>
      </c>
      <c r="AA196" s="101">
        <v>-30762608.319699705</v>
      </c>
      <c r="AB196" s="101">
        <v>690235</v>
      </c>
      <c r="AC196" s="101">
        <v>518231.29803000001</v>
      </c>
      <c r="AD196" s="101">
        <v>187049</v>
      </c>
      <c r="AE196" t="s">
        <v>191</v>
      </c>
      <c r="AF196" s="149">
        <v>0</v>
      </c>
      <c r="AG196" s="149">
        <v>0</v>
      </c>
      <c r="AH196" s="149">
        <f t="shared" si="18"/>
        <v>3.6216406910187793E-2</v>
      </c>
      <c r="AI196" s="149">
        <f t="shared" si="19"/>
        <v>0.21698941374981881</v>
      </c>
      <c r="AJ196" s="149">
        <v>-0.14754662079565062</v>
      </c>
      <c r="AK196" s="149">
        <v>0.19800000000000001</v>
      </c>
      <c r="AL196" s="149">
        <v>0</v>
      </c>
      <c r="AM196" s="149">
        <v>-4.4654441259504775E-2</v>
      </c>
      <c r="AN196" s="149">
        <v>4.6982925408184599E-2</v>
      </c>
      <c r="AO196">
        <f t="shared" si="20"/>
        <v>1</v>
      </c>
      <c r="AP196" s="149">
        <v>1.5524312458921649E-3</v>
      </c>
      <c r="AQ196" s="149">
        <v>-2.8042768268140981E-2</v>
      </c>
      <c r="AR196" s="149">
        <v>0.62920867939423275</v>
      </c>
      <c r="AS196" s="208">
        <v>2770.5643870322751</v>
      </c>
      <c r="AT196" s="149">
        <f t="shared" si="21"/>
        <v>4.2900000000000001E-2</v>
      </c>
      <c r="AU196" s="149">
        <v>0.2145</v>
      </c>
      <c r="AV196">
        <v>8</v>
      </c>
    </row>
    <row r="197" spans="1:48" x14ac:dyDescent="0.25">
      <c r="A197" t="s">
        <v>475</v>
      </c>
      <c r="B197" s="101">
        <v>0</v>
      </c>
      <c r="C197" s="101">
        <v>61444</v>
      </c>
      <c r="D197" s="101">
        <v>248260</v>
      </c>
      <c r="E197" s="101">
        <v>11957</v>
      </c>
      <c r="F197" s="101">
        <v>0</v>
      </c>
      <c r="G197" s="101">
        <v>33740</v>
      </c>
      <c r="H197" s="101">
        <v>0</v>
      </c>
      <c r="I197" s="101">
        <v>14278</v>
      </c>
      <c r="J197" s="101">
        <v>43</v>
      </c>
      <c r="K197" s="101">
        <v>21107</v>
      </c>
      <c r="L197" s="101">
        <v>13099</v>
      </c>
      <c r="M197" s="101">
        <v>44022</v>
      </c>
      <c r="N197" s="101">
        <v>142798</v>
      </c>
      <c r="O197" s="101">
        <v>17065</v>
      </c>
      <c r="P197" s="101">
        <v>205191</v>
      </c>
      <c r="Q197" s="101">
        <v>6895</v>
      </c>
      <c r="R197" s="101">
        <v>0</v>
      </c>
      <c r="S197" s="101">
        <v>22159</v>
      </c>
      <c r="T197" s="101">
        <v>53842</v>
      </c>
      <c r="U197" s="101">
        <v>176119</v>
      </c>
      <c r="V197" s="101">
        <v>286758</v>
      </c>
      <c r="W197" s="101">
        <v>381884</v>
      </c>
      <c r="X197" s="101">
        <v>377165</v>
      </c>
      <c r="Y197" s="101">
        <v>4719</v>
      </c>
      <c r="Z197" s="101">
        <v>15097</v>
      </c>
      <c r="AA197" s="101">
        <v>4940703.528787259</v>
      </c>
      <c r="AB197" s="101">
        <v>285973</v>
      </c>
      <c r="AC197" s="101">
        <v>216743.90700000001</v>
      </c>
      <c r="AD197" s="101">
        <v>87639</v>
      </c>
      <c r="AE197" t="s">
        <v>475</v>
      </c>
      <c r="AF197" s="149">
        <v>-2.4947366215918969E-2</v>
      </c>
      <c r="AG197" s="149">
        <v>0.46118454818740767</v>
      </c>
      <c r="AH197" s="149">
        <f t="shared" si="18"/>
        <v>8.8351436561887903E-2</v>
      </c>
      <c r="AI197" s="149">
        <f t="shared" si="19"/>
        <v>3.7500916508678026E-2</v>
      </c>
      <c r="AJ197" s="149">
        <v>0.44553607901875963</v>
      </c>
      <c r="AK197" s="149">
        <v>0.31878111396361203</v>
      </c>
      <c r="AL197" s="149">
        <v>1.2357155576038796E-2</v>
      </c>
      <c r="AM197" s="149">
        <v>4.1250795589792479E-2</v>
      </c>
      <c r="AN197" s="149">
        <v>-1.3049146493003715E-2</v>
      </c>
      <c r="AO197">
        <f t="shared" si="20"/>
        <v>1</v>
      </c>
      <c r="AP197" s="149">
        <v>1.5021577232876998E-2</v>
      </c>
      <c r="AQ197" s="149">
        <v>1.2938419089535406E-2</v>
      </c>
      <c r="AR197" s="149">
        <v>0.74888899945792076</v>
      </c>
      <c r="AS197" s="208">
        <v>2473.1444562352376</v>
      </c>
      <c r="AT197" s="149">
        <f t="shared" si="21"/>
        <v>5.6500000000000009E-2</v>
      </c>
      <c r="AU197" s="149">
        <v>0.28250000000000003</v>
      </c>
      <c r="AV197">
        <v>8.5</v>
      </c>
    </row>
    <row r="198" spans="1:48" x14ac:dyDescent="0.25">
      <c r="A198" t="s">
        <v>597</v>
      </c>
      <c r="B198" s="101">
        <v>5208</v>
      </c>
      <c r="C198" s="101">
        <v>8770</v>
      </c>
      <c r="D198" s="101">
        <v>116569</v>
      </c>
      <c r="E198" s="101">
        <v>3418</v>
      </c>
      <c r="F198" s="101">
        <v>882</v>
      </c>
      <c r="G198" s="101">
        <v>7377</v>
      </c>
      <c r="H198" s="101">
        <v>0</v>
      </c>
      <c r="I198" s="101">
        <v>3954</v>
      </c>
      <c r="J198" s="101">
        <v>0</v>
      </c>
      <c r="K198" s="101">
        <v>58820</v>
      </c>
      <c r="L198" s="101">
        <v>273</v>
      </c>
      <c r="M198" s="101">
        <v>11278</v>
      </c>
      <c r="N198" s="101">
        <v>62945</v>
      </c>
      <c r="O198" s="101">
        <v>27296</v>
      </c>
      <c r="P198" s="101">
        <v>69111</v>
      </c>
      <c r="Q198" s="101">
        <v>2</v>
      </c>
      <c r="R198" s="101">
        <v>0</v>
      </c>
      <c r="S198" s="101">
        <v>11260</v>
      </c>
      <c r="T198" s="101">
        <v>45935</v>
      </c>
      <c r="U198" s="101">
        <v>47678</v>
      </c>
      <c r="V198" s="101">
        <v>114747</v>
      </c>
      <c r="W198" s="101">
        <v>208120</v>
      </c>
      <c r="X198" s="101">
        <v>206979</v>
      </c>
      <c r="Y198" s="101">
        <v>1141</v>
      </c>
      <c r="Z198" s="101">
        <v>11529</v>
      </c>
      <c r="AA198" s="101">
        <v>2223335.4625407178</v>
      </c>
      <c r="AB198" s="101">
        <v>144192</v>
      </c>
      <c r="AC198" s="101">
        <v>132727.58900000001</v>
      </c>
      <c r="AD198" s="101">
        <v>45866</v>
      </c>
      <c r="AE198" t="s">
        <v>597</v>
      </c>
      <c r="AF198" s="149">
        <v>-5.1691331923890062E-2</v>
      </c>
      <c r="AG198" s="149">
        <v>0.22416394387853161</v>
      </c>
      <c r="AH198" s="149">
        <f t="shared" si="18"/>
        <v>3.9683836248318276E-2</v>
      </c>
      <c r="AI198" s="149">
        <f t="shared" si="19"/>
        <v>1.8998654622333268E-2</v>
      </c>
      <c r="AJ198" s="149">
        <v>0.21562694599269652</v>
      </c>
      <c r="AK198" s="149">
        <v>0.29067324254556703</v>
      </c>
      <c r="AL198" s="149">
        <v>5.4824139919277337E-3</v>
      </c>
      <c r="AM198" s="149">
        <v>2.9288613200516827E-2</v>
      </c>
      <c r="AN198" s="149">
        <v>4.2766145815367987E-2</v>
      </c>
      <c r="AO198">
        <f t="shared" si="20"/>
        <v>0</v>
      </c>
      <c r="AP198" s="149">
        <v>1.8979434941379974E-2</v>
      </c>
      <c r="AQ198" s="149">
        <v>1.0682949560545444E-2</v>
      </c>
      <c r="AR198" s="149">
        <v>0.69283105900442055</v>
      </c>
      <c r="AS198" s="208">
        <v>2893.8121702350327</v>
      </c>
      <c r="AT198" s="149">
        <f t="shared" si="21"/>
        <v>5.0700000000000002E-2</v>
      </c>
      <c r="AU198" s="149">
        <v>0.2535</v>
      </c>
      <c r="AV198">
        <v>7.5</v>
      </c>
    </row>
    <row r="199" spans="1:48" x14ac:dyDescent="0.25">
      <c r="A199" t="s">
        <v>333</v>
      </c>
      <c r="B199" s="101">
        <v>58</v>
      </c>
      <c r="C199" s="101">
        <v>2163</v>
      </c>
      <c r="D199" s="101">
        <v>32273</v>
      </c>
      <c r="E199" s="101">
        <v>1606</v>
      </c>
      <c r="F199" s="101">
        <v>0</v>
      </c>
      <c r="G199" s="101">
        <v>743</v>
      </c>
      <c r="H199" s="101">
        <v>259</v>
      </c>
      <c r="I199" s="101">
        <v>425</v>
      </c>
      <c r="J199" s="101">
        <v>0</v>
      </c>
      <c r="K199" s="101">
        <v>4306</v>
      </c>
      <c r="L199" s="101">
        <v>8600</v>
      </c>
      <c r="M199" s="101">
        <v>5931</v>
      </c>
      <c r="N199" s="101">
        <v>36963</v>
      </c>
      <c r="O199" s="101">
        <v>2641</v>
      </c>
      <c r="P199" s="101">
        <v>11803</v>
      </c>
      <c r="Q199" s="101">
        <v>0</v>
      </c>
      <c r="R199" s="101">
        <v>0</v>
      </c>
      <c r="S199" s="101">
        <v>3328</v>
      </c>
      <c r="T199" s="101">
        <v>1629</v>
      </c>
      <c r="U199" s="101">
        <v>-3079</v>
      </c>
      <c r="V199" s="101">
        <v>28031</v>
      </c>
      <c r="W199" s="101">
        <v>39609</v>
      </c>
      <c r="X199" s="101">
        <v>32878</v>
      </c>
      <c r="Y199" s="101">
        <v>6731</v>
      </c>
      <c r="Z199" s="101">
        <v>999</v>
      </c>
      <c r="AA199" s="101">
        <v>1754572.0485074632</v>
      </c>
      <c r="AB199" s="101">
        <v>21528</v>
      </c>
      <c r="AC199" s="101">
        <v>14615.404</v>
      </c>
      <c r="AD199" s="101">
        <v>7943</v>
      </c>
      <c r="AE199" t="s">
        <v>333</v>
      </c>
      <c r="AF199" s="149">
        <v>0.11186851473150042</v>
      </c>
      <c r="AG199" s="149">
        <v>-7.7734858239289051E-2</v>
      </c>
      <c r="AH199" s="149">
        <f t="shared" si="18"/>
        <v>1.8758362998308464E-2</v>
      </c>
      <c r="AI199" s="149">
        <f t="shared" si="19"/>
        <v>1.0729884622181827E-2</v>
      </c>
      <c r="AJ199" s="149">
        <v>-8.2994773915019318E-2</v>
      </c>
      <c r="AK199" s="149">
        <v>0.65579093038109426</v>
      </c>
      <c r="AL199" s="149">
        <v>0.16993612562801383</v>
      </c>
      <c r="AM199" s="149">
        <v>0.13398982730068607</v>
      </c>
      <c r="AN199" s="149">
        <v>0.15294651981378449</v>
      </c>
      <c r="AO199">
        <f t="shared" si="20"/>
        <v>0</v>
      </c>
      <c r="AP199" s="149">
        <v>4.0792496654800676E-2</v>
      </c>
      <c r="AQ199" s="149">
        <v>4.4297307392447756E-2</v>
      </c>
      <c r="AR199" s="149">
        <v>0.54351283799136563</v>
      </c>
      <c r="AS199" s="208">
        <v>1840.0357547526123</v>
      </c>
      <c r="AT199" s="149">
        <f t="shared" si="21"/>
        <v>-3.3999999999999994E-3</v>
      </c>
      <c r="AU199" s="149">
        <v>-1.6999999999999998E-2</v>
      </c>
      <c r="AV199">
        <v>9</v>
      </c>
    </row>
    <row r="200" spans="1:48" x14ac:dyDescent="0.25">
      <c r="A200" t="s">
        <v>112</v>
      </c>
      <c r="B200" s="101">
        <v>2552</v>
      </c>
      <c r="C200" s="101">
        <v>6197</v>
      </c>
      <c r="D200" s="101">
        <v>103656</v>
      </c>
      <c r="E200" s="101">
        <v>104</v>
      </c>
      <c r="F200" s="101">
        <v>235</v>
      </c>
      <c r="G200" s="101">
        <v>2900</v>
      </c>
      <c r="H200" s="101">
        <v>0</v>
      </c>
      <c r="I200" s="101">
        <v>0</v>
      </c>
      <c r="J200" s="101">
        <v>18</v>
      </c>
      <c r="K200" s="101">
        <v>12865</v>
      </c>
      <c r="L200" s="101">
        <v>-6230</v>
      </c>
      <c r="M200" s="101">
        <v>3977</v>
      </c>
      <c r="N200" s="101">
        <v>32071</v>
      </c>
      <c r="O200" s="101">
        <v>8944</v>
      </c>
      <c r="P200" s="101">
        <v>68608</v>
      </c>
      <c r="Q200" s="101">
        <v>0</v>
      </c>
      <c r="R200" s="101">
        <v>0</v>
      </c>
      <c r="S200" s="101">
        <v>4806</v>
      </c>
      <c r="T200" s="101">
        <v>11845</v>
      </c>
      <c r="U200" s="101">
        <v>71512</v>
      </c>
      <c r="V200" s="101">
        <v>88176</v>
      </c>
      <c r="W200" s="101">
        <v>109899</v>
      </c>
      <c r="X200" s="101">
        <v>105118</v>
      </c>
      <c r="Y200" s="101">
        <v>4781</v>
      </c>
      <c r="Z200" s="101">
        <v>15659</v>
      </c>
      <c r="AA200" s="101">
        <v>4579906.1354961824</v>
      </c>
      <c r="AB200" s="101">
        <v>77499</v>
      </c>
      <c r="AC200" s="101">
        <v>64142.375</v>
      </c>
      <c r="AD200" s="101">
        <v>31686</v>
      </c>
      <c r="AE200" t="s">
        <v>112</v>
      </c>
      <c r="AF200" s="149">
        <v>-0.11665256280766886</v>
      </c>
      <c r="AG200" s="149">
        <v>0.65070655783947073</v>
      </c>
      <c r="AH200" s="149">
        <f t="shared" si="18"/>
        <v>2.8526192231048509E-2</v>
      </c>
      <c r="AI200" s="149">
        <f t="shared" si="19"/>
        <v>1.6378674965195316E-4</v>
      </c>
      <c r="AJ200" s="149">
        <v>0.65401505018244022</v>
      </c>
      <c r="AK200" s="149">
        <v>0.25397944153190682</v>
      </c>
      <c r="AL200" s="149">
        <v>4.3503580560332669E-2</v>
      </c>
      <c r="AM200" s="149">
        <v>5.1759783411272457E-2</v>
      </c>
      <c r="AN200" s="149">
        <v>3.0058400760224747E-2</v>
      </c>
      <c r="AO200">
        <f t="shared" si="20"/>
        <v>0</v>
      </c>
      <c r="AP200" s="149">
        <v>5.5116516073849625E-2</v>
      </c>
      <c r="AQ200" s="149">
        <v>4.1673774424664307E-2</v>
      </c>
      <c r="AR200" s="149">
        <v>0.70518385062648437</v>
      </c>
      <c r="AS200" s="208">
        <v>2024.312787982074</v>
      </c>
      <c r="AT200" s="149">
        <f t="shared" si="21"/>
        <v>4.2000000000000003E-2</v>
      </c>
      <c r="AU200" s="149">
        <v>0.21000000000000002</v>
      </c>
      <c r="AV200">
        <v>8.5</v>
      </c>
    </row>
    <row r="201" spans="1:48" x14ac:dyDescent="0.25">
      <c r="A201" t="s">
        <v>430</v>
      </c>
      <c r="B201" s="101">
        <v>1693</v>
      </c>
      <c r="C201" s="101">
        <v>22736</v>
      </c>
      <c r="D201" s="101">
        <v>62060</v>
      </c>
      <c r="E201" s="101">
        <v>78</v>
      </c>
      <c r="F201" s="101">
        <v>0</v>
      </c>
      <c r="G201" s="101">
        <v>4473</v>
      </c>
      <c r="H201" s="101">
        <v>0</v>
      </c>
      <c r="I201" s="101">
        <v>20326</v>
      </c>
      <c r="J201" s="101">
        <v>0</v>
      </c>
      <c r="K201" s="101">
        <v>35065</v>
      </c>
      <c r="L201" s="101">
        <v>47441</v>
      </c>
      <c r="M201" s="101">
        <v>26417</v>
      </c>
      <c r="N201" s="101">
        <v>172823</v>
      </c>
      <c r="O201" s="101">
        <v>16988</v>
      </c>
      <c r="P201" s="101">
        <v>733</v>
      </c>
      <c r="Q201" s="101">
        <v>104</v>
      </c>
      <c r="R201" s="101">
        <v>0</v>
      </c>
      <c r="S201" s="101">
        <v>5927</v>
      </c>
      <c r="T201" s="101">
        <v>23714</v>
      </c>
      <c r="U201" s="101">
        <v>-82918</v>
      </c>
      <c r="V201" s="101">
        <v>84961</v>
      </c>
      <c r="W201" s="101">
        <v>195262</v>
      </c>
      <c r="X201" s="101">
        <v>173329</v>
      </c>
      <c r="Y201" s="101">
        <v>21933</v>
      </c>
      <c r="Z201" s="101">
        <v>2441</v>
      </c>
      <c r="AA201" s="101">
        <v>3676577.0903954804</v>
      </c>
      <c r="AB201" s="101">
        <v>133013</v>
      </c>
      <c r="AC201" s="101">
        <v>102383.787</v>
      </c>
      <c r="AD201" s="101">
        <v>50035</v>
      </c>
      <c r="AE201" t="s">
        <v>430</v>
      </c>
      <c r="AF201" s="149">
        <v>6.996753080476488E-2</v>
      </c>
      <c r="AG201" s="149">
        <v>-0.42464995749300938</v>
      </c>
      <c r="AH201" s="149">
        <f t="shared" si="18"/>
        <v>2.2907683010519198E-2</v>
      </c>
      <c r="AI201" s="149">
        <f t="shared" si="19"/>
        <v>0.10409603507082792</v>
      </c>
      <c r="AJ201" s="149">
        <v>-0.49476826008132663</v>
      </c>
      <c r="AK201" s="149">
        <v>0.78452850573564725</v>
      </c>
      <c r="AL201" s="149">
        <v>0.11232600301133862</v>
      </c>
      <c r="AM201" s="149">
        <v>0.10932493647110816</v>
      </c>
      <c r="AN201" s="149">
        <v>7.7972151600356948E-2</v>
      </c>
      <c r="AO201">
        <f t="shared" si="20"/>
        <v>0</v>
      </c>
      <c r="AP201" s="149">
        <v>1.9563458327785232E-3</v>
      </c>
      <c r="AQ201" s="149">
        <v>1.8828943114356508E-2</v>
      </c>
      <c r="AR201" s="149">
        <v>0.68120269176798354</v>
      </c>
      <c r="AS201" s="208">
        <v>2046.2433696412511</v>
      </c>
      <c r="AT201" s="149">
        <f t="shared" si="21"/>
        <v>2.7900000000000001E-2</v>
      </c>
      <c r="AU201" s="149">
        <v>0.13950000000000001</v>
      </c>
      <c r="AV201">
        <v>9.5</v>
      </c>
    </row>
    <row r="202" spans="1:48" x14ac:dyDescent="0.25">
      <c r="A202" t="s">
        <v>308</v>
      </c>
      <c r="B202" s="101">
        <v>1432</v>
      </c>
      <c r="C202" s="101">
        <v>20922</v>
      </c>
      <c r="D202" s="101">
        <v>177315</v>
      </c>
      <c r="E202" s="101">
        <v>4162</v>
      </c>
      <c r="F202" s="101">
        <v>0</v>
      </c>
      <c r="G202" s="101">
        <v>14679</v>
      </c>
      <c r="H202" s="101">
        <v>6717</v>
      </c>
      <c r="I202" s="101">
        <v>24528</v>
      </c>
      <c r="J202" s="101">
        <v>0</v>
      </c>
      <c r="K202" s="101">
        <v>15891</v>
      </c>
      <c r="L202" s="101">
        <v>2610</v>
      </c>
      <c r="M202" s="101">
        <v>11053</v>
      </c>
      <c r="N202" s="101">
        <v>161705</v>
      </c>
      <c r="O202" s="101">
        <v>25419</v>
      </c>
      <c r="P202" s="101">
        <v>54136</v>
      </c>
      <c r="Q202" s="101">
        <v>75</v>
      </c>
      <c r="R202" s="101">
        <v>20000</v>
      </c>
      <c r="S202" s="101">
        <v>6818</v>
      </c>
      <c r="T202" s="101">
        <v>11155</v>
      </c>
      <c r="U202" s="101">
        <v>41234</v>
      </c>
      <c r="V202" s="101">
        <v>160431</v>
      </c>
      <c r="W202" s="101">
        <v>156710</v>
      </c>
      <c r="X202" s="101">
        <v>152399</v>
      </c>
      <c r="Y202" s="101">
        <v>4311</v>
      </c>
      <c r="Z202" s="101">
        <v>9671</v>
      </c>
      <c r="AA202" s="101">
        <v>-1089976.8271226436</v>
      </c>
      <c r="AB202" s="101">
        <v>84896</v>
      </c>
      <c r="AC202" s="101">
        <v>92939.805999999997</v>
      </c>
      <c r="AD202" s="101">
        <v>45734</v>
      </c>
      <c r="AE202" t="s">
        <v>308</v>
      </c>
      <c r="AF202" s="149">
        <v>-4.6742390402654585E-2</v>
      </c>
      <c r="AG202" s="149">
        <v>0.26312296598813095</v>
      </c>
      <c r="AH202" s="149">
        <f t="shared" si="18"/>
        <v>9.3669836002807733E-2</v>
      </c>
      <c r="AI202" s="149">
        <f t="shared" si="19"/>
        <v>0.15651840980154424</v>
      </c>
      <c r="AJ202" s="149">
        <v>0.16480045944738692</v>
      </c>
      <c r="AK202" s="149">
        <v>0.57894868747046269</v>
      </c>
      <c r="AL202" s="149">
        <v>2.75094122902176E-2</v>
      </c>
      <c r="AM202" s="149">
        <v>6.4459213490198272E-2</v>
      </c>
      <c r="AN202" s="149">
        <v>5.2253546417669237E-2</v>
      </c>
      <c r="AO202">
        <f t="shared" si="20"/>
        <v>0</v>
      </c>
      <c r="AP202" s="149">
        <v>6.2596515857316057E-2</v>
      </c>
      <c r="AQ202" s="149">
        <v>-6.9553750693806624E-3</v>
      </c>
      <c r="AR202" s="149">
        <v>0.54173951885648652</v>
      </c>
      <c r="AS202" s="208">
        <v>2032.1818778151921</v>
      </c>
      <c r="AT202" s="149">
        <f t="shared" si="21"/>
        <v>4.3299999999999998E-2</v>
      </c>
      <c r="AU202" s="149">
        <v>0.2165</v>
      </c>
      <c r="AV202">
        <v>8</v>
      </c>
    </row>
    <row r="203" spans="1:48" x14ac:dyDescent="0.25">
      <c r="A203" t="s">
        <v>433</v>
      </c>
      <c r="B203" s="101">
        <v>510</v>
      </c>
      <c r="C203" s="101">
        <v>12152</v>
      </c>
      <c r="D203" s="101">
        <v>37380</v>
      </c>
      <c r="E203" s="101">
        <v>7</v>
      </c>
      <c r="F203" s="101">
        <v>1175</v>
      </c>
      <c r="G203" s="101">
        <v>1572</v>
      </c>
      <c r="H203" s="101">
        <v>0</v>
      </c>
      <c r="I203" s="101">
        <v>70220</v>
      </c>
      <c r="J203" s="101">
        <v>191</v>
      </c>
      <c r="K203" s="101">
        <v>24746</v>
      </c>
      <c r="L203" s="101">
        <v>-491</v>
      </c>
      <c r="M203" s="101">
        <v>6173</v>
      </c>
      <c r="N203" s="101">
        <v>55475</v>
      </c>
      <c r="O203" s="101">
        <v>13487</v>
      </c>
      <c r="P203" s="101">
        <v>71078</v>
      </c>
      <c r="Q203" s="101">
        <v>194</v>
      </c>
      <c r="R203" s="101">
        <v>0</v>
      </c>
      <c r="S203" s="101">
        <v>6327</v>
      </c>
      <c r="T203" s="101">
        <v>7074</v>
      </c>
      <c r="U203" s="101">
        <v>51498</v>
      </c>
      <c r="V203" s="101">
        <v>47055</v>
      </c>
      <c r="W203" s="101">
        <v>71580</v>
      </c>
      <c r="X203" s="101">
        <v>66079</v>
      </c>
      <c r="Y203" s="101">
        <v>5501</v>
      </c>
      <c r="Z203" s="101">
        <v>1080</v>
      </c>
      <c r="AA203" s="101">
        <v>3021595.4179743212</v>
      </c>
      <c r="AB203" s="101">
        <v>48606</v>
      </c>
      <c r="AC203" s="101">
        <v>40400.567999999999</v>
      </c>
      <c r="AD203" s="101">
        <v>24231</v>
      </c>
      <c r="AE203" t="s">
        <v>433</v>
      </c>
      <c r="AF203" s="149">
        <v>0.1275915060072646</v>
      </c>
      <c r="AG203" s="149">
        <v>0.71944677284157588</v>
      </c>
      <c r="AH203" s="149">
        <f t="shared" si="18"/>
        <v>3.8376641519977647E-2</v>
      </c>
      <c r="AI203" s="149">
        <f t="shared" si="19"/>
        <v>0.98366862252025711</v>
      </c>
      <c r="AJ203" s="149">
        <v>3.5483934059793283E-2</v>
      </c>
      <c r="AK203" s="149">
        <v>0.36108308653627103</v>
      </c>
      <c r="AL203" s="149">
        <v>7.6851075719474707E-2</v>
      </c>
      <c r="AM203" s="149">
        <v>0.12827114993015937</v>
      </c>
      <c r="AN203" s="149">
        <v>5.2257943988723014E-2</v>
      </c>
      <c r="AO203">
        <f t="shared" si="20"/>
        <v>0</v>
      </c>
      <c r="AP203" s="149">
        <v>1.0432383347303717E-2</v>
      </c>
      <c r="AQ203" s="149">
        <v>4.2296752680286702E-2</v>
      </c>
      <c r="AR203" s="149">
        <v>0.68039418796718831</v>
      </c>
      <c r="AS203" s="208">
        <v>1667.309149436672</v>
      </c>
      <c r="AT203" s="149">
        <f t="shared" si="21"/>
        <v>4.4499999999999998E-2</v>
      </c>
      <c r="AU203" s="149">
        <v>0.22249999999999998</v>
      </c>
      <c r="AV203">
        <v>8.5</v>
      </c>
    </row>
    <row r="204" spans="1:48" x14ac:dyDescent="0.25">
      <c r="A204" t="s">
        <v>192</v>
      </c>
      <c r="B204" s="101">
        <v>0</v>
      </c>
      <c r="C204" s="101">
        <v>15565</v>
      </c>
      <c r="D204" s="101">
        <v>71440</v>
      </c>
      <c r="E204" s="101">
        <v>211</v>
      </c>
      <c r="F204" s="101">
        <v>0</v>
      </c>
      <c r="G204" s="101">
        <v>5652</v>
      </c>
      <c r="H204" s="101">
        <v>0</v>
      </c>
      <c r="I204" s="101">
        <v>8949</v>
      </c>
      <c r="J204" s="101">
        <v>0</v>
      </c>
      <c r="K204" s="101">
        <v>2306</v>
      </c>
      <c r="L204" s="101">
        <v>34075</v>
      </c>
      <c r="M204" s="101">
        <v>14411</v>
      </c>
      <c r="N204" s="101">
        <v>83521</v>
      </c>
      <c r="O204" s="101">
        <v>7743</v>
      </c>
      <c r="P204" s="101">
        <v>44266</v>
      </c>
      <c r="Q204" s="101">
        <v>0</v>
      </c>
      <c r="R204" s="101">
        <v>0</v>
      </c>
      <c r="S204" s="101">
        <v>5642</v>
      </c>
      <c r="T204" s="101">
        <v>11439</v>
      </c>
      <c r="U204" s="101">
        <v>4903</v>
      </c>
      <c r="V204" s="101">
        <v>45192</v>
      </c>
      <c r="W204" s="101">
        <v>95611</v>
      </c>
      <c r="X204" s="101">
        <v>84259</v>
      </c>
      <c r="Y204" s="101">
        <v>11352</v>
      </c>
      <c r="Z204" s="101">
        <v>2761</v>
      </c>
      <c r="AA204" s="101">
        <v>3684566.0969162993</v>
      </c>
      <c r="AB204" s="101">
        <v>62718</v>
      </c>
      <c r="AC204" s="101">
        <v>59820.542999999998</v>
      </c>
      <c r="AD204" s="101">
        <v>29072</v>
      </c>
      <c r="AE204" t="s">
        <v>192</v>
      </c>
      <c r="AF204" s="149">
        <v>2.9233038039556118E-2</v>
      </c>
      <c r="AG204" s="149">
        <v>5.128071037851293E-2</v>
      </c>
      <c r="AH204" s="149">
        <f t="shared" si="18"/>
        <v>5.9114537030258027E-2</v>
      </c>
      <c r="AI204" s="149">
        <f t="shared" si="19"/>
        <v>9.3598016964575204E-2</v>
      </c>
      <c r="AJ204" s="149">
        <v>-7.1441570530587448E-3</v>
      </c>
      <c r="AK204" s="149">
        <v>0.54728034021138716</v>
      </c>
      <c r="AL204" s="149">
        <v>0.11873110834527408</v>
      </c>
      <c r="AM204" s="149">
        <v>0.11923887205254442</v>
      </c>
      <c r="AN204" s="149">
        <v>9.2725487233721107E-2</v>
      </c>
      <c r="AO204">
        <f t="shared" si="20"/>
        <v>0</v>
      </c>
      <c r="AP204" s="149">
        <v>0.10933103931555993</v>
      </c>
      <c r="AQ204" s="149">
        <v>3.8537052189772089E-2</v>
      </c>
      <c r="AR204" s="149">
        <v>0.65597054732196092</v>
      </c>
      <c r="AS204" s="208">
        <v>2057.6686502476609</v>
      </c>
      <c r="AT204" s="149">
        <f t="shared" si="21"/>
        <v>3.0699999999999998E-2</v>
      </c>
      <c r="AU204" s="149">
        <v>0.1535</v>
      </c>
      <c r="AV204">
        <v>9</v>
      </c>
    </row>
    <row r="205" spans="1:48" x14ac:dyDescent="0.25">
      <c r="A205" t="s">
        <v>309</v>
      </c>
      <c r="B205" s="101">
        <v>57</v>
      </c>
      <c r="C205" s="101">
        <v>4980</v>
      </c>
      <c r="D205" s="101">
        <v>72915</v>
      </c>
      <c r="E205" s="101">
        <v>591</v>
      </c>
      <c r="F205" s="101">
        <v>2183</v>
      </c>
      <c r="G205" s="101">
        <v>484</v>
      </c>
      <c r="H205" s="101">
        <v>0</v>
      </c>
      <c r="I205" s="101">
        <v>-1531</v>
      </c>
      <c r="J205" s="101">
        <v>0</v>
      </c>
      <c r="K205" s="101">
        <v>29685</v>
      </c>
      <c r="L205" s="101">
        <v>2</v>
      </c>
      <c r="M205" s="101">
        <v>2013</v>
      </c>
      <c r="N205" s="101">
        <v>29111</v>
      </c>
      <c r="O205" s="101">
        <v>9612</v>
      </c>
      <c r="P205" s="101">
        <v>54137</v>
      </c>
      <c r="Q205" s="101">
        <v>5</v>
      </c>
      <c r="R205" s="101">
        <v>3436</v>
      </c>
      <c r="S205" s="101">
        <v>10109</v>
      </c>
      <c r="T205" s="101">
        <v>4968</v>
      </c>
      <c r="U205" s="101">
        <v>38288</v>
      </c>
      <c r="V205" s="101">
        <v>64787</v>
      </c>
      <c r="W205" s="101">
        <v>79764</v>
      </c>
      <c r="X205" s="101">
        <v>74830</v>
      </c>
      <c r="Y205" s="101">
        <v>4934</v>
      </c>
      <c r="Z205" s="101">
        <v>3413</v>
      </c>
      <c r="AA205" s="101">
        <v>2189768.7236981913</v>
      </c>
      <c r="AB205" s="101">
        <v>50671</v>
      </c>
      <c r="AC205" s="101">
        <v>46524.945</v>
      </c>
      <c r="AD205" s="101">
        <v>25948</v>
      </c>
      <c r="AE205" t="s">
        <v>309</v>
      </c>
      <c r="AF205" s="149">
        <v>2.9198635976129584E-2</v>
      </c>
      <c r="AG205" s="149">
        <v>0.48001604733965197</v>
      </c>
      <c r="AH205" s="149">
        <f t="shared" si="18"/>
        <v>3.343613660297879E-2</v>
      </c>
      <c r="AI205" s="149">
        <f t="shared" si="19"/>
        <v>-1.9194122661852466E-2</v>
      </c>
      <c r="AJ205" s="149">
        <v>0.49746426959530615</v>
      </c>
      <c r="AK205" s="149">
        <v>0.2613711864102426</v>
      </c>
      <c r="AL205" s="149">
        <v>6.1857479564715913E-2</v>
      </c>
      <c r="AM205" s="149">
        <v>1.4282059385675802E-2</v>
      </c>
      <c r="AN205" s="149">
        <v>-7.9787966405066774E-2</v>
      </c>
      <c r="AO205">
        <f t="shared" si="20"/>
        <v>1</v>
      </c>
      <c r="AP205" s="149">
        <v>4.1262348929341559E-2</v>
      </c>
      <c r="AQ205" s="149">
        <v>2.7520029203194563E-2</v>
      </c>
      <c r="AR205" s="149">
        <v>0.63681035566168154</v>
      </c>
      <c r="AS205" s="208">
        <v>1793.0069754894405</v>
      </c>
      <c r="AT205" s="149">
        <f t="shared" si="21"/>
        <v>3.9E-2</v>
      </c>
      <c r="AU205" s="149">
        <v>0.19500000000000001</v>
      </c>
      <c r="AV205">
        <v>10</v>
      </c>
    </row>
    <row r="206" spans="1:48" x14ac:dyDescent="0.25">
      <c r="A206" t="s">
        <v>378</v>
      </c>
      <c r="B206" s="101">
        <v>261</v>
      </c>
      <c r="C206" s="101">
        <v>6662</v>
      </c>
      <c r="D206" s="101">
        <v>52574</v>
      </c>
      <c r="E206" s="101">
        <v>79</v>
      </c>
      <c r="F206" s="101">
        <v>0</v>
      </c>
      <c r="G206" s="101">
        <v>511</v>
      </c>
      <c r="H206" s="101">
        <v>0</v>
      </c>
      <c r="I206" s="101">
        <v>586</v>
      </c>
      <c r="J206" s="101">
        <v>0</v>
      </c>
      <c r="K206" s="101">
        <v>10612</v>
      </c>
      <c r="L206" s="101">
        <v>259</v>
      </c>
      <c r="M206" s="101">
        <v>2048</v>
      </c>
      <c r="N206" s="101">
        <v>37245</v>
      </c>
      <c r="O206" s="101">
        <v>7973</v>
      </c>
      <c r="P206" s="101">
        <v>14475</v>
      </c>
      <c r="Q206" s="101">
        <v>43</v>
      </c>
      <c r="R206" s="101">
        <v>6000</v>
      </c>
      <c r="S206" s="101">
        <v>2781</v>
      </c>
      <c r="T206" s="101">
        <v>5053</v>
      </c>
      <c r="U206" s="101">
        <v>14922</v>
      </c>
      <c r="V206" s="101">
        <v>51490</v>
      </c>
      <c r="W206" s="101">
        <v>60684</v>
      </c>
      <c r="X206" s="101">
        <v>61568</v>
      </c>
      <c r="Y206" s="101">
        <v>-884</v>
      </c>
      <c r="Z206" s="101">
        <v>3692</v>
      </c>
      <c r="AA206" s="101">
        <v>1522112</v>
      </c>
      <c r="AB206" s="101">
        <v>37624</v>
      </c>
      <c r="AC206" s="101">
        <v>37933.981</v>
      </c>
      <c r="AD206" s="101">
        <v>19280</v>
      </c>
      <c r="AE206" t="s">
        <v>378</v>
      </c>
      <c r="AF206" s="149">
        <v>-7.0232680772526535E-2</v>
      </c>
      <c r="AG206" s="149">
        <v>0.24589677674510579</v>
      </c>
      <c r="AH206" s="149">
        <f t="shared" si="18"/>
        <v>8.4206710170720445E-3</v>
      </c>
      <c r="AI206" s="149">
        <f t="shared" si="19"/>
        <v>9.6565816360160827E-3</v>
      </c>
      <c r="AJ206" s="149">
        <v>0.24014765012194317</v>
      </c>
      <c r="AK206" s="149">
        <v>0.50625254859317659</v>
      </c>
      <c r="AL206" s="149">
        <v>-1.456726649528706E-2</v>
      </c>
      <c r="AM206" s="149">
        <v>5.3185120140496527E-2</v>
      </c>
      <c r="AN206" s="149">
        <v>3.9869223680168514E-2</v>
      </c>
      <c r="AO206">
        <f t="shared" si="20"/>
        <v>1</v>
      </c>
      <c r="AP206" s="149">
        <v>3.2986454419616375E-2</v>
      </c>
      <c r="AQ206" s="149">
        <v>2.5082591786961966E-2</v>
      </c>
      <c r="AR206" s="149">
        <v>0.61999868169533978</v>
      </c>
      <c r="AS206" s="208">
        <v>1967.5301348547719</v>
      </c>
      <c r="AT206" s="149">
        <f t="shared" si="21"/>
        <v>5.6399999999999992E-2</v>
      </c>
      <c r="AU206" s="149">
        <v>0.28199999999999997</v>
      </c>
      <c r="AV206">
        <v>8</v>
      </c>
    </row>
    <row r="207" spans="1:48" x14ac:dyDescent="0.25">
      <c r="A207" t="s">
        <v>379</v>
      </c>
      <c r="B207" s="101">
        <v>644</v>
      </c>
      <c r="C207" s="101">
        <v>9003</v>
      </c>
      <c r="D207" s="101">
        <v>59552</v>
      </c>
      <c r="E207" s="101">
        <v>329</v>
      </c>
      <c r="F207" s="101">
        <v>0</v>
      </c>
      <c r="G207" s="101">
        <v>3489</v>
      </c>
      <c r="H207" s="101">
        <v>0</v>
      </c>
      <c r="I207" s="101">
        <v>4202</v>
      </c>
      <c r="J207" s="101">
        <v>0</v>
      </c>
      <c r="K207" s="101">
        <v>5536</v>
      </c>
      <c r="L207" s="101">
        <v>3852</v>
      </c>
      <c r="M207" s="101">
        <v>18853</v>
      </c>
      <c r="N207" s="101">
        <v>28180</v>
      </c>
      <c r="O207" s="101">
        <v>10814</v>
      </c>
      <c r="P207" s="101">
        <v>48795</v>
      </c>
      <c r="Q207" s="101">
        <v>0</v>
      </c>
      <c r="R207" s="101">
        <v>0</v>
      </c>
      <c r="S207" s="101">
        <v>5932</v>
      </c>
      <c r="T207" s="101">
        <v>11740</v>
      </c>
      <c r="U207" s="101">
        <v>34737</v>
      </c>
      <c r="V207" s="101">
        <v>72647.625542641093</v>
      </c>
      <c r="W207" s="101">
        <v>104082</v>
      </c>
      <c r="X207" s="101">
        <v>97322</v>
      </c>
      <c r="Y207" s="101">
        <v>6760</v>
      </c>
      <c r="Z207" s="101">
        <v>132</v>
      </c>
      <c r="AA207" s="101">
        <v>4803751</v>
      </c>
      <c r="AB207" s="101">
        <v>74781</v>
      </c>
      <c r="AC207" s="101">
        <v>60831.690999999999</v>
      </c>
      <c r="AD207" s="101">
        <v>32952</v>
      </c>
      <c r="AE207" t="s">
        <v>379</v>
      </c>
      <c r="AF207" s="149">
        <v>6.4583693626179356E-2</v>
      </c>
      <c r="AG207" s="149">
        <v>0.33374646913010897</v>
      </c>
      <c r="AH207" s="149">
        <f t="shared" si="18"/>
        <v>3.3521646394189197E-2</v>
      </c>
      <c r="AI207" s="149">
        <f t="shared" si="19"/>
        <v>4.0372014373282604E-2</v>
      </c>
      <c r="AJ207" s="149">
        <v>0.30950865663611388</v>
      </c>
      <c r="AK207" s="149">
        <v>0.26720778297190428</v>
      </c>
      <c r="AL207" s="149">
        <v>6.4948790376818277E-2</v>
      </c>
      <c r="AM207" s="149">
        <v>-5.1136890951276104E-2</v>
      </c>
      <c r="AN207" s="149">
        <v>7.9036753670288992E-2</v>
      </c>
      <c r="AO207">
        <f t="shared" si="20"/>
        <v>1</v>
      </c>
      <c r="AP207" s="149">
        <v>3.8431236909359926E-4</v>
      </c>
      <c r="AQ207" s="149">
        <v>4.6153523183643665E-2</v>
      </c>
      <c r="AR207" s="149">
        <v>0.71848158182971122</v>
      </c>
      <c r="AS207" s="208">
        <v>1846.0697681476086</v>
      </c>
      <c r="AT207" s="149">
        <f t="shared" si="21"/>
        <v>4.4699999999999997E-2</v>
      </c>
      <c r="AU207" s="149">
        <v>0.22349999999999998</v>
      </c>
      <c r="AV207">
        <v>9.5</v>
      </c>
    </row>
    <row r="208" spans="1:48" x14ac:dyDescent="0.25">
      <c r="A208" t="s">
        <v>121</v>
      </c>
      <c r="B208" s="101">
        <v>13316</v>
      </c>
      <c r="C208" s="101">
        <v>5255</v>
      </c>
      <c r="D208" s="101">
        <v>106396</v>
      </c>
      <c r="E208" s="101">
        <v>2273</v>
      </c>
      <c r="F208" s="101">
        <v>8713</v>
      </c>
      <c r="G208" s="101">
        <v>418</v>
      </c>
      <c r="H208" s="101">
        <v>0</v>
      </c>
      <c r="I208" s="101">
        <v>-530</v>
      </c>
      <c r="J208" s="101">
        <v>0</v>
      </c>
      <c r="K208" s="101">
        <v>109097</v>
      </c>
      <c r="L208" s="101">
        <v>467</v>
      </c>
      <c r="M208" s="101">
        <v>13212</v>
      </c>
      <c r="N208" s="101">
        <v>90534</v>
      </c>
      <c r="O208" s="101">
        <v>13380</v>
      </c>
      <c r="P208" s="101">
        <v>96483</v>
      </c>
      <c r="Q208" s="101">
        <v>0</v>
      </c>
      <c r="R208" s="101">
        <v>0</v>
      </c>
      <c r="S208" s="101">
        <v>5741</v>
      </c>
      <c r="T208" s="101">
        <v>52477</v>
      </c>
      <c r="U208" s="101">
        <v>22794</v>
      </c>
      <c r="V208" s="101">
        <v>124893</v>
      </c>
      <c r="W208" s="101">
        <v>194149</v>
      </c>
      <c r="X208" s="101">
        <v>188521</v>
      </c>
      <c r="Y208" s="101">
        <v>5628</v>
      </c>
      <c r="Z208" s="101">
        <v>2203</v>
      </c>
      <c r="AA208" s="101">
        <v>-4627421.5175808724</v>
      </c>
      <c r="AB208" s="101">
        <v>146274</v>
      </c>
      <c r="AC208" s="101">
        <v>117046.652</v>
      </c>
      <c r="AD208" s="101">
        <v>39405</v>
      </c>
      <c r="AE208" t="s">
        <v>121</v>
      </c>
      <c r="AF208" s="149">
        <v>2.4764485008936434E-2</v>
      </c>
      <c r="AG208" s="149">
        <v>0.11740467372997028</v>
      </c>
      <c r="AH208" s="149">
        <f t="shared" si="18"/>
        <v>4.7030888647379074E-2</v>
      </c>
      <c r="AI208" s="149">
        <f t="shared" si="19"/>
        <v>-2.729862116209715E-3</v>
      </c>
      <c r="AJ208" s="149">
        <v>0.12495928384900257</v>
      </c>
      <c r="AK208" s="149">
        <v>0.35007250159503511</v>
      </c>
      <c r="AL208" s="149">
        <v>2.8988045264204298E-2</v>
      </c>
      <c r="AM208" s="149">
        <v>2.9915400533973815E-2</v>
      </c>
      <c r="AN208" s="149">
        <v>9.7262190354101399E-2</v>
      </c>
      <c r="AO208">
        <f t="shared" si="20"/>
        <v>0</v>
      </c>
      <c r="AP208" s="149">
        <v>9.5287639905433462E-5</v>
      </c>
      <c r="AQ208" s="149">
        <v>-2.3834382446373006E-2</v>
      </c>
      <c r="AR208" s="149">
        <v>0.75341103997445258</v>
      </c>
      <c r="AS208" s="208">
        <v>2970.350260119274</v>
      </c>
      <c r="AT208" s="149">
        <f t="shared" si="21"/>
        <v>4.3099999999999999E-2</v>
      </c>
      <c r="AU208" s="149">
        <v>0.2155</v>
      </c>
      <c r="AV208">
        <v>7</v>
      </c>
    </row>
    <row r="209" spans="1:48" x14ac:dyDescent="0.25">
      <c r="A209" t="s">
        <v>193</v>
      </c>
      <c r="B209" s="101">
        <v>2762</v>
      </c>
      <c r="C209" s="101">
        <v>16498</v>
      </c>
      <c r="D209" s="101">
        <v>50684</v>
      </c>
      <c r="E209" s="101">
        <v>375</v>
      </c>
      <c r="F209" s="101">
        <v>5945</v>
      </c>
      <c r="G209" s="101">
        <v>297</v>
      </c>
      <c r="H209" s="101">
        <v>13</v>
      </c>
      <c r="I209" s="101">
        <v>2769</v>
      </c>
      <c r="J209" s="101">
        <v>0</v>
      </c>
      <c r="K209" s="101">
        <v>8032</v>
      </c>
      <c r="L209" s="101">
        <v>7283</v>
      </c>
      <c r="M209" s="101">
        <v>2435</v>
      </c>
      <c r="N209" s="101">
        <v>38379</v>
      </c>
      <c r="O209" s="101">
        <v>15239</v>
      </c>
      <c r="P209" s="101">
        <v>25730</v>
      </c>
      <c r="Q209" s="101">
        <v>0</v>
      </c>
      <c r="R209" s="101">
        <v>0</v>
      </c>
      <c r="S209" s="101">
        <v>6427</v>
      </c>
      <c r="T209" s="101">
        <v>11317</v>
      </c>
      <c r="U209" s="101">
        <v>19469</v>
      </c>
      <c r="V209" s="101">
        <v>45703</v>
      </c>
      <c r="W209" s="101">
        <v>94812</v>
      </c>
      <c r="X209" s="101">
        <v>95784</v>
      </c>
      <c r="Y209" s="101">
        <v>-972</v>
      </c>
      <c r="Z209" s="101">
        <v>8864</v>
      </c>
      <c r="AA209" s="101">
        <v>1732415.2189616254</v>
      </c>
      <c r="AB209" s="101">
        <v>54454</v>
      </c>
      <c r="AC209" s="101">
        <v>68167.865000000005</v>
      </c>
      <c r="AD209" s="101">
        <v>24281</v>
      </c>
      <c r="AE209" t="s">
        <v>193</v>
      </c>
      <c r="AF209" s="149">
        <v>-8.8638568957515929E-2</v>
      </c>
      <c r="AG209" s="149">
        <v>0.20534320550141333</v>
      </c>
      <c r="AH209" s="149">
        <f t="shared" si="18"/>
        <v>6.5835548242838465E-2</v>
      </c>
      <c r="AI209" s="149">
        <f t="shared" si="19"/>
        <v>2.9205163903303379E-2</v>
      </c>
      <c r="AJ209" s="149">
        <v>0.19279985655824156</v>
      </c>
      <c r="AK209" s="149">
        <v>0.39528488443950066</v>
      </c>
      <c r="AL209" s="149">
        <v>-1.0251866852297177E-2</v>
      </c>
      <c r="AM209" s="149">
        <v>5.6225796842418824E-2</v>
      </c>
      <c r="AN209" s="149">
        <v>-1.0946777244981736E-2</v>
      </c>
      <c r="AO209">
        <f t="shared" si="20"/>
        <v>2</v>
      </c>
      <c r="AP209" s="149">
        <v>6.3918596802092567E-2</v>
      </c>
      <c r="AQ209" s="149">
        <v>1.8272109215728236E-2</v>
      </c>
      <c r="AR209" s="149">
        <v>0.57433658186727421</v>
      </c>
      <c r="AS209" s="208">
        <v>2807.4570651950085</v>
      </c>
      <c r="AT209" s="149">
        <f t="shared" si="21"/>
        <v>4.7399999999999998E-2</v>
      </c>
      <c r="AU209" s="149">
        <v>0.23699999999999999</v>
      </c>
      <c r="AV209">
        <v>6</v>
      </c>
    </row>
    <row r="210" spans="1:48" x14ac:dyDescent="0.25">
      <c r="A210" t="s">
        <v>151</v>
      </c>
      <c r="B210" s="101">
        <v>1903</v>
      </c>
      <c r="C210" s="101">
        <v>11623</v>
      </c>
      <c r="D210" s="101">
        <v>75418</v>
      </c>
      <c r="E210" s="101">
        <v>818</v>
      </c>
      <c r="F210" s="101">
        <v>0</v>
      </c>
      <c r="G210" s="101">
        <v>4584</v>
      </c>
      <c r="H210" s="101">
        <v>1261</v>
      </c>
      <c r="I210" s="101">
        <v>-1283</v>
      </c>
      <c r="J210" s="101">
        <v>-338</v>
      </c>
      <c r="K210" s="101">
        <v>11545</v>
      </c>
      <c r="L210" s="101">
        <v>4374</v>
      </c>
      <c r="M210" s="101">
        <v>5178</v>
      </c>
      <c r="N210" s="101">
        <v>54370</v>
      </c>
      <c r="O210" s="101">
        <v>8836</v>
      </c>
      <c r="P210" s="101">
        <v>23574</v>
      </c>
      <c r="Q210" s="101">
        <v>0</v>
      </c>
      <c r="R210" s="101">
        <v>1449</v>
      </c>
      <c r="S210" s="101">
        <v>10829</v>
      </c>
      <c r="T210" s="101">
        <v>16026</v>
      </c>
      <c r="U210" s="101">
        <v>24936</v>
      </c>
      <c r="V210" s="101">
        <v>89206</v>
      </c>
      <c r="W210" s="101">
        <v>130202</v>
      </c>
      <c r="X210" s="101">
        <v>127466</v>
      </c>
      <c r="Y210" s="101">
        <v>2736</v>
      </c>
      <c r="Z210" s="101">
        <v>3158</v>
      </c>
      <c r="AA210" s="101">
        <v>1671095.1978891827</v>
      </c>
      <c r="AB210" s="101">
        <v>86997</v>
      </c>
      <c r="AC210" s="101">
        <v>83915.423999999999</v>
      </c>
      <c r="AD210" s="101">
        <v>31794</v>
      </c>
      <c r="AE210" t="s">
        <v>151</v>
      </c>
      <c r="AF210" s="149">
        <v>1.1912259412297814E-2</v>
      </c>
      <c r="AG210" s="149">
        <v>0.19151779542556949</v>
      </c>
      <c r="AH210" s="149">
        <f t="shared" si="18"/>
        <v>3.5206832460330871E-2</v>
      </c>
      <c r="AI210" s="149">
        <f t="shared" si="19"/>
        <v>-1.2449885562433757E-2</v>
      </c>
      <c r="AJ210" s="149">
        <v>0.20445753521451282</v>
      </c>
      <c r="AK210" s="149">
        <v>0.4724375238955893</v>
      </c>
      <c r="AL210" s="149">
        <v>2.1013502096741986E-2</v>
      </c>
      <c r="AM210" s="149">
        <v>4.4967505349486528E-2</v>
      </c>
      <c r="AN210" s="149">
        <v>7.9124406112397919E-2</v>
      </c>
      <c r="AO210">
        <f t="shared" si="20"/>
        <v>0</v>
      </c>
      <c r="AP210" s="149">
        <v>-5.0306446905577491E-4</v>
      </c>
      <c r="AQ210" s="149">
        <v>1.2834635396454607E-2</v>
      </c>
      <c r="AR210" s="149">
        <v>0.66816945976252284</v>
      </c>
      <c r="AS210" s="208">
        <v>2639.3478014719758</v>
      </c>
      <c r="AT210" s="149">
        <f t="shared" si="21"/>
        <v>4.7E-2</v>
      </c>
      <c r="AU210" s="149">
        <v>0.23499999999999999</v>
      </c>
      <c r="AV210">
        <v>8</v>
      </c>
    </row>
    <row r="211" spans="1:48" x14ac:dyDescent="0.25">
      <c r="A211" t="s">
        <v>152</v>
      </c>
      <c r="B211" s="101">
        <v>155</v>
      </c>
      <c r="C211" s="101">
        <v>6456</v>
      </c>
      <c r="D211" s="101">
        <v>35138</v>
      </c>
      <c r="E211" s="101">
        <v>74</v>
      </c>
      <c r="F211" s="101">
        <v>352</v>
      </c>
      <c r="G211" s="101">
        <v>8619</v>
      </c>
      <c r="H211" s="101">
        <v>0</v>
      </c>
      <c r="I211" s="101">
        <v>-1072</v>
      </c>
      <c r="J211" s="101">
        <v>96</v>
      </c>
      <c r="K211" s="101">
        <v>1181</v>
      </c>
      <c r="L211" s="101">
        <v>1177</v>
      </c>
      <c r="M211" s="101">
        <v>5200</v>
      </c>
      <c r="N211" s="101">
        <v>15990</v>
      </c>
      <c r="O211" s="101">
        <v>5997</v>
      </c>
      <c r="P211" s="101">
        <v>20545</v>
      </c>
      <c r="Q211" s="101">
        <v>1</v>
      </c>
      <c r="R211" s="101">
        <v>0</v>
      </c>
      <c r="S211" s="101">
        <v>7302</v>
      </c>
      <c r="T211" s="101">
        <v>7542</v>
      </c>
      <c r="U211" s="101">
        <v>18861</v>
      </c>
      <c r="V211" s="101">
        <v>38590</v>
      </c>
      <c r="W211" s="101">
        <v>62430</v>
      </c>
      <c r="X211" s="101">
        <v>61730</v>
      </c>
      <c r="Y211" s="101">
        <v>700</v>
      </c>
      <c r="Z211" s="101">
        <v>1669</v>
      </c>
      <c r="AA211" s="101">
        <v>829473.47222222202</v>
      </c>
      <c r="AB211" s="101">
        <v>44107</v>
      </c>
      <c r="AC211" s="101">
        <v>38961.216</v>
      </c>
      <c r="AD211" s="101">
        <v>18835</v>
      </c>
      <c r="AE211" t="s">
        <v>152</v>
      </c>
      <c r="AF211" s="149">
        <v>-2.0967483581611403E-2</v>
      </c>
      <c r="AG211" s="149">
        <v>0.30211436809226333</v>
      </c>
      <c r="AH211" s="149">
        <f t="shared" si="18"/>
        <v>0.14369694057344226</v>
      </c>
      <c r="AI211" s="149">
        <f t="shared" si="19"/>
        <v>-1.5633509530674355E-2</v>
      </c>
      <c r="AJ211" s="149">
        <v>0.33030145763254848</v>
      </c>
      <c r="AK211" s="149">
        <v>0.27868309601408231</v>
      </c>
      <c r="AL211" s="149">
        <v>1.1212558065032836E-2</v>
      </c>
      <c r="AM211" s="149">
        <v>2.9757627801826114E-2</v>
      </c>
      <c r="AN211" s="149">
        <v>1.3539730013741815E-2</v>
      </c>
      <c r="AO211">
        <f t="shared" si="20"/>
        <v>0</v>
      </c>
      <c r="AP211" s="149">
        <v>1.2650168188370975E-2</v>
      </c>
      <c r="AQ211" s="149">
        <v>1.3315463322667063E-2</v>
      </c>
      <c r="AR211" s="149">
        <v>0.70804571868879829</v>
      </c>
      <c r="AS211" s="208">
        <v>2068.5540748606318</v>
      </c>
      <c r="AT211" s="149">
        <f t="shared" si="21"/>
        <v>5.0599999999999999E-2</v>
      </c>
      <c r="AU211" s="149">
        <v>0.253</v>
      </c>
      <c r="AV211">
        <v>9.5</v>
      </c>
    </row>
    <row r="212" spans="1:48" x14ac:dyDescent="0.25">
      <c r="A212" t="s">
        <v>153</v>
      </c>
      <c r="B212" s="101">
        <v>1185</v>
      </c>
      <c r="C212" s="101">
        <v>3564</v>
      </c>
      <c r="D212" s="101">
        <v>39367</v>
      </c>
      <c r="E212" s="101">
        <v>702</v>
      </c>
      <c r="F212" s="101">
        <v>477</v>
      </c>
      <c r="G212" s="101">
        <v>772</v>
      </c>
      <c r="H212" s="101">
        <v>0</v>
      </c>
      <c r="I212" s="101">
        <v>6959</v>
      </c>
      <c r="J212" s="101">
        <v>0</v>
      </c>
      <c r="K212" s="101">
        <v>5817</v>
      </c>
      <c r="L212" s="101">
        <v>15602</v>
      </c>
      <c r="M212" s="101">
        <v>4598</v>
      </c>
      <c r="N212" s="101">
        <v>35342</v>
      </c>
      <c r="O212" s="101">
        <v>10572</v>
      </c>
      <c r="P212" s="101">
        <v>23017</v>
      </c>
      <c r="Q212" s="101">
        <v>0</v>
      </c>
      <c r="R212" s="101">
        <v>0</v>
      </c>
      <c r="S212" s="101">
        <v>4142</v>
      </c>
      <c r="T212" s="101">
        <v>5971</v>
      </c>
      <c r="U212" s="101">
        <v>5864</v>
      </c>
      <c r="V212" s="101">
        <v>29767</v>
      </c>
      <c r="W212" s="101">
        <v>81136</v>
      </c>
      <c r="X212" s="101">
        <v>73438</v>
      </c>
      <c r="Y212" s="101">
        <v>7698</v>
      </c>
      <c r="Z212" s="101">
        <v>2832</v>
      </c>
      <c r="AA212" s="101">
        <v>3015812.6831517182</v>
      </c>
      <c r="AB212" s="101">
        <v>53389</v>
      </c>
      <c r="AC212" s="101">
        <v>38372.779000000002</v>
      </c>
      <c r="AD212" s="101">
        <v>19031</v>
      </c>
      <c r="AE212" t="s">
        <v>153</v>
      </c>
      <c r="AF212" s="149">
        <v>9.8069907316111218E-2</v>
      </c>
      <c r="AG212" s="149">
        <v>5.8247880102543878E-2</v>
      </c>
      <c r="AH212" s="149">
        <f t="shared" si="18"/>
        <v>1.5393906527312167E-2</v>
      </c>
      <c r="AI212" s="149">
        <f t="shared" si="19"/>
        <v>8.5769572076513506E-2</v>
      </c>
      <c r="AJ212" s="149">
        <v>5.6448432261890736E-5</v>
      </c>
      <c r="AK212" s="149">
        <v>0.44711806082688121</v>
      </c>
      <c r="AL212" s="149">
        <v>9.4877736146716629E-2</v>
      </c>
      <c r="AM212" s="149">
        <v>7.9407035997492978E-2</v>
      </c>
      <c r="AN212" s="149">
        <v>3.7148496909685143E-2</v>
      </c>
      <c r="AO212">
        <f t="shared" si="20"/>
        <v>0</v>
      </c>
      <c r="AP212" s="149">
        <v>4.4212803194636163E-2</v>
      </c>
      <c r="AQ212" s="149">
        <v>3.7169846716028868E-2</v>
      </c>
      <c r="AR212" s="149">
        <v>0.6580186353776375</v>
      </c>
      <c r="AS212" s="208">
        <v>2016.3301455519941</v>
      </c>
      <c r="AT212" s="149">
        <f t="shared" si="21"/>
        <v>3.6299999999999999E-2</v>
      </c>
      <c r="AU212" s="149">
        <v>0.18149999999999999</v>
      </c>
      <c r="AV212">
        <v>10</v>
      </c>
    </row>
    <row r="213" spans="1:48" x14ac:dyDescent="0.25">
      <c r="A213" t="s">
        <v>194</v>
      </c>
      <c r="B213" s="101">
        <v>9238</v>
      </c>
      <c r="C213" s="101">
        <v>27020</v>
      </c>
      <c r="D213" s="101">
        <v>83505</v>
      </c>
      <c r="E213" s="101">
        <v>525</v>
      </c>
      <c r="F213" s="101">
        <v>0</v>
      </c>
      <c r="G213" s="101">
        <v>11740</v>
      </c>
      <c r="H213" s="101">
        <v>0</v>
      </c>
      <c r="I213" s="101">
        <v>534</v>
      </c>
      <c r="J213" s="101">
        <v>0</v>
      </c>
      <c r="K213" s="101">
        <v>1715</v>
      </c>
      <c r="L213" s="101">
        <v>98</v>
      </c>
      <c r="M213" s="101">
        <v>12451</v>
      </c>
      <c r="N213" s="101">
        <v>54665</v>
      </c>
      <c r="O213" s="101">
        <v>10189</v>
      </c>
      <c r="P213" s="101">
        <v>68343</v>
      </c>
      <c r="Q213" s="101">
        <v>13</v>
      </c>
      <c r="R213" s="101">
        <v>0</v>
      </c>
      <c r="S213" s="101">
        <v>2170</v>
      </c>
      <c r="T213" s="101">
        <v>11433</v>
      </c>
      <c r="U213" s="101">
        <v>55955</v>
      </c>
      <c r="V213" s="101">
        <v>96161</v>
      </c>
      <c r="W213" s="101">
        <v>93805</v>
      </c>
      <c r="X213" s="101">
        <v>88278</v>
      </c>
      <c r="Y213" s="101">
        <v>5527</v>
      </c>
      <c r="Z213" s="101">
        <v>10419</v>
      </c>
      <c r="AA213" s="101">
        <v>2276020.5090909097</v>
      </c>
      <c r="AB213" s="101">
        <v>69535</v>
      </c>
      <c r="AC213" s="101">
        <v>57962.887000000002</v>
      </c>
      <c r="AD213" s="101">
        <v>29969</v>
      </c>
      <c r="AE213" t="s">
        <v>194</v>
      </c>
      <c r="AF213" s="149">
        <v>-7.6605724641543624E-2</v>
      </c>
      <c r="AG213" s="149">
        <v>0.59650338468098718</v>
      </c>
      <c r="AH213" s="149">
        <f t="shared" si="18"/>
        <v>0.12515324343052076</v>
      </c>
      <c r="AI213" s="149">
        <f t="shared" si="19"/>
        <v>5.6926603059538408E-3</v>
      </c>
      <c r="AJ213" s="149">
        <v>0.60753691167848201</v>
      </c>
      <c r="AK213" s="149">
        <v>0.37234441091728931</v>
      </c>
      <c r="AL213" s="149">
        <v>5.8920100207878044E-2</v>
      </c>
      <c r="AM213" s="149">
        <v>8.0310970342643243E-2</v>
      </c>
      <c r="AN213" s="149">
        <v>-4.5999389219728203E-2</v>
      </c>
      <c r="AO213">
        <f t="shared" si="20"/>
        <v>1</v>
      </c>
      <c r="AP213" s="149">
        <v>6.2901764298278345E-2</v>
      </c>
      <c r="AQ213" s="149">
        <v>2.4263317617300887E-2</v>
      </c>
      <c r="AR213" s="149">
        <v>0.74127178721816533</v>
      </c>
      <c r="AS213" s="208">
        <v>1934.0947979578898</v>
      </c>
      <c r="AT213" s="149">
        <f t="shared" si="21"/>
        <v>4.07E-2</v>
      </c>
      <c r="AU213" s="149">
        <v>0.20350000000000001</v>
      </c>
      <c r="AV213">
        <v>8.5</v>
      </c>
    </row>
    <row r="214" spans="1:48" x14ac:dyDescent="0.25">
      <c r="A214" t="s">
        <v>380</v>
      </c>
      <c r="B214" s="101">
        <v>4994</v>
      </c>
      <c r="C214" s="101">
        <v>20813</v>
      </c>
      <c r="D214" s="101">
        <v>194545</v>
      </c>
      <c r="E214" s="101">
        <v>3454</v>
      </c>
      <c r="F214" s="101">
        <v>5094</v>
      </c>
      <c r="G214" s="101">
        <v>8643</v>
      </c>
      <c r="H214" s="101">
        <v>0</v>
      </c>
      <c r="I214" s="101">
        <v>14023</v>
      </c>
      <c r="J214" s="101">
        <v>2</v>
      </c>
      <c r="K214" s="101">
        <v>12874</v>
      </c>
      <c r="L214" s="101">
        <v>20706</v>
      </c>
      <c r="M214" s="101">
        <v>20489</v>
      </c>
      <c r="N214" s="101">
        <v>180376</v>
      </c>
      <c r="O214" s="101">
        <v>9686</v>
      </c>
      <c r="P214" s="101">
        <v>72094</v>
      </c>
      <c r="Q214" s="101">
        <v>0</v>
      </c>
      <c r="R214" s="101">
        <v>0</v>
      </c>
      <c r="S214" s="101">
        <v>11589</v>
      </c>
      <c r="T214" s="101">
        <v>31889</v>
      </c>
      <c r="U214" s="101">
        <v>47766</v>
      </c>
      <c r="V214" s="101">
        <v>195911</v>
      </c>
      <c r="W214" s="101">
        <v>220586</v>
      </c>
      <c r="X214" s="101">
        <v>212520</v>
      </c>
      <c r="Y214" s="101">
        <v>8066</v>
      </c>
      <c r="Z214" s="101">
        <v>416</v>
      </c>
      <c r="AA214" s="101">
        <v>7706772.3289432414</v>
      </c>
      <c r="AB214" s="101">
        <v>145868</v>
      </c>
      <c r="AC214" s="101">
        <v>133982.97399999999</v>
      </c>
      <c r="AD214" s="101">
        <v>57924</v>
      </c>
      <c r="AE214" t="s">
        <v>380</v>
      </c>
      <c r="AF214" s="149">
        <v>1.5726292693099289E-2</v>
      </c>
      <c r="AG214" s="149">
        <v>0.21654139428612876</v>
      </c>
      <c r="AH214" s="149">
        <f t="shared" si="18"/>
        <v>6.2275031053648011E-2</v>
      </c>
      <c r="AI214" s="149">
        <f t="shared" si="19"/>
        <v>6.3580644283862078E-2</v>
      </c>
      <c r="AJ214" s="149">
        <v>0.17950794701386305</v>
      </c>
      <c r="AK214" s="149">
        <v>0.59016994182584404</v>
      </c>
      <c r="AL214" s="149">
        <v>3.6566237204537007E-2</v>
      </c>
      <c r="AM214" s="149">
        <v>5.2940826707171387E-2</v>
      </c>
      <c r="AN214" s="149">
        <v>4.5804510767034352E-2</v>
      </c>
      <c r="AO214">
        <f t="shared" si="20"/>
        <v>0</v>
      </c>
      <c r="AP214" s="149">
        <v>2.7700080694151034E-2</v>
      </c>
      <c r="AQ214" s="149">
        <v>3.4937721926791551E-2</v>
      </c>
      <c r="AR214" s="149">
        <v>0.66127496758633819</v>
      </c>
      <c r="AS214" s="208">
        <v>2313.0822111732614</v>
      </c>
      <c r="AT214" s="149">
        <f t="shared" si="21"/>
        <v>3.1699999999999999E-2</v>
      </c>
      <c r="AU214" s="149">
        <v>0.1585</v>
      </c>
      <c r="AV214">
        <v>10</v>
      </c>
    </row>
    <row r="215" spans="1:48" x14ac:dyDescent="0.25">
      <c r="A215" t="s">
        <v>131</v>
      </c>
      <c r="B215" s="101">
        <v>2643</v>
      </c>
      <c r="C215" s="101">
        <v>5478</v>
      </c>
      <c r="D215" s="101">
        <v>59391</v>
      </c>
      <c r="E215" s="101">
        <v>148</v>
      </c>
      <c r="F215" s="101">
        <v>2366</v>
      </c>
      <c r="G215" s="101">
        <v>4173</v>
      </c>
      <c r="H215" s="101">
        <v>0</v>
      </c>
      <c r="I215" s="101">
        <v>953</v>
      </c>
      <c r="J215" s="101">
        <v>0</v>
      </c>
      <c r="K215" s="101">
        <v>5588</v>
      </c>
      <c r="L215" s="101">
        <v>427</v>
      </c>
      <c r="M215" s="101">
        <v>2436</v>
      </c>
      <c r="N215" s="101">
        <v>41755</v>
      </c>
      <c r="O215" s="101">
        <v>11006</v>
      </c>
      <c r="P215" s="101">
        <v>25167</v>
      </c>
      <c r="Q215" s="101">
        <v>0</v>
      </c>
      <c r="R215" s="101">
        <v>0</v>
      </c>
      <c r="S215" s="101">
        <v>2437</v>
      </c>
      <c r="T215" s="101">
        <v>3236</v>
      </c>
      <c r="U215" s="101">
        <v>15850</v>
      </c>
      <c r="V215" s="101">
        <v>61318</v>
      </c>
      <c r="W215" s="101">
        <v>94700</v>
      </c>
      <c r="X215" s="101">
        <v>92675</v>
      </c>
      <c r="Y215" s="101">
        <v>2025</v>
      </c>
      <c r="Z215" s="101">
        <v>5277</v>
      </c>
      <c r="AA215" s="101">
        <v>4092132.4513966478</v>
      </c>
      <c r="AB215" s="101">
        <v>75517</v>
      </c>
      <c r="AC215" s="101">
        <v>63757.445</v>
      </c>
      <c r="AD215" s="101">
        <v>25824</v>
      </c>
      <c r="AE215" t="s">
        <v>131</v>
      </c>
      <c r="AF215" s="149">
        <v>-3.3474128827877508E-2</v>
      </c>
      <c r="AG215" s="149">
        <v>0.16737064413938754</v>
      </c>
      <c r="AH215" s="149">
        <f t="shared" si="18"/>
        <v>6.9049630411826823E-2</v>
      </c>
      <c r="AI215" s="149">
        <f t="shared" si="19"/>
        <v>1.0063357972544878E-2</v>
      </c>
      <c r="AJ215" s="149">
        <v>0.16861224920802534</v>
      </c>
      <c r="AK215" s="149">
        <v>0.49945574813698401</v>
      </c>
      <c r="AL215" s="149">
        <v>2.1383315733896516E-2</v>
      </c>
      <c r="AM215" s="149">
        <v>6.4731644098851501E-2</v>
      </c>
      <c r="AN215" s="149">
        <v>2.4057482706690149E-2</v>
      </c>
      <c r="AO215">
        <f t="shared" si="20"/>
        <v>0</v>
      </c>
      <c r="AP215" s="149">
        <v>1.6351636747624076E-2</v>
      </c>
      <c r="AQ215" s="149">
        <v>4.3211535917599235E-2</v>
      </c>
      <c r="AR215" s="149">
        <v>0.79743400211193238</v>
      </c>
      <c r="AS215" s="208">
        <v>2468.9221267038415</v>
      </c>
      <c r="AT215" s="149">
        <f t="shared" si="21"/>
        <v>4.9299999999999997E-2</v>
      </c>
      <c r="AU215" s="149">
        <v>0.2465</v>
      </c>
      <c r="AV215">
        <v>8</v>
      </c>
    </row>
    <row r="216" spans="1:48" x14ac:dyDescent="0.25">
      <c r="A216" t="s">
        <v>265</v>
      </c>
      <c r="B216" s="101">
        <v>1681</v>
      </c>
      <c r="C216" s="101">
        <v>1395</v>
      </c>
      <c r="D216" s="101">
        <v>31766</v>
      </c>
      <c r="E216" s="101">
        <v>1211</v>
      </c>
      <c r="F216" s="101">
        <v>0</v>
      </c>
      <c r="G216" s="101">
        <v>489</v>
      </c>
      <c r="H216" s="101">
        <v>0</v>
      </c>
      <c r="I216" s="101">
        <v>0</v>
      </c>
      <c r="J216" s="101">
        <v>0</v>
      </c>
      <c r="K216" s="101">
        <v>13956</v>
      </c>
      <c r="L216" s="101">
        <v>494</v>
      </c>
      <c r="M216" s="101">
        <v>415</v>
      </c>
      <c r="N216" s="101">
        <v>12089</v>
      </c>
      <c r="O216" s="101">
        <v>3115</v>
      </c>
      <c r="P216" s="101">
        <v>29785</v>
      </c>
      <c r="Q216" s="101">
        <v>14</v>
      </c>
      <c r="R216" s="101">
        <v>1</v>
      </c>
      <c r="S216" s="101">
        <v>3554</v>
      </c>
      <c r="T216" s="101">
        <v>2850</v>
      </c>
      <c r="U216" s="101">
        <v>20850</v>
      </c>
      <c r="V216" s="101">
        <v>33329</v>
      </c>
      <c r="W216" s="101">
        <v>36732</v>
      </c>
      <c r="X216" s="101">
        <v>30863</v>
      </c>
      <c r="Y216" s="101">
        <v>5869</v>
      </c>
      <c r="Z216" s="101">
        <v>1477</v>
      </c>
      <c r="AA216" s="101">
        <v>1449030.3902439028</v>
      </c>
      <c r="AB216" s="101">
        <v>18025</v>
      </c>
      <c r="AC216" s="101">
        <v>22451.092000000001</v>
      </c>
      <c r="AD216" s="101">
        <v>9694</v>
      </c>
      <c r="AE216" t="s">
        <v>265</v>
      </c>
      <c r="AF216" s="149">
        <v>0</v>
      </c>
      <c r="AG216" s="149">
        <v>0</v>
      </c>
      <c r="AH216" s="149">
        <f t="shared" si="18"/>
        <v>1.3312642927147992E-2</v>
      </c>
      <c r="AI216" s="149">
        <f t="shared" si="19"/>
        <v>0</v>
      </c>
      <c r="AJ216" s="149">
        <v>1.5975171512577588E-3</v>
      </c>
      <c r="AK216" s="149">
        <v>0.11</v>
      </c>
      <c r="AL216" s="149">
        <v>0</v>
      </c>
      <c r="AM216" s="149">
        <v>6.3726046036965647E-2</v>
      </c>
      <c r="AN216" s="149">
        <v>3.0369290573372208E-2</v>
      </c>
      <c r="AO216">
        <f t="shared" si="20"/>
        <v>0</v>
      </c>
      <c r="AP216" s="149">
        <v>1.0297560710007623E-2</v>
      </c>
      <c r="AQ216" s="149">
        <v>3.9448720196120626E-2</v>
      </c>
      <c r="AR216" s="149">
        <v>0.49071654143526083</v>
      </c>
      <c r="AS216" s="208">
        <v>2315.9781308025581</v>
      </c>
      <c r="AT216" s="149">
        <f t="shared" si="21"/>
        <v>5.3E-3</v>
      </c>
      <c r="AU216" s="149">
        <v>2.6499999999999999E-2</v>
      </c>
      <c r="AV216">
        <v>8</v>
      </c>
    </row>
    <row r="217" spans="1:48" x14ac:dyDescent="0.25">
      <c r="A217" t="s">
        <v>266</v>
      </c>
      <c r="B217" s="101">
        <v>1002</v>
      </c>
      <c r="C217" s="101">
        <v>3438</v>
      </c>
      <c r="D217" s="101">
        <v>50472</v>
      </c>
      <c r="E217" s="101">
        <v>80</v>
      </c>
      <c r="F217" s="101">
        <v>310</v>
      </c>
      <c r="G217" s="101">
        <v>1845</v>
      </c>
      <c r="H217" s="101">
        <v>107</v>
      </c>
      <c r="I217" s="101">
        <v>1142</v>
      </c>
      <c r="J217" s="101">
        <v>0</v>
      </c>
      <c r="K217" s="101">
        <v>28564</v>
      </c>
      <c r="L217" s="101">
        <v>61</v>
      </c>
      <c r="M217" s="101">
        <v>1451</v>
      </c>
      <c r="N217" s="101">
        <v>59026</v>
      </c>
      <c r="O217" s="101">
        <v>7927</v>
      </c>
      <c r="P217" s="101">
        <v>14479</v>
      </c>
      <c r="Q217" s="101">
        <v>1</v>
      </c>
      <c r="R217" s="101">
        <v>0</v>
      </c>
      <c r="S217" s="101">
        <v>3407</v>
      </c>
      <c r="T217" s="101">
        <v>3632</v>
      </c>
      <c r="U217" s="101">
        <v>-10819</v>
      </c>
      <c r="V217" s="101">
        <v>40666</v>
      </c>
      <c r="W217" s="101">
        <v>43565</v>
      </c>
      <c r="X217" s="101">
        <v>40295</v>
      </c>
      <c r="Y217" s="101">
        <v>3270</v>
      </c>
      <c r="Z217" s="101">
        <v>8001</v>
      </c>
      <c r="AA217" s="101">
        <v>646072.55066921655</v>
      </c>
      <c r="AB217" s="101">
        <v>24406</v>
      </c>
      <c r="AC217" s="101">
        <v>31843.383999999998</v>
      </c>
      <c r="AD217" s="101">
        <v>12199</v>
      </c>
      <c r="AE217" t="s">
        <v>266</v>
      </c>
      <c r="AF217" s="149">
        <v>-8.0110180190519908E-2</v>
      </c>
      <c r="AG217" s="149">
        <v>-0.24834155859061172</v>
      </c>
      <c r="AH217" s="149">
        <f t="shared" si="18"/>
        <v>4.9466314702169174E-2</v>
      </c>
      <c r="AI217" s="149">
        <f t="shared" si="19"/>
        <v>2.6213703661195915E-2</v>
      </c>
      <c r="AJ217" s="149">
        <v>-0.26075519338918857</v>
      </c>
      <c r="AK217" s="149">
        <v>0.6671715344967899</v>
      </c>
      <c r="AL217" s="149">
        <v>7.5060254791690581E-2</v>
      </c>
      <c r="AM217" s="149">
        <v>0.11416216216216216</v>
      </c>
      <c r="AN217" s="149">
        <v>8.0477373865803614E-2</v>
      </c>
      <c r="AO217">
        <f t="shared" si="20"/>
        <v>0</v>
      </c>
      <c r="AP217" s="149">
        <v>8.1751405945139452E-2</v>
      </c>
      <c r="AQ217" s="149">
        <v>1.4830082650504225E-2</v>
      </c>
      <c r="AR217" s="149">
        <v>0.56022036038103984</v>
      </c>
      <c r="AS217" s="208">
        <v>2610.3274038855643</v>
      </c>
      <c r="AT217" s="149">
        <f t="shared" si="21"/>
        <v>3.7100000000000001E-2</v>
      </c>
      <c r="AU217" s="149">
        <v>0.1855</v>
      </c>
      <c r="AV217">
        <v>7</v>
      </c>
    </row>
    <row r="218" spans="1:48" x14ac:dyDescent="0.25">
      <c r="A218" t="s">
        <v>132</v>
      </c>
      <c r="B218" s="101">
        <v>975</v>
      </c>
      <c r="C218" s="101">
        <v>9858</v>
      </c>
      <c r="D218" s="101">
        <v>55322</v>
      </c>
      <c r="E218" s="101">
        <v>260</v>
      </c>
      <c r="F218" s="101">
        <v>0</v>
      </c>
      <c r="G218" s="101">
        <v>178</v>
      </c>
      <c r="H218" s="101">
        <v>0</v>
      </c>
      <c r="I218" s="101">
        <v>-6173</v>
      </c>
      <c r="J218" s="101">
        <v>0</v>
      </c>
      <c r="K218" s="101">
        <v>40568</v>
      </c>
      <c r="L218" s="101">
        <v>741</v>
      </c>
      <c r="M218" s="101">
        <v>1865</v>
      </c>
      <c r="N218" s="101">
        <v>45315</v>
      </c>
      <c r="O218" s="101">
        <v>10676</v>
      </c>
      <c r="P218" s="101">
        <v>33000</v>
      </c>
      <c r="Q218" s="101">
        <v>0</v>
      </c>
      <c r="R218" s="101">
        <v>0</v>
      </c>
      <c r="S218" s="101">
        <v>2889</v>
      </c>
      <c r="T218" s="101">
        <v>11715</v>
      </c>
      <c r="U218" s="101">
        <v>4252</v>
      </c>
      <c r="V218" s="101">
        <v>62626</v>
      </c>
      <c r="W218" s="101">
        <v>98588</v>
      </c>
      <c r="X218" s="101">
        <v>94204</v>
      </c>
      <c r="Y218" s="101">
        <v>4384</v>
      </c>
      <c r="Z218" s="101">
        <v>550</v>
      </c>
      <c r="AA218" s="101">
        <v>3952097.6605415866</v>
      </c>
      <c r="AB218" s="101">
        <v>75679</v>
      </c>
      <c r="AC218" s="101">
        <v>63596.105000000003</v>
      </c>
      <c r="AD218" s="101">
        <v>30059</v>
      </c>
      <c r="AE218" t="s">
        <v>132</v>
      </c>
      <c r="AF218" s="149">
        <v>4.6689252241652129E-2</v>
      </c>
      <c r="AG218" s="149">
        <v>4.3128981214752303E-2</v>
      </c>
      <c r="AH218" s="149">
        <f t="shared" si="18"/>
        <v>1.8054935691970626E-3</v>
      </c>
      <c r="AI218" s="149">
        <f t="shared" si="19"/>
        <v>-6.2614111250862178E-2</v>
      </c>
      <c r="AJ218" s="149">
        <v>8.7175518318659481E-2</v>
      </c>
      <c r="AK218" s="149">
        <v>0.43742458612867419</v>
      </c>
      <c r="AL218" s="149">
        <v>4.4467886558201809E-2</v>
      </c>
      <c r="AM218" s="149">
        <v>9.4260438996407112E-2</v>
      </c>
      <c r="AN218" s="149">
        <v>6.6464918179780313E-2</v>
      </c>
      <c r="AO218">
        <f t="shared" si="20"/>
        <v>0</v>
      </c>
      <c r="AP218" s="149">
        <v>8.9488578731691491E-3</v>
      </c>
      <c r="AQ218" s="149">
        <v>4.0087005117677474E-2</v>
      </c>
      <c r="AR218" s="149">
        <v>0.76762892035541852</v>
      </c>
      <c r="AS218" s="208">
        <v>2115.7092717655278</v>
      </c>
      <c r="AT218" s="149">
        <f t="shared" si="21"/>
        <v>4.65E-2</v>
      </c>
      <c r="AU218" s="149">
        <v>0.23249999999999998</v>
      </c>
      <c r="AV218">
        <v>9</v>
      </c>
    </row>
    <row r="219" spans="1:48" x14ac:dyDescent="0.25">
      <c r="A219" t="s">
        <v>381</v>
      </c>
      <c r="B219" s="101">
        <v>1203</v>
      </c>
      <c r="C219" s="101">
        <v>60907</v>
      </c>
      <c r="D219" s="101">
        <v>209575</v>
      </c>
      <c r="E219" s="101">
        <v>2519</v>
      </c>
      <c r="F219" s="101">
        <v>3250</v>
      </c>
      <c r="G219" s="101">
        <v>21993</v>
      </c>
      <c r="H219" s="101">
        <v>0</v>
      </c>
      <c r="I219" s="101">
        <v>0</v>
      </c>
      <c r="J219" s="101">
        <v>0</v>
      </c>
      <c r="K219" s="101">
        <v>72898</v>
      </c>
      <c r="L219" s="101">
        <v>490</v>
      </c>
      <c r="M219" s="101">
        <v>9070</v>
      </c>
      <c r="N219" s="101">
        <v>232352</v>
      </c>
      <c r="O219" s="101">
        <v>35848</v>
      </c>
      <c r="P219" s="101">
        <v>50072</v>
      </c>
      <c r="Q219" s="101">
        <v>1351</v>
      </c>
      <c r="R219" s="101">
        <v>0</v>
      </c>
      <c r="S219" s="101">
        <v>12987</v>
      </c>
      <c r="T219" s="101">
        <v>49293</v>
      </c>
      <c r="U219" s="101">
        <v>6002</v>
      </c>
      <c r="V219" s="101">
        <v>216501</v>
      </c>
      <c r="W219" s="101">
        <v>388249</v>
      </c>
      <c r="X219" s="101">
        <v>366146</v>
      </c>
      <c r="Y219" s="101">
        <v>22103</v>
      </c>
      <c r="Z219" s="101">
        <v>30664</v>
      </c>
      <c r="AA219" s="101">
        <v>8517489.8240343295</v>
      </c>
      <c r="AB219" s="101">
        <v>283750</v>
      </c>
      <c r="AC219" s="101">
        <v>222962.196</v>
      </c>
      <c r="AD219" s="101">
        <v>94634</v>
      </c>
      <c r="AE219" t="s">
        <v>381</v>
      </c>
      <c r="AF219" s="149">
        <v>-3.4926039732233696E-2</v>
      </c>
      <c r="AG219" s="149">
        <v>1.5459151214813173E-2</v>
      </c>
      <c r="AH219" s="149">
        <f t="shared" si="18"/>
        <v>6.5017553168198752E-2</v>
      </c>
      <c r="AI219" s="149">
        <f t="shared" si="19"/>
        <v>0</v>
      </c>
      <c r="AJ219" s="149">
        <v>2.3261257594997024E-2</v>
      </c>
      <c r="AK219" s="149">
        <v>0.60840579937837613</v>
      </c>
      <c r="AL219" s="149">
        <v>5.6929959896870309E-2</v>
      </c>
      <c r="AM219" s="149">
        <v>0.10645274939700262</v>
      </c>
      <c r="AN219" s="149">
        <v>7.3048865261638354E-2</v>
      </c>
      <c r="AO219">
        <f t="shared" si="20"/>
        <v>0</v>
      </c>
      <c r="AP219" s="149">
        <v>3.5533897060906788E-2</v>
      </c>
      <c r="AQ219" s="149">
        <v>2.1975061336834373E-2</v>
      </c>
      <c r="AR219" s="149">
        <v>0.73207292091290466</v>
      </c>
      <c r="AS219" s="208">
        <v>2356.047467083712</v>
      </c>
      <c r="AT219" s="149">
        <f t="shared" si="21"/>
        <v>5.1000000000000004E-2</v>
      </c>
      <c r="AU219" s="149">
        <v>0.255</v>
      </c>
      <c r="AV219">
        <v>10</v>
      </c>
    </row>
    <row r="220" spans="1:48" x14ac:dyDescent="0.25">
      <c r="A220" t="s">
        <v>195</v>
      </c>
      <c r="B220" s="101">
        <v>8742</v>
      </c>
      <c r="C220" s="101">
        <v>14602</v>
      </c>
      <c r="D220" s="101">
        <v>119895</v>
      </c>
      <c r="E220" s="101">
        <v>279</v>
      </c>
      <c r="F220" s="101">
        <v>2565</v>
      </c>
      <c r="G220" s="101">
        <v>9396</v>
      </c>
      <c r="H220" s="101">
        <v>0</v>
      </c>
      <c r="I220" s="101">
        <v>3672</v>
      </c>
      <c r="J220" s="101">
        <v>0</v>
      </c>
      <c r="K220" s="101">
        <v>2230</v>
      </c>
      <c r="L220" s="101">
        <v>783</v>
      </c>
      <c r="M220" s="101">
        <v>9183</v>
      </c>
      <c r="N220" s="101">
        <v>36120</v>
      </c>
      <c r="O220" s="101">
        <v>5317</v>
      </c>
      <c r="P220" s="101">
        <v>99633</v>
      </c>
      <c r="Q220" s="101">
        <v>2</v>
      </c>
      <c r="R220" s="101">
        <v>12000</v>
      </c>
      <c r="S220" s="101">
        <v>3231</v>
      </c>
      <c r="T220" s="101">
        <v>15045</v>
      </c>
      <c r="U220" s="101">
        <v>105754</v>
      </c>
      <c r="V220" s="101">
        <v>140079</v>
      </c>
      <c r="W220" s="101">
        <v>144138</v>
      </c>
      <c r="X220" s="101">
        <v>146221</v>
      </c>
      <c r="Y220" s="101">
        <v>-2083</v>
      </c>
      <c r="Z220" s="101">
        <v>7444</v>
      </c>
      <c r="AA220" s="101">
        <v>3072347.6014492754</v>
      </c>
      <c r="AB220" s="101">
        <v>101733</v>
      </c>
      <c r="AC220" s="101">
        <v>98726.358999999997</v>
      </c>
      <c r="AD220" s="101">
        <v>39402</v>
      </c>
      <c r="AE220" t="s">
        <v>195</v>
      </c>
      <c r="AF220" s="149">
        <v>-3.8490890674214989E-2</v>
      </c>
      <c r="AG220" s="149">
        <v>0.73369964894753636</v>
      </c>
      <c r="AH220" s="149">
        <f t="shared" si="18"/>
        <v>8.2982974649294425E-2</v>
      </c>
      <c r="AI220" s="149">
        <f t="shared" si="19"/>
        <v>2.5475585896848854E-2</v>
      </c>
      <c r="AJ220" s="149">
        <v>0.72582469577765751</v>
      </c>
      <c r="AK220" s="149">
        <v>0.2107990755655158</v>
      </c>
      <c r="AL220" s="149">
        <v>-1.4451428492139477E-2</v>
      </c>
      <c r="AM220" s="149">
        <v>3.3875663112051459E-2</v>
      </c>
      <c r="AN220" s="149">
        <v>3.4420545645659779E-2</v>
      </c>
      <c r="AO220">
        <f t="shared" si="20"/>
        <v>1</v>
      </c>
      <c r="AP220" s="149">
        <v>5.4808586215987455E-3</v>
      </c>
      <c r="AQ220" s="149">
        <v>2.1334561978843366E-2</v>
      </c>
      <c r="AR220" s="149">
        <v>0.70643992000444422</v>
      </c>
      <c r="AS220" s="208">
        <v>2505.6179635551493</v>
      </c>
      <c r="AT220" s="149">
        <f t="shared" si="21"/>
        <v>4.8300000000000003E-2</v>
      </c>
      <c r="AU220" s="149">
        <v>0.24150000000000002</v>
      </c>
      <c r="AV220">
        <v>7.5</v>
      </c>
    </row>
    <row r="221" spans="1:48" x14ac:dyDescent="0.25">
      <c r="A221" t="s">
        <v>267</v>
      </c>
      <c r="B221" s="101">
        <v>139</v>
      </c>
      <c r="C221" s="101">
        <v>97</v>
      </c>
      <c r="D221" s="101">
        <v>22854</v>
      </c>
      <c r="E221" s="101">
        <v>123</v>
      </c>
      <c r="F221" s="101">
        <v>0</v>
      </c>
      <c r="G221" s="101">
        <v>3612</v>
      </c>
      <c r="H221" s="101">
        <v>0</v>
      </c>
      <c r="I221" s="101">
        <v>0</v>
      </c>
      <c r="J221" s="101">
        <v>0</v>
      </c>
      <c r="K221" s="101">
        <v>7942</v>
      </c>
      <c r="L221" s="101">
        <v>14820</v>
      </c>
      <c r="M221" s="101">
        <v>5207</v>
      </c>
      <c r="N221" s="101">
        <v>20163</v>
      </c>
      <c r="O221" s="101">
        <v>12344</v>
      </c>
      <c r="P221" s="101">
        <v>0</v>
      </c>
      <c r="Q221" s="101">
        <v>10000</v>
      </c>
      <c r="R221" s="101">
        <v>0</v>
      </c>
      <c r="S221" s="101">
        <v>3009</v>
      </c>
      <c r="T221" s="101">
        <v>9280</v>
      </c>
      <c r="U221" s="101">
        <v>-9292</v>
      </c>
      <c r="V221" s="101">
        <v>23498</v>
      </c>
      <c r="W221" s="101">
        <v>57443</v>
      </c>
      <c r="X221" s="101">
        <v>54957</v>
      </c>
      <c r="Y221" s="101">
        <v>2486</v>
      </c>
      <c r="Z221" s="101">
        <v>549</v>
      </c>
      <c r="AA221" s="101">
        <v>2174316</v>
      </c>
      <c r="AB221" s="101">
        <v>33306</v>
      </c>
      <c r="AC221" s="101">
        <v>33375.264999999999</v>
      </c>
      <c r="AD221" s="101">
        <v>14447</v>
      </c>
      <c r="AE221" t="s">
        <v>267</v>
      </c>
      <c r="AF221" s="149">
        <v>2.6600282018696794E-2</v>
      </c>
      <c r="AG221" s="149">
        <v>-0.16176035374197031</v>
      </c>
      <c r="AH221" s="149">
        <f t="shared" si="18"/>
        <v>6.2879724248385352E-2</v>
      </c>
      <c r="AI221" s="149">
        <f t="shared" si="19"/>
        <v>0</v>
      </c>
      <c r="AJ221" s="149">
        <v>-0.15421478683216408</v>
      </c>
      <c r="AK221" s="149">
        <v>0.36796481494999633</v>
      </c>
      <c r="AL221" s="149">
        <v>4.3277683964973973E-2</v>
      </c>
      <c r="AM221" s="149">
        <v>7.9223643581826209E-2</v>
      </c>
      <c r="AN221" s="149">
        <v>-9.4439168513242595E-3</v>
      </c>
      <c r="AO221">
        <f t="shared" si="20"/>
        <v>1</v>
      </c>
      <c r="AP221" s="149">
        <v>-1.7756732761171944E-3</v>
      </c>
      <c r="AQ221" s="149">
        <v>3.7851713872882685E-2</v>
      </c>
      <c r="AR221" s="149">
        <v>0.57980955033685566</v>
      </c>
      <c r="AS221" s="208">
        <v>2310.1865439191529</v>
      </c>
      <c r="AT221" s="149">
        <f t="shared" si="21"/>
        <v>6.0499999999999998E-2</v>
      </c>
      <c r="AU221" s="149">
        <v>0.30249999999999999</v>
      </c>
      <c r="AV221">
        <v>8</v>
      </c>
    </row>
    <row r="222" spans="1:48" x14ac:dyDescent="0.25">
      <c r="A222" t="s">
        <v>224</v>
      </c>
      <c r="B222" s="101">
        <v>295</v>
      </c>
      <c r="C222" s="101">
        <v>2251</v>
      </c>
      <c r="D222" s="101">
        <v>29962</v>
      </c>
      <c r="E222" s="101">
        <v>0</v>
      </c>
      <c r="F222" s="101">
        <v>72</v>
      </c>
      <c r="G222" s="101">
        <v>402</v>
      </c>
      <c r="H222" s="101">
        <v>0</v>
      </c>
      <c r="I222" s="101">
        <v>3661</v>
      </c>
      <c r="J222" s="101">
        <v>0</v>
      </c>
      <c r="K222" s="101">
        <v>4352</v>
      </c>
      <c r="L222" s="101">
        <v>1374</v>
      </c>
      <c r="M222" s="101">
        <v>1090</v>
      </c>
      <c r="N222" s="101">
        <v>10559</v>
      </c>
      <c r="O222" s="101">
        <v>7028</v>
      </c>
      <c r="P222" s="101">
        <v>19627</v>
      </c>
      <c r="Q222" s="101">
        <v>182</v>
      </c>
      <c r="R222" s="101">
        <v>0</v>
      </c>
      <c r="S222" s="101">
        <v>2496</v>
      </c>
      <c r="T222" s="101">
        <v>3567</v>
      </c>
      <c r="U222" s="101">
        <v>18582</v>
      </c>
      <c r="V222" s="101">
        <v>14613</v>
      </c>
      <c r="W222" s="101">
        <v>32576</v>
      </c>
      <c r="X222" s="101">
        <v>30417</v>
      </c>
      <c r="Y222" s="101">
        <v>2159</v>
      </c>
      <c r="Z222" s="101">
        <v>3592</v>
      </c>
      <c r="AA222" s="101">
        <v>631224.07407407416</v>
      </c>
      <c r="AB222" s="101">
        <v>22653</v>
      </c>
      <c r="AC222" s="101">
        <v>20785.012999999999</v>
      </c>
      <c r="AD222" s="101">
        <v>10223</v>
      </c>
      <c r="AE222" t="s">
        <v>224</v>
      </c>
      <c r="AF222" s="149">
        <v>-4.9146611001964637E-2</v>
      </c>
      <c r="AG222" s="149">
        <v>0.57041994106090377</v>
      </c>
      <c r="AH222" s="149">
        <f t="shared" ref="AH222:AH253" si="22">SUM(F222,G222)/W222</f>
        <v>1.4550589390962671E-2</v>
      </c>
      <c r="AI222" s="149">
        <f t="shared" ref="AI222:AI253" si="23">SUM(I222,J222)/W222</f>
        <v>0.11238334970530452</v>
      </c>
      <c r="AJ222" s="149">
        <v>0.49349766699410613</v>
      </c>
      <c r="AK222" s="149">
        <v>0.24296463333256632</v>
      </c>
      <c r="AL222" s="149">
        <v>6.6275785854616895E-2</v>
      </c>
      <c r="AM222" s="149">
        <v>9.7309673726388088E-2</v>
      </c>
      <c r="AN222" s="149">
        <v>4.437213429965981E-3</v>
      </c>
      <c r="AO222">
        <f t="shared" si="20"/>
        <v>0</v>
      </c>
      <c r="AP222" s="149">
        <v>0.13733269891944991</v>
      </c>
      <c r="AQ222" s="149">
        <v>1.9376966910427128E-2</v>
      </c>
      <c r="AR222" s="149">
        <v>0.69538924361493126</v>
      </c>
      <c r="AS222" s="208">
        <v>2033.1617920375625</v>
      </c>
      <c r="AT222" s="149">
        <f t="shared" si="21"/>
        <v>4.3900000000000002E-2</v>
      </c>
      <c r="AU222" s="149">
        <v>0.2195</v>
      </c>
      <c r="AV222">
        <v>8</v>
      </c>
    </row>
    <row r="223" spans="1:48" x14ac:dyDescent="0.25">
      <c r="A223" t="s">
        <v>196</v>
      </c>
      <c r="B223" s="101">
        <v>2444</v>
      </c>
      <c r="C223" s="101">
        <v>19267</v>
      </c>
      <c r="D223" s="101">
        <v>132886</v>
      </c>
      <c r="E223" s="101">
        <v>298</v>
      </c>
      <c r="F223" s="101">
        <v>0</v>
      </c>
      <c r="G223" s="101">
        <v>8257</v>
      </c>
      <c r="H223" s="101">
        <v>0</v>
      </c>
      <c r="I223" s="101">
        <v>8736</v>
      </c>
      <c r="J223" s="101">
        <v>0</v>
      </c>
      <c r="K223" s="101">
        <v>6705</v>
      </c>
      <c r="L223" s="101">
        <v>921</v>
      </c>
      <c r="M223" s="101">
        <v>5326</v>
      </c>
      <c r="N223" s="101">
        <v>52516</v>
      </c>
      <c r="O223" s="101">
        <v>24755</v>
      </c>
      <c r="P223" s="101">
        <v>92499</v>
      </c>
      <c r="Q223" s="101">
        <v>250</v>
      </c>
      <c r="R223" s="101">
        <v>0</v>
      </c>
      <c r="S223" s="101">
        <v>1533</v>
      </c>
      <c r="T223" s="101">
        <v>13286</v>
      </c>
      <c r="U223" s="101">
        <v>86359</v>
      </c>
      <c r="V223" s="101">
        <v>130380</v>
      </c>
      <c r="W223" s="101">
        <v>142541</v>
      </c>
      <c r="X223" s="101">
        <v>140012</v>
      </c>
      <c r="Y223" s="101">
        <v>2529</v>
      </c>
      <c r="Z223" s="101">
        <v>-624</v>
      </c>
      <c r="AA223" s="101">
        <v>7841171.3514563069</v>
      </c>
      <c r="AB223" s="101">
        <v>104480</v>
      </c>
      <c r="AC223" s="101">
        <v>98654.218999999997</v>
      </c>
      <c r="AD223" s="101">
        <v>48919</v>
      </c>
      <c r="AE223" t="s">
        <v>196</v>
      </c>
      <c r="AF223" s="149">
        <v>-5.0652093081990446E-3</v>
      </c>
      <c r="AG223" s="149">
        <v>0.60585375435839517</v>
      </c>
      <c r="AH223" s="149">
        <f t="shared" si="22"/>
        <v>5.7927192877838658E-2</v>
      </c>
      <c r="AI223" s="149">
        <f t="shared" si="23"/>
        <v>6.1287629524136918E-2</v>
      </c>
      <c r="AJ223" s="149">
        <v>0.56990367683683996</v>
      </c>
      <c r="AK223" s="149">
        <v>0.28411752930929079</v>
      </c>
      <c r="AL223" s="149">
        <v>1.7742263629411888E-2</v>
      </c>
      <c r="AM223" s="149">
        <v>4.8670995606963773E-2</v>
      </c>
      <c r="AN223" s="149">
        <v>4.5654041020872893E-2</v>
      </c>
      <c r="AO223">
        <f t="shared" si="20"/>
        <v>0</v>
      </c>
      <c r="AP223" s="149">
        <v>4.2473744396349121E-2</v>
      </c>
      <c r="AQ223" s="149">
        <v>5.5009936449557019E-2</v>
      </c>
      <c r="AR223" s="149">
        <v>0.73298208936376197</v>
      </c>
      <c r="AS223" s="208">
        <v>2016.6851121241236</v>
      </c>
      <c r="AT223" s="149">
        <f t="shared" si="21"/>
        <v>5.1900000000000002E-2</v>
      </c>
      <c r="AU223" s="149">
        <v>0.25950000000000001</v>
      </c>
      <c r="AV223">
        <v>10</v>
      </c>
    </row>
    <row r="224" spans="1:48" x14ac:dyDescent="0.25">
      <c r="A224" t="s">
        <v>310</v>
      </c>
      <c r="B224" s="101">
        <v>60</v>
      </c>
      <c r="C224" s="101">
        <v>28556</v>
      </c>
      <c r="D224" s="101">
        <v>93312</v>
      </c>
      <c r="E224" s="101">
        <v>8918</v>
      </c>
      <c r="F224" s="101">
        <v>11496</v>
      </c>
      <c r="G224" s="101">
        <v>9623</v>
      </c>
      <c r="H224" s="101">
        <v>0</v>
      </c>
      <c r="I224" s="101">
        <v>-394</v>
      </c>
      <c r="J224" s="101">
        <v>1346</v>
      </c>
      <c r="K224" s="101">
        <v>10789</v>
      </c>
      <c r="L224" s="101">
        <v>1837</v>
      </c>
      <c r="M224" s="101">
        <v>4224</v>
      </c>
      <c r="N224" s="101">
        <v>86217</v>
      </c>
      <c r="O224" s="101">
        <v>11234</v>
      </c>
      <c r="P224" s="101">
        <v>58656</v>
      </c>
      <c r="Q224" s="101">
        <v>12</v>
      </c>
      <c r="R224" s="101">
        <v>0</v>
      </c>
      <c r="S224" s="101">
        <v>2806</v>
      </c>
      <c r="T224" s="101">
        <v>10839</v>
      </c>
      <c r="U224" s="101">
        <v>34344</v>
      </c>
      <c r="V224" s="101">
        <v>118988</v>
      </c>
      <c r="W224" s="101">
        <v>107711</v>
      </c>
      <c r="X224" s="101">
        <v>104254</v>
      </c>
      <c r="Y224" s="101">
        <v>3457</v>
      </c>
      <c r="Z224" s="101">
        <v>-82</v>
      </c>
      <c r="AA224" s="101">
        <v>1422135.8779069763</v>
      </c>
      <c r="AB224" s="101">
        <v>76062</v>
      </c>
      <c r="AC224" s="101">
        <v>68057.172000000006</v>
      </c>
      <c r="AD224" s="101">
        <v>32178</v>
      </c>
      <c r="AE224" t="s">
        <v>310</v>
      </c>
      <c r="AF224" s="149">
        <v>5.5240411842801575E-3</v>
      </c>
      <c r="AG224" s="149">
        <v>0.31885322761834911</v>
      </c>
      <c r="AH224" s="149">
        <f t="shared" si="22"/>
        <v>0.19607096768203805</v>
      </c>
      <c r="AI224" s="149">
        <f t="shared" si="23"/>
        <v>8.8384658948482513E-3</v>
      </c>
      <c r="AJ224" s="149">
        <v>0.33619481761379993</v>
      </c>
      <c r="AK224" s="149">
        <v>0.50786385806177992</v>
      </c>
      <c r="AL224" s="149">
        <v>3.2095143485809247E-2</v>
      </c>
      <c r="AM224" s="149">
        <v>0.11468915845337377</v>
      </c>
      <c r="AN224" s="149">
        <v>4.3640308666818318E-3</v>
      </c>
      <c r="AO224">
        <f t="shared" si="20"/>
        <v>0</v>
      </c>
      <c r="AP224" s="149">
        <v>6.8238155805813707E-3</v>
      </c>
      <c r="AQ224" s="149">
        <v>1.320325572974883E-2</v>
      </c>
      <c r="AR224" s="149">
        <v>0.70616742951044931</v>
      </c>
      <c r="AS224" s="208">
        <v>2115.0218161476787</v>
      </c>
      <c r="AT224" s="149">
        <f t="shared" si="21"/>
        <v>4.7199999999999999E-2</v>
      </c>
      <c r="AU224" s="149">
        <v>0.23599999999999999</v>
      </c>
      <c r="AV224">
        <v>9.5</v>
      </c>
    </row>
    <row r="225" spans="1:48" x14ac:dyDescent="0.25">
      <c r="A225" t="s">
        <v>415</v>
      </c>
      <c r="B225" s="101">
        <v>4595</v>
      </c>
      <c r="C225" s="101">
        <v>19021</v>
      </c>
      <c r="D225" s="101">
        <v>136664</v>
      </c>
      <c r="E225" s="101">
        <v>1562</v>
      </c>
      <c r="F225" s="101">
        <v>5730</v>
      </c>
      <c r="G225" s="101">
        <v>3435</v>
      </c>
      <c r="H225" s="101">
        <v>0</v>
      </c>
      <c r="I225" s="101">
        <v>2030</v>
      </c>
      <c r="J225" s="101">
        <v>0</v>
      </c>
      <c r="K225" s="101">
        <v>10804</v>
      </c>
      <c r="L225" s="101">
        <v>32</v>
      </c>
      <c r="M225" s="101">
        <v>3966</v>
      </c>
      <c r="N225" s="101">
        <v>60100</v>
      </c>
      <c r="O225" s="101">
        <v>22616</v>
      </c>
      <c r="P225" s="101">
        <v>80554</v>
      </c>
      <c r="Q225" s="101">
        <v>12</v>
      </c>
      <c r="R225" s="101">
        <v>7759</v>
      </c>
      <c r="S225" s="101">
        <v>5650</v>
      </c>
      <c r="T225" s="101">
        <v>11148</v>
      </c>
      <c r="U225" s="101">
        <v>81156</v>
      </c>
      <c r="V225" s="101">
        <v>141999</v>
      </c>
      <c r="W225" s="101">
        <v>130497</v>
      </c>
      <c r="X225" s="101">
        <v>125793</v>
      </c>
      <c r="Y225" s="101">
        <v>4704</v>
      </c>
      <c r="Z225" s="101">
        <v>8055</v>
      </c>
      <c r="AA225" s="101">
        <v>5938990.1983967926</v>
      </c>
      <c r="AB225" s="101">
        <v>95740</v>
      </c>
      <c r="AC225" s="101">
        <v>81392.959000000003</v>
      </c>
      <c r="AD225" s="101">
        <v>45534</v>
      </c>
      <c r="AE225" t="s">
        <v>415</v>
      </c>
      <c r="AF225" s="149">
        <v>-7.1266006115083104E-3</v>
      </c>
      <c r="AG225" s="149">
        <v>0.62189935400813812</v>
      </c>
      <c r="AH225" s="149">
        <f t="shared" si="22"/>
        <v>7.0231499574702871E-2</v>
      </c>
      <c r="AI225" s="149">
        <f t="shared" si="23"/>
        <v>1.55559131627547E-2</v>
      </c>
      <c r="AJ225" s="149">
        <v>0.61943799474317418</v>
      </c>
      <c r="AK225" s="149">
        <v>0.31995485495557363</v>
      </c>
      <c r="AL225" s="149">
        <v>3.6046805673693651E-2</v>
      </c>
      <c r="AM225" s="149">
        <v>7.3853517812678793E-2</v>
      </c>
      <c r="AN225" s="149">
        <v>-9.6013884223491216E-3</v>
      </c>
      <c r="AO225">
        <f t="shared" si="20"/>
        <v>1</v>
      </c>
      <c r="AP225" s="149">
        <v>3.5021877897576187E-2</v>
      </c>
      <c r="AQ225" s="149">
        <v>4.5510549655523057E-2</v>
      </c>
      <c r="AR225" s="149">
        <v>0.73365671241484476</v>
      </c>
      <c r="AS225" s="208">
        <v>1787.5205121447709</v>
      </c>
      <c r="AT225" s="149">
        <f t="shared" si="21"/>
        <v>4.3499999999999997E-2</v>
      </c>
      <c r="AU225" s="149">
        <v>0.21749999999999997</v>
      </c>
      <c r="AV225">
        <v>10</v>
      </c>
    </row>
    <row r="226" spans="1:48" x14ac:dyDescent="0.25">
      <c r="A226" t="s">
        <v>122</v>
      </c>
      <c r="B226" s="101">
        <v>5</v>
      </c>
      <c r="C226" s="101">
        <v>403</v>
      </c>
      <c r="D226" s="101">
        <v>19207</v>
      </c>
      <c r="E226" s="101">
        <v>148</v>
      </c>
      <c r="F226" s="101">
        <v>0</v>
      </c>
      <c r="G226" s="101">
        <v>75</v>
      </c>
      <c r="H226" s="101">
        <v>0</v>
      </c>
      <c r="I226" s="101">
        <v>2316</v>
      </c>
      <c r="J226" s="101">
        <v>0</v>
      </c>
      <c r="K226" s="101">
        <v>4017</v>
      </c>
      <c r="L226" s="101">
        <v>30200</v>
      </c>
      <c r="M226" s="101">
        <v>758</v>
      </c>
      <c r="N226" s="101">
        <v>30304</v>
      </c>
      <c r="O226" s="101">
        <v>8699</v>
      </c>
      <c r="P226" s="101">
        <v>5847</v>
      </c>
      <c r="Q226" s="101">
        <v>0</v>
      </c>
      <c r="R226" s="101">
        <v>-26</v>
      </c>
      <c r="S226" s="101">
        <v>3533</v>
      </c>
      <c r="T226" s="101">
        <v>8771</v>
      </c>
      <c r="U226" s="101">
        <v>-16925</v>
      </c>
      <c r="V226" s="101">
        <v>19848</v>
      </c>
      <c r="W226" s="101">
        <v>67455</v>
      </c>
      <c r="X226" s="101">
        <v>65604</v>
      </c>
      <c r="Y226" s="101">
        <v>1851</v>
      </c>
      <c r="Z226" s="101">
        <v>-480</v>
      </c>
      <c r="AA226" s="101">
        <v>-999558.0123456791</v>
      </c>
      <c r="AB226" s="101">
        <v>56278</v>
      </c>
      <c r="AC226" s="101">
        <v>35957.101000000002</v>
      </c>
      <c r="AD226" s="101">
        <v>12517</v>
      </c>
      <c r="AE226" t="s">
        <v>122</v>
      </c>
      <c r="AF226" s="149">
        <v>0.11643317767400489</v>
      </c>
      <c r="AG226" s="149">
        <v>-0.25090801274924024</v>
      </c>
      <c r="AH226" s="149">
        <f t="shared" si="22"/>
        <v>1.1118523460084502E-3</v>
      </c>
      <c r="AI226" s="149">
        <f t="shared" si="23"/>
        <v>3.4334000444740935E-2</v>
      </c>
      <c r="AJ226" s="149">
        <v>-0.27480839077903785</v>
      </c>
      <c r="AK226" s="149">
        <v>0.53045791905895534</v>
      </c>
      <c r="AL226" s="149">
        <v>2.7440515899488548E-2</v>
      </c>
      <c r="AM226" s="149">
        <v>0.15457211672373961</v>
      </c>
      <c r="AN226" s="149">
        <v>7.6145848586908774E-2</v>
      </c>
      <c r="AO226">
        <f t="shared" si="20"/>
        <v>0</v>
      </c>
      <c r="AP226" s="149">
        <v>-8.635386553998962E-4</v>
      </c>
      <c r="AQ226" s="149">
        <v>-1.4818145613307821E-2</v>
      </c>
      <c r="AR226" s="149">
        <v>0.83430435104884737</v>
      </c>
      <c r="AS226" s="208">
        <v>2872.6612606854678</v>
      </c>
      <c r="AT226" s="149">
        <f t="shared" si="21"/>
        <v>7.9600000000000004E-2</v>
      </c>
      <c r="AU226" s="149">
        <v>0.39800000000000002</v>
      </c>
      <c r="AV226">
        <v>7</v>
      </c>
    </row>
    <row r="227" spans="1:48" x14ac:dyDescent="0.25">
      <c r="A227" t="s">
        <v>311</v>
      </c>
      <c r="B227" s="101">
        <v>201</v>
      </c>
      <c r="C227" s="101">
        <v>32403</v>
      </c>
      <c r="D227" s="101">
        <v>149615</v>
      </c>
      <c r="E227" s="101">
        <v>8549</v>
      </c>
      <c r="F227" s="101">
        <v>0</v>
      </c>
      <c r="G227" s="101">
        <v>5666</v>
      </c>
      <c r="H227" s="101">
        <v>0</v>
      </c>
      <c r="I227" s="101">
        <v>3974</v>
      </c>
      <c r="J227" s="101">
        <v>0</v>
      </c>
      <c r="K227" s="101">
        <v>12278</v>
      </c>
      <c r="L227" s="101">
        <v>108629</v>
      </c>
      <c r="M227" s="101">
        <v>11967</v>
      </c>
      <c r="N227" s="101">
        <v>208257</v>
      </c>
      <c r="O227" s="101">
        <v>22756</v>
      </c>
      <c r="P227" s="101">
        <v>67629</v>
      </c>
      <c r="Q227" s="101">
        <v>0</v>
      </c>
      <c r="R227" s="101">
        <v>0</v>
      </c>
      <c r="S227" s="101">
        <v>13231</v>
      </c>
      <c r="T227" s="101">
        <v>21409</v>
      </c>
      <c r="U227" s="101">
        <v>-36271</v>
      </c>
      <c r="V227" s="101">
        <v>144212</v>
      </c>
      <c r="W227" s="101">
        <v>179004</v>
      </c>
      <c r="X227" s="101">
        <v>168161</v>
      </c>
      <c r="Y227" s="101">
        <v>10843</v>
      </c>
      <c r="Z227" s="101">
        <v>13112</v>
      </c>
      <c r="AA227" s="101">
        <v>9705858.0729166642</v>
      </c>
      <c r="AB227" s="101">
        <v>104607</v>
      </c>
      <c r="AC227" s="101">
        <v>107995.417</v>
      </c>
      <c r="AD227" s="101">
        <v>57932</v>
      </c>
      <c r="AE227" t="s">
        <v>311</v>
      </c>
      <c r="AF227" s="149">
        <v>3.152443520815177E-2</v>
      </c>
      <c r="AG227" s="149">
        <v>-0.20262675694397891</v>
      </c>
      <c r="AH227" s="149">
        <f t="shared" si="22"/>
        <v>3.165292395700655E-2</v>
      </c>
      <c r="AI227" s="149">
        <f t="shared" si="23"/>
        <v>2.2200621215168376E-2</v>
      </c>
      <c r="AJ227" s="149">
        <v>-0.214368840919756</v>
      </c>
      <c r="AK227" s="149">
        <v>0.62486722955335117</v>
      </c>
      <c r="AL227" s="149">
        <v>6.0574065384013762E-2</v>
      </c>
      <c r="AM227" s="149">
        <v>0.10176967056901715</v>
      </c>
      <c r="AN227" s="149">
        <v>3.6341449463267679E-2</v>
      </c>
      <c r="AO227">
        <f t="shared" si="20"/>
        <v>0</v>
      </c>
      <c r="AP227" s="149">
        <v>5.3081216062210904E-2</v>
      </c>
      <c r="AQ227" s="149">
        <v>5.4221459145698779E-2</v>
      </c>
      <c r="AR227" s="149">
        <v>0.58438358919353761</v>
      </c>
      <c r="AS227" s="208">
        <v>1864.1755333839674</v>
      </c>
      <c r="AT227" s="149">
        <f t="shared" si="21"/>
        <v>4.1099999999999998E-2</v>
      </c>
      <c r="AU227" s="149">
        <v>0.20549999999999999</v>
      </c>
      <c r="AV227">
        <v>9.5</v>
      </c>
    </row>
    <row r="228" spans="1:48" x14ac:dyDescent="0.25">
      <c r="A228" t="s">
        <v>268</v>
      </c>
      <c r="B228" s="101">
        <v>1583</v>
      </c>
      <c r="C228" s="101">
        <v>42168</v>
      </c>
      <c r="D228" s="101">
        <v>295339</v>
      </c>
      <c r="E228" s="101">
        <v>39317</v>
      </c>
      <c r="F228" s="101">
        <v>4256</v>
      </c>
      <c r="G228" s="101">
        <v>12128</v>
      </c>
      <c r="H228" s="101">
        <v>0</v>
      </c>
      <c r="I228" s="101">
        <v>39947</v>
      </c>
      <c r="J228" s="101">
        <v>145</v>
      </c>
      <c r="K228" s="101">
        <v>24929</v>
      </c>
      <c r="L228" s="101">
        <v>-8653</v>
      </c>
      <c r="M228" s="101">
        <v>16659</v>
      </c>
      <c r="N228" s="101">
        <v>101344</v>
      </c>
      <c r="O228" s="101">
        <v>31443</v>
      </c>
      <c r="P228" s="101">
        <v>272971</v>
      </c>
      <c r="Q228" s="101">
        <v>37</v>
      </c>
      <c r="R228" s="101">
        <v>0</v>
      </c>
      <c r="S228" s="101">
        <v>16241</v>
      </c>
      <c r="T228" s="101">
        <v>45781</v>
      </c>
      <c r="U228" s="101">
        <v>285711</v>
      </c>
      <c r="V228" s="101">
        <v>257886</v>
      </c>
      <c r="W228" s="101">
        <v>368949</v>
      </c>
      <c r="X228" s="101">
        <v>360836</v>
      </c>
      <c r="Y228" s="101">
        <v>8113</v>
      </c>
      <c r="Z228" s="101">
        <v>26616</v>
      </c>
      <c r="AA228" s="101">
        <v>15790000.706117421</v>
      </c>
      <c r="AB228" s="101">
        <v>258354</v>
      </c>
      <c r="AC228" s="101">
        <v>198504.64</v>
      </c>
      <c r="AD228" s="101">
        <v>95168</v>
      </c>
      <c r="AE228" t="s">
        <v>268</v>
      </c>
      <c r="AF228" s="149">
        <v>-3.593721625482113E-2</v>
      </c>
      <c r="AG228" s="149">
        <v>0.77439158257645369</v>
      </c>
      <c r="AH228" s="149">
        <f t="shared" si="22"/>
        <v>4.4407221594312492E-2</v>
      </c>
      <c r="AI228" s="149">
        <f t="shared" si="23"/>
        <v>0.10866542530268411</v>
      </c>
      <c r="AJ228" s="149">
        <v>0.70365465145589234</v>
      </c>
      <c r="AK228" s="149">
        <v>0.21663171710305526</v>
      </c>
      <c r="AL228" s="149">
        <v>2.1989489062173906E-2</v>
      </c>
      <c r="AM228" s="149">
        <v>7.8828945178195262E-2</v>
      </c>
      <c r="AN228" s="149">
        <v>3.3080102263846022E-2</v>
      </c>
      <c r="AO228">
        <f t="shared" si="20"/>
        <v>0</v>
      </c>
      <c r="AP228" s="149">
        <v>5.502386508704455E-2</v>
      </c>
      <c r="AQ228" s="149">
        <v>4.2902364401411298E-2</v>
      </c>
      <c r="AR228" s="149">
        <v>0.70196307516743872</v>
      </c>
      <c r="AS228" s="208">
        <v>2085.833893745797</v>
      </c>
      <c r="AT228" s="149">
        <f t="shared" si="21"/>
        <v>3.3000000000000002E-2</v>
      </c>
      <c r="AU228" s="149">
        <v>0.16500000000000001</v>
      </c>
      <c r="AV228">
        <v>9.5</v>
      </c>
    </row>
    <row r="229" spans="1:48" x14ac:dyDescent="0.25">
      <c r="A229" t="s">
        <v>197</v>
      </c>
      <c r="B229" s="101">
        <v>6084</v>
      </c>
      <c r="C229" s="101">
        <v>4444</v>
      </c>
      <c r="D229" s="101">
        <v>59025</v>
      </c>
      <c r="E229" s="101">
        <v>3187</v>
      </c>
      <c r="F229" s="101">
        <v>610</v>
      </c>
      <c r="G229" s="101">
        <v>6243</v>
      </c>
      <c r="H229" s="101">
        <v>0</v>
      </c>
      <c r="I229" s="101">
        <v>6307</v>
      </c>
      <c r="J229" s="101">
        <v>35</v>
      </c>
      <c r="K229" s="101">
        <v>29226</v>
      </c>
      <c r="L229" s="101">
        <v>70</v>
      </c>
      <c r="M229" s="101">
        <v>2892</v>
      </c>
      <c r="N229" s="101">
        <v>78565</v>
      </c>
      <c r="O229" s="101">
        <v>14424</v>
      </c>
      <c r="P229" s="101">
        <v>12600</v>
      </c>
      <c r="Q229" s="101">
        <v>46</v>
      </c>
      <c r="R229" s="101">
        <v>0</v>
      </c>
      <c r="S229" s="101">
        <v>5794</v>
      </c>
      <c r="T229" s="101">
        <v>6694</v>
      </c>
      <c r="U229" s="101">
        <v>-13907</v>
      </c>
      <c r="V229" s="101">
        <v>49378</v>
      </c>
      <c r="W229" s="101">
        <v>79870</v>
      </c>
      <c r="X229" s="101">
        <v>72756</v>
      </c>
      <c r="Y229" s="101">
        <v>7114</v>
      </c>
      <c r="Z229" s="101">
        <v>7501</v>
      </c>
      <c r="AA229" s="101">
        <v>5875296.0878661089</v>
      </c>
      <c r="AB229" s="101">
        <v>52511</v>
      </c>
      <c r="AC229" s="101">
        <v>42933.269</v>
      </c>
      <c r="AD229" s="101">
        <v>24978</v>
      </c>
      <c r="AE229" t="s">
        <v>197</v>
      </c>
      <c r="AF229" s="149">
        <v>-0.10318016777263052</v>
      </c>
      <c r="AG229" s="149">
        <v>-0.17412044572430199</v>
      </c>
      <c r="AH229" s="149">
        <f t="shared" si="22"/>
        <v>8.5801928133216479E-2</v>
      </c>
      <c r="AI229" s="149">
        <f t="shared" si="23"/>
        <v>7.9404031551270821E-2</v>
      </c>
      <c r="AJ229" s="149">
        <v>-0.21940703643420559</v>
      </c>
      <c r="AK229" s="149">
        <v>0.66511179025253342</v>
      </c>
      <c r="AL229" s="149">
        <v>8.906973832477777E-2</v>
      </c>
      <c r="AM229" s="149">
        <v>0.11060542977330481</v>
      </c>
      <c r="AN229" s="149">
        <v>8.7170952177365174E-2</v>
      </c>
      <c r="AO229">
        <f t="shared" si="20"/>
        <v>0</v>
      </c>
      <c r="AP229" s="149">
        <v>6.314949292600476E-2</v>
      </c>
      <c r="AQ229" s="149">
        <v>7.356073729643306E-2</v>
      </c>
      <c r="AR229" s="149">
        <v>0.65745586578189563</v>
      </c>
      <c r="AS229" s="208">
        <v>1718.8433421410841</v>
      </c>
      <c r="AT229" s="149">
        <f t="shared" si="21"/>
        <v>3.2800000000000003E-2</v>
      </c>
      <c r="AU229" s="149">
        <v>0.16400000000000001</v>
      </c>
      <c r="AV229">
        <v>7.5</v>
      </c>
    </row>
    <row r="230" spans="1:48" x14ac:dyDescent="0.25">
      <c r="A230" t="s">
        <v>154</v>
      </c>
      <c r="B230" s="101">
        <v>421</v>
      </c>
      <c r="C230" s="101">
        <v>10217</v>
      </c>
      <c r="D230" s="101">
        <v>101550</v>
      </c>
      <c r="E230" s="101">
        <v>299</v>
      </c>
      <c r="F230" s="101">
        <v>1981</v>
      </c>
      <c r="G230" s="101">
        <v>3837</v>
      </c>
      <c r="H230" s="101">
        <v>0</v>
      </c>
      <c r="I230" s="101">
        <v>12157</v>
      </c>
      <c r="J230" s="101">
        <v>0</v>
      </c>
      <c r="K230" s="101">
        <v>2872</v>
      </c>
      <c r="L230" s="101">
        <v>23049</v>
      </c>
      <c r="M230" s="101">
        <v>10684</v>
      </c>
      <c r="N230" s="101">
        <v>86072</v>
      </c>
      <c r="O230" s="101">
        <v>6453</v>
      </c>
      <c r="P230" s="101">
        <v>55649</v>
      </c>
      <c r="Q230" s="101">
        <v>1</v>
      </c>
      <c r="R230" s="101">
        <v>2</v>
      </c>
      <c r="S230" s="101">
        <v>4678</v>
      </c>
      <c r="T230" s="101">
        <v>14211</v>
      </c>
      <c r="U230" s="101">
        <v>32118</v>
      </c>
      <c r="V230" s="101">
        <v>113354</v>
      </c>
      <c r="W230" s="101">
        <v>122987</v>
      </c>
      <c r="X230" s="101">
        <v>116678</v>
      </c>
      <c r="Y230" s="101">
        <v>6309</v>
      </c>
      <c r="Z230" s="101">
        <v>-343</v>
      </c>
      <c r="AA230" s="101">
        <v>4116794.5749440715</v>
      </c>
      <c r="AB230" s="101">
        <v>81228</v>
      </c>
      <c r="AC230" s="101">
        <v>83546.092999999993</v>
      </c>
      <c r="AD230" s="101">
        <v>38364</v>
      </c>
      <c r="AE230" t="s">
        <v>154</v>
      </c>
      <c r="AF230" s="149">
        <v>5.169652077048794E-2</v>
      </c>
      <c r="AG230" s="149">
        <v>0.26114955239171622</v>
      </c>
      <c r="AH230" s="149">
        <f t="shared" si="22"/>
        <v>4.7305812809483927E-2</v>
      </c>
      <c r="AI230" s="149">
        <f t="shared" si="23"/>
        <v>9.8847845707269871E-2</v>
      </c>
      <c r="AJ230" s="149">
        <v>0.19763275793376539</v>
      </c>
      <c r="AK230" s="149">
        <v>0.51519758658254822</v>
      </c>
      <c r="AL230" s="149">
        <v>5.1298104677730168E-2</v>
      </c>
      <c r="AM230" s="149">
        <v>8.7582551268682654E-2</v>
      </c>
      <c r="AN230" s="149">
        <v>2.9641263680198475E-2</v>
      </c>
      <c r="AO230">
        <f t="shared" si="20"/>
        <v>0</v>
      </c>
      <c r="AP230" s="149">
        <v>-2.3701692048753121E-3</v>
      </c>
      <c r="AQ230" s="149">
        <v>3.3565112187785434E-2</v>
      </c>
      <c r="AR230" s="149">
        <v>0.66226936592445229</v>
      </c>
      <c r="AS230" s="208">
        <v>2177.7211187571684</v>
      </c>
      <c r="AT230" s="149">
        <f t="shared" si="21"/>
        <v>4.5199999999999997E-2</v>
      </c>
      <c r="AU230" s="149">
        <v>0.22599999999999998</v>
      </c>
      <c r="AV230">
        <v>9</v>
      </c>
    </row>
    <row r="231" spans="1:48" x14ac:dyDescent="0.25">
      <c r="A231" t="s">
        <v>334</v>
      </c>
      <c r="B231" s="101">
        <v>1106</v>
      </c>
      <c r="C231" s="101">
        <v>23105</v>
      </c>
      <c r="D231" s="101">
        <v>55365</v>
      </c>
      <c r="E231" s="101">
        <v>978</v>
      </c>
      <c r="F231" s="101">
        <v>0</v>
      </c>
      <c r="G231" s="101">
        <v>503</v>
      </c>
      <c r="H231" s="101">
        <v>4350</v>
      </c>
      <c r="I231" s="101">
        <v>-5889</v>
      </c>
      <c r="J231" s="101">
        <v>1</v>
      </c>
      <c r="K231" s="101">
        <v>18636</v>
      </c>
      <c r="L231" s="101">
        <v>2</v>
      </c>
      <c r="M231" s="101">
        <v>5169</v>
      </c>
      <c r="N231" s="101">
        <v>57438</v>
      </c>
      <c r="O231" s="101">
        <v>8853</v>
      </c>
      <c r="P231" s="101">
        <v>24028</v>
      </c>
      <c r="Q231" s="101">
        <v>118</v>
      </c>
      <c r="R231" s="101">
        <v>0</v>
      </c>
      <c r="S231" s="101">
        <v>4144</v>
      </c>
      <c r="T231" s="101">
        <v>8742</v>
      </c>
      <c r="U231" s="101">
        <v>8372</v>
      </c>
      <c r="V231" s="101">
        <v>67282</v>
      </c>
      <c r="W231" s="101">
        <v>76939</v>
      </c>
      <c r="X231" s="101">
        <v>68243</v>
      </c>
      <c r="Y231" s="101">
        <v>8696</v>
      </c>
      <c r="Z231" s="101">
        <v>-694</v>
      </c>
      <c r="AA231" s="101">
        <v>1954725.4677419355</v>
      </c>
      <c r="AB231" s="101">
        <v>56517</v>
      </c>
      <c r="AC231" s="101">
        <v>40496.97</v>
      </c>
      <c r="AD231" s="101">
        <v>23325</v>
      </c>
      <c r="AE231" t="s">
        <v>334</v>
      </c>
      <c r="AF231" s="149">
        <v>0.12923224892447263</v>
      </c>
      <c r="AG231" s="149">
        <v>0.10881347561054862</v>
      </c>
      <c r="AH231" s="149">
        <f t="shared" si="22"/>
        <v>6.5376467071316235E-3</v>
      </c>
      <c r="AI231" s="149">
        <f t="shared" si="23"/>
        <v>-7.6528158671155075E-2</v>
      </c>
      <c r="AJ231" s="149">
        <v>0.16316770428521296</v>
      </c>
      <c r="AK231" s="149">
        <v>0.55590720362358814</v>
      </c>
      <c r="AL231" s="149">
        <v>0.11302460390699125</v>
      </c>
      <c r="AM231" s="149">
        <v>8.2765293108755883E-2</v>
      </c>
      <c r="AN231" s="149">
        <v>9.8357853958668626E-2</v>
      </c>
      <c r="AO231">
        <f t="shared" si="20"/>
        <v>0</v>
      </c>
      <c r="AP231" s="149">
        <v>3.99472309231989E-2</v>
      </c>
      <c r="AQ231" s="149">
        <v>2.5406172003040531E-2</v>
      </c>
      <c r="AR231" s="149">
        <v>0.73456894422854468</v>
      </c>
      <c r="AS231" s="208">
        <v>1736.204501607717</v>
      </c>
      <c r="AT231" s="149">
        <f t="shared" si="21"/>
        <v>3.0800000000000001E-2</v>
      </c>
      <c r="AU231" s="149">
        <v>0.154</v>
      </c>
      <c r="AV231">
        <v>9</v>
      </c>
    </row>
    <row r="232" spans="1:48" x14ac:dyDescent="0.25">
      <c r="A232" t="s">
        <v>198</v>
      </c>
      <c r="B232" s="101">
        <v>11516</v>
      </c>
      <c r="C232" s="101">
        <v>3668</v>
      </c>
      <c r="D232" s="101">
        <v>45587</v>
      </c>
      <c r="E232" s="101">
        <v>928</v>
      </c>
      <c r="F232" s="101">
        <v>0</v>
      </c>
      <c r="G232" s="101">
        <v>4886</v>
      </c>
      <c r="H232" s="101">
        <v>0</v>
      </c>
      <c r="I232" s="101">
        <v>2311</v>
      </c>
      <c r="J232" s="101">
        <v>0</v>
      </c>
      <c r="K232" s="101">
        <v>25255</v>
      </c>
      <c r="L232" s="101">
        <v>161</v>
      </c>
      <c r="M232" s="101">
        <v>3502</v>
      </c>
      <c r="N232" s="101">
        <v>22859</v>
      </c>
      <c r="O232" s="101">
        <v>21989</v>
      </c>
      <c r="P232" s="101">
        <v>39242</v>
      </c>
      <c r="Q232" s="101">
        <v>0</v>
      </c>
      <c r="R232" s="101">
        <v>0</v>
      </c>
      <c r="S232" s="101">
        <v>9723</v>
      </c>
      <c r="T232" s="101">
        <v>3998</v>
      </c>
      <c r="U232" s="101">
        <v>19159</v>
      </c>
      <c r="V232" s="101">
        <v>59178</v>
      </c>
      <c r="W232" s="101">
        <v>104237</v>
      </c>
      <c r="X232" s="101">
        <v>104711</v>
      </c>
      <c r="Y232" s="101">
        <v>-474</v>
      </c>
      <c r="Z232" s="101">
        <v>3643</v>
      </c>
      <c r="AA232" s="101">
        <v>3837684.9053191468</v>
      </c>
      <c r="AB232" s="101">
        <v>76213</v>
      </c>
      <c r="AC232" s="101">
        <v>68743.505000000005</v>
      </c>
      <c r="AD232" s="101">
        <v>31419</v>
      </c>
      <c r="AE232" t="s">
        <v>198</v>
      </c>
      <c r="AF232" s="149">
        <v>-1.746980438807717E-2</v>
      </c>
      <c r="AG232" s="149">
        <v>0.18380229668927539</v>
      </c>
      <c r="AH232" s="149">
        <f t="shared" si="22"/>
        <v>4.6873950708481632E-2</v>
      </c>
      <c r="AI232" s="149">
        <f t="shared" si="23"/>
        <v>2.2170630390360428E-2</v>
      </c>
      <c r="AJ232" s="149">
        <v>0.17390772950104089</v>
      </c>
      <c r="AK232" s="149">
        <v>0.23370582040874749</v>
      </c>
      <c r="AL232" s="149">
        <v>-4.5473296430250292E-3</v>
      </c>
      <c r="AM232" s="149">
        <v>3.1593490942585199E-2</v>
      </c>
      <c r="AN232" s="149">
        <v>1.335143194107568E-2</v>
      </c>
      <c r="AO232">
        <f t="shared" si="20"/>
        <v>1</v>
      </c>
      <c r="AP232" s="149">
        <v>3.8206203171618522E-3</v>
      </c>
      <c r="AQ232" s="149">
        <v>3.6919276035317146E-2</v>
      </c>
      <c r="AR232" s="149">
        <v>0.73318389964212871</v>
      </c>
      <c r="AS232" s="208">
        <v>2187.9596740825614</v>
      </c>
      <c r="AT232" s="149">
        <f t="shared" si="21"/>
        <v>5.7599999999999998E-2</v>
      </c>
      <c r="AU232" s="149">
        <v>0.28799999999999998</v>
      </c>
      <c r="AV232">
        <v>8.5</v>
      </c>
    </row>
    <row r="233" spans="1:48" x14ac:dyDescent="0.25">
      <c r="A233" t="s">
        <v>225</v>
      </c>
      <c r="B233" s="101">
        <v>0</v>
      </c>
      <c r="C233" s="101">
        <v>749</v>
      </c>
      <c r="D233" s="101">
        <v>44461</v>
      </c>
      <c r="E233" s="101">
        <v>281</v>
      </c>
      <c r="F233" s="101">
        <v>0</v>
      </c>
      <c r="G233" s="101">
        <v>1436</v>
      </c>
      <c r="H233" s="101">
        <v>0</v>
      </c>
      <c r="I233" s="101">
        <v>3624</v>
      </c>
      <c r="J233" s="101">
        <v>0</v>
      </c>
      <c r="K233" s="101">
        <v>2141</v>
      </c>
      <c r="L233" s="101">
        <v>6329</v>
      </c>
      <c r="M233" s="101">
        <v>1613</v>
      </c>
      <c r="N233" s="101">
        <v>19566</v>
      </c>
      <c r="O233" s="101">
        <v>2742</v>
      </c>
      <c r="P233" s="101">
        <v>33148</v>
      </c>
      <c r="Q233" s="101">
        <v>91</v>
      </c>
      <c r="R233" s="101">
        <v>365</v>
      </c>
      <c r="S233" s="101">
        <v>3043</v>
      </c>
      <c r="T233" s="101">
        <v>1679</v>
      </c>
      <c r="U233" s="101">
        <v>26807</v>
      </c>
      <c r="V233" s="101">
        <v>8287</v>
      </c>
      <c r="W233" s="101">
        <v>19464</v>
      </c>
      <c r="X233" s="101">
        <v>19591</v>
      </c>
      <c r="Y233" s="101">
        <v>-127</v>
      </c>
      <c r="Z233" s="101">
        <v>4984</v>
      </c>
      <c r="AA233" s="101">
        <v>1218015.971830986</v>
      </c>
      <c r="AB233" s="101">
        <v>12071</v>
      </c>
      <c r="AC233" s="101">
        <v>12221.593999999999</v>
      </c>
      <c r="AD233" s="101">
        <v>5753</v>
      </c>
      <c r="AE233" t="s">
        <v>225</v>
      </c>
      <c r="AF233" s="149">
        <v>-0.2842683929305384</v>
      </c>
      <c r="AG233" s="149">
        <v>1.3772605836415948</v>
      </c>
      <c r="AH233" s="149">
        <f t="shared" si="22"/>
        <v>7.3777229757501034E-2</v>
      </c>
      <c r="AI233" s="149">
        <f t="shared" si="23"/>
        <v>0.18618988902589395</v>
      </c>
      <c r="AJ233" s="149">
        <v>1.2557809288943691</v>
      </c>
      <c r="AK233" s="149">
        <v>0.32269023979945244</v>
      </c>
      <c r="AL233" s="149">
        <v>-6.5248664200575424E-3</v>
      </c>
      <c r="AM233" s="149">
        <v>5.7882228677053074E-2</v>
      </c>
      <c r="AN233" s="149">
        <v>6.2931201237990841E-2</v>
      </c>
      <c r="AO233">
        <f t="shared" si="20"/>
        <v>1</v>
      </c>
      <c r="AP233" s="149">
        <v>0.47424732840115086</v>
      </c>
      <c r="AQ233" s="149">
        <v>6.2577885934596483E-2</v>
      </c>
      <c r="AR233" s="149">
        <v>0.62017057131113851</v>
      </c>
      <c r="AS233" s="208">
        <v>2124.3862332695985</v>
      </c>
      <c r="AT233" s="149">
        <f t="shared" si="21"/>
        <v>4.9000000000000002E-2</v>
      </c>
      <c r="AU233" s="149">
        <v>0.245</v>
      </c>
      <c r="AV233">
        <v>5</v>
      </c>
    </row>
    <row r="234" spans="1:48" x14ac:dyDescent="0.25">
      <c r="A234" t="s">
        <v>382</v>
      </c>
      <c r="B234" s="101">
        <v>681</v>
      </c>
      <c r="C234" s="101">
        <v>4941</v>
      </c>
      <c r="D234" s="101">
        <v>36486</v>
      </c>
      <c r="E234" s="101">
        <v>12</v>
      </c>
      <c r="F234" s="101">
        <v>0</v>
      </c>
      <c r="G234" s="101">
        <v>253</v>
      </c>
      <c r="H234" s="101">
        <v>0</v>
      </c>
      <c r="I234" s="101">
        <v>19886</v>
      </c>
      <c r="J234" s="101">
        <v>0</v>
      </c>
      <c r="K234" s="101">
        <v>5599</v>
      </c>
      <c r="L234" s="101">
        <v>4000</v>
      </c>
      <c r="M234" s="101">
        <v>5367</v>
      </c>
      <c r="N234" s="101">
        <v>32356</v>
      </c>
      <c r="O234" s="101">
        <v>21526</v>
      </c>
      <c r="P234" s="101">
        <v>13511</v>
      </c>
      <c r="Q234" s="101">
        <v>0</v>
      </c>
      <c r="R234" s="101">
        <v>0</v>
      </c>
      <c r="S234" s="101">
        <v>4579</v>
      </c>
      <c r="T234" s="101">
        <v>5252</v>
      </c>
      <c r="U234" s="101">
        <v>8123</v>
      </c>
      <c r="V234" s="101">
        <v>26721</v>
      </c>
      <c r="W234" s="101">
        <v>45192</v>
      </c>
      <c r="X234" s="101">
        <v>38912</v>
      </c>
      <c r="Y234" s="101">
        <v>6280</v>
      </c>
      <c r="Z234" s="101">
        <v>5538</v>
      </c>
      <c r="AA234" s="101">
        <v>1895547</v>
      </c>
      <c r="AB234" s="101">
        <v>30201</v>
      </c>
      <c r="AC234" s="101">
        <v>24420.923999999999</v>
      </c>
      <c r="AD234" s="101">
        <v>13577</v>
      </c>
      <c r="AE234" t="s">
        <v>382</v>
      </c>
      <c r="AF234" s="149">
        <v>-2.2238449283058948E-2</v>
      </c>
      <c r="AG234" s="149">
        <v>0.17974420251371925</v>
      </c>
      <c r="AH234" s="149">
        <f t="shared" si="22"/>
        <v>5.5983359886705615E-3</v>
      </c>
      <c r="AI234" s="149">
        <f t="shared" si="23"/>
        <v>0.44003363427155251</v>
      </c>
      <c r="AJ234" s="149">
        <v>-0.12760754115772702</v>
      </c>
      <c r="AK234" s="149">
        <v>0.41898891536309957</v>
      </c>
      <c r="AL234" s="149">
        <v>0.13896264825632856</v>
      </c>
      <c r="AM234" s="149">
        <v>0.10981556073775704</v>
      </c>
      <c r="AN234" s="149">
        <v>1.2783668615598058E-2</v>
      </c>
      <c r="AO234">
        <f t="shared" si="20"/>
        <v>0</v>
      </c>
      <c r="AP234" s="149">
        <v>8.5120154009559218E-2</v>
      </c>
      <c r="AQ234" s="149">
        <v>4.1944304301646307E-2</v>
      </c>
      <c r="AR234" s="149">
        <v>0.66828199681359535</v>
      </c>
      <c r="AS234" s="208">
        <v>1798.6980923620829</v>
      </c>
      <c r="AT234" s="149">
        <f t="shared" si="21"/>
        <v>2.98E-2</v>
      </c>
      <c r="AU234" s="149">
        <v>0.14899999999999999</v>
      </c>
      <c r="AV234">
        <v>9</v>
      </c>
    </row>
    <row r="235" spans="1:48" x14ac:dyDescent="0.25">
      <c r="A235" t="s">
        <v>199</v>
      </c>
      <c r="B235" s="101">
        <v>371</v>
      </c>
      <c r="C235" s="101">
        <v>4891</v>
      </c>
      <c r="D235" s="101">
        <v>121863</v>
      </c>
      <c r="E235" s="101">
        <v>609</v>
      </c>
      <c r="F235" s="101">
        <v>2207</v>
      </c>
      <c r="G235" s="101">
        <v>2344</v>
      </c>
      <c r="H235" s="101">
        <v>0</v>
      </c>
      <c r="I235" s="101">
        <v>-2825</v>
      </c>
      <c r="J235" s="101">
        <v>0</v>
      </c>
      <c r="K235" s="101">
        <v>13341</v>
      </c>
      <c r="L235" s="101">
        <v>11664</v>
      </c>
      <c r="M235" s="101">
        <v>9563</v>
      </c>
      <c r="N235" s="101">
        <v>26318</v>
      </c>
      <c r="O235" s="101">
        <v>8008</v>
      </c>
      <c r="P235" s="101">
        <v>90500</v>
      </c>
      <c r="Q235" s="101">
        <v>433</v>
      </c>
      <c r="R235" s="101">
        <v>11257</v>
      </c>
      <c r="S235" s="101">
        <v>16091</v>
      </c>
      <c r="T235" s="101">
        <v>11423</v>
      </c>
      <c r="U235" s="101">
        <v>90585</v>
      </c>
      <c r="V235" s="101">
        <v>114812</v>
      </c>
      <c r="W235" s="101">
        <v>162843</v>
      </c>
      <c r="X235" s="101">
        <v>169182</v>
      </c>
      <c r="Y235" s="101">
        <v>-6339</v>
      </c>
      <c r="Z235" s="101">
        <v>7445</v>
      </c>
      <c r="AA235" s="101">
        <v>4593131.5806988366</v>
      </c>
      <c r="AB235" s="101">
        <v>126178</v>
      </c>
      <c r="AC235" s="101">
        <v>109722.19899999999</v>
      </c>
      <c r="AD235" s="101">
        <v>43661</v>
      </c>
      <c r="AE235" t="s">
        <v>199</v>
      </c>
      <c r="AF235" s="149">
        <v>-6.4454720190613046E-2</v>
      </c>
      <c r="AG235" s="149">
        <v>0.55627199204141409</v>
      </c>
      <c r="AH235" s="149">
        <f t="shared" si="22"/>
        <v>2.7947163832648624E-2</v>
      </c>
      <c r="AI235" s="149">
        <f t="shared" si="23"/>
        <v>-1.7347997764718164E-2</v>
      </c>
      <c r="AJ235" s="149">
        <v>0.5717692501366346</v>
      </c>
      <c r="AK235" s="149">
        <v>0.1604462598305188</v>
      </c>
      <c r="AL235" s="149">
        <v>-3.8927064718778208E-2</v>
      </c>
      <c r="AM235" s="149">
        <v>3.3257146875769188E-2</v>
      </c>
      <c r="AN235" s="149">
        <v>1.8146164645061615E-2</v>
      </c>
      <c r="AO235">
        <f t="shared" si="20"/>
        <v>1</v>
      </c>
      <c r="AP235" s="149">
        <v>1.8903176679378297E-2</v>
      </c>
      <c r="AQ235" s="149">
        <v>2.8245088648166161E-2</v>
      </c>
      <c r="AR235" s="149">
        <v>0.77592133663762086</v>
      </c>
      <c r="AS235" s="208">
        <v>2513.048235267172</v>
      </c>
      <c r="AT235" s="149">
        <f t="shared" si="21"/>
        <v>6.0600000000000001E-2</v>
      </c>
      <c r="AU235" s="149">
        <v>0.30299999999999999</v>
      </c>
      <c r="AV235">
        <v>5.5</v>
      </c>
    </row>
    <row r="236" spans="1:48" x14ac:dyDescent="0.25">
      <c r="A236" t="s">
        <v>226</v>
      </c>
      <c r="B236" s="101">
        <v>188</v>
      </c>
      <c r="C236" s="101">
        <v>6389</v>
      </c>
      <c r="D236" s="101">
        <v>64595</v>
      </c>
      <c r="E236" s="101">
        <v>167</v>
      </c>
      <c r="F236" s="101">
        <v>0</v>
      </c>
      <c r="G236" s="101">
        <v>4206</v>
      </c>
      <c r="H236" s="101">
        <v>0</v>
      </c>
      <c r="I236" s="101">
        <v>389</v>
      </c>
      <c r="J236" s="101">
        <v>0</v>
      </c>
      <c r="K236" s="101">
        <v>5120</v>
      </c>
      <c r="L236" s="101">
        <v>13476</v>
      </c>
      <c r="M236" s="101">
        <v>2514</v>
      </c>
      <c r="N236" s="101">
        <v>32378</v>
      </c>
      <c r="O236" s="101">
        <v>6834</v>
      </c>
      <c r="P236" s="101">
        <v>46259</v>
      </c>
      <c r="Q236" s="101">
        <v>4</v>
      </c>
      <c r="R236" s="101">
        <v>0</v>
      </c>
      <c r="S236" s="101">
        <v>4621</v>
      </c>
      <c r="T236" s="101">
        <v>6944</v>
      </c>
      <c r="U236" s="101">
        <v>32512</v>
      </c>
      <c r="V236" s="101">
        <v>58522</v>
      </c>
      <c r="W236" s="101">
        <v>60568</v>
      </c>
      <c r="X236" s="101">
        <v>60199</v>
      </c>
      <c r="Y236" s="101">
        <v>369</v>
      </c>
      <c r="Z236" s="101">
        <v>3234</v>
      </c>
      <c r="AA236" s="101">
        <v>1902451.0891719749</v>
      </c>
      <c r="AB236" s="101">
        <v>44647</v>
      </c>
      <c r="AC236" s="101">
        <v>40655.915000000001</v>
      </c>
      <c r="AD236" s="101">
        <v>20235</v>
      </c>
      <c r="AE236" t="s">
        <v>226</v>
      </c>
      <c r="AF236" s="149">
        <v>-6.1302998282921677E-2</v>
      </c>
      <c r="AG236" s="149">
        <v>0.53678510104345534</v>
      </c>
      <c r="AH236" s="149">
        <f t="shared" si="22"/>
        <v>6.9442609959054283E-2</v>
      </c>
      <c r="AI236" s="149">
        <f t="shared" si="23"/>
        <v>6.4225333509443927E-3</v>
      </c>
      <c r="AJ236" s="149">
        <v>0.54062244089288081</v>
      </c>
      <c r="AK236" s="149">
        <v>0.33365622423742786</v>
      </c>
      <c r="AL236" s="149">
        <v>6.0923259807158896E-3</v>
      </c>
      <c r="AM236" s="149">
        <v>6.1507762860793617E-2</v>
      </c>
      <c r="AN236" s="149">
        <v>3.656706235502797E-2</v>
      </c>
      <c r="AO236">
        <f t="shared" si="20"/>
        <v>0</v>
      </c>
      <c r="AP236" s="149">
        <v>5.2214040417382118E-2</v>
      </c>
      <c r="AQ236" s="149">
        <v>3.1480855989740118E-2</v>
      </c>
      <c r="AR236" s="149">
        <v>0.73879732592004232</v>
      </c>
      <c r="AS236" s="208">
        <v>2009.18779342723</v>
      </c>
      <c r="AT236" s="149">
        <f t="shared" si="21"/>
        <v>5.5000000000000007E-2</v>
      </c>
      <c r="AU236" s="149">
        <v>0.27500000000000002</v>
      </c>
      <c r="AV236">
        <v>8.5</v>
      </c>
    </row>
    <row r="237" spans="1:48" x14ac:dyDescent="0.25">
      <c r="A237" t="s">
        <v>312</v>
      </c>
      <c r="B237" s="101">
        <v>1040</v>
      </c>
      <c r="C237" s="101">
        <v>27854</v>
      </c>
      <c r="D237" s="101">
        <v>114103</v>
      </c>
      <c r="E237" s="101">
        <v>3516</v>
      </c>
      <c r="F237" s="101">
        <v>0</v>
      </c>
      <c r="G237" s="101">
        <v>3770</v>
      </c>
      <c r="H237" s="101">
        <v>0</v>
      </c>
      <c r="I237" s="101">
        <v>-3034</v>
      </c>
      <c r="J237" s="101">
        <v>0</v>
      </c>
      <c r="K237" s="101">
        <v>6660</v>
      </c>
      <c r="L237" s="101">
        <v>4023</v>
      </c>
      <c r="M237" s="101">
        <v>25224</v>
      </c>
      <c r="N237" s="101">
        <v>95300</v>
      </c>
      <c r="O237" s="101">
        <v>16208</v>
      </c>
      <c r="P237" s="101">
        <v>28337</v>
      </c>
      <c r="Q237" s="101">
        <v>13</v>
      </c>
      <c r="R237" s="101">
        <v>22000</v>
      </c>
      <c r="S237" s="101">
        <v>6546</v>
      </c>
      <c r="T237" s="101">
        <v>14752</v>
      </c>
      <c r="U237" s="101">
        <v>31971</v>
      </c>
      <c r="V237" s="101">
        <v>93817</v>
      </c>
      <c r="W237" s="101">
        <v>163829</v>
      </c>
      <c r="X237" s="101">
        <v>163683</v>
      </c>
      <c r="Y237" s="101">
        <v>146</v>
      </c>
      <c r="Z237" s="101">
        <v>23305</v>
      </c>
      <c r="AA237" s="101">
        <v>3789691.3186221756</v>
      </c>
      <c r="AB237" s="101">
        <v>117211</v>
      </c>
      <c r="AC237" s="101">
        <v>110859.909</v>
      </c>
      <c r="AD237" s="101">
        <v>47721</v>
      </c>
      <c r="AE237" t="s">
        <v>312</v>
      </c>
      <c r="AF237" s="149">
        <v>-0.1583114100678146</v>
      </c>
      <c r="AG237" s="149">
        <v>0.19514860006470161</v>
      </c>
      <c r="AH237" s="149">
        <f t="shared" si="22"/>
        <v>2.3011798887864785E-2</v>
      </c>
      <c r="AI237" s="149">
        <f t="shared" si="23"/>
        <v>-1.8519309768111874E-2</v>
      </c>
      <c r="AJ237" s="149">
        <v>0.2108735327689237</v>
      </c>
      <c r="AK237" s="149">
        <v>0.52032147458996703</v>
      </c>
      <c r="AL237" s="149">
        <v>8.9117311342924634E-4</v>
      </c>
      <c r="AM237" s="149">
        <v>9.4382775304569667E-3</v>
      </c>
      <c r="AN237" s="149">
        <v>-1.2305661768987404E-2</v>
      </c>
      <c r="AO237">
        <f t="shared" si="20"/>
        <v>1</v>
      </c>
      <c r="AP237" s="149">
        <v>7.5047763216524552E-2</v>
      </c>
      <c r="AQ237" s="149">
        <v>2.3131993228440482E-2</v>
      </c>
      <c r="AR237" s="149">
        <v>0.71544720409695473</v>
      </c>
      <c r="AS237" s="208">
        <v>2323.0843653737347</v>
      </c>
      <c r="AT237" s="149">
        <f t="shared" si="21"/>
        <v>4.9599999999999998E-2</v>
      </c>
      <c r="AU237" s="149">
        <v>0.248</v>
      </c>
      <c r="AV237">
        <v>8</v>
      </c>
    </row>
    <row r="238" spans="1:48" x14ac:dyDescent="0.25">
      <c r="A238" t="s">
        <v>155</v>
      </c>
      <c r="B238" s="101">
        <v>6847</v>
      </c>
      <c r="C238" s="101">
        <v>19774</v>
      </c>
      <c r="D238" s="101">
        <v>121199</v>
      </c>
      <c r="E238" s="101">
        <v>8228</v>
      </c>
      <c r="F238" s="101">
        <v>216</v>
      </c>
      <c r="G238" s="101">
        <v>1323</v>
      </c>
      <c r="H238" s="101">
        <v>0</v>
      </c>
      <c r="I238" s="101">
        <v>2190</v>
      </c>
      <c r="J238" s="101">
        <v>9</v>
      </c>
      <c r="K238" s="101">
        <v>7881</v>
      </c>
      <c r="L238" s="101">
        <v>3447</v>
      </c>
      <c r="M238" s="101">
        <v>1566</v>
      </c>
      <c r="N238" s="101">
        <v>94265</v>
      </c>
      <c r="O238" s="101">
        <v>8326</v>
      </c>
      <c r="P238" s="101">
        <v>49710</v>
      </c>
      <c r="Q238" s="101">
        <v>13</v>
      </c>
      <c r="R238" s="101">
        <v>6000</v>
      </c>
      <c r="S238" s="101">
        <v>7964</v>
      </c>
      <c r="T238" s="101">
        <v>6402</v>
      </c>
      <c r="U238" s="101">
        <v>55656</v>
      </c>
      <c r="V238" s="101">
        <v>99818</v>
      </c>
      <c r="W238" s="101">
        <v>128736</v>
      </c>
      <c r="X238" s="101">
        <v>116278</v>
      </c>
      <c r="Y238" s="101">
        <v>12458</v>
      </c>
      <c r="Z238" s="101">
        <v>25108</v>
      </c>
      <c r="AA238" s="101">
        <v>4478487.9379350357</v>
      </c>
      <c r="AB238" s="101">
        <v>91609</v>
      </c>
      <c r="AC238" s="101">
        <v>80722.285999999993</v>
      </c>
      <c r="AD238" s="101">
        <v>38675</v>
      </c>
      <c r="AE238" t="s">
        <v>155</v>
      </c>
      <c r="AF238" s="149">
        <v>-9.1341971165796676E-2</v>
      </c>
      <c r="AG238" s="149">
        <v>0.43232662192393734</v>
      </c>
      <c r="AH238" s="149">
        <f t="shared" si="22"/>
        <v>1.1954697986577181E-2</v>
      </c>
      <c r="AI238" s="149">
        <f t="shared" si="23"/>
        <v>1.7081469052945563E-2</v>
      </c>
      <c r="AJ238" s="149">
        <v>0.42180415734526466</v>
      </c>
      <c r="AK238" s="149">
        <v>0.54589413944869125</v>
      </c>
      <c r="AL238" s="149">
        <v>9.6771687795177724E-2</v>
      </c>
      <c r="AM238" s="149">
        <v>0.10727744220117361</v>
      </c>
      <c r="AN238" s="149">
        <v>4.2988841963420045E-2</v>
      </c>
      <c r="AO238">
        <f t="shared" si="20"/>
        <v>0</v>
      </c>
      <c r="AP238" s="149">
        <v>9.3217903305990557E-2</v>
      </c>
      <c r="AQ238" s="149">
        <v>3.4788155123159303E-2</v>
      </c>
      <c r="AR238" s="149">
        <v>0.71160359184688049</v>
      </c>
      <c r="AS238" s="208">
        <v>2087.1955009696185</v>
      </c>
      <c r="AT238" s="149">
        <f t="shared" si="21"/>
        <v>3.6200000000000003E-2</v>
      </c>
      <c r="AU238" s="149">
        <v>0.18100000000000002</v>
      </c>
      <c r="AV238">
        <v>8</v>
      </c>
    </row>
    <row r="239" spans="1:48" x14ac:dyDescent="0.25">
      <c r="A239" t="s">
        <v>726</v>
      </c>
      <c r="B239" s="101">
        <v>534</v>
      </c>
      <c r="C239" s="101">
        <v>15157</v>
      </c>
      <c r="D239" s="101">
        <v>219601</v>
      </c>
      <c r="E239" s="101">
        <v>12911</v>
      </c>
      <c r="F239" s="101">
        <v>504</v>
      </c>
      <c r="G239" s="101">
        <v>1536</v>
      </c>
      <c r="H239" s="101">
        <v>0</v>
      </c>
      <c r="I239" s="101">
        <v>110292</v>
      </c>
      <c r="J239" s="101">
        <v>0</v>
      </c>
      <c r="K239" s="101">
        <v>64464</v>
      </c>
      <c r="L239" s="101">
        <v>-12721</v>
      </c>
      <c r="M239" s="101">
        <v>0</v>
      </c>
      <c r="N239" s="101">
        <v>80197</v>
      </c>
      <c r="O239" s="101">
        <v>32182</v>
      </c>
      <c r="P239" s="101">
        <v>240350</v>
      </c>
      <c r="Q239" s="101">
        <v>0</v>
      </c>
      <c r="R239" s="101">
        <v>2</v>
      </c>
      <c r="S239" s="101">
        <v>16424</v>
      </c>
      <c r="T239" s="101">
        <v>43125</v>
      </c>
      <c r="U239" s="101">
        <v>246118</v>
      </c>
      <c r="V239" s="101">
        <v>157185</v>
      </c>
      <c r="W239" s="101">
        <v>227616</v>
      </c>
      <c r="X239" s="101">
        <v>237032</v>
      </c>
      <c r="Y239" s="101">
        <v>-9416</v>
      </c>
      <c r="Z239" s="101">
        <v>12129</v>
      </c>
      <c r="AA239" s="101">
        <v>7862832.4749340378</v>
      </c>
      <c r="AB239" s="101">
        <v>162361</v>
      </c>
      <c r="AC239" s="101">
        <v>144226.454</v>
      </c>
      <c r="AD239" s="101">
        <v>59642</v>
      </c>
      <c r="AE239" t="s">
        <v>726</v>
      </c>
      <c r="AF239" s="149">
        <v>-9.0907493322086322E-2</v>
      </c>
      <c r="AG239" s="149">
        <v>1.0812860255869534</v>
      </c>
      <c r="AH239" s="149">
        <f t="shared" si="22"/>
        <v>8.9624630957401939E-3</v>
      </c>
      <c r="AI239" s="149">
        <f t="shared" si="23"/>
        <v>0.48455293125263604</v>
      </c>
      <c r="AJ239" s="149">
        <v>0.74317446928159703</v>
      </c>
      <c r="AK239" s="149">
        <v>0.19452071407781119</v>
      </c>
      <c r="AL239" s="149">
        <v>-4.1367917896808659E-2</v>
      </c>
      <c r="AM239" s="149">
        <v>-5.8667430056663535E-2</v>
      </c>
      <c r="AN239" s="149">
        <v>-6.8553899829962807E-3</v>
      </c>
      <c r="AO239">
        <f t="shared" si="20"/>
        <v>3</v>
      </c>
      <c r="AP239" s="149">
        <v>8.5788125615071001E-2</v>
      </c>
      <c r="AQ239" s="149">
        <v>3.457436295690771E-2</v>
      </c>
      <c r="AR239" s="149">
        <v>0.7139320546306801</v>
      </c>
      <c r="AS239" s="208">
        <v>2418.2028436336809</v>
      </c>
      <c r="AT239" s="149">
        <f t="shared" si="21"/>
        <v>5.5599999999999997E-2</v>
      </c>
      <c r="AU239" s="149">
        <v>0.27799999999999997</v>
      </c>
      <c r="AV239">
        <v>5</v>
      </c>
    </row>
    <row r="240" spans="1:48" x14ac:dyDescent="0.25">
      <c r="A240" t="s">
        <v>416</v>
      </c>
      <c r="B240" s="101">
        <v>909</v>
      </c>
      <c r="C240" s="101">
        <v>2643</v>
      </c>
      <c r="D240" s="101">
        <v>47584</v>
      </c>
      <c r="E240" s="101">
        <v>2907</v>
      </c>
      <c r="F240" s="101">
        <v>0</v>
      </c>
      <c r="G240" s="101">
        <v>1004</v>
      </c>
      <c r="H240" s="101">
        <v>2972</v>
      </c>
      <c r="I240" s="101">
        <v>973</v>
      </c>
      <c r="J240" s="101">
        <v>17</v>
      </c>
      <c r="K240" s="101">
        <v>9212</v>
      </c>
      <c r="L240" s="101">
        <v>1838</v>
      </c>
      <c r="M240" s="101">
        <v>2934</v>
      </c>
      <c r="N240" s="101">
        <v>27606</v>
      </c>
      <c r="O240" s="101">
        <v>11492</v>
      </c>
      <c r="P240" s="101">
        <v>21387</v>
      </c>
      <c r="Q240" s="101">
        <v>0</v>
      </c>
      <c r="R240" s="101">
        <v>0</v>
      </c>
      <c r="S240" s="101">
        <v>6594</v>
      </c>
      <c r="T240" s="101">
        <v>5914</v>
      </c>
      <c r="U240" s="101">
        <v>15935</v>
      </c>
      <c r="V240" s="101">
        <v>43867</v>
      </c>
      <c r="W240" s="101">
        <v>68671</v>
      </c>
      <c r="X240" s="101">
        <v>70583</v>
      </c>
      <c r="Y240" s="101">
        <v>-1912</v>
      </c>
      <c r="Z240" s="101">
        <v>4247</v>
      </c>
      <c r="AA240" s="101">
        <v>2278884.6901408443</v>
      </c>
      <c r="AB240" s="101">
        <v>49935</v>
      </c>
      <c r="AC240" s="101">
        <v>45706.417999999998</v>
      </c>
      <c r="AD240" s="101">
        <v>20806</v>
      </c>
      <c r="AE240" t="s">
        <v>416</v>
      </c>
      <c r="AF240" s="149">
        <v>-9.9488867207409237E-2</v>
      </c>
      <c r="AG240" s="149">
        <v>0.23204846296107529</v>
      </c>
      <c r="AH240" s="149">
        <f t="shared" si="22"/>
        <v>1.4620436574390936E-2</v>
      </c>
      <c r="AI240" s="149">
        <f t="shared" si="23"/>
        <v>1.4416565944867557E-2</v>
      </c>
      <c r="AJ240" s="149">
        <v>0.22371131918859491</v>
      </c>
      <c r="AK240" s="149">
        <v>0.37820064937733755</v>
      </c>
      <c r="AL240" s="149">
        <v>-2.7842903117764412E-2</v>
      </c>
      <c r="AM240" s="149">
        <v>2.3699115896218089E-2</v>
      </c>
      <c r="AN240" s="149">
        <v>-9.9248546717708771E-3</v>
      </c>
      <c r="AO240">
        <f t="shared" si="20"/>
        <v>2</v>
      </c>
      <c r="AP240" s="149">
        <v>2.6463135821525825E-2</v>
      </c>
      <c r="AQ240" s="149">
        <v>3.3185546885014697E-2</v>
      </c>
      <c r="AR240" s="149">
        <v>0.72716284894642569</v>
      </c>
      <c r="AS240" s="208">
        <v>2196.7902528116888</v>
      </c>
      <c r="AT240" s="149">
        <f t="shared" si="21"/>
        <v>5.4699999999999992E-2</v>
      </c>
      <c r="AU240" s="149">
        <v>0.27349999999999997</v>
      </c>
      <c r="AV240">
        <v>7.5</v>
      </c>
    </row>
    <row r="241" spans="1:48" x14ac:dyDescent="0.25">
      <c r="A241" t="s">
        <v>417</v>
      </c>
      <c r="B241" s="101">
        <v>6508</v>
      </c>
      <c r="C241" s="101">
        <v>12126</v>
      </c>
      <c r="D241" s="101">
        <v>170118</v>
      </c>
      <c r="E241" s="101">
        <v>630</v>
      </c>
      <c r="F241" s="101">
        <v>262</v>
      </c>
      <c r="G241" s="101">
        <v>6426</v>
      </c>
      <c r="H241" s="101">
        <v>619</v>
      </c>
      <c r="I241" s="101">
        <v>3599</v>
      </c>
      <c r="J241" s="101">
        <v>442</v>
      </c>
      <c r="K241" s="101">
        <v>1015</v>
      </c>
      <c r="L241" s="101">
        <v>34415</v>
      </c>
      <c r="M241" s="101">
        <v>36618</v>
      </c>
      <c r="N241" s="101">
        <v>106581</v>
      </c>
      <c r="O241" s="101">
        <v>16940</v>
      </c>
      <c r="P241" s="101">
        <v>87935</v>
      </c>
      <c r="Q241" s="101">
        <v>68</v>
      </c>
      <c r="R241" s="101">
        <v>0</v>
      </c>
      <c r="S241" s="101">
        <v>16251</v>
      </c>
      <c r="T241" s="101">
        <v>45003</v>
      </c>
      <c r="U241" s="101">
        <v>69902</v>
      </c>
      <c r="V241" s="101">
        <v>180025</v>
      </c>
      <c r="W241" s="101">
        <v>274497</v>
      </c>
      <c r="X241" s="101">
        <v>254361</v>
      </c>
      <c r="Y241" s="101">
        <v>20136</v>
      </c>
      <c r="Z241" s="101">
        <v>-3744</v>
      </c>
      <c r="AA241" s="101">
        <v>4292244.9481403865</v>
      </c>
      <c r="AB241" s="101">
        <v>202773</v>
      </c>
      <c r="AC241" s="101">
        <v>154311.19</v>
      </c>
      <c r="AD241" s="101">
        <v>60743</v>
      </c>
      <c r="AE241" t="s">
        <v>417</v>
      </c>
      <c r="AF241" s="149">
        <v>6.1585372517732433E-2</v>
      </c>
      <c r="AG241" s="149">
        <v>0.25465487783108742</v>
      </c>
      <c r="AH241" s="149">
        <f t="shared" si="22"/>
        <v>2.4364565004353418E-2</v>
      </c>
      <c r="AI241" s="149">
        <f t="shared" si="23"/>
        <v>1.4721472365818205E-2</v>
      </c>
      <c r="AJ241" s="149">
        <v>0.24727359497553708</v>
      </c>
      <c r="AK241" s="149">
        <v>0.39072432527549877</v>
      </c>
      <c r="AL241" s="149">
        <v>7.3355992961671709E-2</v>
      </c>
      <c r="AM241" s="149">
        <v>8.4079634044198187E-2</v>
      </c>
      <c r="AN241" s="149">
        <v>4.5467816608659783E-2</v>
      </c>
      <c r="AO241">
        <f t="shared" si="20"/>
        <v>0</v>
      </c>
      <c r="AP241" s="149">
        <v>7.9481742969868523E-3</v>
      </c>
      <c r="AQ241" s="149">
        <v>1.5639385347987023E-2</v>
      </c>
      <c r="AR241" s="149">
        <v>0.73883133965625924</v>
      </c>
      <c r="AS241" s="208">
        <v>2540.3946133710879</v>
      </c>
      <c r="AT241" s="149">
        <f t="shared" si="21"/>
        <v>3.5900000000000001E-2</v>
      </c>
      <c r="AU241" s="149">
        <v>0.17949999999999999</v>
      </c>
      <c r="AV241">
        <v>9.5</v>
      </c>
    </row>
    <row r="242" spans="1:48" x14ac:dyDescent="0.25">
      <c r="A242" t="s">
        <v>383</v>
      </c>
      <c r="B242" s="101">
        <v>167</v>
      </c>
      <c r="C242" s="101">
        <v>17073</v>
      </c>
      <c r="D242" s="101">
        <v>199220</v>
      </c>
      <c r="E242" s="101">
        <v>1918</v>
      </c>
      <c r="F242" s="101">
        <v>600</v>
      </c>
      <c r="G242" s="101">
        <v>17401</v>
      </c>
      <c r="H242" s="101">
        <v>0</v>
      </c>
      <c r="I242" s="101">
        <v>39671</v>
      </c>
      <c r="J242" s="101">
        <v>99</v>
      </c>
      <c r="K242" s="101">
        <v>14070</v>
      </c>
      <c r="L242" s="101">
        <v>383</v>
      </c>
      <c r="M242" s="101">
        <v>23263</v>
      </c>
      <c r="N242" s="101">
        <v>90738</v>
      </c>
      <c r="O242" s="101">
        <v>49244</v>
      </c>
      <c r="P242" s="101">
        <v>86875</v>
      </c>
      <c r="Q242" s="101">
        <v>0</v>
      </c>
      <c r="R242" s="101">
        <v>20000</v>
      </c>
      <c r="S242" s="101">
        <v>13566</v>
      </c>
      <c r="T242" s="101">
        <v>53442</v>
      </c>
      <c r="U242" s="101">
        <v>118166</v>
      </c>
      <c r="V242" s="101">
        <v>137922</v>
      </c>
      <c r="W242" s="101">
        <v>305467</v>
      </c>
      <c r="X242" s="101">
        <v>311904</v>
      </c>
      <c r="Y242" s="101">
        <v>-6437</v>
      </c>
      <c r="Z242" s="101">
        <v>14683</v>
      </c>
      <c r="AA242" s="101">
        <v>10863337.670131847</v>
      </c>
      <c r="AB242" s="101">
        <v>211415</v>
      </c>
      <c r="AC242" s="101">
        <v>197611.76500000001</v>
      </c>
      <c r="AD242" s="101">
        <v>77559</v>
      </c>
      <c r="AE242" t="s">
        <v>383</v>
      </c>
      <c r="AF242" s="149">
        <v>-3.9323396635315762E-2</v>
      </c>
      <c r="AG242" s="149">
        <v>0.38683720336402949</v>
      </c>
      <c r="AH242" s="149">
        <f t="shared" si="22"/>
        <v>5.8929442460233017E-2</v>
      </c>
      <c r="AI242" s="149">
        <f t="shared" si="23"/>
        <v>0.13019409625262304</v>
      </c>
      <c r="AJ242" s="149">
        <v>0.30277286908242135</v>
      </c>
      <c r="AK242" s="149">
        <v>0.28909881637009543</v>
      </c>
      <c r="AL242" s="149">
        <v>-2.1072652692434864E-2</v>
      </c>
      <c r="AM242" s="149">
        <v>4.0757296870891401E-3</v>
      </c>
      <c r="AN242" s="149">
        <v>3.8911724706996928E-2</v>
      </c>
      <c r="AO242">
        <f t="shared" si="20"/>
        <v>1</v>
      </c>
      <c r="AP242" s="149">
        <v>6.4276992277398207E-2</v>
      </c>
      <c r="AQ242" s="149">
        <v>3.5563048283879593E-2</v>
      </c>
      <c r="AR242" s="149">
        <v>0.69210422075052302</v>
      </c>
      <c r="AS242" s="208">
        <v>2547.8895421550046</v>
      </c>
      <c r="AT242" s="149">
        <f t="shared" si="21"/>
        <v>5.5300000000000002E-2</v>
      </c>
      <c r="AU242" s="149">
        <v>0.27650000000000002</v>
      </c>
      <c r="AV242">
        <v>8.5</v>
      </c>
    </row>
    <row r="243" spans="1:48" x14ac:dyDescent="0.25">
      <c r="A243" t="s">
        <v>314</v>
      </c>
      <c r="B243" s="101">
        <v>44167</v>
      </c>
      <c r="C243" s="101">
        <v>176121</v>
      </c>
      <c r="D243" s="101">
        <v>3042185</v>
      </c>
      <c r="E243" s="101">
        <v>463279</v>
      </c>
      <c r="F243" s="101">
        <v>52643</v>
      </c>
      <c r="G243" s="101">
        <v>36635</v>
      </c>
      <c r="H243" s="101">
        <v>8735</v>
      </c>
      <c r="I243" s="101">
        <v>-127700</v>
      </c>
      <c r="J243" s="101">
        <v>91988</v>
      </c>
      <c r="K243" s="101">
        <v>390012</v>
      </c>
      <c r="L243" s="101">
        <v>84345</v>
      </c>
      <c r="M243" s="101">
        <v>325868</v>
      </c>
      <c r="N243" s="101">
        <v>2652114</v>
      </c>
      <c r="O243" s="101">
        <v>146202</v>
      </c>
      <c r="P243" s="101">
        <v>628921</v>
      </c>
      <c r="Q243" s="101">
        <v>2075</v>
      </c>
      <c r="R243" s="101">
        <v>176579</v>
      </c>
      <c r="S243" s="101">
        <v>147812</v>
      </c>
      <c r="T243" s="101">
        <v>834572</v>
      </c>
      <c r="U243" s="101">
        <v>891721</v>
      </c>
      <c r="V243" s="101">
        <v>2679709</v>
      </c>
      <c r="W243" s="101">
        <v>4418456</v>
      </c>
      <c r="X243" s="101">
        <v>4577806</v>
      </c>
      <c r="Y243" s="101">
        <v>-159350</v>
      </c>
      <c r="Z243" s="101">
        <v>240667</v>
      </c>
      <c r="AA243" s="101">
        <v>-24107522</v>
      </c>
      <c r="AB243" s="101">
        <v>3041212</v>
      </c>
      <c r="AC243" s="101">
        <v>2554746.63056</v>
      </c>
      <c r="AD243" s="101">
        <v>670610</v>
      </c>
      <c r="AE243" t="s">
        <v>314</v>
      </c>
      <c r="AF243" s="149">
        <v>-9.5042702699766612E-2</v>
      </c>
      <c r="AG243" s="149">
        <v>0.20181733166517896</v>
      </c>
      <c r="AH243" s="149">
        <f t="shared" si="22"/>
        <v>2.0205700814945313E-2</v>
      </c>
      <c r="AI243" s="149">
        <f t="shared" si="23"/>
        <v>-8.0824613847009005E-3</v>
      </c>
      <c r="AJ243" s="149">
        <v>0.20989973873226303</v>
      </c>
      <c r="AK243" s="149">
        <v>0.57801984405904183</v>
      </c>
      <c r="AL243" s="149">
        <v>-3.6064634342856422E-2</v>
      </c>
      <c r="AM243" s="149">
        <v>9.8485490751371405E-2</v>
      </c>
      <c r="AN243" s="149">
        <v>-1.8452112316778839E-2</v>
      </c>
      <c r="AO243">
        <f t="shared" si="20"/>
        <v>2</v>
      </c>
      <c r="AP243" s="149">
        <v>3.2973282974867242E-2</v>
      </c>
      <c r="AQ243" s="149">
        <v>-5.4663884591340363E-3</v>
      </c>
      <c r="AR243" s="149">
        <v>0.68959581074238741</v>
      </c>
      <c r="AS243" s="208">
        <v>3809.5862432114045</v>
      </c>
      <c r="AT243" s="149">
        <f t="shared" si="21"/>
        <v>4.99E-2</v>
      </c>
      <c r="AU243" s="149">
        <v>0.2495</v>
      </c>
      <c r="AV243">
        <v>6.5</v>
      </c>
    </row>
    <row r="244" spans="1:48" x14ac:dyDescent="0.25">
      <c r="A244" t="s">
        <v>200</v>
      </c>
      <c r="B244" s="101">
        <v>0</v>
      </c>
      <c r="C244" s="101">
        <v>157</v>
      </c>
      <c r="D244" s="101">
        <v>5732</v>
      </c>
      <c r="E244" s="101">
        <v>0</v>
      </c>
      <c r="F244" s="101">
        <v>0</v>
      </c>
      <c r="G244" s="101">
        <v>0</v>
      </c>
      <c r="H244" s="101">
        <v>1605</v>
      </c>
      <c r="I244" s="101">
        <v>0</v>
      </c>
      <c r="J244" s="101">
        <v>0</v>
      </c>
      <c r="K244" s="101">
        <v>309</v>
      </c>
      <c r="L244" s="101">
        <v>5761</v>
      </c>
      <c r="M244" s="101">
        <v>74</v>
      </c>
      <c r="N244" s="101">
        <v>9658</v>
      </c>
      <c r="O244" s="101">
        <v>1394</v>
      </c>
      <c r="P244" s="101">
        <v>0</v>
      </c>
      <c r="Q244" s="101">
        <v>0</v>
      </c>
      <c r="R244" s="101">
        <v>0</v>
      </c>
      <c r="S244" s="101">
        <v>1504</v>
      </c>
      <c r="T244" s="101">
        <v>1084</v>
      </c>
      <c r="U244" s="101">
        <v>-5161</v>
      </c>
      <c r="V244" s="101">
        <v>8156</v>
      </c>
      <c r="W244" s="101">
        <v>9337</v>
      </c>
      <c r="X244" s="101">
        <v>10102</v>
      </c>
      <c r="Y244" s="101">
        <v>-765</v>
      </c>
      <c r="Z244" s="101">
        <v>42</v>
      </c>
      <c r="AA244" s="101">
        <v>510007</v>
      </c>
      <c r="AB244" s="101">
        <v>7563</v>
      </c>
      <c r="AC244" s="101">
        <v>5275.5119999999997</v>
      </c>
      <c r="AD244" s="101">
        <v>1831</v>
      </c>
      <c r="AE244" t="s">
        <v>200</v>
      </c>
      <c r="AF244" s="149">
        <v>-7.7219663703545036E-2</v>
      </c>
      <c r="AG244" s="149">
        <v>-0.5527471350540859</v>
      </c>
      <c r="AH244" s="149">
        <f t="shared" si="22"/>
        <v>0</v>
      </c>
      <c r="AI244" s="149">
        <f t="shared" si="23"/>
        <v>0</v>
      </c>
      <c r="AJ244" s="149">
        <v>-0.5527471350540859</v>
      </c>
      <c r="AK244" s="149">
        <v>0.70806451612903221</v>
      </c>
      <c r="AL244" s="149">
        <v>-8.1932098104316162E-2</v>
      </c>
      <c r="AM244" s="149">
        <v>-1.9715224534501644E-2</v>
      </c>
      <c r="AN244" s="149">
        <v>5.9904697072838665E-2</v>
      </c>
      <c r="AO244">
        <f t="shared" si="20"/>
        <v>2</v>
      </c>
      <c r="AP244" s="149">
        <v>-6.0699368105387168E-2</v>
      </c>
      <c r="AQ244" s="149">
        <v>5.4622148441683623E-2</v>
      </c>
      <c r="AR244" s="149">
        <v>0.81000321302345513</v>
      </c>
      <c r="AS244" s="208">
        <v>2881.2190060076459</v>
      </c>
      <c r="AT244" s="149">
        <f t="shared" si="21"/>
        <v>0.11000000000000001</v>
      </c>
      <c r="AU244" s="149">
        <v>0.55000000000000004</v>
      </c>
      <c r="AV244">
        <v>4.5</v>
      </c>
    </row>
    <row r="245" spans="1:48" x14ac:dyDescent="0.25">
      <c r="A245" t="s">
        <v>384</v>
      </c>
      <c r="B245" s="101">
        <v>3995</v>
      </c>
      <c r="C245" s="101">
        <v>6057</v>
      </c>
      <c r="D245" s="101">
        <v>71125</v>
      </c>
      <c r="E245" s="101">
        <v>403</v>
      </c>
      <c r="F245" s="101">
        <v>0</v>
      </c>
      <c r="G245" s="101">
        <v>337</v>
      </c>
      <c r="H245" s="101">
        <v>0</v>
      </c>
      <c r="I245" s="101">
        <v>7166</v>
      </c>
      <c r="J245" s="101">
        <v>12</v>
      </c>
      <c r="K245" s="101">
        <v>14822</v>
      </c>
      <c r="L245" s="101">
        <v>461</v>
      </c>
      <c r="M245" s="101">
        <v>984</v>
      </c>
      <c r="N245" s="101">
        <v>58288</v>
      </c>
      <c r="O245" s="101">
        <v>3564</v>
      </c>
      <c r="P245" s="101">
        <v>29576</v>
      </c>
      <c r="Q245" s="101">
        <v>13</v>
      </c>
      <c r="R245" s="101">
        <v>0</v>
      </c>
      <c r="S245" s="101">
        <v>8403</v>
      </c>
      <c r="T245" s="101">
        <v>5518</v>
      </c>
      <c r="U245" s="101">
        <v>26906</v>
      </c>
      <c r="V245" s="101">
        <v>71574</v>
      </c>
      <c r="W245" s="101">
        <v>76380</v>
      </c>
      <c r="X245" s="101">
        <v>74706</v>
      </c>
      <c r="Y245" s="101">
        <v>1674</v>
      </c>
      <c r="Z245" s="101">
        <v>1786</v>
      </c>
      <c r="AA245" s="101">
        <v>3349988.6448598132</v>
      </c>
      <c r="AB245" s="101">
        <v>56826</v>
      </c>
      <c r="AC245" s="101">
        <v>45359.527000000002</v>
      </c>
      <c r="AD245" s="101">
        <v>23920</v>
      </c>
      <c r="AE245" t="s">
        <v>384</v>
      </c>
      <c r="AF245" s="149">
        <v>2.1288295365278868E-2</v>
      </c>
      <c r="AG245" s="149">
        <v>0.35226499083529722</v>
      </c>
      <c r="AH245" s="149">
        <f t="shared" si="22"/>
        <v>4.4121497774286464E-3</v>
      </c>
      <c r="AI245" s="149">
        <f t="shared" si="23"/>
        <v>9.3977481015972766E-2</v>
      </c>
      <c r="AJ245" s="149">
        <v>0.28701021209740774</v>
      </c>
      <c r="AK245" s="149">
        <v>0.55321652967863177</v>
      </c>
      <c r="AL245" s="149">
        <v>2.1916732128829535E-2</v>
      </c>
      <c r="AM245" s="149">
        <v>3.852759331348752E-2</v>
      </c>
      <c r="AN245" s="149">
        <v>1.5467970436448372E-2</v>
      </c>
      <c r="AO245">
        <f t="shared" si="20"/>
        <v>0</v>
      </c>
      <c r="AP245" s="149">
        <v>3.1431657501963868E-2</v>
      </c>
      <c r="AQ245" s="149">
        <v>4.3951569730514471E-2</v>
      </c>
      <c r="AR245" s="149">
        <v>0.74555234846496987</v>
      </c>
      <c r="AS245" s="208">
        <v>1896.3012959866221</v>
      </c>
      <c r="AT245" s="149">
        <f t="shared" si="21"/>
        <v>5.1500000000000004E-2</v>
      </c>
      <c r="AU245" s="149">
        <v>0.25750000000000001</v>
      </c>
      <c r="AV245">
        <v>9</v>
      </c>
    </row>
    <row r="246" spans="1:48" x14ac:dyDescent="0.25">
      <c r="A246" t="s">
        <v>269</v>
      </c>
      <c r="B246" s="101">
        <v>6092</v>
      </c>
      <c r="C246" s="101">
        <v>7524</v>
      </c>
      <c r="D246" s="101">
        <v>97133</v>
      </c>
      <c r="E246" s="101">
        <v>676</v>
      </c>
      <c r="F246" s="101">
        <v>7827</v>
      </c>
      <c r="G246" s="101">
        <v>1045</v>
      </c>
      <c r="H246" s="101">
        <v>0</v>
      </c>
      <c r="I246" s="101">
        <v>4454</v>
      </c>
      <c r="J246" s="101">
        <v>3</v>
      </c>
      <c r="K246" s="101">
        <v>27529</v>
      </c>
      <c r="L246" s="101">
        <v>24380</v>
      </c>
      <c r="M246" s="101">
        <v>-2778</v>
      </c>
      <c r="N246" s="101">
        <v>88219</v>
      </c>
      <c r="O246" s="101">
        <v>7003</v>
      </c>
      <c r="P246" s="101">
        <v>47760</v>
      </c>
      <c r="Q246" s="101">
        <v>14</v>
      </c>
      <c r="R246" s="101">
        <v>0</v>
      </c>
      <c r="S246" s="101">
        <v>11749</v>
      </c>
      <c r="T246" s="101">
        <v>19142</v>
      </c>
      <c r="U246" s="101">
        <v>20662</v>
      </c>
      <c r="V246" s="101">
        <v>107880</v>
      </c>
      <c r="W246" s="101">
        <v>174955</v>
      </c>
      <c r="X246" s="101">
        <v>158253</v>
      </c>
      <c r="Y246" s="101">
        <v>16702</v>
      </c>
      <c r="Z246" s="101">
        <v>1974</v>
      </c>
      <c r="AA246" s="101">
        <v>4155520.4857768044</v>
      </c>
      <c r="AB246" s="101">
        <v>110173</v>
      </c>
      <c r="AC246" s="101">
        <v>87928.17</v>
      </c>
      <c r="AD246" s="101">
        <v>47744</v>
      </c>
      <c r="AE246" t="s">
        <v>269</v>
      </c>
      <c r="AF246" s="149">
        <v>6.6137006658855135E-2</v>
      </c>
      <c r="AG246" s="149">
        <v>0.11809893972735847</v>
      </c>
      <c r="AH246" s="149">
        <f t="shared" si="22"/>
        <v>5.0710182618387584E-2</v>
      </c>
      <c r="AI246" s="149">
        <f t="shared" si="23"/>
        <v>2.5475122174273383E-2</v>
      </c>
      <c r="AJ246" s="149">
        <v>0.1063515761195736</v>
      </c>
      <c r="AK246" s="149">
        <v>0.5073352234497116</v>
      </c>
      <c r="AL246" s="149">
        <v>9.5464548026635426E-2</v>
      </c>
      <c r="AM246" s="149">
        <v>6.173685130176481E-2</v>
      </c>
      <c r="AN246" s="149">
        <v>3.7204625439919555E-3</v>
      </c>
      <c r="AO246">
        <f t="shared" si="20"/>
        <v>0</v>
      </c>
      <c r="AP246" s="149">
        <v>4.099625618016061E-3</v>
      </c>
      <c r="AQ246" s="149">
        <v>2.3751938988750276E-2</v>
      </c>
      <c r="AR246" s="149">
        <v>0.62972192849589892</v>
      </c>
      <c r="AS246" s="208">
        <v>1841.6590566353887</v>
      </c>
      <c r="AT246" s="149">
        <f t="shared" si="21"/>
        <v>3.0199999999999998E-2</v>
      </c>
      <c r="AU246" s="149">
        <v>0.151</v>
      </c>
      <c r="AV246">
        <v>8.5</v>
      </c>
    </row>
    <row r="247" spans="1:48" x14ac:dyDescent="0.25">
      <c r="A247" t="s">
        <v>201</v>
      </c>
      <c r="B247" s="101">
        <v>59</v>
      </c>
      <c r="C247" s="101">
        <v>3783</v>
      </c>
      <c r="D247" s="101">
        <v>19831</v>
      </c>
      <c r="E247" s="101">
        <v>17</v>
      </c>
      <c r="F247" s="101">
        <v>0</v>
      </c>
      <c r="G247" s="101">
        <v>5155</v>
      </c>
      <c r="H247" s="101">
        <v>14</v>
      </c>
      <c r="I247" s="101">
        <v>9405</v>
      </c>
      <c r="J247" s="101">
        <v>0</v>
      </c>
      <c r="K247" s="101">
        <v>3444</v>
      </c>
      <c r="L247" s="101">
        <v>76</v>
      </c>
      <c r="M247" s="101">
        <v>1077</v>
      </c>
      <c r="N247" s="101">
        <v>15749</v>
      </c>
      <c r="O247" s="101">
        <v>9320</v>
      </c>
      <c r="P247" s="101">
        <v>10500</v>
      </c>
      <c r="Q247" s="101">
        <v>60</v>
      </c>
      <c r="R247" s="101">
        <v>1560</v>
      </c>
      <c r="S247" s="101">
        <v>2818</v>
      </c>
      <c r="T247" s="101">
        <v>2854</v>
      </c>
      <c r="U247" s="101">
        <v>8026</v>
      </c>
      <c r="V247" s="101">
        <v>21176</v>
      </c>
      <c r="W247" s="101">
        <v>27930</v>
      </c>
      <c r="X247" s="101">
        <v>29608</v>
      </c>
      <c r="Y247" s="101">
        <v>-1678</v>
      </c>
      <c r="Z247" s="101">
        <v>1325</v>
      </c>
      <c r="AA247" s="101">
        <v>1189975.2054380667</v>
      </c>
      <c r="AB247" s="101">
        <v>20684</v>
      </c>
      <c r="AC247" s="101">
        <v>20501.124</v>
      </c>
      <c r="AD247" s="101">
        <v>10343</v>
      </c>
      <c r="AE247" t="s">
        <v>201</v>
      </c>
      <c r="AF247" s="149">
        <v>-0.11919083422842822</v>
      </c>
      <c r="AG247" s="149">
        <v>0.2873612602935911</v>
      </c>
      <c r="AH247" s="149">
        <f t="shared" si="22"/>
        <v>0.1845685642678124</v>
      </c>
      <c r="AI247" s="149">
        <f t="shared" si="23"/>
        <v>0.33673469387755101</v>
      </c>
      <c r="AJ247" s="149">
        <v>7.3795202291442902E-2</v>
      </c>
      <c r="AK247" s="149">
        <v>0.36744359674295979</v>
      </c>
      <c r="AL247" s="149">
        <v>-6.007876834944504E-2</v>
      </c>
      <c r="AM247" s="149">
        <v>-2.8303275671696725E-2</v>
      </c>
      <c r="AN247" s="149">
        <v>-2.2772724340365137E-2</v>
      </c>
      <c r="AO247">
        <f t="shared" si="20"/>
        <v>3</v>
      </c>
      <c r="AP247" s="149">
        <v>2.2350519155030432E-2</v>
      </c>
      <c r="AQ247" s="149">
        <v>4.2605628551309227E-2</v>
      </c>
      <c r="AR247" s="149">
        <v>0.74056569996419619</v>
      </c>
      <c r="AS247" s="208">
        <v>1982.1254955042057</v>
      </c>
      <c r="AT247" s="149">
        <f t="shared" si="21"/>
        <v>7.51E-2</v>
      </c>
      <c r="AU247" s="149">
        <v>0.3755</v>
      </c>
      <c r="AV247">
        <v>7</v>
      </c>
    </row>
    <row r="248" spans="1:48" x14ac:dyDescent="0.25">
      <c r="A248" t="s">
        <v>315</v>
      </c>
      <c r="B248" s="101">
        <v>0</v>
      </c>
      <c r="C248" s="101">
        <v>306000</v>
      </c>
      <c r="D248" s="101">
        <v>311713</v>
      </c>
      <c r="E248" s="101">
        <v>15163</v>
      </c>
      <c r="F248" s="101">
        <v>0</v>
      </c>
      <c r="G248" s="101">
        <v>28877</v>
      </c>
      <c r="H248" s="101">
        <v>212</v>
      </c>
      <c r="I248" s="101">
        <v>15090</v>
      </c>
      <c r="J248" s="101">
        <v>0</v>
      </c>
      <c r="K248" s="101">
        <v>34333</v>
      </c>
      <c r="L248" s="101">
        <v>3272</v>
      </c>
      <c r="M248" s="101">
        <v>14282</v>
      </c>
      <c r="N248" s="101">
        <v>180229</v>
      </c>
      <c r="O248" s="101">
        <v>42766</v>
      </c>
      <c r="P248" s="101">
        <v>330577</v>
      </c>
      <c r="Q248" s="101">
        <v>99111</v>
      </c>
      <c r="R248" s="101">
        <v>0</v>
      </c>
      <c r="S248" s="101">
        <v>7277</v>
      </c>
      <c r="T248" s="101">
        <v>68982</v>
      </c>
      <c r="U248" s="101">
        <v>424971</v>
      </c>
      <c r="V248" s="101">
        <v>577268</v>
      </c>
      <c r="W248" s="101">
        <v>356568</v>
      </c>
      <c r="X248" s="101">
        <v>345119</v>
      </c>
      <c r="Y248" s="101">
        <v>11449</v>
      </c>
      <c r="Z248" s="101">
        <v>13299</v>
      </c>
      <c r="AA248" s="101">
        <v>7897358.6067415699</v>
      </c>
      <c r="AB248" s="101">
        <v>259175</v>
      </c>
      <c r="AC248" s="101">
        <v>201951.859</v>
      </c>
      <c r="AD248" s="101">
        <v>81838</v>
      </c>
      <c r="AE248" t="s">
        <v>315</v>
      </c>
      <c r="AF248" s="149">
        <v>2.3782279957820108E-2</v>
      </c>
      <c r="AG248" s="149">
        <v>1.1918371811267416</v>
      </c>
      <c r="AH248" s="149">
        <f t="shared" si="22"/>
        <v>8.0985954993156986E-2</v>
      </c>
      <c r="AI248" s="149">
        <f t="shared" si="23"/>
        <v>4.2320118462677525E-2</v>
      </c>
      <c r="AJ248" s="149">
        <v>1.1719314128020462</v>
      </c>
      <c r="AK248" s="149">
        <v>0.24724738045002209</v>
      </c>
      <c r="AL248" s="149">
        <v>3.2108882457203114E-2</v>
      </c>
      <c r="AM248" s="149">
        <v>4.6986254206050924E-2</v>
      </c>
      <c r="AN248" s="149">
        <v>2.9377756061438356E-2</v>
      </c>
      <c r="AO248">
        <f t="shared" si="20"/>
        <v>0</v>
      </c>
      <c r="AP248" s="149">
        <v>2.8357143658432612E-2</v>
      </c>
      <c r="AQ248" s="149">
        <v>2.2148253928399548E-2</v>
      </c>
      <c r="AR248" s="149">
        <v>0.72685995378160684</v>
      </c>
      <c r="AS248" s="208">
        <v>2467.7027664410175</v>
      </c>
      <c r="AT248" s="149">
        <f t="shared" si="21"/>
        <v>3.15E-2</v>
      </c>
      <c r="AU248" s="149">
        <v>0.1575</v>
      </c>
      <c r="AV248">
        <v>8</v>
      </c>
    </row>
    <row r="249" spans="1:48" x14ac:dyDescent="0.25">
      <c r="A249" t="s">
        <v>133</v>
      </c>
      <c r="B249" s="101">
        <v>9</v>
      </c>
      <c r="C249" s="101">
        <v>819</v>
      </c>
      <c r="D249" s="101">
        <v>7332</v>
      </c>
      <c r="E249" s="101">
        <v>155</v>
      </c>
      <c r="F249" s="101">
        <v>0</v>
      </c>
      <c r="G249" s="101">
        <v>278</v>
      </c>
      <c r="H249" s="101">
        <v>0</v>
      </c>
      <c r="I249" s="101">
        <v>580</v>
      </c>
      <c r="J249" s="101">
        <v>0</v>
      </c>
      <c r="K249" s="101">
        <v>4219</v>
      </c>
      <c r="L249" s="101">
        <v>105</v>
      </c>
      <c r="M249" s="101">
        <v>560</v>
      </c>
      <c r="N249" s="101">
        <v>4185</v>
      </c>
      <c r="O249" s="101">
        <v>1739</v>
      </c>
      <c r="P249" s="101">
        <v>4787</v>
      </c>
      <c r="Q249" s="101">
        <v>11</v>
      </c>
      <c r="R249" s="101">
        <v>0</v>
      </c>
      <c r="S249" s="101">
        <v>380</v>
      </c>
      <c r="T249" s="101">
        <v>2955</v>
      </c>
      <c r="U249" s="101">
        <v>2971</v>
      </c>
      <c r="V249" s="101">
        <v>8467</v>
      </c>
      <c r="W249" s="101">
        <v>9893</v>
      </c>
      <c r="X249" s="101">
        <v>9672</v>
      </c>
      <c r="Y249" s="101">
        <v>221</v>
      </c>
      <c r="Z249" s="101">
        <v>444</v>
      </c>
      <c r="AA249" s="101">
        <v>437064</v>
      </c>
      <c r="AB249" s="101">
        <v>5565</v>
      </c>
      <c r="AC249" s="101">
        <v>4900.9489999999996</v>
      </c>
      <c r="AD249" s="101">
        <v>972</v>
      </c>
      <c r="AE249" t="s">
        <v>133</v>
      </c>
      <c r="AF249" s="149">
        <v>-3.638936621853836E-3</v>
      </c>
      <c r="AG249" s="149">
        <v>0.30031335287577077</v>
      </c>
      <c r="AH249" s="149">
        <f t="shared" si="22"/>
        <v>2.8100677246537958E-2</v>
      </c>
      <c r="AI249" s="149">
        <f t="shared" si="23"/>
        <v>5.8627312240978467E-2</v>
      </c>
      <c r="AJ249" s="149">
        <v>0.2626463155766704</v>
      </c>
      <c r="AK249" s="149">
        <v>0.2977164402077257</v>
      </c>
      <c r="AL249" s="149">
        <v>2.2339027595269383E-2</v>
      </c>
      <c r="AM249" s="149">
        <v>7.4058219178082196E-2</v>
      </c>
      <c r="AN249" s="149">
        <v>-4.6816008054366975E-2</v>
      </c>
      <c r="AO249">
        <f t="shared" si="20"/>
        <v>1</v>
      </c>
      <c r="AP249" s="149">
        <v>-7.7580107146467195E-3</v>
      </c>
      <c r="AQ249" s="149">
        <v>4.4179116547053469E-2</v>
      </c>
      <c r="AR249" s="149">
        <v>0.56251895279490549</v>
      </c>
      <c r="AS249" s="208">
        <v>5042.1286008230454</v>
      </c>
      <c r="AT249" s="149">
        <f t="shared" si="21"/>
        <v>2.5600000000000001E-2</v>
      </c>
      <c r="AU249" s="149">
        <v>0.128</v>
      </c>
      <c r="AV249">
        <v>9</v>
      </c>
    </row>
    <row r="250" spans="1:48" x14ac:dyDescent="0.25">
      <c r="A250" t="s">
        <v>335</v>
      </c>
      <c r="B250" s="101">
        <v>629</v>
      </c>
      <c r="C250" s="101">
        <v>15392</v>
      </c>
      <c r="D250" s="101">
        <v>120342</v>
      </c>
      <c r="E250" s="101">
        <v>7062</v>
      </c>
      <c r="F250" s="101">
        <v>0</v>
      </c>
      <c r="G250" s="101">
        <v>4679</v>
      </c>
      <c r="H250" s="101">
        <v>274</v>
      </c>
      <c r="I250" s="101">
        <v>1990</v>
      </c>
      <c r="J250" s="101">
        <v>1272</v>
      </c>
      <c r="K250" s="101">
        <v>56394</v>
      </c>
      <c r="L250" s="101">
        <v>857</v>
      </c>
      <c r="M250" s="101">
        <v>18048</v>
      </c>
      <c r="N250" s="101">
        <v>69857</v>
      </c>
      <c r="O250" s="101">
        <v>33423</v>
      </c>
      <c r="P250" s="101">
        <v>99241</v>
      </c>
      <c r="Q250" s="101">
        <v>960</v>
      </c>
      <c r="R250" s="101">
        <v>0</v>
      </c>
      <c r="S250" s="101">
        <v>10070</v>
      </c>
      <c r="T250" s="101">
        <v>13388</v>
      </c>
      <c r="U250" s="101">
        <v>43407</v>
      </c>
      <c r="V250" s="101">
        <v>105013</v>
      </c>
      <c r="W250" s="101">
        <v>160939</v>
      </c>
      <c r="X250" s="101">
        <v>148405</v>
      </c>
      <c r="Y250" s="101">
        <v>12534</v>
      </c>
      <c r="Z250" s="101">
        <v>2863</v>
      </c>
      <c r="AA250" s="101">
        <v>4159121.6535947733</v>
      </c>
      <c r="AB250" s="101">
        <v>96348</v>
      </c>
      <c r="AC250" s="101">
        <v>72947.739000000001</v>
      </c>
      <c r="AD250" s="101">
        <v>34631</v>
      </c>
      <c r="AE250" t="s">
        <v>335</v>
      </c>
      <c r="AF250" s="149">
        <v>6.5602495355383095E-2</v>
      </c>
      <c r="AG250" s="149">
        <v>0.26971088424806916</v>
      </c>
      <c r="AH250" s="149">
        <f t="shared" si="22"/>
        <v>2.9073127085417455E-2</v>
      </c>
      <c r="AI250" s="149">
        <f t="shared" si="23"/>
        <v>2.0268548953330145E-2</v>
      </c>
      <c r="AJ250" s="149">
        <v>0.25901167523098817</v>
      </c>
      <c r="AK250" s="149">
        <v>0.30782280700981324</v>
      </c>
      <c r="AL250" s="149">
        <v>7.7880439172605773E-2</v>
      </c>
      <c r="AM250" s="149">
        <v>9.2977100338479085E-2</v>
      </c>
      <c r="AN250" s="149">
        <v>1.8427459779443357E-2</v>
      </c>
      <c r="AO250">
        <f t="shared" si="20"/>
        <v>0</v>
      </c>
      <c r="AP250" s="149">
        <v>4.8698575236580319E-2</v>
      </c>
      <c r="AQ250" s="149">
        <v>2.5842845137566239E-2</v>
      </c>
      <c r="AR250" s="149">
        <v>0.59866160470737362</v>
      </c>
      <c r="AS250" s="208">
        <v>2106.4288931881838</v>
      </c>
      <c r="AT250" s="149">
        <f t="shared" si="21"/>
        <v>2.1700000000000001E-2</v>
      </c>
      <c r="AU250" s="149">
        <v>0.1085</v>
      </c>
      <c r="AV250">
        <v>10</v>
      </c>
    </row>
    <row r="251" spans="1:48" x14ac:dyDescent="0.25">
      <c r="A251" t="s">
        <v>441</v>
      </c>
      <c r="B251" s="101">
        <v>19492</v>
      </c>
      <c r="C251" s="101">
        <v>575419</v>
      </c>
      <c r="D251" s="101">
        <v>1489087</v>
      </c>
      <c r="E251" s="101">
        <v>94671</v>
      </c>
      <c r="F251" s="101">
        <v>36329</v>
      </c>
      <c r="G251" s="101">
        <v>80258</v>
      </c>
      <c r="H251" s="101">
        <v>152183</v>
      </c>
      <c r="I251" s="101">
        <v>0</v>
      </c>
      <c r="J251" s="101">
        <v>1137</v>
      </c>
      <c r="K251" s="101">
        <v>1005093</v>
      </c>
      <c r="L251" s="101">
        <v>32790</v>
      </c>
      <c r="M251" s="101">
        <v>151842</v>
      </c>
      <c r="N251" s="101">
        <v>1246399</v>
      </c>
      <c r="O251" s="101">
        <v>162333</v>
      </c>
      <c r="P251" s="101">
        <v>1476171</v>
      </c>
      <c r="Q251" s="101">
        <v>5721</v>
      </c>
      <c r="R251" s="101">
        <v>19457</v>
      </c>
      <c r="S251" s="101">
        <v>187802</v>
      </c>
      <c r="T251" s="101">
        <v>540418</v>
      </c>
      <c r="U251" s="101">
        <v>771074</v>
      </c>
      <c r="V251" s="101">
        <v>1804594</v>
      </c>
      <c r="W251" s="101">
        <v>3069163</v>
      </c>
      <c r="X251" s="101">
        <v>3066228</v>
      </c>
      <c r="Y251" s="101">
        <v>2935</v>
      </c>
      <c r="Z251" s="101">
        <v>16698</v>
      </c>
      <c r="AA251" s="101">
        <v>78584373.390755296</v>
      </c>
      <c r="AB251" s="101">
        <v>2278382</v>
      </c>
      <c r="AC251" s="101">
        <v>1693867.7165699999</v>
      </c>
      <c r="AD251" s="101">
        <v>566221</v>
      </c>
      <c r="AE251" t="s">
        <v>441</v>
      </c>
      <c r="AF251" s="149">
        <v>5.2522462964658446E-4</v>
      </c>
      <c r="AG251" s="149">
        <v>0.25123266506210323</v>
      </c>
      <c r="AH251" s="149">
        <f t="shared" si="22"/>
        <v>3.7986578099631726E-2</v>
      </c>
      <c r="AI251" s="149">
        <f t="shared" si="23"/>
        <v>3.7045930763533904E-4</v>
      </c>
      <c r="AJ251" s="149">
        <v>0.25553173291871428</v>
      </c>
      <c r="AK251" s="149">
        <v>0.34257720842777989</v>
      </c>
      <c r="AL251" s="149">
        <v>9.5628677916422163E-4</v>
      </c>
      <c r="AM251" s="149">
        <v>1.4311152324840431E-2</v>
      </c>
      <c r="AN251" s="149">
        <v>5.5149942721173274E-3</v>
      </c>
      <c r="AO251">
        <f t="shared" si="20"/>
        <v>0</v>
      </c>
      <c r="AP251" s="149">
        <v>2.2758973700647375E-2</v>
      </c>
      <c r="AQ251" s="149">
        <v>2.5604496532362502E-2</v>
      </c>
      <c r="AR251" s="149">
        <v>0.74234636609394811</v>
      </c>
      <c r="AS251" s="208">
        <v>2991.5310745627589</v>
      </c>
      <c r="AT251" s="149">
        <f t="shared" si="21"/>
        <v>4.2900000000000001E-2</v>
      </c>
      <c r="AU251" s="149">
        <v>0.2145</v>
      </c>
      <c r="AV251">
        <v>10</v>
      </c>
    </row>
    <row r="252" spans="1:48" x14ac:dyDescent="0.25">
      <c r="A252" t="s">
        <v>476</v>
      </c>
      <c r="B252" s="101">
        <v>6856</v>
      </c>
      <c r="C252" s="101">
        <v>78591</v>
      </c>
      <c r="D252" s="101">
        <v>811383</v>
      </c>
      <c r="E252" s="101">
        <v>5212</v>
      </c>
      <c r="F252" s="101">
        <v>48077</v>
      </c>
      <c r="G252" s="101">
        <v>168485</v>
      </c>
      <c r="H252" s="101">
        <v>4910</v>
      </c>
      <c r="I252" s="101">
        <v>49290</v>
      </c>
      <c r="J252" s="101">
        <v>91</v>
      </c>
      <c r="K252" s="101">
        <v>55927</v>
      </c>
      <c r="L252" s="101">
        <v>19925</v>
      </c>
      <c r="M252" s="101">
        <v>45451</v>
      </c>
      <c r="N252" s="101">
        <v>766186</v>
      </c>
      <c r="O252" s="101">
        <v>49591</v>
      </c>
      <c r="P252" s="101">
        <v>305891</v>
      </c>
      <c r="Q252" s="101">
        <v>1604</v>
      </c>
      <c r="R252" s="101">
        <v>0</v>
      </c>
      <c r="S252" s="101">
        <v>1899</v>
      </c>
      <c r="T252" s="101">
        <v>169026</v>
      </c>
      <c r="U252" s="101">
        <v>135645</v>
      </c>
      <c r="V252" s="101">
        <v>808466</v>
      </c>
      <c r="W252" s="101">
        <v>850744</v>
      </c>
      <c r="X252" s="101">
        <v>832766</v>
      </c>
      <c r="Y252" s="101">
        <v>17978</v>
      </c>
      <c r="Z252" s="101">
        <v>50809</v>
      </c>
      <c r="AA252" s="101">
        <v>18049767.497918412</v>
      </c>
      <c r="AB252" s="101">
        <v>506114</v>
      </c>
      <c r="AC252" s="101">
        <v>410819.48</v>
      </c>
      <c r="AD252" s="101">
        <v>160757</v>
      </c>
      <c r="AE252" t="s">
        <v>476</v>
      </c>
      <c r="AF252" s="149">
        <v>0</v>
      </c>
      <c r="AG252" s="149">
        <v>0</v>
      </c>
      <c r="AH252" s="149">
        <f t="shared" si="22"/>
        <v>0.25455601214936574</v>
      </c>
      <c r="AI252" s="149">
        <f t="shared" si="23"/>
        <v>5.8044488118634982E-2</v>
      </c>
      <c r="AJ252" s="149">
        <v>-1.0084420225120596E-2</v>
      </c>
      <c r="AK252" s="149">
        <v>0.21199999999999999</v>
      </c>
      <c r="AL252" s="149">
        <v>0</v>
      </c>
      <c r="AM252" s="149">
        <v>9.561206147399498E-2</v>
      </c>
      <c r="AN252" s="149">
        <v>3.6789282470481383E-2</v>
      </c>
      <c r="AO252">
        <f t="shared" si="20"/>
        <v>0</v>
      </c>
      <c r="AP252" s="149">
        <v>2.5966683279576463E-2</v>
      </c>
      <c r="AQ252" s="149">
        <v>2.1216449951946076E-2</v>
      </c>
      <c r="AR252" s="149">
        <v>0.59490751624460469</v>
      </c>
      <c r="AS252" s="208">
        <v>2555.5308944556068</v>
      </c>
      <c r="AT252" s="149">
        <f t="shared" si="21"/>
        <v>4.7600000000000003E-2</v>
      </c>
      <c r="AU252" s="149">
        <v>0.23800000000000002</v>
      </c>
      <c r="AV252">
        <v>10</v>
      </c>
    </row>
    <row r="253" spans="1:48" x14ac:dyDescent="0.25">
      <c r="A253" t="s">
        <v>418</v>
      </c>
      <c r="B253" s="101">
        <v>0</v>
      </c>
      <c r="C253" s="101">
        <v>620</v>
      </c>
      <c r="D253" s="101">
        <v>25380</v>
      </c>
      <c r="E253" s="101">
        <v>96</v>
      </c>
      <c r="F253" s="101">
        <v>506</v>
      </c>
      <c r="G253" s="101">
        <v>1229</v>
      </c>
      <c r="H253" s="101">
        <v>0</v>
      </c>
      <c r="I253" s="101">
        <v>0</v>
      </c>
      <c r="J253" s="101">
        <v>0</v>
      </c>
      <c r="K253" s="101">
        <v>3204</v>
      </c>
      <c r="L253" s="101">
        <v>9605</v>
      </c>
      <c r="M253" s="101">
        <v>1129</v>
      </c>
      <c r="N253" s="101">
        <v>13025</v>
      </c>
      <c r="O253" s="101">
        <v>4129</v>
      </c>
      <c r="P253" s="101">
        <v>18470</v>
      </c>
      <c r="Q253" s="101">
        <v>27</v>
      </c>
      <c r="R253" s="101">
        <v>1</v>
      </c>
      <c r="S253" s="101">
        <v>536</v>
      </c>
      <c r="T253" s="101">
        <v>5581</v>
      </c>
      <c r="U253" s="101">
        <v>8942</v>
      </c>
      <c r="V253" s="101">
        <v>22346</v>
      </c>
      <c r="W253" s="101">
        <v>33235</v>
      </c>
      <c r="X253" s="101">
        <v>33550</v>
      </c>
      <c r="Y253" s="101">
        <v>-315</v>
      </c>
      <c r="Z253" s="101">
        <v>36</v>
      </c>
      <c r="AA253" s="101">
        <v>264471.87878787844</v>
      </c>
      <c r="AB253" s="101">
        <v>25920</v>
      </c>
      <c r="AC253" s="101">
        <v>22891.252</v>
      </c>
      <c r="AD253" s="101">
        <v>10255</v>
      </c>
      <c r="AE253" t="s">
        <v>418</v>
      </c>
      <c r="AF253" s="149">
        <v>-2.1062133293214984E-4</v>
      </c>
      <c r="AG253" s="149">
        <v>0.26905370843989768</v>
      </c>
      <c r="AH253" s="149">
        <f t="shared" si="22"/>
        <v>5.2204001805325709E-2</v>
      </c>
      <c r="AI253" s="149">
        <f t="shared" si="23"/>
        <v>0</v>
      </c>
      <c r="AJ253" s="149">
        <v>0.27531818865653679</v>
      </c>
      <c r="AK253" s="149">
        <v>0.31183413536354715</v>
      </c>
      <c r="AL253" s="149">
        <v>-9.4779599819467437E-3</v>
      </c>
      <c r="AM253" s="149">
        <v>3.9366751186528832E-2</v>
      </c>
      <c r="AN253" s="149">
        <v>-5.3831736776343189E-2</v>
      </c>
      <c r="AO253">
        <f t="shared" si="20"/>
        <v>2</v>
      </c>
      <c r="AP253" s="149">
        <v>2.7486083947645554E-2</v>
      </c>
      <c r="AQ253" s="149">
        <v>7.9576313761961313E-3</v>
      </c>
      <c r="AR253" s="149">
        <v>0.77990070708590342</v>
      </c>
      <c r="AS253" s="208">
        <v>2232.203998049732</v>
      </c>
      <c r="AT253" s="149">
        <f t="shared" si="21"/>
        <v>7.1199999999999999E-2</v>
      </c>
      <c r="AU253" s="149">
        <v>0.35599999999999998</v>
      </c>
      <c r="AV253">
        <v>8</v>
      </c>
    </row>
    <row r="254" spans="1:48" x14ac:dyDescent="0.25">
      <c r="A254" t="s">
        <v>385</v>
      </c>
      <c r="B254" s="101">
        <v>1</v>
      </c>
      <c r="C254" s="101">
        <v>3065</v>
      </c>
      <c r="D254" s="101">
        <v>34967</v>
      </c>
      <c r="E254" s="101">
        <v>55</v>
      </c>
      <c r="F254" s="101">
        <v>948</v>
      </c>
      <c r="G254" s="101">
        <v>1059</v>
      </c>
      <c r="H254" s="101">
        <v>0</v>
      </c>
      <c r="I254" s="101">
        <v>-1912</v>
      </c>
      <c r="J254" s="101">
        <v>0</v>
      </c>
      <c r="K254" s="101">
        <v>24466</v>
      </c>
      <c r="L254" s="101">
        <v>403</v>
      </c>
      <c r="M254" s="101">
        <v>1697</v>
      </c>
      <c r="N254" s="101">
        <v>29886</v>
      </c>
      <c r="O254" s="101">
        <v>16043</v>
      </c>
      <c r="P254" s="101">
        <v>1248</v>
      </c>
      <c r="Q254" s="101">
        <v>0</v>
      </c>
      <c r="R254" s="101">
        <v>0</v>
      </c>
      <c r="S254" s="101">
        <v>11764</v>
      </c>
      <c r="T254" s="101">
        <v>5810</v>
      </c>
      <c r="U254" s="101">
        <v>-9751</v>
      </c>
      <c r="V254" s="101">
        <v>30739</v>
      </c>
      <c r="W254" s="101">
        <v>83319</v>
      </c>
      <c r="X254" s="101">
        <v>80800</v>
      </c>
      <c r="Y254" s="101">
        <v>2519</v>
      </c>
      <c r="Z254" s="101">
        <v>1091</v>
      </c>
      <c r="AA254" s="101">
        <v>3024991.029126212</v>
      </c>
      <c r="AB254" s="101">
        <v>56144</v>
      </c>
      <c r="AC254" s="101">
        <v>59581.542000000001</v>
      </c>
      <c r="AD254" s="101">
        <v>30094</v>
      </c>
      <c r="AE254" t="s">
        <v>385</v>
      </c>
      <c r="AF254" s="149">
        <v>0</v>
      </c>
      <c r="AG254" s="149">
        <v>0</v>
      </c>
      <c r="AH254" s="149">
        <f t="shared" ref="AH254:AH285" si="24">SUM(F254,G254)/W254</f>
        <v>2.4088143160623628E-2</v>
      </c>
      <c r="AI254" s="149">
        <f t="shared" ref="AI254:AI285" si="25">SUM(I254,J254)/W254</f>
        <v>-2.2947947046892066E-2</v>
      </c>
      <c r="AJ254" s="149">
        <v>1.8954140112099283E-2</v>
      </c>
      <c r="AK254" s="149">
        <v>0.42199999999999999</v>
      </c>
      <c r="AL254" s="149">
        <v>0</v>
      </c>
      <c r="AM254" s="149">
        <v>6.7364541475774878E-2</v>
      </c>
      <c r="AN254" s="149">
        <v>3.8527234769405956E-2</v>
      </c>
      <c r="AO254">
        <f t="shared" si="20"/>
        <v>0</v>
      </c>
      <c r="AP254" s="149">
        <v>2.1885764351468454E-2</v>
      </c>
      <c r="AQ254" s="149">
        <v>3.6306137005079418E-2</v>
      </c>
      <c r="AR254" s="149">
        <v>0.67384390115099801</v>
      </c>
      <c r="AS254" s="208">
        <v>1979.8478766531534</v>
      </c>
      <c r="AT254" s="149">
        <f t="shared" si="21"/>
        <v>4.7199999999999999E-2</v>
      </c>
      <c r="AU254" s="149">
        <v>0.23599999999999999</v>
      </c>
      <c r="AV254">
        <v>10</v>
      </c>
    </row>
    <row r="255" spans="1:48" x14ac:dyDescent="0.25">
      <c r="A255" t="s">
        <v>419</v>
      </c>
      <c r="B255" s="101">
        <v>22753</v>
      </c>
      <c r="C255" s="101">
        <v>16140</v>
      </c>
      <c r="D255" s="101">
        <v>370094</v>
      </c>
      <c r="E255" s="101">
        <v>4092</v>
      </c>
      <c r="F255" s="101">
        <v>337</v>
      </c>
      <c r="G255" s="101">
        <v>10372</v>
      </c>
      <c r="H255" s="101">
        <v>49000</v>
      </c>
      <c r="I255" s="101">
        <v>4403</v>
      </c>
      <c r="J255" s="101">
        <v>18673</v>
      </c>
      <c r="K255" s="101">
        <v>327263</v>
      </c>
      <c r="L255" s="101">
        <v>-261011</v>
      </c>
      <c r="M255" s="101">
        <v>17966</v>
      </c>
      <c r="N255" s="101">
        <v>116451</v>
      </c>
      <c r="O255" s="101">
        <v>12278</v>
      </c>
      <c r="P255" s="101">
        <v>368324</v>
      </c>
      <c r="Q255" s="101">
        <v>47</v>
      </c>
      <c r="R255" s="101">
        <v>0</v>
      </c>
      <c r="S255" s="101">
        <v>33655</v>
      </c>
      <c r="T255" s="101">
        <v>49325</v>
      </c>
      <c r="U255" s="101">
        <v>307424</v>
      </c>
      <c r="V255" s="101">
        <v>373995</v>
      </c>
      <c r="W255" s="101">
        <v>457878</v>
      </c>
      <c r="X255" s="101">
        <v>441126</v>
      </c>
      <c r="Y255" s="101">
        <v>16752</v>
      </c>
      <c r="Z255" s="101">
        <v>14406</v>
      </c>
      <c r="AA255" s="101">
        <v>-26592780</v>
      </c>
      <c r="AB255" s="101">
        <v>287646</v>
      </c>
      <c r="AC255" s="101">
        <v>290476.658</v>
      </c>
      <c r="AD255" s="101">
        <v>92650</v>
      </c>
      <c r="AE255" t="s">
        <v>419</v>
      </c>
      <c r="AF255" s="149">
        <v>1.2064349018734249E-2</v>
      </c>
      <c r="AG255" s="149">
        <v>0.65422448774564401</v>
      </c>
      <c r="AH255" s="149">
        <f t="shared" si="24"/>
        <v>2.3388326148013228E-2</v>
      </c>
      <c r="AI255" s="149">
        <f t="shared" si="25"/>
        <v>5.0397704191946328E-2</v>
      </c>
      <c r="AJ255" s="149">
        <v>0.6217526939490432</v>
      </c>
      <c r="AK255" s="149">
        <v>0.2007498965659909</v>
      </c>
      <c r="AL255" s="149">
        <v>3.6586164873612624E-2</v>
      </c>
      <c r="AM255" s="149">
        <v>6.720177243839201E-2</v>
      </c>
      <c r="AN255" s="149">
        <v>1.9336101564218274E-2</v>
      </c>
      <c r="AO255">
        <f t="shared" si="20"/>
        <v>0</v>
      </c>
      <c r="AP255" s="149">
        <v>1.9105525926120057E-2</v>
      </c>
      <c r="AQ255" s="149">
        <v>-5.8078309069228048E-2</v>
      </c>
      <c r="AR255" s="149">
        <v>0.62821537614823164</v>
      </c>
      <c r="AS255" s="208">
        <v>3135.2040798704802</v>
      </c>
      <c r="AT255" s="149">
        <f t="shared" si="21"/>
        <v>3.4099999999999998E-2</v>
      </c>
      <c r="AU255" s="149">
        <v>0.17049999999999998</v>
      </c>
      <c r="AV255">
        <v>7.5</v>
      </c>
    </row>
    <row r="256" spans="1:48" x14ac:dyDescent="0.25">
      <c r="A256" t="s">
        <v>316</v>
      </c>
      <c r="B256" s="101">
        <v>2460</v>
      </c>
      <c r="C256" s="101">
        <v>7047</v>
      </c>
      <c r="D256" s="101">
        <v>73117</v>
      </c>
      <c r="E256" s="101">
        <v>2306</v>
      </c>
      <c r="F256" s="101">
        <v>0</v>
      </c>
      <c r="G256" s="101">
        <v>2196</v>
      </c>
      <c r="H256" s="101">
        <v>0</v>
      </c>
      <c r="I256" s="101">
        <v>3397</v>
      </c>
      <c r="J256" s="101">
        <v>0</v>
      </c>
      <c r="K256" s="101">
        <v>28634</v>
      </c>
      <c r="L256" s="101">
        <v>7082</v>
      </c>
      <c r="M256" s="101">
        <v>4310</v>
      </c>
      <c r="N256" s="101">
        <v>62289</v>
      </c>
      <c r="O256" s="101">
        <v>10039</v>
      </c>
      <c r="P256" s="101">
        <v>36908</v>
      </c>
      <c r="Q256" s="101">
        <v>34</v>
      </c>
      <c r="R256" s="101">
        <v>0</v>
      </c>
      <c r="S256" s="101">
        <v>9363</v>
      </c>
      <c r="T256" s="101">
        <v>11916</v>
      </c>
      <c r="U256" s="101">
        <v>15999</v>
      </c>
      <c r="V256" s="101">
        <v>66809</v>
      </c>
      <c r="W256" s="101">
        <v>95110</v>
      </c>
      <c r="X256" s="101">
        <v>89999</v>
      </c>
      <c r="Y256" s="101">
        <v>5111</v>
      </c>
      <c r="Z256" s="101">
        <v>3036</v>
      </c>
      <c r="AA256" s="101">
        <v>2960409.5294117639</v>
      </c>
      <c r="AB256" s="101">
        <v>73764</v>
      </c>
      <c r="AC256" s="101">
        <v>58309.474000000002</v>
      </c>
      <c r="AD256" s="101">
        <v>26261</v>
      </c>
      <c r="AE256" t="s">
        <v>316</v>
      </c>
      <c r="AF256" s="149">
        <v>1.4719798128482809E-2</v>
      </c>
      <c r="AG256" s="149">
        <v>0.16821575018399748</v>
      </c>
      <c r="AH256" s="149">
        <f t="shared" si="24"/>
        <v>2.3089054778677322E-2</v>
      </c>
      <c r="AI256" s="149">
        <f t="shared" si="25"/>
        <v>3.5716538744611503E-2</v>
      </c>
      <c r="AJ256" s="149">
        <v>0.14598485963621072</v>
      </c>
      <c r="AK256" s="149">
        <v>0.47713119211943406</v>
      </c>
      <c r="AL256" s="149">
        <v>5.3737777310482598E-2</v>
      </c>
      <c r="AM256" s="149">
        <v>6.3119451623777953E-2</v>
      </c>
      <c r="AN256" s="149">
        <v>1.8786833775124172E-2</v>
      </c>
      <c r="AO256">
        <f t="shared" si="20"/>
        <v>0</v>
      </c>
      <c r="AP256" s="149">
        <v>4.1570287036063504E-2</v>
      </c>
      <c r="AQ256" s="149">
        <v>3.1126164750412827E-2</v>
      </c>
      <c r="AR256" s="149">
        <v>0.77556513510671854</v>
      </c>
      <c r="AS256" s="208">
        <v>2220.382849091809</v>
      </c>
      <c r="AT256" s="149">
        <f t="shared" si="21"/>
        <v>4.7199999999999999E-2</v>
      </c>
      <c r="AU256" s="149">
        <v>0.23599999999999999</v>
      </c>
      <c r="AV256">
        <v>9.5</v>
      </c>
    </row>
    <row r="257" spans="1:48" x14ac:dyDescent="0.25">
      <c r="A257" t="s">
        <v>336</v>
      </c>
      <c r="B257" s="101">
        <v>403</v>
      </c>
      <c r="C257" s="101">
        <v>2016</v>
      </c>
      <c r="D257" s="101">
        <v>103239</v>
      </c>
      <c r="E257" s="101">
        <v>6712</v>
      </c>
      <c r="F257" s="101">
        <v>0</v>
      </c>
      <c r="G257" s="101">
        <v>-3238</v>
      </c>
      <c r="H257" s="101">
        <v>0</v>
      </c>
      <c r="I257" s="101">
        <v>663</v>
      </c>
      <c r="J257" s="101">
        <v>0</v>
      </c>
      <c r="K257" s="101">
        <v>15412</v>
      </c>
      <c r="L257" s="101">
        <v>25442</v>
      </c>
      <c r="M257" s="101">
        <v>-1826</v>
      </c>
      <c r="N257" s="101">
        <v>70400</v>
      </c>
      <c r="O257" s="101">
        <v>18914</v>
      </c>
      <c r="P257" s="101">
        <v>44486</v>
      </c>
      <c r="Q257" s="101">
        <v>0</v>
      </c>
      <c r="R257" s="101">
        <v>0</v>
      </c>
      <c r="S257" s="101">
        <v>5350</v>
      </c>
      <c r="T257" s="101">
        <v>9672</v>
      </c>
      <c r="U257" s="101">
        <v>23718</v>
      </c>
      <c r="V257" s="101">
        <v>99184</v>
      </c>
      <c r="W257" s="101">
        <v>112323</v>
      </c>
      <c r="X257" s="101">
        <v>92359</v>
      </c>
      <c r="Y257" s="101">
        <v>19964</v>
      </c>
      <c r="Z257" s="101">
        <v>2355</v>
      </c>
      <c r="AA257" s="101">
        <v>4812401.095522387</v>
      </c>
      <c r="AB257" s="101">
        <v>65979</v>
      </c>
      <c r="AC257" s="101">
        <v>32375.198</v>
      </c>
      <c r="AD257" s="101">
        <v>23150</v>
      </c>
      <c r="AE257" t="s">
        <v>336</v>
      </c>
      <c r="AF257" s="149">
        <v>0.11892488626550217</v>
      </c>
      <c r="AG257" s="149">
        <v>0.21115888998691273</v>
      </c>
      <c r="AH257" s="149">
        <f t="shared" si="24"/>
        <v>-2.8827577610996857E-2</v>
      </c>
      <c r="AI257" s="149">
        <f t="shared" si="25"/>
        <v>5.9026201223257926E-3</v>
      </c>
      <c r="AJ257" s="149">
        <v>0.20356774658796506</v>
      </c>
      <c r="AK257" s="149">
        <v>0.47304833962720566</v>
      </c>
      <c r="AL257" s="149">
        <v>0.17773741798206957</v>
      </c>
      <c r="AM257" s="149">
        <v>0.15004134997834048</v>
      </c>
      <c r="AN257" s="149">
        <v>5.6580508026728357E-2</v>
      </c>
      <c r="AO257">
        <f t="shared" si="20"/>
        <v>0</v>
      </c>
      <c r="AP257" s="149">
        <v>1.4409337357442376E-2</v>
      </c>
      <c r="AQ257" s="149">
        <v>4.284430700321739E-2</v>
      </c>
      <c r="AR257" s="149">
        <v>0.58740418258059346</v>
      </c>
      <c r="AS257" s="208">
        <v>1398.4966738660908</v>
      </c>
      <c r="AT257" s="149">
        <f t="shared" si="21"/>
        <v>-1.67E-2</v>
      </c>
      <c r="AU257" s="149">
        <v>-8.3499999999999991E-2</v>
      </c>
      <c r="AV257">
        <v>8.5</v>
      </c>
    </row>
    <row r="258" spans="1:48" x14ac:dyDescent="0.25">
      <c r="A258" t="s">
        <v>134</v>
      </c>
      <c r="B258" s="101">
        <v>1052</v>
      </c>
      <c r="C258" s="101">
        <v>15663</v>
      </c>
      <c r="D258" s="101">
        <v>223637</v>
      </c>
      <c r="E258" s="101">
        <v>450</v>
      </c>
      <c r="F258" s="101">
        <v>371</v>
      </c>
      <c r="G258" s="101">
        <v>1803</v>
      </c>
      <c r="H258" s="101">
        <v>0</v>
      </c>
      <c r="I258" s="101">
        <v>-3150</v>
      </c>
      <c r="J258" s="101">
        <v>0</v>
      </c>
      <c r="K258" s="101">
        <v>15801</v>
      </c>
      <c r="L258" s="101">
        <v>1133</v>
      </c>
      <c r="M258" s="101">
        <v>9711</v>
      </c>
      <c r="N258" s="101">
        <v>81992</v>
      </c>
      <c r="O258" s="101">
        <v>10321</v>
      </c>
      <c r="P258" s="101">
        <v>131225</v>
      </c>
      <c r="Q258" s="101">
        <v>114</v>
      </c>
      <c r="R258" s="101">
        <v>0</v>
      </c>
      <c r="S258" s="101">
        <v>11521</v>
      </c>
      <c r="T258" s="101">
        <v>31298</v>
      </c>
      <c r="U258" s="101">
        <v>145339</v>
      </c>
      <c r="V258" s="101">
        <v>184053</v>
      </c>
      <c r="W258" s="101">
        <v>244808</v>
      </c>
      <c r="X258" s="101">
        <v>245396</v>
      </c>
      <c r="Y258" s="101">
        <v>-588</v>
      </c>
      <c r="Z258" s="101">
        <v>37428</v>
      </c>
      <c r="AA258" s="101">
        <v>1140530.768511299</v>
      </c>
      <c r="AB258" s="101">
        <v>191181</v>
      </c>
      <c r="AC258" s="101">
        <v>148675.32399999999</v>
      </c>
      <c r="AD258" s="101">
        <v>56661</v>
      </c>
      <c r="AE258" t="s">
        <v>134</v>
      </c>
      <c r="AF258" s="149">
        <v>-0.15566484755400151</v>
      </c>
      <c r="AG258" s="149">
        <v>0.5936856638671939</v>
      </c>
      <c r="AH258" s="149">
        <f t="shared" si="24"/>
        <v>8.880428744158687E-3</v>
      </c>
      <c r="AI258" s="149">
        <f t="shared" si="25"/>
        <v>-1.286722656122349E-2</v>
      </c>
      <c r="AJ258" s="149">
        <v>0.60375837390934939</v>
      </c>
      <c r="AK258" s="149">
        <v>0.3076957717725381</v>
      </c>
      <c r="AL258" s="149">
        <v>-2.4018822914283846E-3</v>
      </c>
      <c r="AM258" s="149">
        <v>-1.3629950619772246E-2</v>
      </c>
      <c r="AN258" s="149">
        <v>4.4036750794013646E-2</v>
      </c>
      <c r="AO258">
        <f t="shared" ref="AO258:AO300" si="26">COUNTIF(AL258:AN258,"&lt;0")</f>
        <v>2</v>
      </c>
      <c r="AP258" s="149">
        <v>5.749301493415248E-2</v>
      </c>
      <c r="AQ258" s="149">
        <v>4.6588786661845164E-3</v>
      </c>
      <c r="AR258" s="149">
        <v>0.78094261625437078</v>
      </c>
      <c r="AS258" s="208">
        <v>2623.9445826935635</v>
      </c>
      <c r="AT258" s="149">
        <f t="shared" ref="AT258:AT321" si="27">AU258/5</f>
        <v>5.6200000000000007E-2</v>
      </c>
      <c r="AU258" s="149">
        <v>0.28100000000000003</v>
      </c>
      <c r="AV258">
        <v>6.5</v>
      </c>
    </row>
    <row r="259" spans="1:48" x14ac:dyDescent="0.25">
      <c r="A259" t="s">
        <v>227</v>
      </c>
      <c r="B259" s="101">
        <v>786</v>
      </c>
      <c r="C259" s="101">
        <v>8163</v>
      </c>
      <c r="D259" s="101">
        <v>94057</v>
      </c>
      <c r="E259" s="101">
        <v>0</v>
      </c>
      <c r="F259" s="101">
        <v>364</v>
      </c>
      <c r="G259" s="101">
        <v>3011</v>
      </c>
      <c r="H259" s="101">
        <v>34</v>
      </c>
      <c r="I259" s="101">
        <v>6731</v>
      </c>
      <c r="J259" s="101">
        <v>7</v>
      </c>
      <c r="K259" s="101">
        <v>18828</v>
      </c>
      <c r="L259" s="101">
        <v>92</v>
      </c>
      <c r="M259" s="101">
        <v>11404</v>
      </c>
      <c r="N259" s="101">
        <v>62508</v>
      </c>
      <c r="O259" s="101">
        <v>18558</v>
      </c>
      <c r="P259" s="101">
        <v>40032</v>
      </c>
      <c r="Q259" s="101">
        <v>2</v>
      </c>
      <c r="R259" s="101">
        <v>0</v>
      </c>
      <c r="S259" s="101">
        <v>5575</v>
      </c>
      <c r="T259" s="101">
        <v>16802</v>
      </c>
      <c r="U259" s="101">
        <v>28678</v>
      </c>
      <c r="V259" s="101">
        <v>82405</v>
      </c>
      <c r="W259" s="101">
        <v>142103</v>
      </c>
      <c r="X259" s="101">
        <v>142378</v>
      </c>
      <c r="Y259" s="101">
        <v>-275</v>
      </c>
      <c r="Z259" s="101">
        <v>10531</v>
      </c>
      <c r="AA259" s="101">
        <v>8822624.331378296</v>
      </c>
      <c r="AB259" s="101">
        <v>103547</v>
      </c>
      <c r="AC259" s="101">
        <v>92772.150999999998</v>
      </c>
      <c r="AD259" s="101">
        <v>47682</v>
      </c>
      <c r="AE259" t="s">
        <v>227</v>
      </c>
      <c r="AF259" s="149">
        <v>-5.4495682709020922E-2</v>
      </c>
      <c r="AG259" s="149">
        <v>0.20181136218095325</v>
      </c>
      <c r="AH259" s="149">
        <f t="shared" si="24"/>
        <v>2.375037824676467E-2</v>
      </c>
      <c r="AI259" s="149">
        <f t="shared" si="25"/>
        <v>4.7416310704207508E-2</v>
      </c>
      <c r="AJ259" s="149">
        <v>0.17146999007761976</v>
      </c>
      <c r="AK259" s="149">
        <v>0.43566564675871394</v>
      </c>
      <c r="AL259" s="149">
        <v>-1.9352160052919362E-3</v>
      </c>
      <c r="AM259" s="149">
        <v>6.685611401548841E-2</v>
      </c>
      <c r="AN259" s="149">
        <v>2.4610461657206258E-2</v>
      </c>
      <c r="AO259">
        <f t="shared" si="26"/>
        <v>1</v>
      </c>
      <c r="AP259" s="149">
        <v>3.6243077204562886E-2</v>
      </c>
      <c r="AQ259" s="149">
        <v>6.2207383211669909E-2</v>
      </c>
      <c r="AR259" s="149">
        <v>0.73009885352474158</v>
      </c>
      <c r="AS259" s="208">
        <v>1945.6430309131329</v>
      </c>
      <c r="AT259" s="149">
        <f t="shared" si="27"/>
        <v>5.1400000000000001E-2</v>
      </c>
      <c r="AU259" s="149">
        <v>0.25700000000000001</v>
      </c>
      <c r="AV259">
        <v>8</v>
      </c>
    </row>
    <row r="260" spans="1:48" x14ac:dyDescent="0.25">
      <c r="A260" t="s">
        <v>386</v>
      </c>
      <c r="B260" s="101">
        <v>554</v>
      </c>
      <c r="C260" s="101">
        <v>8685</v>
      </c>
      <c r="D260" s="101">
        <v>36400</v>
      </c>
      <c r="E260" s="101">
        <v>37</v>
      </c>
      <c r="F260" s="101">
        <v>0</v>
      </c>
      <c r="G260" s="101">
        <v>9559</v>
      </c>
      <c r="H260" s="101">
        <v>14900</v>
      </c>
      <c r="I260" s="101">
        <v>-3631</v>
      </c>
      <c r="J260" s="101">
        <v>0</v>
      </c>
      <c r="K260" s="101">
        <v>9743</v>
      </c>
      <c r="L260" s="101">
        <v>7</v>
      </c>
      <c r="M260" s="101">
        <v>2743</v>
      </c>
      <c r="N260" s="101">
        <v>54348</v>
      </c>
      <c r="O260" s="101">
        <v>6647</v>
      </c>
      <c r="P260" s="101">
        <v>0</v>
      </c>
      <c r="Q260" s="101">
        <v>36</v>
      </c>
      <c r="R260" s="101">
        <v>6000</v>
      </c>
      <c r="S260" s="101">
        <v>7154</v>
      </c>
      <c r="T260" s="101">
        <v>4811</v>
      </c>
      <c r="U260" s="101">
        <v>-18951</v>
      </c>
      <c r="V260" s="101">
        <v>38306</v>
      </c>
      <c r="W260" s="101">
        <v>58845</v>
      </c>
      <c r="X260" s="101">
        <v>59873</v>
      </c>
      <c r="Y260" s="101">
        <v>-1028</v>
      </c>
      <c r="Z260" s="101">
        <v>2208</v>
      </c>
      <c r="AA260" s="101">
        <v>2759428.0875000004</v>
      </c>
      <c r="AB260" s="101">
        <v>40827</v>
      </c>
      <c r="AC260" s="101">
        <v>41136.731</v>
      </c>
      <c r="AD260" s="101">
        <v>20188</v>
      </c>
      <c r="AE260" t="s">
        <v>386</v>
      </c>
      <c r="AF260" s="149">
        <v>-5.4720027190075619E-2</v>
      </c>
      <c r="AG260" s="149">
        <v>-0.32204945195003826</v>
      </c>
      <c r="AH260" s="149">
        <f t="shared" si="24"/>
        <v>0.162443708046563</v>
      </c>
      <c r="AI260" s="149">
        <f t="shared" si="25"/>
        <v>-6.170447786557906E-2</v>
      </c>
      <c r="AJ260" s="149">
        <v>-0.25936307247854534</v>
      </c>
      <c r="AK260" s="149">
        <v>0.68798420173173325</v>
      </c>
      <c r="AL260" s="149">
        <v>-1.7469623587390602E-2</v>
      </c>
      <c r="AM260" s="149">
        <v>4.0302911429107469E-2</v>
      </c>
      <c r="AN260" s="149">
        <v>-3.3690015338543572E-2</v>
      </c>
      <c r="AO260">
        <f t="shared" si="26"/>
        <v>2</v>
      </c>
      <c r="AP260" s="149">
        <v>3.1153878834225508E-2</v>
      </c>
      <c r="AQ260" s="149">
        <v>4.6893161483558508E-2</v>
      </c>
      <c r="AR260" s="149">
        <v>0.69380576089727253</v>
      </c>
      <c r="AS260" s="208">
        <v>2037.6823360412127</v>
      </c>
      <c r="AT260" s="149">
        <f t="shared" si="27"/>
        <v>6.3299999999999995E-2</v>
      </c>
      <c r="AU260" s="149">
        <v>0.3165</v>
      </c>
      <c r="AV260">
        <v>7.5</v>
      </c>
    </row>
    <row r="261" spans="1:48" x14ac:dyDescent="0.25">
      <c r="A261" t="s">
        <v>387</v>
      </c>
      <c r="B261" s="101">
        <v>98</v>
      </c>
      <c r="C261" s="101">
        <v>12757</v>
      </c>
      <c r="D261" s="101">
        <v>58875</v>
      </c>
      <c r="E261" s="101">
        <v>78</v>
      </c>
      <c r="F261" s="101">
        <v>0</v>
      </c>
      <c r="G261" s="101">
        <v>1695</v>
      </c>
      <c r="H261" s="101">
        <v>0</v>
      </c>
      <c r="I261" s="101">
        <v>-6753</v>
      </c>
      <c r="J261" s="101">
        <v>0</v>
      </c>
      <c r="K261" s="101">
        <v>7522</v>
      </c>
      <c r="L261" s="101">
        <v>4</v>
      </c>
      <c r="M261" s="101">
        <v>1070</v>
      </c>
      <c r="N261" s="101">
        <v>36715</v>
      </c>
      <c r="O261" s="101">
        <v>5265</v>
      </c>
      <c r="P261" s="101">
        <v>14390</v>
      </c>
      <c r="Q261" s="101">
        <v>12</v>
      </c>
      <c r="R261" s="101">
        <v>10000</v>
      </c>
      <c r="S261" s="101">
        <v>4572</v>
      </c>
      <c r="T261" s="101">
        <v>4391</v>
      </c>
      <c r="U261" s="101">
        <v>23074</v>
      </c>
      <c r="V261" s="101">
        <v>43494</v>
      </c>
      <c r="W261" s="101">
        <v>50225</v>
      </c>
      <c r="X261" s="101">
        <v>50905</v>
      </c>
      <c r="Y261" s="101">
        <v>-680</v>
      </c>
      <c r="Z261" s="101">
        <v>9583</v>
      </c>
      <c r="AA261" s="101">
        <v>3407962</v>
      </c>
      <c r="AB261" s="101">
        <v>35623</v>
      </c>
      <c r="AC261" s="101">
        <v>33549.281999999999</v>
      </c>
      <c r="AD261" s="101">
        <v>17959</v>
      </c>
      <c r="AE261" t="s">
        <v>387</v>
      </c>
      <c r="AF261" s="149">
        <v>-0.2424091587854654</v>
      </c>
      <c r="AG261" s="149">
        <v>0.45941264310602292</v>
      </c>
      <c r="AH261" s="149">
        <f t="shared" si="24"/>
        <v>3.3748133399701341E-2</v>
      </c>
      <c r="AI261" s="149">
        <f t="shared" si="25"/>
        <v>-0.13445495271279242</v>
      </c>
      <c r="AJ261" s="149">
        <v>0.55758088601294176</v>
      </c>
      <c r="AK261" s="149">
        <v>0.48729179109429954</v>
      </c>
      <c r="AL261" s="149">
        <v>-1.3539074166251866E-2</v>
      </c>
      <c r="AM261" s="149">
        <v>-4.8877904539135424E-2</v>
      </c>
      <c r="AN261" s="149">
        <v>2.6144871401242296E-2</v>
      </c>
      <c r="AO261">
        <f t="shared" si="26"/>
        <v>2</v>
      </c>
      <c r="AP261" s="149">
        <v>0.14054753608760578</v>
      </c>
      <c r="AQ261" s="149">
        <v>6.7996049481245019E-2</v>
      </c>
      <c r="AR261" s="149">
        <v>0.71075418994413408</v>
      </c>
      <c r="AS261" s="208">
        <v>1868.1041260649256</v>
      </c>
      <c r="AT261" s="149">
        <f t="shared" si="27"/>
        <v>5.8999999999999997E-2</v>
      </c>
      <c r="AU261" s="149">
        <v>0.29499999999999998</v>
      </c>
      <c r="AV261">
        <v>6.5</v>
      </c>
    </row>
    <row r="262" spans="1:48" x14ac:dyDescent="0.25">
      <c r="A262" t="s">
        <v>123</v>
      </c>
      <c r="B262" s="101">
        <v>3302</v>
      </c>
      <c r="C262" s="101">
        <v>2315</v>
      </c>
      <c r="D262" s="101">
        <v>82677</v>
      </c>
      <c r="E262" s="101">
        <v>651</v>
      </c>
      <c r="F262" s="101">
        <v>1899</v>
      </c>
      <c r="G262" s="101">
        <v>3218</v>
      </c>
      <c r="H262" s="101">
        <v>3</v>
      </c>
      <c r="I262" s="101">
        <v>305</v>
      </c>
      <c r="J262" s="101">
        <v>237</v>
      </c>
      <c r="K262" s="101">
        <v>25503</v>
      </c>
      <c r="L262" s="101">
        <v>2230</v>
      </c>
      <c r="M262" s="101">
        <v>4577</v>
      </c>
      <c r="N262" s="101">
        <v>57078</v>
      </c>
      <c r="O262" s="101">
        <v>6137</v>
      </c>
      <c r="P262" s="101">
        <v>41980</v>
      </c>
      <c r="Q262" s="101">
        <v>1</v>
      </c>
      <c r="R262" s="101">
        <v>0</v>
      </c>
      <c r="S262" s="101">
        <v>11028</v>
      </c>
      <c r="T262" s="101">
        <v>10691</v>
      </c>
      <c r="U262" s="101">
        <v>26270</v>
      </c>
      <c r="V262" s="101">
        <v>89492</v>
      </c>
      <c r="W262" s="101">
        <v>157537</v>
      </c>
      <c r="X262" s="101">
        <v>148846</v>
      </c>
      <c r="Y262" s="101">
        <v>8691</v>
      </c>
      <c r="Z262" s="101">
        <v>-1565</v>
      </c>
      <c r="AA262" s="101">
        <v>-947111.52432432491</v>
      </c>
      <c r="AB262" s="101">
        <v>127918</v>
      </c>
      <c r="AC262" s="101">
        <v>89237.448000000004</v>
      </c>
      <c r="AD262" s="101">
        <v>32013</v>
      </c>
      <c r="AE262" t="s">
        <v>123</v>
      </c>
      <c r="AF262" s="149">
        <v>6.3972273180268768E-2</v>
      </c>
      <c r="AG262" s="149">
        <v>0.16675447672610244</v>
      </c>
      <c r="AH262" s="149">
        <f t="shared" si="24"/>
        <v>3.2481258371049343E-2</v>
      </c>
      <c r="AI262" s="149">
        <f t="shared" si="25"/>
        <v>3.4404616058449763E-3</v>
      </c>
      <c r="AJ262" s="149">
        <v>0.16824390460653688</v>
      </c>
      <c r="AK262" s="149">
        <v>0.44973407398652643</v>
      </c>
      <c r="AL262" s="149">
        <v>5.5167992281178392E-2</v>
      </c>
      <c r="AM262" s="149">
        <v>4.6966866311335786E-2</v>
      </c>
      <c r="AN262" s="149">
        <v>1.3504216067457079E-2</v>
      </c>
      <c r="AO262">
        <f t="shared" si="26"/>
        <v>0</v>
      </c>
      <c r="AP262" s="149">
        <v>-1.9011406844106464E-3</v>
      </c>
      <c r="AQ262" s="149">
        <v>-6.0124139781643979E-3</v>
      </c>
      <c r="AR262" s="149">
        <v>0.81204372611505404</v>
      </c>
      <c r="AS262" s="208">
        <v>2787.5378127635649</v>
      </c>
      <c r="AT262" s="149">
        <f t="shared" si="27"/>
        <v>4.9099999999999998E-2</v>
      </c>
      <c r="AU262" s="149">
        <v>0.2455</v>
      </c>
      <c r="AV262">
        <v>7</v>
      </c>
    </row>
    <row r="263" spans="1:48" x14ac:dyDescent="0.25">
      <c r="A263" t="s">
        <v>156</v>
      </c>
      <c r="B263" s="101">
        <v>0</v>
      </c>
      <c r="C263" s="101">
        <v>5254</v>
      </c>
      <c r="D263" s="101">
        <v>27770</v>
      </c>
      <c r="E263" s="101">
        <v>184</v>
      </c>
      <c r="F263" s="101">
        <v>492</v>
      </c>
      <c r="G263" s="101">
        <v>509</v>
      </c>
      <c r="H263" s="101">
        <v>0</v>
      </c>
      <c r="I263" s="101">
        <v>4042</v>
      </c>
      <c r="J263" s="101">
        <v>0</v>
      </c>
      <c r="K263" s="101">
        <v>28432</v>
      </c>
      <c r="L263" s="101">
        <v>10</v>
      </c>
      <c r="M263" s="101">
        <v>1925</v>
      </c>
      <c r="N263" s="101">
        <v>55559</v>
      </c>
      <c r="O263" s="101">
        <v>2288</v>
      </c>
      <c r="P263" s="101">
        <v>0</v>
      </c>
      <c r="Q263" s="101">
        <v>0</v>
      </c>
      <c r="R263" s="101">
        <v>0</v>
      </c>
      <c r="S263" s="101">
        <v>5160</v>
      </c>
      <c r="T263" s="101">
        <v>5611</v>
      </c>
      <c r="U263" s="101">
        <v>-20597</v>
      </c>
      <c r="V263" s="101">
        <v>29020</v>
      </c>
      <c r="W263" s="101">
        <v>53876</v>
      </c>
      <c r="X263" s="101">
        <v>53351</v>
      </c>
      <c r="Y263" s="101">
        <v>525</v>
      </c>
      <c r="Z263" s="101">
        <v>3708</v>
      </c>
      <c r="AA263" s="101">
        <v>682378.16412213724</v>
      </c>
      <c r="AB263" s="101">
        <v>38524</v>
      </c>
      <c r="AC263" s="101">
        <v>35120.548000000003</v>
      </c>
      <c r="AD263" s="101">
        <v>17739</v>
      </c>
      <c r="AE263" t="s">
        <v>156</v>
      </c>
      <c r="AF263" s="149">
        <v>-6.9233053678818032E-2</v>
      </c>
      <c r="AG263" s="149">
        <v>-0.38230380874600933</v>
      </c>
      <c r="AH263" s="149">
        <f t="shared" si="24"/>
        <v>1.8579701536862423E-2</v>
      </c>
      <c r="AI263" s="149">
        <f t="shared" si="25"/>
        <v>7.5024129482515411E-2</v>
      </c>
      <c r="AJ263" s="149">
        <v>-0.43259113519934661</v>
      </c>
      <c r="AK263" s="149">
        <v>0.80968550526101024</v>
      </c>
      <c r="AL263" s="149">
        <v>9.7445987081446282E-3</v>
      </c>
      <c r="AM263" s="149">
        <v>0.11765683883839503</v>
      </c>
      <c r="AN263" s="149">
        <v>-8.0077651055569035E-3</v>
      </c>
      <c r="AO263">
        <f t="shared" si="26"/>
        <v>1</v>
      </c>
      <c r="AP263" s="149">
        <v>1.8579701536862423E-2</v>
      </c>
      <c r="AQ263" s="149">
        <v>1.266571690775368E-2</v>
      </c>
      <c r="AR263" s="149">
        <v>0.71504937263345458</v>
      </c>
      <c r="AS263" s="208">
        <v>1979.8493714414567</v>
      </c>
      <c r="AT263" s="149">
        <f t="shared" si="27"/>
        <v>6.6500000000000004E-2</v>
      </c>
      <c r="AU263" s="149">
        <v>0.33250000000000002</v>
      </c>
      <c r="AV263">
        <v>8.5</v>
      </c>
    </row>
    <row r="264" spans="1:48" x14ac:dyDescent="0.25">
      <c r="A264" t="s">
        <v>270</v>
      </c>
      <c r="B264" s="101">
        <v>479</v>
      </c>
      <c r="C264" s="101">
        <v>6970</v>
      </c>
      <c r="D264" s="101">
        <v>37958</v>
      </c>
      <c r="E264" s="101">
        <v>117</v>
      </c>
      <c r="F264" s="101">
        <v>6701</v>
      </c>
      <c r="G264" s="101">
        <v>7452</v>
      </c>
      <c r="H264" s="101">
        <v>0</v>
      </c>
      <c r="I264" s="101">
        <v>0</v>
      </c>
      <c r="J264" s="101">
        <v>1</v>
      </c>
      <c r="K264" s="101">
        <v>2386</v>
      </c>
      <c r="L264" s="101">
        <v>12972</v>
      </c>
      <c r="M264" s="101">
        <v>10630</v>
      </c>
      <c r="N264" s="101">
        <v>26352</v>
      </c>
      <c r="O264" s="101">
        <v>8825</v>
      </c>
      <c r="P264" s="101">
        <v>39065</v>
      </c>
      <c r="Q264" s="101">
        <v>0</v>
      </c>
      <c r="R264" s="101">
        <v>0</v>
      </c>
      <c r="S264" s="101">
        <v>4457</v>
      </c>
      <c r="T264" s="101">
        <v>6967</v>
      </c>
      <c r="U264" s="101">
        <v>10348</v>
      </c>
      <c r="V264" s="101">
        <v>50253</v>
      </c>
      <c r="W264" s="101">
        <v>71217</v>
      </c>
      <c r="X264" s="101">
        <v>66947</v>
      </c>
      <c r="Y264" s="101">
        <v>4270</v>
      </c>
      <c r="Z264" s="101">
        <v>-1038</v>
      </c>
      <c r="AA264" s="101">
        <v>1140601.408839779</v>
      </c>
      <c r="AB264" s="101">
        <v>51497</v>
      </c>
      <c r="AC264" s="101">
        <v>46420.245999999999</v>
      </c>
      <c r="AD264" s="101">
        <v>22217</v>
      </c>
      <c r="AE264" t="s">
        <v>270</v>
      </c>
      <c r="AF264" s="149">
        <v>8.9220270441046384E-2</v>
      </c>
      <c r="AG264" s="149">
        <v>0.14530238566634371</v>
      </c>
      <c r="AH264" s="149">
        <f t="shared" si="24"/>
        <v>0.1987306401561425</v>
      </c>
      <c r="AI264" s="149">
        <f t="shared" si="25"/>
        <v>1.4041591193114003E-5</v>
      </c>
      <c r="AJ264" s="149">
        <v>0.16914023337124562</v>
      </c>
      <c r="AK264" s="149">
        <v>0.30761328881936822</v>
      </c>
      <c r="AL264" s="149">
        <v>5.9957594394596796E-2</v>
      </c>
      <c r="AM264" s="149">
        <v>6.4180704441041347E-2</v>
      </c>
      <c r="AN264" s="149">
        <v>1.9242792636332058E-2</v>
      </c>
      <c r="AO264">
        <f t="shared" si="26"/>
        <v>0</v>
      </c>
      <c r="AP264" s="149">
        <v>-1.7011387730457614E-2</v>
      </c>
      <c r="AQ264" s="149">
        <v>1.6030715082567763E-2</v>
      </c>
      <c r="AR264" s="149">
        <v>0.72377057244451937</v>
      </c>
      <c r="AS264" s="208">
        <v>2089.4020794886796</v>
      </c>
      <c r="AT264" s="149">
        <f t="shared" si="27"/>
        <v>4.2799999999999998E-2</v>
      </c>
      <c r="AU264" s="149">
        <v>0.214</v>
      </c>
      <c r="AV264">
        <v>9</v>
      </c>
    </row>
    <row r="265" spans="1:48" x14ac:dyDescent="0.25">
      <c r="A265" t="s">
        <v>388</v>
      </c>
      <c r="B265" s="101">
        <v>0</v>
      </c>
      <c r="C265" s="101">
        <v>6715</v>
      </c>
      <c r="D265" s="101">
        <v>42719</v>
      </c>
      <c r="E265" s="101">
        <v>297</v>
      </c>
      <c r="F265" s="101">
        <v>0</v>
      </c>
      <c r="G265" s="101">
        <v>5051</v>
      </c>
      <c r="H265" s="101">
        <v>0</v>
      </c>
      <c r="I265" s="101">
        <v>-7878</v>
      </c>
      <c r="J265" s="101">
        <v>4</v>
      </c>
      <c r="K265" s="101">
        <v>7711</v>
      </c>
      <c r="L265" s="101">
        <v>23596</v>
      </c>
      <c r="M265" s="101">
        <v>781</v>
      </c>
      <c r="N265" s="101">
        <v>31646</v>
      </c>
      <c r="O265" s="101">
        <v>20617</v>
      </c>
      <c r="P265" s="101">
        <v>14500</v>
      </c>
      <c r="Q265" s="101">
        <v>2</v>
      </c>
      <c r="R265" s="101">
        <v>7233</v>
      </c>
      <c r="S265" s="101">
        <v>79</v>
      </c>
      <c r="T265" s="101">
        <v>4921</v>
      </c>
      <c r="U265" s="101">
        <v>-10404</v>
      </c>
      <c r="V265" s="101">
        <v>47804</v>
      </c>
      <c r="W265" s="101">
        <v>75717</v>
      </c>
      <c r="X265" s="101">
        <v>75971</v>
      </c>
      <c r="Y265" s="101">
        <v>-254</v>
      </c>
      <c r="Z265" s="101">
        <v>-321</v>
      </c>
      <c r="AA265" s="101">
        <v>2518925.9672131147</v>
      </c>
      <c r="AB265" s="101">
        <v>56446</v>
      </c>
      <c r="AC265" s="101">
        <v>52478.862000000001</v>
      </c>
      <c r="AD265" s="101">
        <v>24476</v>
      </c>
      <c r="AE265" t="s">
        <v>388</v>
      </c>
      <c r="AF265" s="149">
        <v>-2.4697227835228548E-3</v>
      </c>
      <c r="AG265" s="149">
        <v>-0.13740639486508974</v>
      </c>
      <c r="AH265" s="149">
        <f t="shared" si="24"/>
        <v>6.6708929302534442E-2</v>
      </c>
      <c r="AI265" s="149">
        <f t="shared" si="25"/>
        <v>-0.10399249838213347</v>
      </c>
      <c r="AJ265" s="149">
        <v>-5.6606574481292186E-2</v>
      </c>
      <c r="AK265" s="149">
        <v>0.40059242006126738</v>
      </c>
      <c r="AL265" s="149">
        <v>-3.3545967220043054E-3</v>
      </c>
      <c r="AM265" s="149">
        <v>-2.7061402321868318E-4</v>
      </c>
      <c r="AN265" s="149">
        <v>-3.7919000557201092E-2</v>
      </c>
      <c r="AO265">
        <f t="shared" si="26"/>
        <v>3</v>
      </c>
      <c r="AP265" s="149">
        <v>5.3818825362864347E-3</v>
      </c>
      <c r="AQ265" s="149">
        <v>3.3267640915687555E-2</v>
      </c>
      <c r="AR265" s="149">
        <v>0.74548648256005912</v>
      </c>
      <c r="AS265" s="208">
        <v>2144.0947050171599</v>
      </c>
      <c r="AT265" s="149">
        <f t="shared" si="27"/>
        <v>6.0299999999999999E-2</v>
      </c>
      <c r="AU265" s="149">
        <v>0.30149999999999999</v>
      </c>
      <c r="AV265">
        <v>7.5</v>
      </c>
    </row>
    <row r="266" spans="1:48" x14ac:dyDescent="0.25">
      <c r="A266" t="s">
        <v>157</v>
      </c>
      <c r="B266" s="101">
        <v>273</v>
      </c>
      <c r="C266" s="101">
        <v>4516</v>
      </c>
      <c r="D266" s="101">
        <v>110061</v>
      </c>
      <c r="E266" s="101">
        <v>1246</v>
      </c>
      <c r="F266" s="101">
        <v>5796</v>
      </c>
      <c r="G266" s="101">
        <v>3483</v>
      </c>
      <c r="H266" s="101">
        <v>0</v>
      </c>
      <c r="I266" s="101">
        <v>3661</v>
      </c>
      <c r="J266" s="101">
        <v>98</v>
      </c>
      <c r="K266" s="101">
        <v>12324</v>
      </c>
      <c r="L266" s="101">
        <v>1009</v>
      </c>
      <c r="M266" s="101">
        <v>6679</v>
      </c>
      <c r="N266" s="101">
        <v>57847</v>
      </c>
      <c r="O266" s="101">
        <v>9301</v>
      </c>
      <c r="P266" s="101">
        <v>56257</v>
      </c>
      <c r="Q266" s="101">
        <v>1010</v>
      </c>
      <c r="R266" s="101">
        <v>4566</v>
      </c>
      <c r="S266" s="101">
        <v>8536</v>
      </c>
      <c r="T266" s="101">
        <v>11629</v>
      </c>
      <c r="U266" s="101">
        <v>52707</v>
      </c>
      <c r="V266" s="101">
        <v>99250</v>
      </c>
      <c r="W266" s="101">
        <v>172787</v>
      </c>
      <c r="X266" s="101">
        <v>166453</v>
      </c>
      <c r="Y266" s="101">
        <v>6334</v>
      </c>
      <c r="Z266" s="101">
        <v>4830</v>
      </c>
      <c r="AA266" s="101">
        <v>5672362.0996767227</v>
      </c>
      <c r="AB266" s="101">
        <v>126963</v>
      </c>
      <c r="AC266" s="101">
        <v>106311.173</v>
      </c>
      <c r="AD266" s="101">
        <v>45472</v>
      </c>
      <c r="AE266" t="s">
        <v>157</v>
      </c>
      <c r="AF266" s="149">
        <v>-2.6923321777680035E-2</v>
      </c>
      <c r="AG266" s="149">
        <v>0.30504030974552482</v>
      </c>
      <c r="AH266" s="149">
        <f t="shared" si="24"/>
        <v>5.3701956744431005E-2</v>
      </c>
      <c r="AI266" s="149">
        <f t="shared" si="25"/>
        <v>2.1755108891293905E-2</v>
      </c>
      <c r="AJ266" s="149">
        <v>0.2962559683309508</v>
      </c>
      <c r="AK266" s="149">
        <v>0.38785485363335254</v>
      </c>
      <c r="AL266" s="149">
        <v>3.6657850416987388E-2</v>
      </c>
      <c r="AM266" s="149">
        <v>3.3022222501935268E-2</v>
      </c>
      <c r="AN266" s="149">
        <v>1.5775189415356779E-2</v>
      </c>
      <c r="AO266">
        <f t="shared" si="26"/>
        <v>0</v>
      </c>
      <c r="AP266" s="149">
        <v>2.2571142504933819E-2</v>
      </c>
      <c r="AQ266" s="149">
        <v>3.2828639305484339E-2</v>
      </c>
      <c r="AR266" s="149">
        <v>0.73479486303946473</v>
      </c>
      <c r="AS266" s="208">
        <v>2337.9480339549614</v>
      </c>
      <c r="AT266" s="149">
        <f t="shared" si="27"/>
        <v>4.4200000000000003E-2</v>
      </c>
      <c r="AU266" s="149">
        <v>0.22100000000000003</v>
      </c>
      <c r="AV266">
        <v>10</v>
      </c>
    </row>
    <row r="267" spans="1:48" x14ac:dyDescent="0.25">
      <c r="A267" t="s">
        <v>727</v>
      </c>
      <c r="B267" s="101">
        <v>26</v>
      </c>
      <c r="C267" s="101">
        <v>4579</v>
      </c>
      <c r="D267" s="101">
        <v>88728</v>
      </c>
      <c r="E267" s="101">
        <v>668</v>
      </c>
      <c r="F267" s="101">
        <v>2147</v>
      </c>
      <c r="G267" s="101">
        <v>2815</v>
      </c>
      <c r="H267" s="101">
        <v>0</v>
      </c>
      <c r="I267" s="101">
        <v>1354</v>
      </c>
      <c r="J267" s="101">
        <v>3</v>
      </c>
      <c r="K267" s="101">
        <v>12503</v>
      </c>
      <c r="L267" s="101">
        <v>174</v>
      </c>
      <c r="M267" s="101">
        <v>618</v>
      </c>
      <c r="N267" s="101">
        <v>35545</v>
      </c>
      <c r="O267" s="101">
        <v>5353</v>
      </c>
      <c r="P267" s="101">
        <v>54661</v>
      </c>
      <c r="Q267" s="101">
        <v>18</v>
      </c>
      <c r="R267" s="101">
        <v>637</v>
      </c>
      <c r="S267" s="101">
        <v>6605</v>
      </c>
      <c r="T267" s="101">
        <v>10798</v>
      </c>
      <c r="U267" s="101">
        <v>54462</v>
      </c>
      <c r="V267" s="101">
        <v>84002</v>
      </c>
      <c r="W267" s="101">
        <v>78848</v>
      </c>
      <c r="X267" s="101">
        <v>73624</v>
      </c>
      <c r="Y267" s="101">
        <v>5224</v>
      </c>
      <c r="Z267" s="101">
        <v>2830</v>
      </c>
      <c r="AA267" s="101">
        <v>944161.97784342617</v>
      </c>
      <c r="AB267" s="101">
        <v>59069</v>
      </c>
      <c r="AC267" s="101">
        <v>46174.394</v>
      </c>
      <c r="AD267" s="101">
        <v>24744</v>
      </c>
      <c r="AE267" t="s">
        <v>727</v>
      </c>
      <c r="AF267" s="149">
        <v>3.192217938311688E-2</v>
      </c>
      <c r="AG267" s="149">
        <v>0.69072138798701299</v>
      </c>
      <c r="AH267" s="149">
        <f t="shared" si="24"/>
        <v>6.2931209415584416E-2</v>
      </c>
      <c r="AI267" s="149">
        <f t="shared" si="25"/>
        <v>1.7210328733766232E-2</v>
      </c>
      <c r="AJ267" s="149">
        <v>0.68622590300324671</v>
      </c>
      <c r="AK267" s="149">
        <v>0.31284930952234263</v>
      </c>
      <c r="AL267" s="149">
        <v>6.6254058441558447E-2</v>
      </c>
      <c r="AM267" s="149">
        <v>4.6770428015564205E-2</v>
      </c>
      <c r="AN267" s="149">
        <v>6.952284746568424E-2</v>
      </c>
      <c r="AO267">
        <f t="shared" si="26"/>
        <v>0</v>
      </c>
      <c r="AP267" s="149">
        <v>2.9585404829545456E-2</v>
      </c>
      <c r="AQ267" s="149">
        <v>1.1974456902437933E-2</v>
      </c>
      <c r="AR267" s="149">
        <v>0.74915026379870131</v>
      </c>
      <c r="AS267" s="208">
        <v>1866.0844649207888</v>
      </c>
      <c r="AT267" s="149">
        <f t="shared" si="27"/>
        <v>3.6600000000000001E-2</v>
      </c>
      <c r="AU267" s="149">
        <v>0.183</v>
      </c>
      <c r="AV267">
        <v>9</v>
      </c>
    </row>
    <row r="268" spans="1:48" x14ac:dyDescent="0.25">
      <c r="A268" t="s">
        <v>228</v>
      </c>
      <c r="B268" s="101">
        <v>0</v>
      </c>
      <c r="C268" s="101">
        <v>6910</v>
      </c>
      <c r="D268" s="101">
        <v>185558</v>
      </c>
      <c r="E268" s="101">
        <v>127</v>
      </c>
      <c r="F268" s="101">
        <v>320</v>
      </c>
      <c r="G268" s="101">
        <v>1119</v>
      </c>
      <c r="H268" s="101">
        <v>0</v>
      </c>
      <c r="I268" s="101">
        <v>2201</v>
      </c>
      <c r="J268" s="101">
        <v>0</v>
      </c>
      <c r="K268" s="101">
        <v>23846</v>
      </c>
      <c r="L268" s="101">
        <v>2558</v>
      </c>
      <c r="M268" s="101">
        <v>6951</v>
      </c>
      <c r="N268" s="101">
        <v>43614</v>
      </c>
      <c r="O268" s="101">
        <v>27609</v>
      </c>
      <c r="P268" s="101">
        <v>109743</v>
      </c>
      <c r="Q268" s="101">
        <v>40</v>
      </c>
      <c r="R268" s="101">
        <v>10000</v>
      </c>
      <c r="S268" s="101">
        <v>13656</v>
      </c>
      <c r="T268" s="101">
        <v>24928</v>
      </c>
      <c r="U268" s="101">
        <v>123573</v>
      </c>
      <c r="V268" s="101">
        <v>162773</v>
      </c>
      <c r="W268" s="101">
        <v>180851</v>
      </c>
      <c r="X268" s="101">
        <v>184003</v>
      </c>
      <c r="Y268" s="101">
        <v>-3152</v>
      </c>
      <c r="Z268" s="101">
        <v>15765</v>
      </c>
      <c r="AA268" s="101">
        <v>11920863.698717948</v>
      </c>
      <c r="AB268" s="101">
        <v>131783</v>
      </c>
      <c r="AC268" s="101">
        <v>119628.54</v>
      </c>
      <c r="AD268" s="101">
        <v>65878</v>
      </c>
      <c r="AE268" t="s">
        <v>228</v>
      </c>
      <c r="AF268" s="149">
        <v>-0.11505051119429807</v>
      </c>
      <c r="AG268" s="149">
        <v>0.68328624115984982</v>
      </c>
      <c r="AH268" s="149">
        <f t="shared" si="24"/>
        <v>7.956826337703414E-3</v>
      </c>
      <c r="AI268" s="149">
        <f t="shared" si="25"/>
        <v>1.2170239589496326E-2</v>
      </c>
      <c r="AJ268" s="149">
        <v>0.67572189260772686</v>
      </c>
      <c r="AK268" s="149">
        <v>0.18996471971775775</v>
      </c>
      <c r="AL268" s="149">
        <v>-1.7428712033663071E-2</v>
      </c>
      <c r="AM268" s="149">
        <v>3.8147949770874247E-3</v>
      </c>
      <c r="AN268" s="149">
        <v>-4.6911618930078974E-2</v>
      </c>
      <c r="AO268">
        <f t="shared" si="26"/>
        <v>2</v>
      </c>
      <c r="AP268" s="149">
        <v>4.1048985076112376E-2</v>
      </c>
      <c r="AQ268" s="149">
        <v>6.5915387245400622E-2</v>
      </c>
      <c r="AR268" s="149">
        <v>0.72868272777037446</v>
      </c>
      <c r="AS268" s="208">
        <v>1815.9103190746532</v>
      </c>
      <c r="AT268" s="149">
        <f t="shared" si="27"/>
        <v>5.28E-2</v>
      </c>
      <c r="AU268" s="149">
        <v>0.26400000000000001</v>
      </c>
      <c r="AV268">
        <v>7</v>
      </c>
    </row>
    <row r="269" spans="1:48" x14ac:dyDescent="0.25">
      <c r="A269" t="s">
        <v>438</v>
      </c>
      <c r="B269" s="101">
        <v>2933</v>
      </c>
      <c r="C269" s="101">
        <v>16824</v>
      </c>
      <c r="D269" s="101">
        <v>200987</v>
      </c>
      <c r="E269" s="101">
        <v>1581</v>
      </c>
      <c r="F269" s="101">
        <v>20547</v>
      </c>
      <c r="G269" s="101">
        <v>8118</v>
      </c>
      <c r="H269" s="101">
        <v>0</v>
      </c>
      <c r="I269" s="101">
        <v>10163</v>
      </c>
      <c r="J269" s="101">
        <v>70</v>
      </c>
      <c r="K269" s="101">
        <v>25694</v>
      </c>
      <c r="L269" s="101">
        <v>7192</v>
      </c>
      <c r="M269" s="101">
        <v>10047</v>
      </c>
      <c r="N269" s="101">
        <v>69186</v>
      </c>
      <c r="O269" s="101">
        <v>23387</v>
      </c>
      <c r="P269" s="101">
        <v>154156</v>
      </c>
      <c r="Q269" s="101">
        <v>0</v>
      </c>
      <c r="R269" s="101">
        <v>12081</v>
      </c>
      <c r="S269" s="101">
        <v>15987</v>
      </c>
      <c r="T269" s="101">
        <v>29363</v>
      </c>
      <c r="U269" s="101">
        <v>139989</v>
      </c>
      <c r="V269" s="101">
        <v>211975</v>
      </c>
      <c r="W269" s="101">
        <v>362394</v>
      </c>
      <c r="X269" s="101">
        <v>365033</v>
      </c>
      <c r="Y269" s="101">
        <v>-2639</v>
      </c>
      <c r="Z269" s="101">
        <v>909</v>
      </c>
      <c r="AA269" s="101">
        <v>5025190.936567165</v>
      </c>
      <c r="AB269" s="101">
        <v>276358</v>
      </c>
      <c r="AC269" s="101">
        <v>226800.18</v>
      </c>
      <c r="AD269" s="101">
        <v>90421</v>
      </c>
      <c r="AE269" t="s">
        <v>438</v>
      </c>
      <c r="AF269" s="149">
        <v>-2.8538000077263974E-2</v>
      </c>
      <c r="AG269" s="149">
        <v>0.38628950810443879</v>
      </c>
      <c r="AH269" s="149">
        <f t="shared" si="24"/>
        <v>7.9098991705160687E-2</v>
      </c>
      <c r="AI269" s="149">
        <f t="shared" si="25"/>
        <v>2.8237222470570703E-2</v>
      </c>
      <c r="AJ269" s="149">
        <v>0.37601533137965859</v>
      </c>
      <c r="AK269" s="149">
        <v>0.22746580746975276</v>
      </c>
      <c r="AL269" s="149">
        <v>-7.2821293950782852E-3</v>
      </c>
      <c r="AM269" s="149">
        <v>2.851744718685326E-2</v>
      </c>
      <c r="AN269" s="149">
        <v>3.9084218605881176E-2</v>
      </c>
      <c r="AO269">
        <f t="shared" si="26"/>
        <v>1</v>
      </c>
      <c r="AP269" s="149">
        <v>6.0493551217735394E-3</v>
      </c>
      <c r="AQ269" s="149">
        <v>1.3866650486948363E-2</v>
      </c>
      <c r="AR269" s="149">
        <v>0.7625898883535599</v>
      </c>
      <c r="AS269" s="208">
        <v>2508.268875593059</v>
      </c>
      <c r="AT269" s="149">
        <f t="shared" si="27"/>
        <v>5.5100000000000003E-2</v>
      </c>
      <c r="AU269" s="149">
        <v>0.27550000000000002</v>
      </c>
      <c r="AV269">
        <v>7</v>
      </c>
    </row>
    <row r="270" spans="1:48" x14ac:dyDescent="0.25">
      <c r="A270" t="s">
        <v>337</v>
      </c>
      <c r="B270" s="101">
        <v>4777</v>
      </c>
      <c r="C270" s="101">
        <v>9318</v>
      </c>
      <c r="D270" s="101">
        <v>198989</v>
      </c>
      <c r="E270" s="101">
        <v>0</v>
      </c>
      <c r="F270" s="101">
        <v>0</v>
      </c>
      <c r="G270" s="101">
        <v>1326</v>
      </c>
      <c r="H270" s="101">
        <v>13259</v>
      </c>
      <c r="I270" s="101">
        <v>7596</v>
      </c>
      <c r="J270" s="101">
        <v>0</v>
      </c>
      <c r="K270" s="101">
        <v>44971</v>
      </c>
      <c r="L270" s="101">
        <v>8971</v>
      </c>
      <c r="M270" s="101">
        <v>6850</v>
      </c>
      <c r="N270" s="101">
        <v>116596</v>
      </c>
      <c r="O270" s="101">
        <v>15183</v>
      </c>
      <c r="P270" s="101">
        <v>115847</v>
      </c>
      <c r="Q270" s="101">
        <v>0</v>
      </c>
      <c r="R270" s="101">
        <v>686</v>
      </c>
      <c r="S270" s="101">
        <v>11891</v>
      </c>
      <c r="T270" s="101">
        <v>35854</v>
      </c>
      <c r="U270" s="101">
        <v>88901</v>
      </c>
      <c r="V270" s="101">
        <v>195428</v>
      </c>
      <c r="W270" s="101">
        <v>230035</v>
      </c>
      <c r="X270" s="101">
        <v>203418</v>
      </c>
      <c r="Y270" s="101">
        <v>26617</v>
      </c>
      <c r="Z270" s="101">
        <v>13008</v>
      </c>
      <c r="AA270" s="101">
        <v>-1975519</v>
      </c>
      <c r="AB270" s="101">
        <v>159429</v>
      </c>
      <c r="AC270" s="101">
        <v>123929.656</v>
      </c>
      <c r="AD270" s="101">
        <v>55132</v>
      </c>
      <c r="AE270" t="s">
        <v>337</v>
      </c>
      <c r="AF270" s="149">
        <v>5.6261003760297343E-2</v>
      </c>
      <c r="AG270" s="149">
        <v>0.38646727671876019</v>
      </c>
      <c r="AH270" s="149">
        <f t="shared" si="24"/>
        <v>5.7643402090986158E-3</v>
      </c>
      <c r="AI270" s="149">
        <f t="shared" si="25"/>
        <v>3.3021062012302475E-2</v>
      </c>
      <c r="AJ270" s="149">
        <v>0.36404425413524027</v>
      </c>
      <c r="AK270" s="149">
        <v>0.39382956660372831</v>
      </c>
      <c r="AL270" s="149">
        <v>0.11570847914447802</v>
      </c>
      <c r="AM270" s="149">
        <v>0.12785507508164148</v>
      </c>
      <c r="AN270" s="149">
        <v>4.4273149520703624E-2</v>
      </c>
      <c r="AO270">
        <f t="shared" si="26"/>
        <v>0</v>
      </c>
      <c r="AP270" s="149">
        <v>1.9188384376290564E-2</v>
      </c>
      <c r="AQ270" s="149">
        <v>-8.5879061881887538E-3</v>
      </c>
      <c r="AR270" s="149">
        <v>0.69306409894146548</v>
      </c>
      <c r="AS270" s="208">
        <v>2247.8715809330333</v>
      </c>
      <c r="AT270" s="149">
        <f t="shared" si="27"/>
        <v>2.1399999999999999E-2</v>
      </c>
      <c r="AU270" s="149">
        <v>0.107</v>
      </c>
      <c r="AV270">
        <v>8.5</v>
      </c>
    </row>
    <row r="271" spans="1:48" x14ac:dyDescent="0.25">
      <c r="A271" t="s">
        <v>135</v>
      </c>
      <c r="B271" s="101">
        <v>0</v>
      </c>
      <c r="C271" s="101">
        <v>1133</v>
      </c>
      <c r="D271" s="101">
        <v>19336</v>
      </c>
      <c r="E271" s="101">
        <v>71</v>
      </c>
      <c r="F271" s="101">
        <v>206</v>
      </c>
      <c r="G271" s="101">
        <v>416</v>
      </c>
      <c r="H271" s="101">
        <v>97</v>
      </c>
      <c r="I271" s="101">
        <v>2218</v>
      </c>
      <c r="J271" s="101">
        <v>5</v>
      </c>
      <c r="K271" s="101">
        <v>2460</v>
      </c>
      <c r="L271" s="101">
        <v>6382</v>
      </c>
      <c r="M271" s="101">
        <v>3572</v>
      </c>
      <c r="N271" s="101">
        <v>11369</v>
      </c>
      <c r="O271" s="101">
        <v>4826</v>
      </c>
      <c r="P271" s="101">
        <v>9356</v>
      </c>
      <c r="Q271" s="101">
        <v>0</v>
      </c>
      <c r="R271" s="101">
        <v>0</v>
      </c>
      <c r="S271" s="101">
        <v>1479</v>
      </c>
      <c r="T271" s="101">
        <v>8863</v>
      </c>
      <c r="U271" s="101">
        <v>6565</v>
      </c>
      <c r="V271" s="101">
        <v>18902</v>
      </c>
      <c r="W271" s="101">
        <v>29241</v>
      </c>
      <c r="X271" s="101">
        <v>28640</v>
      </c>
      <c r="Y271" s="101">
        <v>601</v>
      </c>
      <c r="Z271" s="101">
        <v>-731</v>
      </c>
      <c r="AA271" s="101">
        <v>992179</v>
      </c>
      <c r="AB271" s="101">
        <v>16789</v>
      </c>
      <c r="AC271" s="101">
        <v>14755.094999999999</v>
      </c>
      <c r="AD271" s="101">
        <v>4898</v>
      </c>
      <c r="AE271" t="s">
        <v>135</v>
      </c>
      <c r="AF271" s="149">
        <v>6.053144557299682E-2</v>
      </c>
      <c r="AG271" s="149">
        <v>0.22451352552922266</v>
      </c>
      <c r="AH271" s="149">
        <f t="shared" si="24"/>
        <v>2.1271502342601143E-2</v>
      </c>
      <c r="AI271" s="149">
        <f t="shared" si="25"/>
        <v>7.6023391812865493E-2</v>
      </c>
      <c r="AJ271" s="149">
        <v>0.17384973154132896</v>
      </c>
      <c r="AK271" s="149">
        <v>0.31674699802189843</v>
      </c>
      <c r="AL271" s="149">
        <v>2.0553332649362197E-2</v>
      </c>
      <c r="AM271" s="149">
        <v>3.1190209739720587E-2</v>
      </c>
      <c r="AN271" s="149">
        <v>1.0681428348666771E-2</v>
      </c>
      <c r="AO271">
        <f t="shared" si="26"/>
        <v>0</v>
      </c>
      <c r="AP271" s="149">
        <v>1.3397284634588421E-2</v>
      </c>
      <c r="AQ271" s="149">
        <v>3.3975242269629835E-2</v>
      </c>
      <c r="AR271" s="149">
        <v>0.57490668766907504</v>
      </c>
      <c r="AS271" s="208">
        <v>3012.473458554512</v>
      </c>
      <c r="AT271" s="149">
        <f t="shared" si="27"/>
        <v>3.7999999999999999E-2</v>
      </c>
      <c r="AU271" s="149">
        <v>0.19</v>
      </c>
      <c r="AV271">
        <v>9.5</v>
      </c>
    </row>
    <row r="272" spans="1:48" x14ac:dyDescent="0.25">
      <c r="A272" t="s">
        <v>271</v>
      </c>
      <c r="B272" s="101">
        <v>788</v>
      </c>
      <c r="C272" s="101">
        <v>1378</v>
      </c>
      <c r="D272" s="101">
        <v>92636</v>
      </c>
      <c r="E272" s="101">
        <v>2030</v>
      </c>
      <c r="F272" s="101">
        <v>3669</v>
      </c>
      <c r="G272" s="101">
        <v>120</v>
      </c>
      <c r="H272" s="101">
        <v>706</v>
      </c>
      <c r="I272" s="101">
        <v>2760</v>
      </c>
      <c r="J272" s="101">
        <v>0</v>
      </c>
      <c r="K272" s="101">
        <v>8296</v>
      </c>
      <c r="L272" s="101">
        <v>432</v>
      </c>
      <c r="M272" s="101">
        <v>11616</v>
      </c>
      <c r="N272" s="101">
        <v>45186</v>
      </c>
      <c r="O272" s="101">
        <v>14764</v>
      </c>
      <c r="P272" s="101">
        <v>53473</v>
      </c>
      <c r="Q272" s="101">
        <v>0</v>
      </c>
      <c r="R272" s="101">
        <v>2500</v>
      </c>
      <c r="S272" s="101">
        <v>1361</v>
      </c>
      <c r="T272" s="101">
        <v>7147</v>
      </c>
      <c r="U272" s="101">
        <v>39642</v>
      </c>
      <c r="V272" s="101">
        <v>55533</v>
      </c>
      <c r="W272" s="101">
        <v>75011</v>
      </c>
      <c r="X272" s="101">
        <v>72018</v>
      </c>
      <c r="Y272" s="101">
        <v>2993</v>
      </c>
      <c r="Z272" s="101">
        <v>5897</v>
      </c>
      <c r="AA272" s="101">
        <v>7086055</v>
      </c>
      <c r="AB272" s="101">
        <v>43752</v>
      </c>
      <c r="AC272" s="101">
        <v>26115.138999999999</v>
      </c>
      <c r="AD272" s="101">
        <v>13815</v>
      </c>
      <c r="AE272" t="s">
        <v>271</v>
      </c>
      <c r="AF272" s="149">
        <v>-3.1182093292983697E-2</v>
      </c>
      <c r="AG272" s="149">
        <v>0.52848248923491226</v>
      </c>
      <c r="AH272" s="149">
        <f t="shared" si="24"/>
        <v>5.0512591486581965E-2</v>
      </c>
      <c r="AI272" s="149">
        <f t="shared" si="25"/>
        <v>3.6794603458159471E-2</v>
      </c>
      <c r="AJ272" s="149">
        <v>0.50878777779259043</v>
      </c>
      <c r="AK272" s="149">
        <v>0.36314101791354242</v>
      </c>
      <c r="AL272" s="149">
        <v>3.9900814547199744E-2</v>
      </c>
      <c r="AM272" s="149">
        <v>5.9551220628405531E-2</v>
      </c>
      <c r="AN272" s="149">
        <v>0.18454538541481838</v>
      </c>
      <c r="AO272">
        <f t="shared" si="26"/>
        <v>0</v>
      </c>
      <c r="AP272" s="149">
        <v>0.13087747130420871</v>
      </c>
      <c r="AQ272" s="149">
        <v>9.446687819119863E-2</v>
      </c>
      <c r="AR272" s="149">
        <v>0.58327445308021486</v>
      </c>
      <c r="AS272" s="208">
        <v>1890.3466521896489</v>
      </c>
      <c r="AT272" s="149">
        <f t="shared" si="27"/>
        <v>3.0300000000000001E-2</v>
      </c>
      <c r="AU272" s="149">
        <v>0.1515</v>
      </c>
      <c r="AV272">
        <v>8</v>
      </c>
    </row>
    <row r="273" spans="1:48" x14ac:dyDescent="0.25">
      <c r="A273" t="s">
        <v>317</v>
      </c>
      <c r="B273" s="101">
        <v>409</v>
      </c>
      <c r="C273" s="101">
        <v>12519</v>
      </c>
      <c r="D273" s="101">
        <v>82376</v>
      </c>
      <c r="E273" s="101">
        <v>277</v>
      </c>
      <c r="F273" s="101">
        <v>4273</v>
      </c>
      <c r="G273" s="101">
        <v>8690</v>
      </c>
      <c r="H273" s="101">
        <v>0</v>
      </c>
      <c r="I273" s="101">
        <v>3134</v>
      </c>
      <c r="J273" s="101">
        <v>0</v>
      </c>
      <c r="K273" s="101">
        <v>34371</v>
      </c>
      <c r="L273" s="101">
        <v>320</v>
      </c>
      <c r="M273" s="101">
        <v>9922</v>
      </c>
      <c r="N273" s="101">
        <v>86300</v>
      </c>
      <c r="O273" s="101">
        <v>12711</v>
      </c>
      <c r="P273" s="101">
        <v>44529</v>
      </c>
      <c r="Q273" s="101">
        <v>32</v>
      </c>
      <c r="R273" s="101">
        <v>0</v>
      </c>
      <c r="S273" s="101">
        <v>6198</v>
      </c>
      <c r="T273" s="101">
        <v>6523</v>
      </c>
      <c r="U273" s="101">
        <v>-294</v>
      </c>
      <c r="V273" s="101">
        <v>75632</v>
      </c>
      <c r="W273" s="101">
        <v>109389</v>
      </c>
      <c r="X273" s="101">
        <v>108551</v>
      </c>
      <c r="Y273" s="101">
        <v>838</v>
      </c>
      <c r="Z273" s="101">
        <v>1838</v>
      </c>
      <c r="AA273" s="101">
        <v>7599276.4103194121</v>
      </c>
      <c r="AB273" s="101">
        <v>72417</v>
      </c>
      <c r="AC273" s="101">
        <v>75398.964000000007</v>
      </c>
      <c r="AD273" s="101">
        <v>38470</v>
      </c>
      <c r="AE273" t="s">
        <v>317</v>
      </c>
      <c r="AF273" s="149">
        <v>-1.1811059612940973E-2</v>
      </c>
      <c r="AG273" s="149">
        <v>-2.6876559800345554E-3</v>
      </c>
      <c r="AH273" s="149">
        <f t="shared" si="24"/>
        <v>0.11850368867070729</v>
      </c>
      <c r="AI273" s="149">
        <f t="shared" si="25"/>
        <v>2.8650047079688084E-2</v>
      </c>
      <c r="AJ273" s="149">
        <v>-8.5222462953313382E-3</v>
      </c>
      <c r="AK273" s="149">
        <v>0.5521680433544689</v>
      </c>
      <c r="AL273" s="149">
        <v>7.6607337117991755E-3</v>
      </c>
      <c r="AM273" s="149">
        <v>3.668532146476887E-3</v>
      </c>
      <c r="AN273" s="149">
        <v>8.9978630075357108E-5</v>
      </c>
      <c r="AO273">
        <f t="shared" si="26"/>
        <v>0</v>
      </c>
      <c r="AP273" s="149">
        <v>4.4958816700033821E-2</v>
      </c>
      <c r="AQ273" s="149">
        <v>6.9470206422212577E-2</v>
      </c>
      <c r="AR273" s="149">
        <v>0.66201354798014422</v>
      </c>
      <c r="AS273" s="208">
        <v>1959.9418767871068</v>
      </c>
      <c r="AT273" s="149">
        <f t="shared" si="27"/>
        <v>5.2400000000000002E-2</v>
      </c>
      <c r="AU273" s="149">
        <v>0.26200000000000001</v>
      </c>
      <c r="AV273">
        <v>10</v>
      </c>
    </row>
    <row r="274" spans="1:48" x14ac:dyDescent="0.25">
      <c r="A274" t="s">
        <v>338</v>
      </c>
      <c r="B274" s="101">
        <v>1136</v>
      </c>
      <c r="C274" s="101">
        <v>9231</v>
      </c>
      <c r="D274" s="101">
        <v>55859</v>
      </c>
      <c r="E274" s="101">
        <v>4890</v>
      </c>
      <c r="F274" s="101">
        <v>947</v>
      </c>
      <c r="G274" s="101">
        <v>1623</v>
      </c>
      <c r="H274" s="101">
        <v>2763</v>
      </c>
      <c r="I274" s="101">
        <v>0</v>
      </c>
      <c r="J274" s="101">
        <v>18675</v>
      </c>
      <c r="K274" s="101">
        <v>9608</v>
      </c>
      <c r="L274" s="101">
        <v>27531</v>
      </c>
      <c r="M274" s="101">
        <v>6190</v>
      </c>
      <c r="N274" s="101">
        <v>63148</v>
      </c>
      <c r="O274" s="101">
        <v>9706</v>
      </c>
      <c r="P274" s="101">
        <v>52058</v>
      </c>
      <c r="Q274" s="101">
        <v>0</v>
      </c>
      <c r="R274" s="101">
        <v>0</v>
      </c>
      <c r="S274" s="101">
        <v>6083</v>
      </c>
      <c r="T274" s="101">
        <v>7457</v>
      </c>
      <c r="U274" s="101">
        <v>16936</v>
      </c>
      <c r="V274" s="101">
        <v>42677</v>
      </c>
      <c r="W274" s="101">
        <v>104438</v>
      </c>
      <c r="X274" s="101">
        <v>86954</v>
      </c>
      <c r="Y274" s="101">
        <v>17484</v>
      </c>
      <c r="Z274" s="101">
        <v>6167</v>
      </c>
      <c r="AA274" s="101">
        <v>807162.25</v>
      </c>
      <c r="AB274" s="101">
        <v>70641</v>
      </c>
      <c r="AC274" s="101">
        <v>50101.478000000003</v>
      </c>
      <c r="AD274" s="101">
        <v>26851</v>
      </c>
      <c r="AE274" t="s">
        <v>338</v>
      </c>
      <c r="AF274" s="149">
        <v>1.7417032114747506E-2</v>
      </c>
      <c r="AG274" s="149">
        <v>0.15472337654876578</v>
      </c>
      <c r="AH274" s="149">
        <f t="shared" si="24"/>
        <v>2.4607901338593231E-2</v>
      </c>
      <c r="AI274" s="149">
        <f t="shared" si="25"/>
        <v>0.17881422470748196</v>
      </c>
      <c r="AJ274" s="149">
        <v>3.2506367414159604E-2</v>
      </c>
      <c r="AK274" s="149">
        <v>0.4561003091324069</v>
      </c>
      <c r="AL274" s="149">
        <v>0.16741032957352689</v>
      </c>
      <c r="AM274" s="149">
        <v>0.20635317658829413</v>
      </c>
      <c r="AN274" s="149">
        <v>4.0085926829591716E-2</v>
      </c>
      <c r="AO274">
        <f t="shared" si="26"/>
        <v>0</v>
      </c>
      <c r="AP274" s="149">
        <v>5.6370765430207394E-2</v>
      </c>
      <c r="AQ274" s="149">
        <v>7.7413754243952967E-3</v>
      </c>
      <c r="AR274" s="149">
        <v>0.67750752882051679</v>
      </c>
      <c r="AS274" s="208">
        <v>1865.9073405087333</v>
      </c>
      <c r="AT274" s="149">
        <f t="shared" si="27"/>
        <v>1.3800000000000002E-2</v>
      </c>
      <c r="AU274" s="149">
        <v>6.9000000000000006E-2</v>
      </c>
      <c r="AV274">
        <v>9.5</v>
      </c>
    </row>
    <row r="275" spans="1:48" x14ac:dyDescent="0.25">
      <c r="A275" t="s">
        <v>202</v>
      </c>
      <c r="B275" s="101">
        <v>874</v>
      </c>
      <c r="C275" s="101">
        <v>17450</v>
      </c>
      <c r="D275" s="101">
        <v>156328</v>
      </c>
      <c r="E275" s="101">
        <v>135</v>
      </c>
      <c r="F275" s="101">
        <v>0</v>
      </c>
      <c r="G275" s="101">
        <v>2837</v>
      </c>
      <c r="H275" s="101">
        <v>0</v>
      </c>
      <c r="I275" s="101">
        <v>2013</v>
      </c>
      <c r="J275" s="101">
        <v>15</v>
      </c>
      <c r="K275" s="101">
        <v>28690</v>
      </c>
      <c r="L275" s="101">
        <v>1306</v>
      </c>
      <c r="M275" s="101">
        <v>1506</v>
      </c>
      <c r="N275" s="101">
        <v>60449</v>
      </c>
      <c r="O275" s="101">
        <v>11108</v>
      </c>
      <c r="P275" s="101">
        <v>106037</v>
      </c>
      <c r="Q275" s="101">
        <v>15</v>
      </c>
      <c r="R275" s="101">
        <v>0</v>
      </c>
      <c r="S275" s="101">
        <v>15845</v>
      </c>
      <c r="T275" s="101">
        <v>17700</v>
      </c>
      <c r="U275" s="101">
        <v>105258</v>
      </c>
      <c r="V275" s="101">
        <v>137460</v>
      </c>
      <c r="W275" s="101">
        <v>176733</v>
      </c>
      <c r="X275" s="101">
        <v>169728</v>
      </c>
      <c r="Y275" s="101">
        <v>7005</v>
      </c>
      <c r="Z275" s="101">
        <v>8115</v>
      </c>
      <c r="AA275" s="101">
        <v>1632657.8812785391</v>
      </c>
      <c r="AB275" s="101">
        <v>136963</v>
      </c>
      <c r="AC275" s="101">
        <v>99208.475000000006</v>
      </c>
      <c r="AD275" s="101">
        <v>42370</v>
      </c>
      <c r="AE275" t="s">
        <v>202</v>
      </c>
      <c r="AF275" s="149">
        <v>-8.3742142101361945E-3</v>
      </c>
      <c r="AG275" s="149">
        <v>0.59557637792602403</v>
      </c>
      <c r="AH275" s="149">
        <f t="shared" si="24"/>
        <v>1.6052463320375934E-2</v>
      </c>
      <c r="AI275" s="149">
        <f t="shared" si="25"/>
        <v>1.147493676902446E-2</v>
      </c>
      <c r="AJ275" s="149">
        <v>0.58947021778615205</v>
      </c>
      <c r="AK275" s="149">
        <v>0.28627920853973876</v>
      </c>
      <c r="AL275" s="149">
        <v>3.9636061177029759E-2</v>
      </c>
      <c r="AM275" s="149">
        <v>6.6431057046878669E-2</v>
      </c>
      <c r="AN275" s="149">
        <v>1.1481232216750738E-2</v>
      </c>
      <c r="AO275">
        <f t="shared" si="26"/>
        <v>0</v>
      </c>
      <c r="AP275" s="149">
        <v>5.2610434949896173E-2</v>
      </c>
      <c r="AQ275" s="149">
        <v>9.2566895795263473E-3</v>
      </c>
      <c r="AR275" s="149">
        <v>0.7765398920488048</v>
      </c>
      <c r="AS275" s="208">
        <v>2341.4792305876799</v>
      </c>
      <c r="AT275" s="149">
        <f t="shared" si="27"/>
        <v>4.19E-2</v>
      </c>
      <c r="AU275" s="149">
        <v>0.20949999999999999</v>
      </c>
      <c r="AV275">
        <v>9</v>
      </c>
    </row>
    <row r="276" spans="1:48" x14ac:dyDescent="0.25">
      <c r="A276" t="s">
        <v>389</v>
      </c>
      <c r="B276" s="101">
        <v>5744</v>
      </c>
      <c r="C276" s="101">
        <v>100326</v>
      </c>
      <c r="D276" s="101">
        <v>1044813</v>
      </c>
      <c r="E276" s="101">
        <v>9505</v>
      </c>
      <c r="F276" s="101">
        <v>31861</v>
      </c>
      <c r="G276" s="101">
        <v>7089</v>
      </c>
      <c r="H276" s="101">
        <v>21282</v>
      </c>
      <c r="I276" s="101">
        <v>30468</v>
      </c>
      <c r="J276" s="101">
        <v>729</v>
      </c>
      <c r="K276" s="101">
        <v>115400</v>
      </c>
      <c r="L276" s="101">
        <v>2212</v>
      </c>
      <c r="M276" s="101">
        <v>47975</v>
      </c>
      <c r="N276" s="101">
        <v>880789</v>
      </c>
      <c r="O276" s="101">
        <v>36949</v>
      </c>
      <c r="P276" s="101">
        <v>208190</v>
      </c>
      <c r="Q276" s="101">
        <v>4833</v>
      </c>
      <c r="R276" s="101">
        <v>40684</v>
      </c>
      <c r="S276" s="101">
        <v>45447</v>
      </c>
      <c r="T276" s="101">
        <v>200512</v>
      </c>
      <c r="U276" s="101">
        <v>273847</v>
      </c>
      <c r="V276" s="101">
        <v>101419.40134434954</v>
      </c>
      <c r="W276" s="101">
        <v>1069765</v>
      </c>
      <c r="X276" s="101">
        <v>1051902</v>
      </c>
      <c r="Y276" s="101">
        <v>17863</v>
      </c>
      <c r="Z276" s="101">
        <v>76098</v>
      </c>
      <c r="AA276" s="101">
        <v>31226233.390805408</v>
      </c>
      <c r="AB276" s="101">
        <v>798860</v>
      </c>
      <c r="AC276" s="101">
        <v>587649.52757000003</v>
      </c>
      <c r="AD276" s="101">
        <v>229836</v>
      </c>
      <c r="AE276" t="s">
        <v>389</v>
      </c>
      <c r="AF276" s="149">
        <v>-4.6128822685356133E-2</v>
      </c>
      <c r="AG276" s="149">
        <v>0.25598799736390704</v>
      </c>
      <c r="AH276" s="149">
        <f t="shared" si="24"/>
        <v>3.6409865718171751E-2</v>
      </c>
      <c r="AI276" s="149">
        <f t="shared" si="25"/>
        <v>2.9162479610007806E-2</v>
      </c>
      <c r="AJ276" s="149">
        <v>0.23994344552308217</v>
      </c>
      <c r="AK276" s="149">
        <v>0.62140998614368237</v>
      </c>
      <c r="AL276" s="149">
        <v>1.6698059854267058E-2</v>
      </c>
      <c r="AM276" s="149">
        <v>3.5933265515350442E-2</v>
      </c>
      <c r="AN276" s="149">
        <v>-3.6406529715555485E-3</v>
      </c>
      <c r="AO276">
        <f t="shared" si="26"/>
        <v>1</v>
      </c>
      <c r="AP276" s="149">
        <v>5.3864867517632378E-2</v>
      </c>
      <c r="AQ276" s="149">
        <v>2.918983382391388E-2</v>
      </c>
      <c r="AR276" s="149">
        <v>0.74676283741086824</v>
      </c>
      <c r="AS276" s="208">
        <v>2556.8210705459546</v>
      </c>
      <c r="AT276" s="149">
        <f t="shared" si="27"/>
        <v>4.2299999999999997E-2</v>
      </c>
      <c r="AU276" s="149">
        <v>0.21149999999999999</v>
      </c>
      <c r="AV276">
        <v>9</v>
      </c>
    </row>
    <row r="277" spans="1:48" x14ac:dyDescent="0.25">
      <c r="A277" t="s">
        <v>158</v>
      </c>
      <c r="B277" s="101">
        <v>205</v>
      </c>
      <c r="C277" s="101">
        <v>5605</v>
      </c>
      <c r="D277" s="101">
        <v>28615</v>
      </c>
      <c r="E277" s="101">
        <v>696</v>
      </c>
      <c r="F277" s="101">
        <v>112</v>
      </c>
      <c r="G277" s="101">
        <v>2372</v>
      </c>
      <c r="H277" s="101">
        <v>0</v>
      </c>
      <c r="I277" s="101">
        <v>-946</v>
      </c>
      <c r="J277" s="101">
        <v>0</v>
      </c>
      <c r="K277" s="101">
        <v>7947</v>
      </c>
      <c r="L277" s="101">
        <v>13038</v>
      </c>
      <c r="M277" s="101">
        <v>2040</v>
      </c>
      <c r="N277" s="101">
        <v>28133</v>
      </c>
      <c r="O277" s="101">
        <v>4474</v>
      </c>
      <c r="P277" s="101">
        <v>17084</v>
      </c>
      <c r="Q277" s="101">
        <v>0</v>
      </c>
      <c r="R277" s="101">
        <v>0</v>
      </c>
      <c r="S277" s="101">
        <v>3632</v>
      </c>
      <c r="T277" s="101">
        <v>6361</v>
      </c>
      <c r="U277" s="101">
        <v>1568</v>
      </c>
      <c r="V277" s="101">
        <v>28923</v>
      </c>
      <c r="W277" s="101">
        <v>62493</v>
      </c>
      <c r="X277" s="101">
        <v>63942</v>
      </c>
      <c r="Y277" s="101">
        <v>-1449</v>
      </c>
      <c r="Z277" s="101">
        <v>1537</v>
      </c>
      <c r="AA277" s="101">
        <v>2651877.8273381293</v>
      </c>
      <c r="AB277" s="101">
        <v>42446</v>
      </c>
      <c r="AC277" s="101">
        <v>41208.216</v>
      </c>
      <c r="AD277" s="101">
        <v>21397</v>
      </c>
      <c r="AE277" t="s">
        <v>158</v>
      </c>
      <c r="AF277" s="149">
        <v>-4.520506296705231E-2</v>
      </c>
      <c r="AG277" s="149">
        <v>2.5090810170739122E-2</v>
      </c>
      <c r="AH277" s="149">
        <f t="shared" si="24"/>
        <v>3.9748451826604581E-2</v>
      </c>
      <c r="AI277" s="149">
        <f t="shared" si="25"/>
        <v>-1.5137695421887252E-2</v>
      </c>
      <c r="AJ277" s="149">
        <v>4.0457011185252745E-2</v>
      </c>
      <c r="AK277" s="149">
        <v>0.47136586019703774</v>
      </c>
      <c r="AL277" s="149">
        <v>-2.3186596898852673E-2</v>
      </c>
      <c r="AM277" s="149">
        <v>1.862184029708832E-2</v>
      </c>
      <c r="AN277" s="149">
        <v>5.3344639899029739E-2</v>
      </c>
      <c r="AO277">
        <f t="shared" si="26"/>
        <v>1</v>
      </c>
      <c r="AP277" s="149">
        <v>2.2010465172099276E-2</v>
      </c>
      <c r="AQ277" s="149">
        <v>4.2434797934778765E-2</v>
      </c>
      <c r="AR277" s="149">
        <v>0.67921207175203624</v>
      </c>
      <c r="AS277" s="208">
        <v>1925.8875543300462</v>
      </c>
      <c r="AT277" s="149">
        <f t="shared" si="27"/>
        <v>5.8200000000000009E-2</v>
      </c>
      <c r="AU277" s="149">
        <v>0.29100000000000004</v>
      </c>
      <c r="AV277">
        <v>8.5</v>
      </c>
    </row>
    <row r="278" spans="1:48" x14ac:dyDescent="0.25">
      <c r="A278" t="s">
        <v>159</v>
      </c>
      <c r="B278" s="101">
        <v>4</v>
      </c>
      <c r="C278" s="101">
        <v>13240</v>
      </c>
      <c r="D278" s="101">
        <v>59442</v>
      </c>
      <c r="E278" s="101">
        <v>226</v>
      </c>
      <c r="F278" s="101">
        <v>10513</v>
      </c>
      <c r="G278" s="101">
        <v>3008</v>
      </c>
      <c r="H278" s="101">
        <v>186</v>
      </c>
      <c r="I278" s="101">
        <v>813</v>
      </c>
      <c r="J278" s="101">
        <v>0</v>
      </c>
      <c r="K278" s="101">
        <v>9009</v>
      </c>
      <c r="L278" s="101">
        <v>10309</v>
      </c>
      <c r="M278" s="101">
        <v>29565</v>
      </c>
      <c r="N278" s="101">
        <v>60685</v>
      </c>
      <c r="O278" s="101">
        <v>17230</v>
      </c>
      <c r="P278" s="101">
        <v>36093</v>
      </c>
      <c r="Q278" s="101">
        <v>0</v>
      </c>
      <c r="R278" s="101">
        <v>0</v>
      </c>
      <c r="S278" s="101">
        <v>6935</v>
      </c>
      <c r="T278" s="101">
        <v>15372</v>
      </c>
      <c r="U278" s="101">
        <v>-4190</v>
      </c>
      <c r="V278" s="101">
        <v>67945</v>
      </c>
      <c r="W278" s="101">
        <v>121693</v>
      </c>
      <c r="X278" s="101">
        <v>112060</v>
      </c>
      <c r="Y278" s="101">
        <v>9633</v>
      </c>
      <c r="Z278" s="101">
        <v>8765</v>
      </c>
      <c r="AA278" s="101">
        <v>1002454.9105824437</v>
      </c>
      <c r="AB278" s="101">
        <v>89737</v>
      </c>
      <c r="AC278" s="101">
        <v>69155.857000000004</v>
      </c>
      <c r="AD278" s="101">
        <v>34073</v>
      </c>
      <c r="AE278" t="s">
        <v>159</v>
      </c>
      <c r="AF278" s="149">
        <v>3.9648952692430954E-2</v>
      </c>
      <c r="AG278" s="149">
        <v>-3.4430903996121386E-2</v>
      </c>
      <c r="AH278" s="149">
        <f t="shared" si="24"/>
        <v>0.11110745893354589</v>
      </c>
      <c r="AI278" s="149">
        <f t="shared" si="25"/>
        <v>6.6807458111805941E-3</v>
      </c>
      <c r="AJ278" s="149">
        <v>-2.5774530991922291E-2</v>
      </c>
      <c r="AK278" s="149">
        <v>0.44518211495433369</v>
      </c>
      <c r="AL278" s="149">
        <v>7.9158209592992204E-2</v>
      </c>
      <c r="AM278" s="149">
        <v>8.8230595836069653E-2</v>
      </c>
      <c r="AN278" s="149">
        <v>8.8230595836069653E-2</v>
      </c>
      <c r="AO278">
        <f t="shared" si="26"/>
        <v>0</v>
      </c>
      <c r="AP278" s="149">
        <v>9.7396727831510436E-3</v>
      </c>
      <c r="AQ278" s="149">
        <v>8.237572502793453E-3</v>
      </c>
      <c r="AR278" s="149">
        <v>0.73740478088304173</v>
      </c>
      <c r="AS278" s="208">
        <v>2029.6380418513193</v>
      </c>
      <c r="AT278" s="149">
        <f t="shared" si="27"/>
        <v>4.6199999999999998E-2</v>
      </c>
      <c r="AU278" s="149">
        <v>0.23099999999999998</v>
      </c>
      <c r="AV278">
        <v>9.5</v>
      </c>
    </row>
    <row r="279" spans="1:48" x14ac:dyDescent="0.25">
      <c r="A279" t="s">
        <v>113</v>
      </c>
      <c r="B279" s="101">
        <v>2174</v>
      </c>
      <c r="C279" s="101">
        <v>21814</v>
      </c>
      <c r="D279" s="101">
        <v>97239</v>
      </c>
      <c r="E279" s="101">
        <v>50</v>
      </c>
      <c r="F279" s="101">
        <v>5036</v>
      </c>
      <c r="G279" s="101">
        <v>1823</v>
      </c>
      <c r="H279" s="101">
        <v>0</v>
      </c>
      <c r="I279" s="101">
        <v>487</v>
      </c>
      <c r="J279" s="101">
        <v>6954</v>
      </c>
      <c r="K279" s="101">
        <v>10290</v>
      </c>
      <c r="L279" s="101">
        <v>17729</v>
      </c>
      <c r="M279" s="101">
        <v>8861</v>
      </c>
      <c r="N279" s="101">
        <v>84425</v>
      </c>
      <c r="O279" s="101">
        <v>23252</v>
      </c>
      <c r="P279" s="101">
        <v>46231</v>
      </c>
      <c r="Q279" s="101">
        <v>0</v>
      </c>
      <c r="R279" s="101">
        <v>0</v>
      </c>
      <c r="S279" s="101">
        <v>7773</v>
      </c>
      <c r="T279" s="101">
        <v>10776</v>
      </c>
      <c r="U279" s="101">
        <v>21041</v>
      </c>
      <c r="V279" s="101">
        <v>115607</v>
      </c>
      <c r="W279" s="101">
        <v>114387</v>
      </c>
      <c r="X279" s="101">
        <v>103429</v>
      </c>
      <c r="Y279" s="101">
        <v>10958</v>
      </c>
      <c r="Z279" s="101">
        <v>9567</v>
      </c>
      <c r="AA279" s="101">
        <v>5343095.9100084081</v>
      </c>
      <c r="AB279" s="101">
        <v>73009</v>
      </c>
      <c r="AC279" s="101">
        <v>62835.491999999998</v>
      </c>
      <c r="AD279" s="101">
        <v>34736</v>
      </c>
      <c r="AE279" t="s">
        <v>113</v>
      </c>
      <c r="AF279" s="149">
        <v>8.0350039777247417E-2</v>
      </c>
      <c r="AG279" s="149">
        <v>0.18394572809847273</v>
      </c>
      <c r="AH279" s="149">
        <f t="shared" si="24"/>
        <v>5.9963107695804596E-2</v>
      </c>
      <c r="AI279" s="149">
        <f t="shared" si="25"/>
        <v>6.5051098463986295E-2</v>
      </c>
      <c r="AJ279" s="149">
        <v>0.14560553209717886</v>
      </c>
      <c r="AK279" s="149">
        <v>0.48954232069443399</v>
      </c>
      <c r="AL279" s="149">
        <v>9.579759937755164E-2</v>
      </c>
      <c r="AM279" s="149">
        <v>0.1115878107457899</v>
      </c>
      <c r="AN279" s="149">
        <v>3.7610204464453199E-2</v>
      </c>
      <c r="AO279">
        <f t="shared" si="26"/>
        <v>0</v>
      </c>
      <c r="AP279" s="149">
        <v>1.228286431150393E-2</v>
      </c>
      <c r="AQ279" s="149">
        <v>4.6719677436352101E-2</v>
      </c>
      <c r="AR279" s="149">
        <v>0.6383858698028243</v>
      </c>
      <c r="AS279" s="208">
        <v>1808.9443804698296</v>
      </c>
      <c r="AT279" s="149">
        <f t="shared" si="27"/>
        <v>3.3799999999999997E-2</v>
      </c>
      <c r="AU279" s="149">
        <v>0.16899999999999998</v>
      </c>
      <c r="AV279">
        <v>9.5</v>
      </c>
    </row>
    <row r="280" spans="1:48" x14ac:dyDescent="0.25">
      <c r="A280" t="s">
        <v>136</v>
      </c>
      <c r="B280" s="101">
        <v>2</v>
      </c>
      <c r="C280" s="101">
        <v>6431</v>
      </c>
      <c r="D280" s="101">
        <v>50059</v>
      </c>
      <c r="E280" s="101">
        <v>0</v>
      </c>
      <c r="F280" s="101">
        <v>0</v>
      </c>
      <c r="G280" s="101">
        <v>0</v>
      </c>
      <c r="H280" s="101">
        <v>1689</v>
      </c>
      <c r="I280" s="101">
        <v>1440</v>
      </c>
      <c r="J280" s="101">
        <v>0</v>
      </c>
      <c r="K280" s="101">
        <v>9553</v>
      </c>
      <c r="L280" s="101">
        <v>24903</v>
      </c>
      <c r="M280" s="101">
        <v>3629</v>
      </c>
      <c r="N280" s="101">
        <v>46426</v>
      </c>
      <c r="O280" s="101">
        <v>12873</v>
      </c>
      <c r="P280" s="101">
        <v>18213</v>
      </c>
      <c r="Q280" s="101">
        <v>14</v>
      </c>
      <c r="R280" s="101">
        <v>0</v>
      </c>
      <c r="S280" s="101">
        <v>13370</v>
      </c>
      <c r="T280" s="101">
        <v>6810</v>
      </c>
      <c r="U280" s="101">
        <v>-1367</v>
      </c>
      <c r="V280" s="101">
        <v>58258</v>
      </c>
      <c r="W280" s="101">
        <v>111288</v>
      </c>
      <c r="X280" s="101">
        <v>106268</v>
      </c>
      <c r="Y280" s="101">
        <v>5020</v>
      </c>
      <c r="Z280" s="101">
        <v>1753</v>
      </c>
      <c r="AA280" s="101">
        <v>-235438.11943539605</v>
      </c>
      <c r="AB280" s="101">
        <v>86348</v>
      </c>
      <c r="AC280" s="101">
        <v>71282.077999999994</v>
      </c>
      <c r="AD280" s="101">
        <v>32595</v>
      </c>
      <c r="AE280" t="s">
        <v>136</v>
      </c>
      <c r="AF280" s="149">
        <v>3.237545827043347E-2</v>
      </c>
      <c r="AG280" s="149">
        <v>-1.228344475594853E-2</v>
      </c>
      <c r="AH280" s="149">
        <f t="shared" si="24"/>
        <v>0</v>
      </c>
      <c r="AI280" s="149">
        <f t="shared" si="25"/>
        <v>1.2939400474444683E-2</v>
      </c>
      <c r="AJ280" s="149">
        <v>-2.1341025088059809E-2</v>
      </c>
      <c r="AK280" s="149">
        <v>0.47516017440075325</v>
      </c>
      <c r="AL280" s="149">
        <v>4.5108187765077995E-2</v>
      </c>
      <c r="AM280" s="149">
        <v>8.2626995364354014E-2</v>
      </c>
      <c r="AN280" s="149">
        <v>4.5223508292194167E-2</v>
      </c>
      <c r="AO280">
        <f t="shared" si="26"/>
        <v>0</v>
      </c>
      <c r="AP280" s="149">
        <v>-3.9671842426856445E-3</v>
      </c>
      <c r="AQ280" s="149">
        <v>-2.1155750793921723E-3</v>
      </c>
      <c r="AR280" s="149">
        <v>0.77589677233843724</v>
      </c>
      <c r="AS280" s="208">
        <v>2186.9022242675255</v>
      </c>
      <c r="AT280" s="149">
        <f t="shared" si="27"/>
        <v>4.7600000000000003E-2</v>
      </c>
      <c r="AU280" s="149">
        <v>0.23800000000000002</v>
      </c>
      <c r="AV280">
        <v>7.5</v>
      </c>
    </row>
    <row r="281" spans="1:48" x14ac:dyDescent="0.25">
      <c r="A281" t="s">
        <v>272</v>
      </c>
      <c r="B281" s="101">
        <v>479</v>
      </c>
      <c r="C281" s="101">
        <v>1654</v>
      </c>
      <c r="D281" s="101">
        <v>31382</v>
      </c>
      <c r="E281" s="101">
        <v>9</v>
      </c>
      <c r="F281" s="101">
        <v>0</v>
      </c>
      <c r="G281" s="101">
        <v>234</v>
      </c>
      <c r="H281" s="101">
        <v>678</v>
      </c>
      <c r="I281" s="101">
        <v>-725</v>
      </c>
      <c r="J281" s="101">
        <v>0</v>
      </c>
      <c r="K281" s="101">
        <v>5320</v>
      </c>
      <c r="L281" s="101">
        <v>13593</v>
      </c>
      <c r="M281" s="101">
        <v>1688</v>
      </c>
      <c r="N281" s="101">
        <v>13624</v>
      </c>
      <c r="O281" s="101">
        <v>4831</v>
      </c>
      <c r="P281" s="101">
        <v>29938</v>
      </c>
      <c r="Q281" s="101">
        <v>2</v>
      </c>
      <c r="R281" s="101">
        <v>0</v>
      </c>
      <c r="S281" s="101">
        <v>2088</v>
      </c>
      <c r="T281" s="101">
        <v>3829</v>
      </c>
      <c r="U281" s="101">
        <v>14344</v>
      </c>
      <c r="V281" s="101">
        <v>17359</v>
      </c>
      <c r="W281" s="101">
        <v>34771</v>
      </c>
      <c r="X281" s="101">
        <v>33439</v>
      </c>
      <c r="Y281" s="101">
        <v>1332</v>
      </c>
      <c r="Z281" s="101">
        <v>3674</v>
      </c>
      <c r="AA281" s="101">
        <v>1403408.1954022981</v>
      </c>
      <c r="AB281" s="101">
        <v>23499</v>
      </c>
      <c r="AC281" s="101">
        <v>24366.703000000001</v>
      </c>
      <c r="AD281" s="101">
        <v>13400</v>
      </c>
      <c r="AE281" t="s">
        <v>272</v>
      </c>
      <c r="AF281" s="149">
        <v>-7.3998446981680135E-2</v>
      </c>
      <c r="AG281" s="149">
        <v>0.41252768111357163</v>
      </c>
      <c r="AH281" s="149">
        <f t="shared" si="24"/>
        <v>6.7297460527451034E-3</v>
      </c>
      <c r="AI281" s="149">
        <f t="shared" si="25"/>
        <v>-2.0850708924103418E-2</v>
      </c>
      <c r="AJ281" s="149">
        <v>0.42793074688677346</v>
      </c>
      <c r="AK281" s="149">
        <v>0.25084695831492121</v>
      </c>
      <c r="AL281" s="149">
        <v>3.8307785223318284E-2</v>
      </c>
      <c r="AM281" s="149">
        <v>5.3390717692218218E-2</v>
      </c>
      <c r="AN281" s="149">
        <v>2.4945807383958987E-2</v>
      </c>
      <c r="AO281">
        <f t="shared" si="26"/>
        <v>0</v>
      </c>
      <c r="AP281" s="149">
        <v>0.11616001840614305</v>
      </c>
      <c r="AQ281" s="149">
        <v>4.0361456253840793E-2</v>
      </c>
      <c r="AR281" s="149">
        <v>0.67582180552759485</v>
      </c>
      <c r="AS281" s="208">
        <v>1818.4106716417909</v>
      </c>
      <c r="AT281" s="149">
        <f t="shared" si="27"/>
        <v>5.3000000000000005E-2</v>
      </c>
      <c r="AU281" s="149">
        <v>0.26500000000000001</v>
      </c>
      <c r="AV281">
        <v>8</v>
      </c>
    </row>
    <row r="282" spans="1:48" x14ac:dyDescent="0.25">
      <c r="A282" t="s">
        <v>273</v>
      </c>
      <c r="B282" s="101">
        <v>4136</v>
      </c>
      <c r="C282" s="101">
        <v>3518</v>
      </c>
      <c r="D282" s="101">
        <v>95083</v>
      </c>
      <c r="E282" s="101">
        <v>140</v>
      </c>
      <c r="F282" s="101">
        <v>0</v>
      </c>
      <c r="G282" s="101">
        <v>4671</v>
      </c>
      <c r="H282" s="101">
        <v>0</v>
      </c>
      <c r="I282" s="101">
        <v>-274</v>
      </c>
      <c r="J282" s="101">
        <v>0</v>
      </c>
      <c r="K282" s="101">
        <v>7780</v>
      </c>
      <c r="L282" s="101">
        <v>18271</v>
      </c>
      <c r="M282" s="101">
        <v>4334</v>
      </c>
      <c r="N282" s="101">
        <v>61807</v>
      </c>
      <c r="O282" s="101">
        <v>2657</v>
      </c>
      <c r="P282" s="101">
        <v>0</v>
      </c>
      <c r="Q282" s="101">
        <v>54340</v>
      </c>
      <c r="R282" s="101">
        <v>0</v>
      </c>
      <c r="S282" s="101">
        <v>9919</v>
      </c>
      <c r="T282" s="101">
        <v>8937</v>
      </c>
      <c r="U282" s="101">
        <v>38140</v>
      </c>
      <c r="V282" s="101">
        <v>84950</v>
      </c>
      <c r="W282" s="101">
        <v>95053</v>
      </c>
      <c r="X282" s="101">
        <v>95386</v>
      </c>
      <c r="Y282" s="101">
        <v>-333</v>
      </c>
      <c r="Z282" s="101">
        <v>3356</v>
      </c>
      <c r="AA282" s="101">
        <v>4303436.8630474992</v>
      </c>
      <c r="AB282" s="101">
        <v>68078</v>
      </c>
      <c r="AC282" s="101">
        <v>62485.788999999997</v>
      </c>
      <c r="AD282" s="101">
        <v>31685</v>
      </c>
      <c r="AE282" t="s">
        <v>273</v>
      </c>
      <c r="AF282" s="149">
        <v>-3.8452231912722373E-2</v>
      </c>
      <c r="AG282" s="149">
        <v>0.40124982904274459</v>
      </c>
      <c r="AH282" s="149">
        <f t="shared" si="24"/>
        <v>4.91410055442753E-2</v>
      </c>
      <c r="AI282" s="149">
        <f t="shared" si="25"/>
        <v>-2.8826023376432096E-3</v>
      </c>
      <c r="AJ282" s="149">
        <v>0.40916457134440787</v>
      </c>
      <c r="AK282" s="149">
        <v>0.44898300159814036</v>
      </c>
      <c r="AL282" s="149">
        <v>-3.5033086804203972E-3</v>
      </c>
      <c r="AM282" s="149">
        <v>2.9806505641748943E-2</v>
      </c>
      <c r="AN282" s="149">
        <v>3.297633506311877E-2</v>
      </c>
      <c r="AO282">
        <f t="shared" si="26"/>
        <v>1</v>
      </c>
      <c r="AP282" s="149">
        <v>4.6781795419397601E-2</v>
      </c>
      <c r="AQ282" s="149">
        <v>4.527407723109738E-2</v>
      </c>
      <c r="AR282" s="149">
        <v>0.71621095599297235</v>
      </c>
      <c r="AS282" s="208">
        <v>1972.0937036452581</v>
      </c>
      <c r="AT282" s="149">
        <f t="shared" si="27"/>
        <v>4.8000000000000001E-2</v>
      </c>
      <c r="AU282" s="149">
        <v>0.24</v>
      </c>
      <c r="AV282">
        <v>9</v>
      </c>
    </row>
    <row r="283" spans="1:48" x14ac:dyDescent="0.25">
      <c r="A283" t="s">
        <v>431</v>
      </c>
      <c r="B283" s="101">
        <v>727</v>
      </c>
      <c r="C283" s="101">
        <v>18045</v>
      </c>
      <c r="D283" s="101">
        <v>65204</v>
      </c>
      <c r="E283" s="101">
        <v>303</v>
      </c>
      <c r="F283" s="101">
        <v>0</v>
      </c>
      <c r="G283" s="101">
        <v>7989</v>
      </c>
      <c r="H283" s="101">
        <v>0</v>
      </c>
      <c r="I283" s="101">
        <v>56330</v>
      </c>
      <c r="J283" s="101">
        <v>0</v>
      </c>
      <c r="K283" s="101">
        <v>8468</v>
      </c>
      <c r="L283" s="101">
        <v>5946</v>
      </c>
      <c r="M283" s="101">
        <v>733</v>
      </c>
      <c r="N283" s="101">
        <v>46227</v>
      </c>
      <c r="O283" s="101">
        <v>7105</v>
      </c>
      <c r="P283" s="101">
        <v>78463</v>
      </c>
      <c r="Q283" s="101">
        <v>0</v>
      </c>
      <c r="R283" s="101">
        <v>19000</v>
      </c>
      <c r="S283" s="101">
        <v>7322</v>
      </c>
      <c r="T283" s="101">
        <v>5630</v>
      </c>
      <c r="U283" s="101">
        <v>87279</v>
      </c>
      <c r="V283" s="101">
        <v>58409</v>
      </c>
      <c r="W283" s="101">
        <v>80935</v>
      </c>
      <c r="X283" s="101">
        <v>80135</v>
      </c>
      <c r="Y283" s="101">
        <v>800</v>
      </c>
      <c r="Z283" s="101">
        <v>15191</v>
      </c>
      <c r="AA283" s="101">
        <v>148380.2118126275</v>
      </c>
      <c r="AB283" s="101">
        <v>45791</v>
      </c>
      <c r="AC283" s="101">
        <v>47480.391000000003</v>
      </c>
      <c r="AD283" s="101">
        <v>21958</v>
      </c>
      <c r="AE283" t="s">
        <v>431</v>
      </c>
      <c r="AF283" s="149">
        <v>-0.22913449064063754</v>
      </c>
      <c r="AG283" s="149">
        <v>1.0783838883054302</v>
      </c>
      <c r="AH283" s="149">
        <f t="shared" si="24"/>
        <v>9.8708840427503552E-2</v>
      </c>
      <c r="AI283" s="149">
        <f t="shared" si="25"/>
        <v>0.69599060974856364</v>
      </c>
      <c r="AJ283" s="149">
        <v>0.60303552233273605</v>
      </c>
      <c r="AK283" s="149">
        <v>0.28230746212144342</v>
      </c>
      <c r="AL283" s="149">
        <v>9.8844751961450553E-3</v>
      </c>
      <c r="AM283" s="149">
        <v>1.8704419785119594E-2</v>
      </c>
      <c r="AN283" s="149">
        <v>4.5960272616065709E-2</v>
      </c>
      <c r="AO283">
        <f t="shared" si="26"/>
        <v>0</v>
      </c>
      <c r="AP283" s="149">
        <v>7.8973867918700189E-2</v>
      </c>
      <c r="AQ283" s="149">
        <v>1.8333256540758326E-3</v>
      </c>
      <c r="AR283" s="149">
        <v>0.56577500463334773</v>
      </c>
      <c r="AS283" s="208">
        <v>2162.3276710082887</v>
      </c>
      <c r="AT283" s="149">
        <f t="shared" si="27"/>
        <v>5.5599999999999997E-2</v>
      </c>
      <c r="AU283" s="149">
        <v>0.27799999999999997</v>
      </c>
      <c r="AV283">
        <v>7.5</v>
      </c>
    </row>
    <row r="284" spans="1:48" x14ac:dyDescent="0.25">
      <c r="A284" t="s">
        <v>728</v>
      </c>
      <c r="B284" s="101">
        <v>10464</v>
      </c>
      <c r="C284" s="101">
        <v>376589</v>
      </c>
      <c r="D284" s="101">
        <v>1550198</v>
      </c>
      <c r="E284" s="101">
        <v>13180</v>
      </c>
      <c r="F284" s="101">
        <v>0</v>
      </c>
      <c r="G284" s="101">
        <v>28988</v>
      </c>
      <c r="H284" s="101">
        <v>207</v>
      </c>
      <c r="I284" s="101">
        <v>113714</v>
      </c>
      <c r="J284" s="101">
        <v>448</v>
      </c>
      <c r="K284" s="101">
        <v>150019</v>
      </c>
      <c r="L284" s="101">
        <v>12073</v>
      </c>
      <c r="M284" s="101">
        <v>87069</v>
      </c>
      <c r="N284" s="101">
        <v>759373</v>
      </c>
      <c r="O284" s="101">
        <v>73257</v>
      </c>
      <c r="P284" s="101">
        <v>1024000</v>
      </c>
      <c r="Q284" s="101">
        <v>11490</v>
      </c>
      <c r="R284" s="101">
        <v>12000</v>
      </c>
      <c r="S284" s="101">
        <v>47189</v>
      </c>
      <c r="T284" s="101">
        <v>415639</v>
      </c>
      <c r="U284" s="101">
        <v>1231962</v>
      </c>
      <c r="V284" s="101">
        <v>1636771</v>
      </c>
      <c r="W284" s="101">
        <v>1816155</v>
      </c>
      <c r="X284" s="101">
        <v>1888237</v>
      </c>
      <c r="Y284" s="101">
        <v>-72082</v>
      </c>
      <c r="Z284" s="101">
        <v>108255</v>
      </c>
      <c r="AA284" s="101">
        <v>10495289</v>
      </c>
      <c r="AB284" s="101">
        <v>1235701</v>
      </c>
      <c r="AC284" s="101">
        <v>1017736.51608</v>
      </c>
      <c r="AD284" s="101">
        <v>374238</v>
      </c>
      <c r="AE284" t="s">
        <v>728</v>
      </c>
      <c r="AF284" s="149">
        <v>-0.11645646984976503</v>
      </c>
      <c r="AG284" s="149">
        <v>0.67833527424696682</v>
      </c>
      <c r="AH284" s="149">
        <f t="shared" si="24"/>
        <v>1.5961192739606476E-2</v>
      </c>
      <c r="AI284" s="149">
        <f t="shared" si="25"/>
        <v>6.285917226227937E-2</v>
      </c>
      <c r="AJ284" s="149">
        <v>0.63624919679212399</v>
      </c>
      <c r="AK284" s="149">
        <v>0.32411005280526928</v>
      </c>
      <c r="AL284" s="149">
        <v>-3.968934369588499E-2</v>
      </c>
      <c r="AM284" s="149">
        <v>-1.2399616520977709E-2</v>
      </c>
      <c r="AN284" s="149">
        <v>1.4535245349359276E-2</v>
      </c>
      <c r="AO284">
        <f t="shared" si="26"/>
        <v>2</v>
      </c>
      <c r="AP284" s="149">
        <v>4.1362108410350436E-2</v>
      </c>
      <c r="AQ284" s="149">
        <v>5.7788541059844043E-3</v>
      </c>
      <c r="AR284" s="149">
        <v>0.68039439386748035</v>
      </c>
      <c r="AS284" s="208">
        <v>2719.4900466548024</v>
      </c>
      <c r="AT284" s="149">
        <f t="shared" si="27"/>
        <v>5.9899999999999995E-2</v>
      </c>
      <c r="AU284" s="149">
        <v>0.29949999999999999</v>
      </c>
      <c r="AV284">
        <v>7.5</v>
      </c>
    </row>
    <row r="285" spans="1:48" x14ac:dyDescent="0.25">
      <c r="A285" t="s">
        <v>230</v>
      </c>
      <c r="B285" s="101">
        <v>1757</v>
      </c>
      <c r="C285" s="101">
        <v>10711</v>
      </c>
      <c r="D285" s="101">
        <v>139952</v>
      </c>
      <c r="E285" s="101">
        <v>741</v>
      </c>
      <c r="F285" s="101">
        <v>2270</v>
      </c>
      <c r="G285" s="101">
        <v>9</v>
      </c>
      <c r="H285" s="101">
        <v>0</v>
      </c>
      <c r="I285" s="101">
        <v>1465</v>
      </c>
      <c r="J285" s="101">
        <v>10</v>
      </c>
      <c r="K285" s="101">
        <v>16358</v>
      </c>
      <c r="L285" s="101">
        <v>10507</v>
      </c>
      <c r="M285" s="101">
        <v>7500</v>
      </c>
      <c r="N285" s="101">
        <v>42382</v>
      </c>
      <c r="O285" s="101">
        <v>12360</v>
      </c>
      <c r="P285" s="101">
        <v>115097</v>
      </c>
      <c r="Q285" s="101">
        <v>35</v>
      </c>
      <c r="R285" s="101">
        <v>0</v>
      </c>
      <c r="S285" s="101">
        <v>7643</v>
      </c>
      <c r="T285" s="101">
        <v>13763</v>
      </c>
      <c r="U285" s="101">
        <v>99894</v>
      </c>
      <c r="V285" s="101">
        <v>151787</v>
      </c>
      <c r="W285" s="101">
        <v>150725</v>
      </c>
      <c r="X285" s="101">
        <v>140975</v>
      </c>
      <c r="Y285" s="101">
        <v>9750</v>
      </c>
      <c r="Z285" s="101">
        <v>5807</v>
      </c>
      <c r="AA285" s="101">
        <v>7113593.3007034026</v>
      </c>
      <c r="AB285" s="101">
        <v>102704</v>
      </c>
      <c r="AC285" s="101">
        <v>83926.39</v>
      </c>
      <c r="AD285" s="101">
        <v>50550</v>
      </c>
      <c r="AE285" t="s">
        <v>230</v>
      </c>
      <c r="AF285" s="149">
        <v>3.9396251451318628E-2</v>
      </c>
      <c r="AG285" s="149">
        <v>0.66275667606568256</v>
      </c>
      <c r="AH285" s="149">
        <f t="shared" si="24"/>
        <v>1.5120252114778571E-2</v>
      </c>
      <c r="AI285" s="149">
        <f t="shared" si="25"/>
        <v>9.7860341681870952E-3</v>
      </c>
      <c r="AJ285" s="149">
        <v>0.6577208824017251</v>
      </c>
      <c r="AK285" s="149">
        <v>0.22157047260560436</v>
      </c>
      <c r="AL285" s="149">
        <v>6.4687344501575719E-2</v>
      </c>
      <c r="AM285" s="149">
        <v>0.10931956347576698</v>
      </c>
      <c r="AN285" s="149">
        <v>3.0785293688630939E-2</v>
      </c>
      <c r="AO285">
        <f t="shared" si="26"/>
        <v>0</v>
      </c>
      <c r="AP285" s="149">
        <v>1.0499253607563442E-3</v>
      </c>
      <c r="AQ285" s="149">
        <v>4.7195842101200217E-2</v>
      </c>
      <c r="AR285" s="149">
        <v>0.68139990048100851</v>
      </c>
      <c r="AS285" s="208">
        <v>1660.2648862512365</v>
      </c>
      <c r="AT285" s="149">
        <f t="shared" si="27"/>
        <v>3.27E-2</v>
      </c>
      <c r="AU285" s="149">
        <v>0.16350000000000001</v>
      </c>
      <c r="AV285">
        <v>8.5</v>
      </c>
    </row>
    <row r="286" spans="1:48" x14ac:dyDescent="0.25">
      <c r="A286" t="s">
        <v>421</v>
      </c>
      <c r="B286" s="101">
        <v>86</v>
      </c>
      <c r="C286" s="101">
        <v>13621</v>
      </c>
      <c r="D286" s="101">
        <v>10774</v>
      </c>
      <c r="E286" s="101">
        <v>99</v>
      </c>
      <c r="F286" s="101">
        <v>0</v>
      </c>
      <c r="G286" s="101">
        <v>33</v>
      </c>
      <c r="H286" s="101">
        <v>0</v>
      </c>
      <c r="I286" s="101">
        <v>5982</v>
      </c>
      <c r="J286" s="101">
        <v>0</v>
      </c>
      <c r="K286" s="101">
        <v>6417</v>
      </c>
      <c r="L286" s="101">
        <v>5576</v>
      </c>
      <c r="M286" s="101">
        <v>865</v>
      </c>
      <c r="N286" s="101">
        <v>12550</v>
      </c>
      <c r="O286" s="101">
        <v>3434</v>
      </c>
      <c r="P286" s="101">
        <v>19460</v>
      </c>
      <c r="Q286" s="101">
        <v>12</v>
      </c>
      <c r="R286" s="101">
        <v>392</v>
      </c>
      <c r="S286" s="101">
        <v>3944</v>
      </c>
      <c r="T286" s="101">
        <v>3661</v>
      </c>
      <c r="U286" s="101">
        <v>14578</v>
      </c>
      <c r="V286" s="101">
        <v>28625</v>
      </c>
      <c r="W286" s="101">
        <v>45067</v>
      </c>
      <c r="X286" s="101">
        <v>43326</v>
      </c>
      <c r="Y286" s="101">
        <v>1741</v>
      </c>
      <c r="Z286" s="101">
        <v>-1361</v>
      </c>
      <c r="AA286" s="101">
        <v>375626.94520547939</v>
      </c>
      <c r="AB286" s="101">
        <v>35243</v>
      </c>
      <c r="AC286" s="101">
        <v>21623.041000000001</v>
      </c>
      <c r="AD286" s="101">
        <v>10121</v>
      </c>
      <c r="AE286" t="s">
        <v>421</v>
      </c>
      <c r="AF286" s="149">
        <v>7.3446202320988752E-2</v>
      </c>
      <c r="AG286" s="149">
        <v>0.3234739388022278</v>
      </c>
      <c r="AH286" s="149">
        <f t="shared" ref="AH286:AH317" si="28">SUM(F286,G286)/W286</f>
        <v>7.3224310471076397E-4</v>
      </c>
      <c r="AI286" s="149">
        <f t="shared" ref="AI286:AI317" si="29">SUM(I286,J286)/W286</f>
        <v>0.13273570461756939</v>
      </c>
      <c r="AJ286" s="149">
        <v>0.23064681474249452</v>
      </c>
      <c r="AK286" s="149">
        <v>0.28881780314362643</v>
      </c>
      <c r="AL286" s="149">
        <v>3.8631371069740607E-2</v>
      </c>
      <c r="AM286" s="149">
        <v>0.11410842431849939</v>
      </c>
      <c r="AN286" s="149">
        <v>-2.7383692137384567E-3</v>
      </c>
      <c r="AO286">
        <f t="shared" si="26"/>
        <v>1</v>
      </c>
      <c r="AP286" s="149">
        <v>-2.2987995650919742E-2</v>
      </c>
      <c r="AQ286" s="149">
        <v>8.3426306542027633E-3</v>
      </c>
      <c r="AR286" s="149">
        <v>0.78274292059966688</v>
      </c>
      <c r="AS286" s="208">
        <v>2136.4530184764353</v>
      </c>
      <c r="AT286" s="149">
        <f t="shared" si="27"/>
        <v>6.13E-2</v>
      </c>
      <c r="AU286" s="149">
        <v>0.30649999999999999</v>
      </c>
      <c r="AV286">
        <v>7.5</v>
      </c>
    </row>
    <row r="287" spans="1:48" x14ac:dyDescent="0.25">
      <c r="A287" t="s">
        <v>422</v>
      </c>
      <c r="B287" s="101">
        <v>493</v>
      </c>
      <c r="C287" s="101">
        <v>852</v>
      </c>
      <c r="D287" s="101">
        <v>44388</v>
      </c>
      <c r="E287" s="101">
        <v>219</v>
      </c>
      <c r="F287" s="101">
        <v>1042</v>
      </c>
      <c r="G287" s="101">
        <v>261</v>
      </c>
      <c r="H287" s="101">
        <v>0</v>
      </c>
      <c r="I287" s="101">
        <v>460</v>
      </c>
      <c r="J287" s="101">
        <v>0</v>
      </c>
      <c r="K287" s="101">
        <v>11395</v>
      </c>
      <c r="L287" s="101">
        <v>33109</v>
      </c>
      <c r="M287" s="101">
        <v>4817</v>
      </c>
      <c r="N287" s="101">
        <v>73535</v>
      </c>
      <c r="O287" s="101">
        <v>7754</v>
      </c>
      <c r="P287" s="101">
        <v>4404</v>
      </c>
      <c r="Q287" s="101">
        <v>4</v>
      </c>
      <c r="R287" s="101">
        <v>1</v>
      </c>
      <c r="S287" s="101">
        <v>3152</v>
      </c>
      <c r="T287" s="101">
        <v>8186</v>
      </c>
      <c r="U287" s="101">
        <v>-34877</v>
      </c>
      <c r="V287" s="101">
        <v>52393</v>
      </c>
      <c r="W287" s="101">
        <v>75743</v>
      </c>
      <c r="X287" s="101">
        <v>62367</v>
      </c>
      <c r="Y287" s="101">
        <v>13376</v>
      </c>
      <c r="Z287" s="101">
        <v>-70</v>
      </c>
      <c r="AA287" s="101">
        <v>-463660.51371115074</v>
      </c>
      <c r="AB287" s="101">
        <v>46504</v>
      </c>
      <c r="AC287" s="101">
        <v>28473.817999999999</v>
      </c>
      <c r="AD287" s="101">
        <v>16431</v>
      </c>
      <c r="AE287" t="s">
        <v>422</v>
      </c>
      <c r="AF287" s="149">
        <v>0.14604649934647426</v>
      </c>
      <c r="AG287" s="149">
        <v>-0.46046499346474262</v>
      </c>
      <c r="AH287" s="149">
        <f t="shared" si="28"/>
        <v>1.7202909839853189E-2</v>
      </c>
      <c r="AI287" s="149">
        <f t="shared" si="29"/>
        <v>6.0731684776150928E-3</v>
      </c>
      <c r="AJ287" s="149">
        <v>-0.4626518622182908</v>
      </c>
      <c r="AK287" s="149">
        <v>0.75781153386372069</v>
      </c>
      <c r="AL287" s="149">
        <v>0.17659717729691193</v>
      </c>
      <c r="AM287" s="149">
        <v>0.22715678531197803</v>
      </c>
      <c r="AN287" s="149">
        <v>-9.2573371510379379E-2</v>
      </c>
      <c r="AO287">
        <f t="shared" si="26"/>
        <v>1</v>
      </c>
      <c r="AP287" s="149">
        <v>-2.1982229380932892E-2</v>
      </c>
      <c r="AQ287" s="149">
        <v>-6.1214965569247421E-3</v>
      </c>
      <c r="AR287" s="149">
        <v>0.61397092800654851</v>
      </c>
      <c r="AS287" s="208">
        <v>1732.9327490718763</v>
      </c>
      <c r="AT287" s="149">
        <f t="shared" si="27"/>
        <v>-8.0000000000000002E-3</v>
      </c>
      <c r="AU287" s="149">
        <v>-0.04</v>
      </c>
      <c r="AV287">
        <v>7</v>
      </c>
    </row>
    <row r="288" spans="1:48" x14ac:dyDescent="0.25">
      <c r="A288" t="s">
        <v>391</v>
      </c>
      <c r="B288" s="101">
        <v>558</v>
      </c>
      <c r="C288" s="101">
        <v>9908</v>
      </c>
      <c r="D288" s="101">
        <v>89016</v>
      </c>
      <c r="E288" s="101">
        <v>32</v>
      </c>
      <c r="F288" s="101">
        <v>0</v>
      </c>
      <c r="G288" s="101">
        <v>2362</v>
      </c>
      <c r="H288" s="101">
        <v>0</v>
      </c>
      <c r="I288" s="101">
        <v>-2035</v>
      </c>
      <c r="J288" s="101">
        <v>46</v>
      </c>
      <c r="K288" s="101">
        <v>9340</v>
      </c>
      <c r="L288" s="101">
        <v>-572</v>
      </c>
      <c r="M288" s="101">
        <v>7234</v>
      </c>
      <c r="N288" s="101">
        <v>46506</v>
      </c>
      <c r="O288" s="101">
        <v>7755</v>
      </c>
      <c r="P288" s="101">
        <v>43619</v>
      </c>
      <c r="Q288" s="101">
        <v>11</v>
      </c>
      <c r="R288" s="101">
        <v>2500</v>
      </c>
      <c r="S288" s="101">
        <v>4835</v>
      </c>
      <c r="T288" s="101">
        <v>10660</v>
      </c>
      <c r="U288" s="101">
        <v>43261</v>
      </c>
      <c r="V288" s="101">
        <v>88332</v>
      </c>
      <c r="W288" s="101">
        <v>109419</v>
      </c>
      <c r="X288" s="101">
        <v>105896</v>
      </c>
      <c r="Y288" s="101">
        <v>3523</v>
      </c>
      <c r="Z288" s="101">
        <v>3915</v>
      </c>
      <c r="AA288" s="101">
        <v>2465616.4231927712</v>
      </c>
      <c r="AB288" s="101">
        <v>77704</v>
      </c>
      <c r="AC288" s="101">
        <v>67859.312999999995</v>
      </c>
      <c r="AD288" s="101">
        <v>31714</v>
      </c>
      <c r="AE288" t="s">
        <v>391</v>
      </c>
      <c r="AF288" s="149">
        <v>3.96640437218399E-3</v>
      </c>
      <c r="AG288" s="149">
        <v>0.39537009111763038</v>
      </c>
      <c r="AH288" s="149">
        <f t="shared" si="28"/>
        <v>2.1586744532485217E-2</v>
      </c>
      <c r="AI288" s="149">
        <f t="shared" si="29"/>
        <v>-1.8177830175746444E-2</v>
      </c>
      <c r="AJ288" s="149">
        <v>0.41068498158455108</v>
      </c>
      <c r="AK288" s="149">
        <v>0.40130818217903802</v>
      </c>
      <c r="AL288" s="149">
        <v>3.2197333187106443E-2</v>
      </c>
      <c r="AM288" s="149">
        <v>5.2133416483936511E-2</v>
      </c>
      <c r="AN288" s="149">
        <v>0.11469729374023196</v>
      </c>
      <c r="AO288">
        <f t="shared" si="26"/>
        <v>0</v>
      </c>
      <c r="AP288" s="149">
        <v>2.547546586973012E-2</v>
      </c>
      <c r="AQ288" s="149">
        <v>2.259214579233957E-2</v>
      </c>
      <c r="AR288" s="149">
        <v>0.7119923764843864</v>
      </c>
      <c r="AS288" s="208">
        <v>2139.7273443904901</v>
      </c>
      <c r="AT288" s="149">
        <f t="shared" si="27"/>
        <v>4.58E-2</v>
      </c>
      <c r="AU288" s="149">
        <v>0.22900000000000001</v>
      </c>
      <c r="AV288">
        <v>10</v>
      </c>
    </row>
    <row r="289" spans="1:48" x14ac:dyDescent="0.25">
      <c r="A289" t="s">
        <v>124</v>
      </c>
      <c r="B289" s="101">
        <v>416</v>
      </c>
      <c r="C289" s="101">
        <v>7458</v>
      </c>
      <c r="D289" s="101">
        <v>53757</v>
      </c>
      <c r="E289" s="101">
        <v>968</v>
      </c>
      <c r="F289" s="101">
        <v>1780</v>
      </c>
      <c r="G289" s="101">
        <v>828</v>
      </c>
      <c r="H289" s="101">
        <v>0</v>
      </c>
      <c r="I289" s="101">
        <v>18254</v>
      </c>
      <c r="J289" s="101">
        <v>0</v>
      </c>
      <c r="K289" s="101">
        <v>24704</v>
      </c>
      <c r="L289" s="101">
        <v>1731</v>
      </c>
      <c r="M289" s="101">
        <v>4904</v>
      </c>
      <c r="N289" s="101">
        <v>72783</v>
      </c>
      <c r="O289" s="101">
        <v>4842</v>
      </c>
      <c r="P289" s="101">
        <v>15460</v>
      </c>
      <c r="Q289" s="101">
        <v>45</v>
      </c>
      <c r="R289" s="101">
        <v>0</v>
      </c>
      <c r="S289" s="101">
        <v>8702</v>
      </c>
      <c r="T289" s="101">
        <v>12968</v>
      </c>
      <c r="U289" s="101">
        <v>3228</v>
      </c>
      <c r="V289" s="101">
        <v>42742</v>
      </c>
      <c r="W289" s="101">
        <v>139327</v>
      </c>
      <c r="X289" s="101">
        <v>133779</v>
      </c>
      <c r="Y289" s="101">
        <v>5548</v>
      </c>
      <c r="Z289" s="101">
        <v>490</v>
      </c>
      <c r="AA289" s="101">
        <v>-2589737.5495403484</v>
      </c>
      <c r="AB289" s="101">
        <v>94352</v>
      </c>
      <c r="AC289" s="101">
        <v>93200.635999999999</v>
      </c>
      <c r="AD289" s="101">
        <v>27520</v>
      </c>
      <c r="AE289" t="s">
        <v>124</v>
      </c>
      <c r="AF289" s="149">
        <v>2.3663755051066916E-2</v>
      </c>
      <c r="AG289" s="149">
        <v>2.3168517229252047E-2</v>
      </c>
      <c r="AH289" s="149">
        <f t="shared" si="28"/>
        <v>1.8718554192654689E-2</v>
      </c>
      <c r="AI289" s="149">
        <f t="shared" si="29"/>
        <v>0.13101552462910993</v>
      </c>
      <c r="AJ289" s="149">
        <v>-6.629612350800633E-2</v>
      </c>
      <c r="AK289" s="149">
        <v>0.6339982578397213</v>
      </c>
      <c r="AL289" s="149">
        <v>3.9819991817809902E-2</v>
      </c>
      <c r="AM289" s="149">
        <v>8.4339458899834047E-2</v>
      </c>
      <c r="AN289" s="149">
        <v>7.3312719027004744E-2</v>
      </c>
      <c r="AO289">
        <f t="shared" si="26"/>
        <v>0</v>
      </c>
      <c r="AP289" s="149">
        <v>3.3893287015438499E-2</v>
      </c>
      <c r="AQ289" s="149">
        <v>-1.8587478016036722E-2</v>
      </c>
      <c r="AR289" s="149">
        <v>0.67719824585328037</v>
      </c>
      <c r="AS289" s="208">
        <v>3386.6510174418604</v>
      </c>
      <c r="AT289" s="149">
        <f t="shared" si="27"/>
        <v>4.2000000000000003E-2</v>
      </c>
      <c r="AU289" s="149">
        <v>0.21000000000000002</v>
      </c>
      <c r="AV289">
        <v>8</v>
      </c>
    </row>
    <row r="290" spans="1:48" x14ac:dyDescent="0.25">
      <c r="A290" t="s">
        <v>231</v>
      </c>
      <c r="B290" s="101">
        <v>66</v>
      </c>
      <c r="C290" s="101">
        <v>18916</v>
      </c>
      <c r="D290" s="101">
        <v>237615</v>
      </c>
      <c r="E290" s="101">
        <v>3119</v>
      </c>
      <c r="F290" s="101">
        <v>0</v>
      </c>
      <c r="G290" s="101">
        <v>15973</v>
      </c>
      <c r="H290" s="101">
        <v>0</v>
      </c>
      <c r="I290" s="101">
        <v>49829</v>
      </c>
      <c r="J290" s="101">
        <v>0</v>
      </c>
      <c r="K290" s="101">
        <v>25050</v>
      </c>
      <c r="L290" s="101">
        <v>582</v>
      </c>
      <c r="M290" s="101">
        <v>8559</v>
      </c>
      <c r="N290" s="101">
        <v>107706</v>
      </c>
      <c r="O290" s="101">
        <v>58949</v>
      </c>
      <c r="P290" s="101">
        <v>139628</v>
      </c>
      <c r="Q290" s="101">
        <v>-4</v>
      </c>
      <c r="R290" s="101">
        <v>16189</v>
      </c>
      <c r="S290" s="101">
        <v>8857</v>
      </c>
      <c r="T290" s="101">
        <v>28383</v>
      </c>
      <c r="U290" s="101">
        <v>142889</v>
      </c>
      <c r="V290" s="101">
        <v>229288</v>
      </c>
      <c r="W290" s="101">
        <v>254473</v>
      </c>
      <c r="X290" s="101">
        <v>252520</v>
      </c>
      <c r="Y290" s="101">
        <v>1953</v>
      </c>
      <c r="Z290" s="101">
        <v>4833</v>
      </c>
      <c r="AA290" s="101">
        <v>9002099.7804878056</v>
      </c>
      <c r="AB290" s="101">
        <v>174904</v>
      </c>
      <c r="AC290" s="101">
        <v>167122.05300000001</v>
      </c>
      <c r="AD290" s="101">
        <v>69440</v>
      </c>
      <c r="AE290" t="s">
        <v>231</v>
      </c>
      <c r="AF290" s="149">
        <v>-4.627602928404978E-2</v>
      </c>
      <c r="AG290" s="149">
        <v>0.5615094725177131</v>
      </c>
      <c r="AH290" s="149">
        <f t="shared" si="28"/>
        <v>6.2768938158468679E-2</v>
      </c>
      <c r="AI290" s="149">
        <f t="shared" si="29"/>
        <v>0.19581252235011179</v>
      </c>
      <c r="AJ290" s="149">
        <v>0.43197297945165108</v>
      </c>
      <c r="AK290" s="149">
        <v>0.29942620125212671</v>
      </c>
      <c r="AL290" s="149">
        <v>7.6746845441363135E-3</v>
      </c>
      <c r="AM290" s="149">
        <v>7.0200890686684433E-2</v>
      </c>
      <c r="AN290" s="149">
        <v>3.0292914962864056E-2</v>
      </c>
      <c r="AO290">
        <f t="shared" si="26"/>
        <v>0</v>
      </c>
      <c r="AP290" s="149">
        <v>2.682897596208635E-2</v>
      </c>
      <c r="AQ290" s="149">
        <v>3.5448594911114899E-2</v>
      </c>
      <c r="AR290" s="149">
        <v>0.68873942696930079</v>
      </c>
      <c r="AS290" s="208">
        <v>2406.7115927419354</v>
      </c>
      <c r="AT290" s="149">
        <f t="shared" si="27"/>
        <v>4.6800000000000001E-2</v>
      </c>
      <c r="AU290" s="149">
        <v>0.23400000000000001</v>
      </c>
      <c r="AV290">
        <v>9.5</v>
      </c>
    </row>
    <row r="291" spans="1:48" x14ac:dyDescent="0.25">
      <c r="A291" t="s">
        <v>339</v>
      </c>
      <c r="B291" s="101">
        <v>1781</v>
      </c>
      <c r="C291" s="101">
        <v>8678</v>
      </c>
      <c r="D291" s="101">
        <v>69333</v>
      </c>
      <c r="E291" s="101">
        <v>5532</v>
      </c>
      <c r="F291" s="101">
        <v>0</v>
      </c>
      <c r="G291" s="101">
        <v>6173</v>
      </c>
      <c r="H291" s="101">
        <v>0</v>
      </c>
      <c r="I291" s="101">
        <v>6082</v>
      </c>
      <c r="J291" s="101">
        <v>16</v>
      </c>
      <c r="K291" s="101">
        <v>8158</v>
      </c>
      <c r="L291" s="101">
        <v>35980</v>
      </c>
      <c r="M291" s="101">
        <v>9555</v>
      </c>
      <c r="N291" s="101">
        <v>55222</v>
      </c>
      <c r="O291" s="101">
        <v>12502</v>
      </c>
      <c r="P291" s="101">
        <v>70478</v>
      </c>
      <c r="Q291" s="101">
        <v>467</v>
      </c>
      <c r="R291" s="101">
        <v>0</v>
      </c>
      <c r="S291" s="101">
        <v>6872</v>
      </c>
      <c r="T291" s="101">
        <v>5744</v>
      </c>
      <c r="U291" s="101">
        <v>23695</v>
      </c>
      <c r="V291" s="101">
        <v>64657</v>
      </c>
      <c r="W291" s="101">
        <v>93551</v>
      </c>
      <c r="X291" s="101">
        <v>81542</v>
      </c>
      <c r="Y291" s="101">
        <v>12009</v>
      </c>
      <c r="Z291" s="101">
        <v>6841</v>
      </c>
      <c r="AA291" s="101">
        <v>6235130.8358404189</v>
      </c>
      <c r="AB291" s="101">
        <v>47324</v>
      </c>
      <c r="AC291" s="101">
        <v>26819.642</v>
      </c>
      <c r="AD291" s="101">
        <v>22067</v>
      </c>
      <c r="AE291" t="s">
        <v>339</v>
      </c>
      <c r="AF291" s="149">
        <v>9.0645744032666672E-3</v>
      </c>
      <c r="AG291" s="149">
        <v>0.244486964329617</v>
      </c>
      <c r="AH291" s="149">
        <f t="shared" si="28"/>
        <v>6.5985398338873985E-2</v>
      </c>
      <c r="AI291" s="149">
        <f t="shared" si="29"/>
        <v>6.5183696593302046E-2</v>
      </c>
      <c r="AJ291" s="149">
        <v>0.20677662451497045</v>
      </c>
      <c r="AK291" s="149">
        <v>0.36501966487093895</v>
      </c>
      <c r="AL291" s="149">
        <v>0.12836848350097807</v>
      </c>
      <c r="AM291" s="149">
        <v>0.14000990771995714</v>
      </c>
      <c r="AN291" s="149">
        <v>3.9571216786406661E-2</v>
      </c>
      <c r="AO291">
        <f t="shared" si="26"/>
        <v>0</v>
      </c>
      <c r="AP291" s="149">
        <v>4.0445853064104073E-2</v>
      </c>
      <c r="AQ291" s="149">
        <v>6.6649536999502074E-2</v>
      </c>
      <c r="AR291" s="149">
        <v>0.5058631120992827</v>
      </c>
      <c r="AS291" s="208">
        <v>1215.3732723070648</v>
      </c>
      <c r="AT291" s="149">
        <f t="shared" si="27"/>
        <v>6.1000000000000004E-3</v>
      </c>
      <c r="AU291" s="149">
        <v>3.0500000000000003E-2</v>
      </c>
      <c r="AV291">
        <v>9</v>
      </c>
    </row>
    <row r="292" spans="1:48" x14ac:dyDescent="0.25">
      <c r="A292" t="s">
        <v>392</v>
      </c>
      <c r="B292" s="101">
        <v>371</v>
      </c>
      <c r="C292" s="101">
        <v>18682</v>
      </c>
      <c r="D292" s="101">
        <v>149427</v>
      </c>
      <c r="E292" s="101">
        <v>175</v>
      </c>
      <c r="F292" s="101">
        <v>0</v>
      </c>
      <c r="G292" s="101">
        <v>3529</v>
      </c>
      <c r="H292" s="101">
        <v>8</v>
      </c>
      <c r="I292" s="101">
        <v>57267</v>
      </c>
      <c r="J292" s="101">
        <v>0</v>
      </c>
      <c r="K292" s="101">
        <v>6792</v>
      </c>
      <c r="L292" s="101">
        <v>-85</v>
      </c>
      <c r="M292" s="101">
        <v>30622</v>
      </c>
      <c r="N292" s="101">
        <v>80127</v>
      </c>
      <c r="O292" s="101">
        <v>21989</v>
      </c>
      <c r="P292" s="101">
        <v>129808</v>
      </c>
      <c r="Q292" s="101">
        <v>0</v>
      </c>
      <c r="R292" s="101">
        <v>0</v>
      </c>
      <c r="S292" s="101">
        <v>16166</v>
      </c>
      <c r="T292" s="101">
        <v>18699</v>
      </c>
      <c r="U292" s="101">
        <v>123807</v>
      </c>
      <c r="V292" s="101">
        <v>131592</v>
      </c>
      <c r="W292" s="101">
        <v>151061</v>
      </c>
      <c r="X292" s="101">
        <v>147183</v>
      </c>
      <c r="Y292" s="101">
        <v>3878</v>
      </c>
      <c r="Z292" s="101">
        <v>15839</v>
      </c>
      <c r="AA292" s="101">
        <v>7298474</v>
      </c>
      <c r="AB292" s="101">
        <v>94801</v>
      </c>
      <c r="AC292" s="101">
        <v>94561.630999999994</v>
      </c>
      <c r="AD292" s="101">
        <v>46827</v>
      </c>
      <c r="AE292" t="s">
        <v>392</v>
      </c>
      <c r="AF292" s="149">
        <v>0</v>
      </c>
      <c r="AG292" s="149">
        <v>0</v>
      </c>
      <c r="AH292" s="149">
        <f t="shared" si="28"/>
        <v>2.3361423530891493E-2</v>
      </c>
      <c r="AI292" s="149">
        <f t="shared" si="29"/>
        <v>0.3790985098734948</v>
      </c>
      <c r="AJ292" s="149">
        <v>-0.26256558608773939</v>
      </c>
      <c r="AK292" s="149">
        <v>0.27</v>
      </c>
      <c r="AL292" s="149">
        <v>0</v>
      </c>
      <c r="AM292" s="149">
        <v>4.7189087158730471E-2</v>
      </c>
      <c r="AN292" s="149">
        <v>1.0985874139562197E-2</v>
      </c>
      <c r="AO292">
        <f t="shared" si="26"/>
        <v>0</v>
      </c>
      <c r="AP292" s="149">
        <v>6.1048185832213477E-2</v>
      </c>
      <c r="AQ292" s="149">
        <v>4.8314747022725917E-2</v>
      </c>
      <c r="AR292" s="149">
        <v>0.62756767133806868</v>
      </c>
      <c r="AS292" s="208">
        <v>2019.3826424925792</v>
      </c>
      <c r="AT292" s="149">
        <f t="shared" si="27"/>
        <v>4.2099999999999999E-2</v>
      </c>
      <c r="AU292" s="149">
        <v>0.21049999999999999</v>
      </c>
      <c r="AV292">
        <v>9.5</v>
      </c>
    </row>
    <row r="293" spans="1:48" x14ac:dyDescent="0.25">
      <c r="A293" t="s">
        <v>274</v>
      </c>
      <c r="B293" s="101">
        <v>1609</v>
      </c>
      <c r="C293" s="101">
        <v>29409</v>
      </c>
      <c r="D293" s="101">
        <v>153444</v>
      </c>
      <c r="E293" s="101">
        <v>1683</v>
      </c>
      <c r="F293" s="101">
        <v>737</v>
      </c>
      <c r="G293" s="101">
        <v>4708</v>
      </c>
      <c r="H293" s="101">
        <v>-6</v>
      </c>
      <c r="I293" s="101">
        <v>1440</v>
      </c>
      <c r="J293" s="101">
        <v>4027</v>
      </c>
      <c r="K293" s="101">
        <v>20105</v>
      </c>
      <c r="L293" s="101">
        <v>989</v>
      </c>
      <c r="M293" s="101">
        <v>13346</v>
      </c>
      <c r="N293" s="101">
        <v>49519</v>
      </c>
      <c r="O293" s="101">
        <v>19945</v>
      </c>
      <c r="P293" s="101">
        <v>127667</v>
      </c>
      <c r="Q293" s="101">
        <v>2029</v>
      </c>
      <c r="R293" s="101">
        <v>0</v>
      </c>
      <c r="S293" s="101">
        <v>12184</v>
      </c>
      <c r="T293" s="101">
        <v>20147</v>
      </c>
      <c r="U293" s="101">
        <v>122148</v>
      </c>
      <c r="V293" s="101">
        <v>200156</v>
      </c>
      <c r="W293" s="101">
        <v>236804</v>
      </c>
      <c r="X293" s="101">
        <v>240795</v>
      </c>
      <c r="Y293" s="101">
        <v>-3991</v>
      </c>
      <c r="Z293" s="101">
        <v>-1653</v>
      </c>
      <c r="AA293" s="101">
        <v>8059866.2278097533</v>
      </c>
      <c r="AB293" s="101">
        <v>166141</v>
      </c>
      <c r="AC293" s="101">
        <v>164124.78399999999</v>
      </c>
      <c r="AD293" s="101">
        <v>69241</v>
      </c>
      <c r="AE293" t="s">
        <v>274</v>
      </c>
      <c r="AF293" s="149">
        <v>8.8554247394469696E-3</v>
      </c>
      <c r="AG293" s="149">
        <v>0.51581898954409555</v>
      </c>
      <c r="AH293" s="149">
        <f t="shared" si="28"/>
        <v>2.299369943075286E-2</v>
      </c>
      <c r="AI293" s="149">
        <f t="shared" si="29"/>
        <v>2.308660326683671E-2</v>
      </c>
      <c r="AJ293" s="149">
        <v>0.50241761118900019</v>
      </c>
      <c r="AK293" s="149">
        <v>0.21391328388576661</v>
      </c>
      <c r="AL293" s="149">
        <v>-1.6853600445938414E-2</v>
      </c>
      <c r="AM293" s="149">
        <v>6.7100506767647672E-2</v>
      </c>
      <c r="AN293" s="149">
        <v>-1.7368984782839444E-4</v>
      </c>
      <c r="AO293">
        <f t="shared" si="26"/>
        <v>2</v>
      </c>
      <c r="AP293" s="149">
        <v>-1.6568554585226603E-2</v>
      </c>
      <c r="AQ293" s="149">
        <v>3.4036022313008875E-2</v>
      </c>
      <c r="AR293" s="149">
        <v>0.70159710140031417</v>
      </c>
      <c r="AS293" s="208">
        <v>2370.3410407128727</v>
      </c>
      <c r="AT293" s="149">
        <f t="shared" si="27"/>
        <v>5.1400000000000001E-2</v>
      </c>
      <c r="AU293" s="149">
        <v>0.25700000000000001</v>
      </c>
      <c r="AV293">
        <v>7.5</v>
      </c>
    </row>
    <row r="294" spans="1:48" x14ac:dyDescent="0.25">
      <c r="A294" t="s">
        <v>423</v>
      </c>
      <c r="B294" s="101">
        <v>18799</v>
      </c>
      <c r="C294" s="101">
        <v>24777</v>
      </c>
      <c r="D294" s="101">
        <v>262143</v>
      </c>
      <c r="E294" s="101">
        <v>17995</v>
      </c>
      <c r="F294" s="101">
        <v>32098</v>
      </c>
      <c r="G294" s="101">
        <v>7625</v>
      </c>
      <c r="H294" s="101">
        <v>6118</v>
      </c>
      <c r="I294" s="101">
        <v>25359</v>
      </c>
      <c r="J294" s="101">
        <v>202</v>
      </c>
      <c r="K294" s="101">
        <v>223062</v>
      </c>
      <c r="L294" s="101">
        <v>560</v>
      </c>
      <c r="M294" s="101">
        <v>21471</v>
      </c>
      <c r="N294" s="101">
        <v>223021</v>
      </c>
      <c r="O294" s="101">
        <v>27044</v>
      </c>
      <c r="P294" s="101">
        <v>233713</v>
      </c>
      <c r="Q294" s="101">
        <v>28</v>
      </c>
      <c r="R294" s="101">
        <v>0</v>
      </c>
      <c r="S294" s="101">
        <v>53866</v>
      </c>
      <c r="T294" s="101">
        <v>102537</v>
      </c>
      <c r="U294" s="101">
        <v>99210</v>
      </c>
      <c r="V294" s="101">
        <v>286434</v>
      </c>
      <c r="W294" s="101">
        <v>533420</v>
      </c>
      <c r="X294" s="101">
        <v>503160</v>
      </c>
      <c r="Y294" s="101">
        <v>30260</v>
      </c>
      <c r="Z294" s="101">
        <v>25201</v>
      </c>
      <c r="AA294" s="101">
        <v>-7249776.25</v>
      </c>
      <c r="AB294" s="101">
        <v>392003</v>
      </c>
      <c r="AC294" s="101">
        <v>272607.65500000003</v>
      </c>
      <c r="AD294" s="101">
        <v>103789</v>
      </c>
      <c r="AE294" t="s">
        <v>423</v>
      </c>
      <c r="AF294" s="149">
        <v>3.5131791083948859E-3</v>
      </c>
      <c r="AG294" s="149">
        <v>0.18509242248134677</v>
      </c>
      <c r="AH294" s="149">
        <f t="shared" si="28"/>
        <v>7.4468523864871961E-2</v>
      </c>
      <c r="AI294" s="149">
        <f t="shared" si="29"/>
        <v>4.7919088148175921E-2</v>
      </c>
      <c r="AJ294" s="149">
        <v>0.16048528364140829</v>
      </c>
      <c r="AK294" s="149">
        <v>0.34835655231338514</v>
      </c>
      <c r="AL294" s="149">
        <v>5.6728281654231189E-2</v>
      </c>
      <c r="AM294" s="149">
        <v>6.8410989809379957E-2</v>
      </c>
      <c r="AN294" s="149">
        <v>8.0864712860846261E-2</v>
      </c>
      <c r="AO294">
        <f t="shared" si="26"/>
        <v>0</v>
      </c>
      <c r="AP294" s="149">
        <v>9.0383750140602161E-3</v>
      </c>
      <c r="AQ294" s="149">
        <v>-1.3591376708348176E-2</v>
      </c>
      <c r="AR294" s="149">
        <v>0.73489998312742544</v>
      </c>
      <c r="AS294" s="208">
        <v>2626.5563306323406</v>
      </c>
      <c r="AT294" s="149">
        <f t="shared" si="27"/>
        <v>5.0599999999999999E-2</v>
      </c>
      <c r="AU294" s="149">
        <v>0.253</v>
      </c>
      <c r="AV294">
        <v>8.5</v>
      </c>
    </row>
    <row r="295" spans="1:48" x14ac:dyDescent="0.25">
      <c r="A295" t="s">
        <v>424</v>
      </c>
      <c r="B295" s="101">
        <v>4808</v>
      </c>
      <c r="C295" s="101">
        <v>8051</v>
      </c>
      <c r="D295" s="101">
        <v>145665</v>
      </c>
      <c r="E295" s="101">
        <v>1548</v>
      </c>
      <c r="F295" s="101">
        <v>13232</v>
      </c>
      <c r="G295" s="101">
        <v>1611</v>
      </c>
      <c r="H295" s="101">
        <v>525</v>
      </c>
      <c r="I295" s="101">
        <v>-338</v>
      </c>
      <c r="J295" s="101">
        <v>8</v>
      </c>
      <c r="K295" s="101">
        <v>15038</v>
      </c>
      <c r="L295" s="101">
        <v>7</v>
      </c>
      <c r="M295" s="101">
        <v>7017</v>
      </c>
      <c r="N295" s="101">
        <v>83714</v>
      </c>
      <c r="O295" s="101">
        <v>19075</v>
      </c>
      <c r="P295" s="101">
        <v>60874</v>
      </c>
      <c r="Q295" s="101">
        <v>10</v>
      </c>
      <c r="R295" s="101">
        <v>9985</v>
      </c>
      <c r="S295" s="101">
        <v>9802</v>
      </c>
      <c r="T295" s="101">
        <v>13711</v>
      </c>
      <c r="U295" s="101">
        <v>56952</v>
      </c>
      <c r="V295" s="101">
        <v>123779</v>
      </c>
      <c r="W295" s="101">
        <v>170857</v>
      </c>
      <c r="X295" s="101">
        <v>158768</v>
      </c>
      <c r="Y295" s="101">
        <v>12089</v>
      </c>
      <c r="Z295" s="101">
        <v>10753</v>
      </c>
      <c r="AA295" s="101">
        <v>132237</v>
      </c>
      <c r="AB295" s="101">
        <v>126309</v>
      </c>
      <c r="AC295" s="101">
        <v>97264.403999999995</v>
      </c>
      <c r="AD295" s="101">
        <v>44662</v>
      </c>
      <c r="AE295" t="s">
        <v>424</v>
      </c>
      <c r="AF295" s="149">
        <v>-2.2123764317528694E-3</v>
      </c>
      <c r="AG295" s="149">
        <v>0.33333138238409898</v>
      </c>
      <c r="AH295" s="149">
        <f t="shared" si="28"/>
        <v>8.6873818456369947E-2</v>
      </c>
      <c r="AI295" s="149">
        <f t="shared" si="29"/>
        <v>-1.9314397420064733E-3</v>
      </c>
      <c r="AJ295" s="149">
        <v>0.34510824841826793</v>
      </c>
      <c r="AK295" s="149">
        <v>0.4245756221756749</v>
      </c>
      <c r="AL295" s="149">
        <v>7.0755075882170476E-2</v>
      </c>
      <c r="AM295" s="149">
        <v>0.10318953006332203</v>
      </c>
      <c r="AN295" s="149">
        <v>2.34174400757391E-2</v>
      </c>
      <c r="AO295">
        <f t="shared" si="26"/>
        <v>0</v>
      </c>
      <c r="AP295" s="149">
        <v>5.083929836061736E-2</v>
      </c>
      <c r="AQ295" s="149">
        <v>7.7396302170821218E-4</v>
      </c>
      <c r="AR295" s="149">
        <v>0.73926734052453225</v>
      </c>
      <c r="AS295" s="208">
        <v>2177.7888137566611</v>
      </c>
      <c r="AT295" s="149">
        <f t="shared" si="27"/>
        <v>3.8699999999999998E-2</v>
      </c>
      <c r="AU295" s="149">
        <v>0.19350000000000001</v>
      </c>
      <c r="AV295">
        <v>8.5</v>
      </c>
    </row>
    <row r="296" spans="1:48" x14ac:dyDescent="0.25">
      <c r="A296" t="s">
        <v>598</v>
      </c>
      <c r="B296" s="101">
        <v>18582</v>
      </c>
      <c r="C296" s="101">
        <v>22345</v>
      </c>
      <c r="D296" s="101">
        <v>188797</v>
      </c>
      <c r="E296" s="101">
        <v>20727</v>
      </c>
      <c r="F296" s="101">
        <v>0</v>
      </c>
      <c r="G296" s="101">
        <v>7992</v>
      </c>
      <c r="H296" s="101">
        <v>20000</v>
      </c>
      <c r="I296" s="101">
        <v>3204</v>
      </c>
      <c r="J296" s="101">
        <v>0</v>
      </c>
      <c r="K296" s="101">
        <v>48903</v>
      </c>
      <c r="L296" s="101">
        <v>1373</v>
      </c>
      <c r="M296" s="101">
        <v>7202</v>
      </c>
      <c r="N296" s="101">
        <v>77160</v>
      </c>
      <c r="O296" s="101">
        <v>20468</v>
      </c>
      <c r="P296" s="101">
        <v>208754</v>
      </c>
      <c r="Q296" s="101">
        <v>0</v>
      </c>
      <c r="R296" s="101">
        <v>14140</v>
      </c>
      <c r="S296" s="101">
        <v>7427</v>
      </c>
      <c r="T296" s="101">
        <v>11177</v>
      </c>
      <c r="U296" s="101">
        <v>156028</v>
      </c>
      <c r="V296" s="101">
        <v>0</v>
      </c>
      <c r="W296" s="101">
        <v>194947</v>
      </c>
      <c r="X296" s="101">
        <v>198947</v>
      </c>
      <c r="Y296" s="101">
        <v>-4000</v>
      </c>
      <c r="Z296" s="101">
        <v>11047</v>
      </c>
      <c r="AA296" s="101">
        <v>20964603.002590671</v>
      </c>
      <c r="AB296" s="187">
        <v>181711</v>
      </c>
      <c r="AC296" s="101">
        <v>100520.47</v>
      </c>
      <c r="AD296" s="101">
        <v>61669</v>
      </c>
      <c r="AE296" t="s">
        <v>598</v>
      </c>
      <c r="AF296" s="149">
        <v>-0.105</v>
      </c>
      <c r="AG296" s="149">
        <v>0.80030000000000001</v>
      </c>
      <c r="AH296" s="149">
        <f t="shared" si="28"/>
        <v>4.0995757821356574E-2</v>
      </c>
      <c r="AI296" s="149">
        <f t="shared" si="29"/>
        <v>1.6435236243697006E-2</v>
      </c>
      <c r="AJ296" s="149">
        <v>0.80400000000000005</v>
      </c>
      <c r="AK296" s="149">
        <v>0.22700000000000001</v>
      </c>
      <c r="AL296" s="149">
        <v>-2.0500000000000001E-2</v>
      </c>
      <c r="AM296" s="149">
        <v>1.4103331226967449E-2</v>
      </c>
      <c r="AN296" s="149">
        <v>5.6028707851573795E-2</v>
      </c>
      <c r="AO296">
        <f t="shared" si="26"/>
        <v>1</v>
      </c>
      <c r="AP296" s="149">
        <v>7.7499999999999999E-2</v>
      </c>
      <c r="AQ296" s="149">
        <v>0</v>
      </c>
      <c r="AR296" s="149">
        <v>0.65759999999999996</v>
      </c>
      <c r="AS296" s="208">
        <v>2138</v>
      </c>
      <c r="AT296" s="149">
        <f t="shared" si="27"/>
        <v>5.2299999999999999E-2</v>
      </c>
      <c r="AU296" s="149">
        <v>0.26150000000000001</v>
      </c>
      <c r="AV296">
        <v>7</v>
      </c>
    </row>
    <row r="297" spans="1:48" x14ac:dyDescent="0.25">
      <c r="A297" t="s">
        <v>318</v>
      </c>
      <c r="B297" s="101">
        <v>350</v>
      </c>
      <c r="C297" s="101">
        <v>94830</v>
      </c>
      <c r="D297" s="101">
        <v>209191</v>
      </c>
      <c r="E297" s="101">
        <v>1575</v>
      </c>
      <c r="F297" s="101">
        <v>0</v>
      </c>
      <c r="G297" s="101">
        <v>437</v>
      </c>
      <c r="H297" s="101">
        <v>6107</v>
      </c>
      <c r="I297" s="101">
        <v>37974</v>
      </c>
      <c r="J297" s="101">
        <v>1604</v>
      </c>
      <c r="K297" s="101">
        <v>43240</v>
      </c>
      <c r="L297" s="101">
        <v>79</v>
      </c>
      <c r="M297" s="101">
        <v>25226</v>
      </c>
      <c r="N297" s="101">
        <v>99356</v>
      </c>
      <c r="O297" s="101">
        <v>30401</v>
      </c>
      <c r="P297" s="101">
        <v>208112</v>
      </c>
      <c r="Q297" s="101">
        <v>83</v>
      </c>
      <c r="R297" s="101">
        <v>20000</v>
      </c>
      <c r="S297" s="101">
        <v>5765</v>
      </c>
      <c r="T297" s="101">
        <v>56897</v>
      </c>
      <c r="U297" s="101">
        <v>215768</v>
      </c>
      <c r="V297" s="101">
        <v>301124</v>
      </c>
      <c r="W297" s="101">
        <v>369592</v>
      </c>
      <c r="X297" s="101">
        <v>353878</v>
      </c>
      <c r="Y297" s="101">
        <v>15714</v>
      </c>
      <c r="Z297" s="101">
        <v>12012</v>
      </c>
      <c r="AA297" s="101">
        <v>-404431.01787709817</v>
      </c>
      <c r="AB297" s="101">
        <v>291134</v>
      </c>
      <c r="AC297" s="101">
        <v>200595.37099999998</v>
      </c>
      <c r="AD297" s="101">
        <v>76409</v>
      </c>
      <c r="AE297" t="s">
        <v>318</v>
      </c>
      <c r="AF297" s="149">
        <v>-3.4402800926426981E-2</v>
      </c>
      <c r="AG297" s="149">
        <v>0.58285352496807286</v>
      </c>
      <c r="AH297" s="149">
        <f t="shared" si="28"/>
        <v>1.1823849001060629E-3</v>
      </c>
      <c r="AI297" s="149">
        <f t="shared" si="29"/>
        <v>0.10708565120457153</v>
      </c>
      <c r="AJ297" s="149">
        <v>0.50803545531288552</v>
      </c>
      <c r="AK297" s="149">
        <v>0.23621657862077819</v>
      </c>
      <c r="AL297" s="149">
        <v>4.2517154050953486E-2</v>
      </c>
      <c r="AM297" s="149">
        <v>7.211377352404158E-2</v>
      </c>
      <c r="AN297" s="149">
        <v>4.4883405594522655E-2</v>
      </c>
      <c r="AO297">
        <f t="shared" si="26"/>
        <v>0</v>
      </c>
      <c r="AP297" s="149">
        <v>2.1963408298880929E-3</v>
      </c>
      <c r="AQ297" s="149">
        <v>-1.094263452339602E-3</v>
      </c>
      <c r="AR297" s="149">
        <v>0.7877172666075023</v>
      </c>
      <c r="AS297" s="208">
        <v>2625.2845999816773</v>
      </c>
      <c r="AT297" s="149">
        <f t="shared" si="27"/>
        <v>6.5600000000000006E-2</v>
      </c>
      <c r="AU297" s="149">
        <v>0.32800000000000001</v>
      </c>
      <c r="AV297">
        <v>7</v>
      </c>
    </row>
    <row r="298" spans="1:48" x14ac:dyDescent="0.25">
      <c r="A298" t="s">
        <v>137</v>
      </c>
      <c r="B298" s="101">
        <v>0</v>
      </c>
      <c r="C298" s="101">
        <v>2471</v>
      </c>
      <c r="D298" s="101">
        <v>23773</v>
      </c>
      <c r="E298" s="101">
        <v>33</v>
      </c>
      <c r="F298" s="101">
        <v>5817</v>
      </c>
      <c r="G298" s="101">
        <v>749</v>
      </c>
      <c r="H298" s="101">
        <v>0</v>
      </c>
      <c r="I298" s="101">
        <v>0</v>
      </c>
      <c r="J298" s="101">
        <v>6</v>
      </c>
      <c r="K298" s="101">
        <v>4983</v>
      </c>
      <c r="L298" s="101">
        <v>102</v>
      </c>
      <c r="M298" s="101">
        <v>1944</v>
      </c>
      <c r="N298" s="101">
        <v>6026</v>
      </c>
      <c r="O298" s="101">
        <v>4753</v>
      </c>
      <c r="P298" s="101">
        <v>26805</v>
      </c>
      <c r="Q298" s="101">
        <v>0</v>
      </c>
      <c r="R298" s="101">
        <v>0</v>
      </c>
      <c r="S298" s="101">
        <v>426</v>
      </c>
      <c r="T298" s="101">
        <v>1867</v>
      </c>
      <c r="U298" s="101">
        <v>15503</v>
      </c>
      <c r="V298" s="101">
        <v>10657</v>
      </c>
      <c r="W298" s="101">
        <v>11044</v>
      </c>
      <c r="X298" s="101">
        <v>9948</v>
      </c>
      <c r="Y298" s="101">
        <v>1096</v>
      </c>
      <c r="Z298" s="101">
        <v>135</v>
      </c>
      <c r="AA298" s="101">
        <v>578937</v>
      </c>
      <c r="AB298" s="101">
        <v>4875</v>
      </c>
      <c r="AC298" s="101">
        <v>5310.3069999999998</v>
      </c>
      <c r="AD298" s="101">
        <v>1255</v>
      </c>
      <c r="AE298" t="s">
        <v>137</v>
      </c>
      <c r="AF298" s="149">
        <v>8.8192683810213696E-2</v>
      </c>
      <c r="AG298" s="149">
        <v>1.4037486417964506</v>
      </c>
      <c r="AH298" s="149">
        <f t="shared" si="28"/>
        <v>0.59453096704092723</v>
      </c>
      <c r="AI298" s="149">
        <f t="shared" si="29"/>
        <v>5.4328141977544363E-4</v>
      </c>
      <c r="AJ298" s="149">
        <v>1.474712060847519</v>
      </c>
      <c r="AK298" s="149">
        <v>0.15111467763372369</v>
      </c>
      <c r="AL298" s="149">
        <v>9.9239406012314374E-2</v>
      </c>
      <c r="AM298" s="149">
        <v>-0.24619470834610277</v>
      </c>
      <c r="AN298" s="149">
        <v>-4.2415111832193764E-2</v>
      </c>
      <c r="AO298">
        <f t="shared" si="26"/>
        <v>2</v>
      </c>
      <c r="AP298" s="149">
        <v>0.35283864541832671</v>
      </c>
      <c r="AQ298" s="149">
        <v>5.2420952553422676E-2</v>
      </c>
      <c r="AR298" s="149">
        <v>0.44141615356754799</v>
      </c>
      <c r="AS298" s="208">
        <v>4231.3203187250992</v>
      </c>
      <c r="AT298" s="149">
        <f t="shared" si="27"/>
        <v>-1.04E-2</v>
      </c>
      <c r="AU298" s="149">
        <v>-5.1999999999999998E-2</v>
      </c>
      <c r="AV298">
        <v>6</v>
      </c>
    </row>
    <row r="299" spans="1:48" x14ac:dyDescent="0.25">
      <c r="A299" t="s">
        <v>340</v>
      </c>
      <c r="B299" s="101">
        <v>2154</v>
      </c>
      <c r="C299" s="101">
        <v>12837</v>
      </c>
      <c r="D299" s="101">
        <v>136129</v>
      </c>
      <c r="E299" s="101">
        <v>13050</v>
      </c>
      <c r="F299" s="101">
        <v>375</v>
      </c>
      <c r="G299" s="101">
        <v>3348</v>
      </c>
      <c r="H299" s="101">
        <v>0</v>
      </c>
      <c r="I299" s="101">
        <v>167212</v>
      </c>
      <c r="J299" s="101">
        <v>3</v>
      </c>
      <c r="K299" s="101">
        <v>23351</v>
      </c>
      <c r="L299" s="101">
        <v>-1003</v>
      </c>
      <c r="M299" s="101">
        <v>18752</v>
      </c>
      <c r="N299" s="101">
        <v>49827</v>
      </c>
      <c r="O299" s="101">
        <v>167187</v>
      </c>
      <c r="P299" s="101">
        <v>104088</v>
      </c>
      <c r="Q299" s="101">
        <v>0</v>
      </c>
      <c r="R299" s="101">
        <v>0</v>
      </c>
      <c r="S299" s="101">
        <v>9977</v>
      </c>
      <c r="T299" s="101">
        <v>45129</v>
      </c>
      <c r="U299" s="101">
        <v>114371</v>
      </c>
      <c r="V299" s="101">
        <v>0</v>
      </c>
      <c r="W299" s="101">
        <v>295716</v>
      </c>
      <c r="X299" s="101">
        <v>251652</v>
      </c>
      <c r="Y299" s="101">
        <v>44064</v>
      </c>
      <c r="Z299" s="101">
        <v>3396</v>
      </c>
      <c r="AA299" s="101">
        <v>-1989724.8823529407</v>
      </c>
      <c r="AB299" s="101">
        <v>213568</v>
      </c>
      <c r="AC299" s="101">
        <v>103004.70300000001</v>
      </c>
      <c r="AD299" s="101">
        <v>45389</v>
      </c>
      <c r="AE299" t="s">
        <v>340</v>
      </c>
      <c r="AF299" s="149">
        <v>5.7832514980589486E-2</v>
      </c>
      <c r="AG299" s="149">
        <v>0.38675959366419133</v>
      </c>
      <c r="AH299" s="149">
        <f t="shared" si="28"/>
        <v>1.2589782088219778E-2</v>
      </c>
      <c r="AI299" s="149">
        <f t="shared" si="29"/>
        <v>0.56545807463918085</v>
      </c>
      <c r="AJ299" s="149">
        <v>-7.5502847326488756E-3</v>
      </c>
      <c r="AK299" s="149">
        <v>0.13244534938119337</v>
      </c>
      <c r="AL299" s="149">
        <v>0.14900783183865601</v>
      </c>
      <c r="AM299" s="149">
        <v>0.13448227411888247</v>
      </c>
      <c r="AN299" s="149">
        <v>9.7460338388871873E-2</v>
      </c>
      <c r="AO299">
        <f t="shared" si="26"/>
        <v>0</v>
      </c>
      <c r="AP299" s="149">
        <v>7.595125052415155E-3</v>
      </c>
      <c r="AQ299" s="149">
        <v>-6.7284992437099808E-3</v>
      </c>
      <c r="AR299" s="149">
        <v>0.72220644131531608</v>
      </c>
      <c r="AS299" s="208">
        <v>2269.3759060565339</v>
      </c>
      <c r="AT299" s="149">
        <f t="shared" si="27"/>
        <v>2.6700000000000002E-2</v>
      </c>
      <c r="AU299" s="149">
        <v>0.13350000000000001</v>
      </c>
      <c r="AV299">
        <v>7</v>
      </c>
    </row>
    <row r="300" spans="1:48" x14ac:dyDescent="0.25">
      <c r="A300" t="s">
        <v>425</v>
      </c>
      <c r="B300" s="101">
        <v>0</v>
      </c>
      <c r="C300" s="101">
        <v>3197</v>
      </c>
      <c r="D300" s="101">
        <v>38027</v>
      </c>
      <c r="E300" s="101">
        <v>321</v>
      </c>
      <c r="F300" s="101">
        <v>9</v>
      </c>
      <c r="G300" s="101">
        <v>1000</v>
      </c>
      <c r="H300" s="101">
        <v>0</v>
      </c>
      <c r="I300" s="101">
        <v>0</v>
      </c>
      <c r="J300" s="101">
        <v>7</v>
      </c>
      <c r="K300" s="101">
        <v>16604</v>
      </c>
      <c r="L300" s="101">
        <v>518</v>
      </c>
      <c r="M300" s="101">
        <v>2392</v>
      </c>
      <c r="N300" s="101">
        <v>25207</v>
      </c>
      <c r="O300" s="101">
        <v>2259</v>
      </c>
      <c r="P300" s="101">
        <v>28584</v>
      </c>
      <c r="Q300" s="101">
        <v>0</v>
      </c>
      <c r="R300" s="101">
        <v>0</v>
      </c>
      <c r="S300" s="101">
        <v>6024</v>
      </c>
      <c r="T300" s="101">
        <v>1</v>
      </c>
      <c r="U300" s="101">
        <v>14086</v>
      </c>
      <c r="V300" s="101">
        <v>38410</v>
      </c>
      <c r="W300" s="101">
        <v>36082</v>
      </c>
      <c r="X300" s="101">
        <v>34892</v>
      </c>
      <c r="Y300" s="101">
        <v>1190</v>
      </c>
      <c r="Z300" s="101">
        <v>2005</v>
      </c>
      <c r="AA300" s="101">
        <v>681939.44578313222</v>
      </c>
      <c r="AB300" s="101">
        <v>27121</v>
      </c>
      <c r="AC300" s="101">
        <v>22400.008000000002</v>
      </c>
      <c r="AD300" s="101">
        <v>12375</v>
      </c>
      <c r="AE300" t="s">
        <v>425</v>
      </c>
      <c r="AF300" s="149">
        <v>-2.3917742918906935E-2</v>
      </c>
      <c r="AG300" s="149">
        <v>0.39038855939249489</v>
      </c>
      <c r="AH300" s="149">
        <f t="shared" si="28"/>
        <v>2.7964081813646693E-2</v>
      </c>
      <c r="AI300" s="149">
        <f t="shared" si="29"/>
        <v>1.9400254974779669E-4</v>
      </c>
      <c r="AJ300" s="149">
        <v>0.39360844742530904</v>
      </c>
      <c r="AK300" s="149">
        <v>0.40607329842931938</v>
      </c>
      <c r="AL300" s="149">
        <v>3.2980433457125438E-2</v>
      </c>
      <c r="AM300" s="149">
        <v>5.9127819548872182E-2</v>
      </c>
      <c r="AN300" s="149">
        <v>4.5101445475105709E-2</v>
      </c>
      <c r="AO300">
        <f t="shared" si="26"/>
        <v>0</v>
      </c>
      <c r="AP300" s="149">
        <v>1.9497256249653566E-2</v>
      </c>
      <c r="AQ300" s="149">
        <v>1.8899713036503858E-2</v>
      </c>
      <c r="AR300" s="149">
        <v>0.7516490216728563</v>
      </c>
      <c r="AS300" s="208">
        <v>1810.1016565656566</v>
      </c>
      <c r="AT300" s="149">
        <f t="shared" si="27"/>
        <v>5.5000000000000007E-2</v>
      </c>
      <c r="AU300" s="149">
        <v>0.27500000000000002</v>
      </c>
      <c r="AV300">
        <v>9</v>
      </c>
    </row>
    <row r="301" spans="1:48" x14ac:dyDescent="0.25">
      <c r="A301" t="s">
        <v>827</v>
      </c>
      <c r="B301" s="101">
        <v>1565</v>
      </c>
      <c r="C301" s="101">
        <v>62907</v>
      </c>
      <c r="D301" s="101">
        <v>304711</v>
      </c>
      <c r="E301" s="101">
        <v>6735</v>
      </c>
      <c r="F301" s="101">
        <v>0</v>
      </c>
      <c r="G301" s="101">
        <v>13126</v>
      </c>
      <c r="H301" s="101">
        <v>0</v>
      </c>
      <c r="I301" s="101">
        <v>59052</v>
      </c>
      <c r="J301" s="101">
        <v>0</v>
      </c>
      <c r="K301" s="101">
        <v>15463</v>
      </c>
      <c r="L301" s="101">
        <v>49332</v>
      </c>
      <c r="M301" s="101">
        <v>-14569</v>
      </c>
      <c r="N301" s="101">
        <v>180105</v>
      </c>
      <c r="O301" s="101">
        <v>54039</v>
      </c>
      <c r="P301" s="101">
        <v>224442</v>
      </c>
      <c r="Q301" s="101">
        <v>131</v>
      </c>
      <c r="R301" s="101">
        <v>3291</v>
      </c>
      <c r="S301" s="101">
        <v>26575</v>
      </c>
      <c r="T301" s="101">
        <v>9744</v>
      </c>
      <c r="U301" s="101">
        <v>200831</v>
      </c>
      <c r="V301" s="101">
        <v>306411</v>
      </c>
      <c r="W301" s="101">
        <v>243857</v>
      </c>
      <c r="X301" s="101">
        <v>253700</v>
      </c>
      <c r="Y301" s="101">
        <v>-9843</v>
      </c>
      <c r="Z301" s="101">
        <v>15190</v>
      </c>
      <c r="AA301" s="101">
        <v>10969112.998255562</v>
      </c>
      <c r="AB301" s="101">
        <v>169163</v>
      </c>
      <c r="AC301" s="101">
        <v>152110.80900000001</v>
      </c>
      <c r="AD301" s="101">
        <v>74304</v>
      </c>
      <c r="AE301" t="s">
        <v>827</v>
      </c>
      <c r="AF301" s="149">
        <v>-0.10323673300335852</v>
      </c>
      <c r="AG301" s="149">
        <v>0.8235605293266135</v>
      </c>
      <c r="AH301" s="149">
        <f t="shared" si="28"/>
        <v>5.3826627900777912E-2</v>
      </c>
      <c r="AI301" s="149">
        <f t="shared" si="29"/>
        <v>0.24215831409391569</v>
      </c>
      <c r="AJ301" s="149">
        <v>0.66050890480896585</v>
      </c>
      <c r="AK301" s="149">
        <v>0.36141930900794056</v>
      </c>
      <c r="AL301" s="149">
        <v>-4.0363819779624943E-2</v>
      </c>
      <c r="AM301" s="149">
        <v>-6.0999999999999999E-2</v>
      </c>
      <c r="AN301" s="149">
        <v>-1.8240831431112277E-2</v>
      </c>
      <c r="AO301">
        <v>2</v>
      </c>
      <c r="AP301" s="149">
        <v>6.4353289017744009E-2</v>
      </c>
      <c r="AQ301" s="149">
        <v>4.4981743391641668E-2</v>
      </c>
      <c r="AR301" s="149">
        <v>0.69369753585092908</v>
      </c>
      <c r="AS301" s="208">
        <v>2047.1415939922481</v>
      </c>
      <c r="AT301" s="149">
        <f t="shared" si="27"/>
        <v>4.8500000000000001E-2</v>
      </c>
      <c r="AU301" s="149">
        <v>0.24249999999999999</v>
      </c>
      <c r="AV301">
        <v>6.5</v>
      </c>
    </row>
    <row r="302" spans="1:48" x14ac:dyDescent="0.25">
      <c r="A302" t="s">
        <v>319</v>
      </c>
      <c r="B302" s="101">
        <v>9000</v>
      </c>
      <c r="C302" s="101">
        <v>2703</v>
      </c>
      <c r="D302" s="101">
        <v>51676</v>
      </c>
      <c r="E302" s="101">
        <v>290</v>
      </c>
      <c r="F302" s="101">
        <v>2479</v>
      </c>
      <c r="G302" s="101">
        <v>1943</v>
      </c>
      <c r="H302" s="101">
        <v>0</v>
      </c>
      <c r="I302" s="101">
        <v>4390</v>
      </c>
      <c r="J302" s="101">
        <v>0</v>
      </c>
      <c r="K302" s="101">
        <v>25415</v>
      </c>
      <c r="L302" s="101">
        <v>-1072</v>
      </c>
      <c r="M302" s="101">
        <v>2086</v>
      </c>
      <c r="N302" s="101">
        <v>39752</v>
      </c>
      <c r="O302" s="101">
        <v>17770</v>
      </c>
      <c r="P302" s="101">
        <v>27600</v>
      </c>
      <c r="Q302" s="101">
        <v>2</v>
      </c>
      <c r="R302" s="101">
        <v>0</v>
      </c>
      <c r="S302" s="101">
        <v>4053</v>
      </c>
      <c r="T302" s="101">
        <v>9733</v>
      </c>
      <c r="U302" s="101">
        <v>10537</v>
      </c>
      <c r="V302" s="101">
        <v>64854</v>
      </c>
      <c r="W302" s="101">
        <v>78784</v>
      </c>
      <c r="X302" s="101">
        <v>80085</v>
      </c>
      <c r="Y302" s="101">
        <v>-1301</v>
      </c>
      <c r="Z302" s="101">
        <v>223</v>
      </c>
      <c r="AA302" s="101">
        <v>2545571.8139130436</v>
      </c>
      <c r="AB302" s="101">
        <v>50353</v>
      </c>
      <c r="AC302" s="101">
        <v>58466.105000000003</v>
      </c>
      <c r="AD302" s="101">
        <v>25625</v>
      </c>
      <c r="AE302" t="s">
        <v>319</v>
      </c>
      <c r="AF302" s="149">
        <v>1.3949532900081234E-2</v>
      </c>
      <c r="AG302" s="149">
        <v>0.13374543054427296</v>
      </c>
      <c r="AH302" s="149">
        <f t="shared" si="28"/>
        <v>5.6128147847278632E-2</v>
      </c>
      <c r="AI302" s="149">
        <f t="shared" si="29"/>
        <v>5.5721974004874088E-2</v>
      </c>
      <c r="AJ302" s="149">
        <v>0.10147542648253453</v>
      </c>
      <c r="AK302" s="149">
        <v>0.40190071782428471</v>
      </c>
      <c r="AL302" s="149">
        <v>-1.6513505280259952E-2</v>
      </c>
      <c r="AM302" s="149">
        <v>5.7636887608069162E-2</v>
      </c>
      <c r="AN302" s="149">
        <v>2.5941123441822873E-2</v>
      </c>
      <c r="AO302">
        <f t="shared" ref="AO302:AO343" si="30">COUNTIF(AL302:AN302,"&lt;0")</f>
        <v>1</v>
      </c>
      <c r="AP302" s="149">
        <v>-4.680518887083672E-3</v>
      </c>
      <c r="AQ302" s="149">
        <v>3.2310771399180586E-2</v>
      </c>
      <c r="AR302" s="149">
        <v>0.63912723395613324</v>
      </c>
      <c r="AS302" s="208">
        <v>2281.6040975609758</v>
      </c>
      <c r="AT302" s="149">
        <f t="shared" si="27"/>
        <v>5.7299999999999997E-2</v>
      </c>
      <c r="AU302" s="149">
        <v>0.28649999999999998</v>
      </c>
      <c r="AV302">
        <v>7</v>
      </c>
    </row>
    <row r="303" spans="1:48" x14ac:dyDescent="0.25">
      <c r="A303" t="s">
        <v>203</v>
      </c>
      <c r="B303" s="101">
        <v>3201</v>
      </c>
      <c r="C303" s="101">
        <v>10241</v>
      </c>
      <c r="D303" s="101">
        <v>75583</v>
      </c>
      <c r="E303" s="101">
        <v>6726</v>
      </c>
      <c r="F303" s="101">
        <v>58</v>
      </c>
      <c r="G303" s="101">
        <v>275</v>
      </c>
      <c r="H303" s="101">
        <v>0</v>
      </c>
      <c r="I303" s="101">
        <v>9754</v>
      </c>
      <c r="J303" s="101">
        <v>201</v>
      </c>
      <c r="K303" s="101">
        <v>2016</v>
      </c>
      <c r="L303" s="101">
        <v>316</v>
      </c>
      <c r="M303" s="101">
        <v>5257</v>
      </c>
      <c r="N303" s="101">
        <v>28559</v>
      </c>
      <c r="O303" s="101">
        <v>24512</v>
      </c>
      <c r="P303" s="101">
        <v>46459</v>
      </c>
      <c r="Q303" s="101">
        <v>50</v>
      </c>
      <c r="R303" s="101">
        <v>0</v>
      </c>
      <c r="S303" s="101">
        <v>4818</v>
      </c>
      <c r="T303" s="101">
        <v>9228</v>
      </c>
      <c r="U303" s="101">
        <v>52633</v>
      </c>
      <c r="V303" s="101">
        <v>64855</v>
      </c>
      <c r="W303" s="101">
        <v>77229</v>
      </c>
      <c r="X303" s="101">
        <v>76162</v>
      </c>
      <c r="Y303" s="101">
        <v>1067</v>
      </c>
      <c r="Z303" s="101">
        <v>5198</v>
      </c>
      <c r="AA303" s="101">
        <v>2653338.020030817</v>
      </c>
      <c r="AB303" s="101">
        <v>54154</v>
      </c>
      <c r="AC303" s="101">
        <v>51172.631000000001</v>
      </c>
      <c r="AD303" s="101">
        <v>25377</v>
      </c>
      <c r="AE303" t="s">
        <v>203</v>
      </c>
      <c r="AF303" s="149">
        <v>-8.2443123697056808E-2</v>
      </c>
      <c r="AG303" s="149">
        <v>0.6440067850159914</v>
      </c>
      <c r="AH303" s="149">
        <f t="shared" si="28"/>
        <v>4.3118517655284933E-3</v>
      </c>
      <c r="AI303" s="149">
        <f t="shared" si="29"/>
        <v>0.12890235533284128</v>
      </c>
      <c r="AJ303" s="149">
        <v>0.55429255849486603</v>
      </c>
      <c r="AK303" s="149">
        <v>0.25134212240156301</v>
      </c>
      <c r="AL303" s="149">
        <v>1.3816053555011719E-2</v>
      </c>
      <c r="AM303" s="149">
        <v>8.0106634606588872E-2</v>
      </c>
      <c r="AN303" s="149">
        <v>4.5039648953762418E-2</v>
      </c>
      <c r="AO303">
        <f t="shared" si="30"/>
        <v>0</v>
      </c>
      <c r="AP303" s="149">
        <v>7.8241334213831587E-2</v>
      </c>
      <c r="AQ303" s="149">
        <v>3.4361651687829481E-2</v>
      </c>
      <c r="AR303" s="149">
        <v>0.70131316532414723</v>
      </c>
      <c r="AS303" s="208">
        <v>2016.4964731843795</v>
      </c>
      <c r="AT303" s="149">
        <f t="shared" si="27"/>
        <v>4.65E-2</v>
      </c>
      <c r="AU303" s="149">
        <v>0.23249999999999998</v>
      </c>
      <c r="AV303">
        <v>8</v>
      </c>
    </row>
    <row r="304" spans="1:48" x14ac:dyDescent="0.25">
      <c r="A304" t="s">
        <v>393</v>
      </c>
      <c r="B304" s="101">
        <v>863</v>
      </c>
      <c r="C304" s="101">
        <v>5174</v>
      </c>
      <c r="D304" s="101">
        <v>137699</v>
      </c>
      <c r="E304" s="101">
        <v>16</v>
      </c>
      <c r="F304" s="101">
        <v>0</v>
      </c>
      <c r="G304" s="101">
        <v>644</v>
      </c>
      <c r="H304" s="101">
        <v>479</v>
      </c>
      <c r="I304" s="101">
        <v>-968</v>
      </c>
      <c r="J304" s="101">
        <v>0</v>
      </c>
      <c r="K304" s="101">
        <v>8402</v>
      </c>
      <c r="L304" s="101">
        <v>2476</v>
      </c>
      <c r="M304" s="101">
        <v>8718</v>
      </c>
      <c r="N304" s="101">
        <v>63710</v>
      </c>
      <c r="O304" s="101">
        <v>11008</v>
      </c>
      <c r="P304" s="101">
        <v>70837</v>
      </c>
      <c r="Q304" s="101">
        <v>0</v>
      </c>
      <c r="R304" s="101">
        <v>1000</v>
      </c>
      <c r="S304" s="101">
        <v>7029</v>
      </c>
      <c r="T304" s="101">
        <v>9918</v>
      </c>
      <c r="U304" s="101">
        <v>68065</v>
      </c>
      <c r="V304" s="101">
        <v>922401.07351911499</v>
      </c>
      <c r="W304" s="101">
        <v>106446</v>
      </c>
      <c r="X304" s="101">
        <v>107601</v>
      </c>
      <c r="Y304" s="101">
        <v>-1155</v>
      </c>
      <c r="Z304" s="101">
        <v>12472</v>
      </c>
      <c r="AA304" s="101">
        <v>3707284.2441860456</v>
      </c>
      <c r="AB304" s="101">
        <v>70351</v>
      </c>
      <c r="AC304" s="101">
        <v>68644.763000000006</v>
      </c>
      <c r="AD304" s="101">
        <v>32356</v>
      </c>
      <c r="AE304" t="s">
        <v>393</v>
      </c>
      <c r="AF304" s="149">
        <v>-9.7645754654942407E-2</v>
      </c>
      <c r="AG304" s="149">
        <v>0.6394322003645041</v>
      </c>
      <c r="AH304" s="149">
        <f t="shared" si="28"/>
        <v>6.0500159705390525E-3</v>
      </c>
      <c r="AI304" s="149">
        <f t="shared" si="29"/>
        <v>-9.0938128252823023E-3</v>
      </c>
      <c r="AJ304" s="149">
        <v>0.64652387125866639</v>
      </c>
      <c r="AK304" s="149">
        <v>0.38965884209367468</v>
      </c>
      <c r="AL304" s="149">
        <v>-1.0850572121075475E-2</v>
      </c>
      <c r="AM304" s="149">
        <v>9.8610794807560923E-2</v>
      </c>
      <c r="AN304" s="149">
        <v>6.6886373750616429E-2</v>
      </c>
      <c r="AO304">
        <f t="shared" si="30"/>
        <v>1</v>
      </c>
      <c r="AP304" s="149">
        <v>9.1419593033087193E-2</v>
      </c>
      <c r="AQ304" s="149">
        <v>3.4827839883002136E-2</v>
      </c>
      <c r="AR304" s="149">
        <v>0.66090787817297036</v>
      </c>
      <c r="AS304" s="208">
        <v>2121.5466374088269</v>
      </c>
      <c r="AT304" s="149">
        <f t="shared" si="27"/>
        <v>3.85E-2</v>
      </c>
      <c r="AU304" s="149">
        <v>0.1925</v>
      </c>
      <c r="AV304">
        <v>7</v>
      </c>
    </row>
    <row r="305" spans="1:48" x14ac:dyDescent="0.25">
      <c r="A305" t="s">
        <v>599</v>
      </c>
      <c r="B305" s="101">
        <v>0</v>
      </c>
      <c r="C305" s="101">
        <v>5051</v>
      </c>
      <c r="D305" s="101">
        <v>67933</v>
      </c>
      <c r="E305" s="101">
        <v>1680</v>
      </c>
      <c r="F305" s="101">
        <v>0</v>
      </c>
      <c r="G305" s="101">
        <v>1077</v>
      </c>
      <c r="H305" s="101">
        <v>0</v>
      </c>
      <c r="I305" s="101">
        <v>16458</v>
      </c>
      <c r="J305" s="101">
        <v>375</v>
      </c>
      <c r="K305" s="101">
        <v>47076</v>
      </c>
      <c r="L305" s="101">
        <v>17</v>
      </c>
      <c r="M305" s="101">
        <v>9115</v>
      </c>
      <c r="N305" s="101">
        <v>56097</v>
      </c>
      <c r="O305" s="101">
        <v>29362</v>
      </c>
      <c r="P305" s="101">
        <v>26987</v>
      </c>
      <c r="Q305" s="101">
        <v>0</v>
      </c>
      <c r="R305" s="101">
        <v>6068</v>
      </c>
      <c r="S305" s="101">
        <v>4965</v>
      </c>
      <c r="T305" s="101">
        <v>25303</v>
      </c>
      <c r="U305" s="101">
        <v>6038</v>
      </c>
      <c r="V305" s="101">
        <v>80486</v>
      </c>
      <c r="W305" s="101">
        <v>167251</v>
      </c>
      <c r="X305" s="101">
        <v>163077</v>
      </c>
      <c r="Y305" s="101">
        <v>4174</v>
      </c>
      <c r="Z305" s="101">
        <v>-1917</v>
      </c>
      <c r="AA305" s="101">
        <v>2772084.9014745299</v>
      </c>
      <c r="AB305" s="101">
        <v>132896</v>
      </c>
      <c r="AC305" s="101">
        <v>106910.243</v>
      </c>
      <c r="AD305" s="101">
        <v>46911</v>
      </c>
      <c r="AE305" t="s">
        <v>599</v>
      </c>
      <c r="AF305" s="149">
        <v>3.9987802763511132E-2</v>
      </c>
      <c r="AG305" s="149">
        <v>3.6101428392057447E-2</v>
      </c>
      <c r="AH305" s="149">
        <f t="shared" si="28"/>
        <v>6.4394233816240263E-3</v>
      </c>
      <c r="AI305" s="149">
        <f t="shared" si="29"/>
        <v>0.10064513814566131</v>
      </c>
      <c r="AJ305" s="149">
        <v>-3.3577437504110581E-2</v>
      </c>
      <c r="AK305" s="149">
        <v>0.3770415776101948</v>
      </c>
      <c r="AL305" s="149">
        <v>2.4956502502227192E-2</v>
      </c>
      <c r="AM305" s="149">
        <v>4.4741109138568616E-2</v>
      </c>
      <c r="AN305" s="149">
        <v>4.9657289732971586E-2</v>
      </c>
      <c r="AO305">
        <f t="shared" si="30"/>
        <v>0</v>
      </c>
      <c r="AP305" s="149">
        <v>-1.1213684821017512E-2</v>
      </c>
      <c r="AQ305" s="149">
        <v>1.6612740247952115E-2</v>
      </c>
      <c r="AR305" s="149">
        <v>0.79642825038204534</v>
      </c>
      <c r="AS305" s="208">
        <v>2279.0015774551812</v>
      </c>
      <c r="AT305" s="149">
        <f t="shared" si="27"/>
        <v>6.5299999999999997E-2</v>
      </c>
      <c r="AU305" s="149">
        <v>0.32650000000000001</v>
      </c>
      <c r="AV305">
        <v>8.5</v>
      </c>
    </row>
    <row r="306" spans="1:48" x14ac:dyDescent="0.25">
      <c r="A306" t="s">
        <v>394</v>
      </c>
      <c r="B306" s="101">
        <v>6</v>
      </c>
      <c r="C306" s="101">
        <v>1519</v>
      </c>
      <c r="D306" s="101">
        <v>44469</v>
      </c>
      <c r="E306" s="101">
        <v>16</v>
      </c>
      <c r="F306" s="101">
        <v>0</v>
      </c>
      <c r="G306" s="101">
        <v>925</v>
      </c>
      <c r="H306" s="101">
        <v>0</v>
      </c>
      <c r="I306" s="101">
        <v>5253</v>
      </c>
      <c r="J306" s="101">
        <v>0</v>
      </c>
      <c r="K306" s="101">
        <v>11476</v>
      </c>
      <c r="L306" s="101">
        <v>102</v>
      </c>
      <c r="M306" s="101">
        <v>748</v>
      </c>
      <c r="N306" s="101">
        <v>12103</v>
      </c>
      <c r="O306" s="101">
        <v>19431</v>
      </c>
      <c r="P306" s="101">
        <v>22012</v>
      </c>
      <c r="Q306" s="101">
        <v>11</v>
      </c>
      <c r="R306" s="101">
        <v>0</v>
      </c>
      <c r="S306" s="101">
        <v>6407</v>
      </c>
      <c r="T306" s="101">
        <v>4551</v>
      </c>
      <c r="U306" s="101">
        <v>19730</v>
      </c>
      <c r="V306" s="101">
        <v>31768</v>
      </c>
      <c r="W306" s="101">
        <v>47573</v>
      </c>
      <c r="X306" s="101">
        <v>47903</v>
      </c>
      <c r="Y306" s="101">
        <v>-330</v>
      </c>
      <c r="Z306" s="101">
        <v>4707</v>
      </c>
      <c r="AA306" s="101">
        <v>3057071.4545454551</v>
      </c>
      <c r="AB306" s="101">
        <v>33146</v>
      </c>
      <c r="AC306" s="101">
        <v>33073.928</v>
      </c>
      <c r="AD306" s="101">
        <v>17988</v>
      </c>
      <c r="AE306" t="s">
        <v>394</v>
      </c>
      <c r="AF306" s="149">
        <v>-8.8937002081012337E-2</v>
      </c>
      <c r="AG306" s="149">
        <v>0.41473104492043805</v>
      </c>
      <c r="AH306" s="149">
        <f t="shared" si="28"/>
        <v>1.9443802156685515E-2</v>
      </c>
      <c r="AI306" s="149">
        <f t="shared" si="29"/>
        <v>0.11041977592331785</v>
      </c>
      <c r="AJ306" s="149">
        <v>0.33977045803291783</v>
      </c>
      <c r="AK306" s="149">
        <v>0.18759978299620245</v>
      </c>
      <c r="AL306" s="149">
        <v>-6.9367077964391562E-3</v>
      </c>
      <c r="AM306" s="149">
        <v>2.5930971843778385E-2</v>
      </c>
      <c r="AN306" s="149">
        <v>1.7676137214760072E-2</v>
      </c>
      <c r="AO306">
        <f t="shared" si="30"/>
        <v>1</v>
      </c>
      <c r="AP306" s="149">
        <v>7.4758791751623824E-2</v>
      </c>
      <c r="AQ306" s="149">
        <v>6.426064058490015E-2</v>
      </c>
      <c r="AR306" s="149">
        <v>0.69673974733567356</v>
      </c>
      <c r="AS306" s="208">
        <v>1838.6662219257282</v>
      </c>
      <c r="AT306" s="149">
        <f t="shared" si="27"/>
        <v>2.7000000000000003E-2</v>
      </c>
      <c r="AU306" s="149">
        <v>0.13500000000000001</v>
      </c>
      <c r="AV306">
        <v>6.5</v>
      </c>
    </row>
    <row r="307" spans="1:48" x14ac:dyDescent="0.25">
      <c r="A307" t="s">
        <v>395</v>
      </c>
      <c r="B307" s="101">
        <v>360</v>
      </c>
      <c r="C307" s="101">
        <v>46440</v>
      </c>
      <c r="D307" s="101">
        <v>195159</v>
      </c>
      <c r="E307" s="101">
        <v>4992</v>
      </c>
      <c r="F307" s="101">
        <v>9378</v>
      </c>
      <c r="G307" s="101">
        <v>8459</v>
      </c>
      <c r="H307" s="101">
        <v>0</v>
      </c>
      <c r="I307" s="101">
        <v>3979</v>
      </c>
      <c r="J307" s="101">
        <v>0</v>
      </c>
      <c r="K307" s="101">
        <v>-56546</v>
      </c>
      <c r="L307" s="101">
        <v>1608</v>
      </c>
      <c r="M307" s="101">
        <v>74050</v>
      </c>
      <c r="N307" s="101">
        <v>111432</v>
      </c>
      <c r="O307" s="101">
        <v>16801</v>
      </c>
      <c r="P307" s="101">
        <v>120843</v>
      </c>
      <c r="Q307" s="101">
        <v>0</v>
      </c>
      <c r="R307" s="101">
        <v>0</v>
      </c>
      <c r="S307" s="101">
        <v>9595</v>
      </c>
      <c r="T307" s="101">
        <v>29209</v>
      </c>
      <c r="U307" s="101">
        <v>122698</v>
      </c>
      <c r="V307" s="101">
        <v>222121</v>
      </c>
      <c r="W307" s="101">
        <v>183745</v>
      </c>
      <c r="X307" s="101">
        <v>189089</v>
      </c>
      <c r="Y307" s="101">
        <v>-5344</v>
      </c>
      <c r="Z307" s="101">
        <v>12460</v>
      </c>
      <c r="AA307" s="101">
        <v>5330402</v>
      </c>
      <c r="AB307" s="101">
        <v>131715</v>
      </c>
      <c r="AC307" s="101">
        <v>117126.693</v>
      </c>
      <c r="AD307" s="101">
        <v>50302</v>
      </c>
      <c r="AE307" t="s">
        <v>395</v>
      </c>
      <c r="AF307" s="149">
        <v>-5.3971536640452802E-2</v>
      </c>
      <c r="AG307" s="149">
        <v>0.66776238809219302</v>
      </c>
      <c r="AH307" s="149">
        <f t="shared" si="28"/>
        <v>9.7074750333342411E-2</v>
      </c>
      <c r="AI307" s="149">
        <f t="shared" si="29"/>
        <v>2.1655011020708048E-2</v>
      </c>
      <c r="AJ307" s="149">
        <v>0.66425285041769844</v>
      </c>
      <c r="AK307" s="149">
        <v>0.38707794914547727</v>
      </c>
      <c r="AL307" s="149">
        <v>-2.9083784592778036E-2</v>
      </c>
      <c r="AM307" s="149">
        <v>6.9236732930502864E-2</v>
      </c>
      <c r="AN307" s="149">
        <v>4.3134524004587907E-2</v>
      </c>
      <c r="AO307">
        <f t="shared" si="30"/>
        <v>1</v>
      </c>
      <c r="AP307" s="149">
        <v>2.6991210645187624E-2</v>
      </c>
      <c r="AQ307" s="149">
        <v>2.9039333616622538E-2</v>
      </c>
      <c r="AR307" s="149">
        <v>0.71756610989442027</v>
      </c>
      <c r="AS307" s="208">
        <v>2328.4699017931694</v>
      </c>
      <c r="AT307" s="149">
        <f t="shared" si="27"/>
        <v>5.9399999999999994E-2</v>
      </c>
      <c r="AU307" s="149">
        <v>0.29699999999999999</v>
      </c>
      <c r="AV307">
        <v>8</v>
      </c>
    </row>
    <row r="308" spans="1:48" x14ac:dyDescent="0.25">
      <c r="A308" t="s">
        <v>320</v>
      </c>
      <c r="B308" s="101">
        <v>152</v>
      </c>
      <c r="C308" s="101">
        <v>11255</v>
      </c>
      <c r="D308" s="101">
        <v>124423</v>
      </c>
      <c r="E308" s="101">
        <v>5168</v>
      </c>
      <c r="F308" s="101">
        <v>0</v>
      </c>
      <c r="G308" s="101">
        <v>790</v>
      </c>
      <c r="H308" s="101">
        <v>0</v>
      </c>
      <c r="I308" s="101">
        <v>19746</v>
      </c>
      <c r="J308" s="101">
        <v>2</v>
      </c>
      <c r="K308" s="101">
        <v>26499</v>
      </c>
      <c r="L308" s="101">
        <v>235</v>
      </c>
      <c r="M308" s="101">
        <v>4454</v>
      </c>
      <c r="N308" s="101">
        <v>90519</v>
      </c>
      <c r="O308" s="101">
        <v>16784</v>
      </c>
      <c r="P308" s="101">
        <v>71584</v>
      </c>
      <c r="Q308" s="101">
        <v>0</v>
      </c>
      <c r="R308" s="101">
        <v>0</v>
      </c>
      <c r="S308" s="101">
        <v>5244</v>
      </c>
      <c r="T308" s="101">
        <v>8592</v>
      </c>
      <c r="U308" s="101">
        <v>53442</v>
      </c>
      <c r="V308" s="101">
        <v>92474</v>
      </c>
      <c r="W308" s="101">
        <v>106117</v>
      </c>
      <c r="X308" s="101">
        <v>97215</v>
      </c>
      <c r="Y308" s="101">
        <v>8902</v>
      </c>
      <c r="Z308" s="101">
        <v>10771</v>
      </c>
      <c r="AA308" s="101">
        <v>1768462.7529411763</v>
      </c>
      <c r="AB308" s="101">
        <v>71645</v>
      </c>
      <c r="AC308" s="101">
        <v>59761.866999999998</v>
      </c>
      <c r="AD308" s="101">
        <v>34000</v>
      </c>
      <c r="AE308" t="s">
        <v>320</v>
      </c>
      <c r="AF308" s="149">
        <v>-1.2476794481562803E-2</v>
      </c>
      <c r="AG308" s="149">
        <v>0.50361393556169132</v>
      </c>
      <c r="AH308" s="149">
        <f t="shared" si="28"/>
        <v>7.4446130214762948E-3</v>
      </c>
      <c r="AI308" s="149">
        <f t="shared" si="29"/>
        <v>0.18609647841533403</v>
      </c>
      <c r="AJ308" s="149">
        <v>0.37423975423353462</v>
      </c>
      <c r="AK308" s="149">
        <v>0.46968446941984093</v>
      </c>
      <c r="AL308" s="149">
        <v>8.3888538123015166E-2</v>
      </c>
      <c r="AM308" s="149">
        <v>0.13422354017028756</v>
      </c>
      <c r="AN308" s="149">
        <v>0.10442880833481678</v>
      </c>
      <c r="AO308">
        <f t="shared" si="30"/>
        <v>0</v>
      </c>
      <c r="AP308" s="149">
        <v>0.1021419753668121</v>
      </c>
      <c r="AQ308" s="149">
        <v>1.6665216251318605E-2</v>
      </c>
      <c r="AR308" s="149">
        <v>0.67515101256160648</v>
      </c>
      <c r="AS308" s="208">
        <v>1757.7019705882353</v>
      </c>
      <c r="AT308" s="149">
        <f t="shared" si="27"/>
        <v>2.3900000000000001E-2</v>
      </c>
      <c r="AU308" s="149">
        <v>0.11950000000000001</v>
      </c>
      <c r="AV308">
        <v>8</v>
      </c>
    </row>
    <row r="309" spans="1:48" x14ac:dyDescent="0.25">
      <c r="A309" t="s">
        <v>204</v>
      </c>
      <c r="B309" s="101">
        <v>12984</v>
      </c>
      <c r="C309" s="101">
        <v>5481</v>
      </c>
      <c r="D309" s="101">
        <v>67368</v>
      </c>
      <c r="E309" s="101">
        <v>963</v>
      </c>
      <c r="F309" s="101">
        <v>3101</v>
      </c>
      <c r="G309" s="101">
        <v>2351</v>
      </c>
      <c r="H309" s="101">
        <v>0</v>
      </c>
      <c r="I309" s="101">
        <v>687</v>
      </c>
      <c r="J309" s="101">
        <v>969</v>
      </c>
      <c r="K309" s="101">
        <v>41159</v>
      </c>
      <c r="L309" s="101">
        <v>-624</v>
      </c>
      <c r="M309" s="101">
        <v>12988</v>
      </c>
      <c r="N309" s="101">
        <v>66778</v>
      </c>
      <c r="O309" s="101">
        <v>11078</v>
      </c>
      <c r="P309" s="101">
        <v>51802</v>
      </c>
      <c r="Q309" s="101">
        <v>2</v>
      </c>
      <c r="R309" s="101">
        <v>0</v>
      </c>
      <c r="S309" s="101">
        <v>6931</v>
      </c>
      <c r="T309" s="101">
        <v>10848</v>
      </c>
      <c r="U309" s="101">
        <v>10608</v>
      </c>
      <c r="V309" s="101">
        <v>83182</v>
      </c>
      <c r="W309" s="101">
        <v>147771</v>
      </c>
      <c r="X309" s="101">
        <v>138309</v>
      </c>
      <c r="Y309" s="101">
        <v>9462</v>
      </c>
      <c r="Z309" s="101">
        <v>4720</v>
      </c>
      <c r="AA309" s="101">
        <v>499820.93721286207</v>
      </c>
      <c r="AB309" s="101">
        <v>99040</v>
      </c>
      <c r="AC309" s="101">
        <v>91246.182000000001</v>
      </c>
      <c r="AD309" s="101">
        <v>42579</v>
      </c>
      <c r="AE309" t="s">
        <v>204</v>
      </c>
      <c r="AF309" s="149">
        <v>1.2783293068328698E-2</v>
      </c>
      <c r="AG309" s="149">
        <v>7.1786751121667991E-2</v>
      </c>
      <c r="AH309" s="149">
        <f t="shared" si="28"/>
        <v>3.6894925255970386E-2</v>
      </c>
      <c r="AI309" s="149">
        <f t="shared" si="29"/>
        <v>1.1206529021255861E-2</v>
      </c>
      <c r="AJ309" s="149">
        <v>6.8369571837505333E-2</v>
      </c>
      <c r="AK309" s="149">
        <v>0.45291951247634615</v>
      </c>
      <c r="AL309" s="149">
        <v>6.4031508212030783E-2</v>
      </c>
      <c r="AM309" s="149">
        <v>7.7593987243369508E-2</v>
      </c>
      <c r="AN309" s="149">
        <v>6.4017489047828072E-2</v>
      </c>
      <c r="AO309">
        <f t="shared" si="30"/>
        <v>0</v>
      </c>
      <c r="AP309" s="149">
        <v>4.4849801381867888E-3</v>
      </c>
      <c r="AQ309" s="149">
        <v>3.3845321389297123E-3</v>
      </c>
      <c r="AR309" s="149">
        <v>0.67064830238762718</v>
      </c>
      <c r="AS309" s="208">
        <v>2142.9855562601283</v>
      </c>
      <c r="AT309" s="149">
        <f t="shared" si="27"/>
        <v>4.65E-2</v>
      </c>
      <c r="AU309" s="149">
        <v>0.23249999999999998</v>
      </c>
      <c r="AV309">
        <v>9.5</v>
      </c>
    </row>
    <row r="310" spans="1:48" x14ac:dyDescent="0.25">
      <c r="A310" t="s">
        <v>321</v>
      </c>
      <c r="B310" s="101">
        <v>41</v>
      </c>
      <c r="C310" s="101">
        <v>587</v>
      </c>
      <c r="D310" s="101">
        <v>55432</v>
      </c>
      <c r="E310" s="101">
        <v>454</v>
      </c>
      <c r="F310" s="101">
        <v>2829</v>
      </c>
      <c r="G310" s="101">
        <v>2066</v>
      </c>
      <c r="H310" s="101">
        <v>0</v>
      </c>
      <c r="I310" s="101">
        <v>0</v>
      </c>
      <c r="J310" s="101">
        <v>0</v>
      </c>
      <c r="K310" s="101">
        <v>29254</v>
      </c>
      <c r="L310" s="101">
        <v>106</v>
      </c>
      <c r="M310" s="101">
        <v>5409</v>
      </c>
      <c r="N310" s="101">
        <v>58439</v>
      </c>
      <c r="O310" s="101">
        <v>20560</v>
      </c>
      <c r="P310" s="101">
        <v>0</v>
      </c>
      <c r="Q310" s="101">
        <v>181</v>
      </c>
      <c r="R310" s="101">
        <v>0</v>
      </c>
      <c r="S310" s="101">
        <v>8593</v>
      </c>
      <c r="T310" s="101">
        <v>8406</v>
      </c>
      <c r="U310" s="101">
        <v>-22484</v>
      </c>
      <c r="V310" s="101">
        <v>36989</v>
      </c>
      <c r="W310" s="101">
        <v>85961</v>
      </c>
      <c r="X310" s="101">
        <v>88481</v>
      </c>
      <c r="Y310" s="101">
        <v>-2520</v>
      </c>
      <c r="Z310" s="101">
        <v>7707</v>
      </c>
      <c r="AA310" s="101">
        <v>5152133.8000000007</v>
      </c>
      <c r="AB310" s="101">
        <v>51810</v>
      </c>
      <c r="AC310" s="101">
        <v>61996.951999999997</v>
      </c>
      <c r="AD310" s="101">
        <v>27100</v>
      </c>
      <c r="AE310" t="s">
        <v>321</v>
      </c>
      <c r="AF310" s="149">
        <v>-0.12404462488803061</v>
      </c>
      <c r="AG310" s="149">
        <v>-0.26156047509917291</v>
      </c>
      <c r="AH310" s="149">
        <f t="shared" si="28"/>
        <v>5.6944428287246544E-2</v>
      </c>
      <c r="AI310" s="149">
        <f t="shared" si="29"/>
        <v>0</v>
      </c>
      <c r="AJ310" s="149">
        <v>-0.25472714370470334</v>
      </c>
      <c r="AK310" s="149">
        <v>0.60760665010033377</v>
      </c>
      <c r="AL310" s="149">
        <v>-2.9315619874128965E-2</v>
      </c>
      <c r="AM310" s="149">
        <v>6.1110356662263431E-3</v>
      </c>
      <c r="AN310" s="149">
        <v>1.280269120631655E-2</v>
      </c>
      <c r="AO310">
        <f t="shared" si="30"/>
        <v>1</v>
      </c>
      <c r="AP310" s="149">
        <v>5.5464105815427926E-2</v>
      </c>
      <c r="AQ310" s="149">
        <v>5.9935712706925243E-2</v>
      </c>
      <c r="AR310" s="149">
        <v>0.60271518479310382</v>
      </c>
      <c r="AS310" s="208">
        <v>2287.7104059040589</v>
      </c>
      <c r="AT310" s="149">
        <f t="shared" si="27"/>
        <v>6.08E-2</v>
      </c>
      <c r="AU310" s="149">
        <v>0.30399999999999999</v>
      </c>
      <c r="AV310">
        <v>6.5</v>
      </c>
    </row>
    <row r="311" spans="1:48" x14ac:dyDescent="0.25">
      <c r="A311" t="s">
        <v>275</v>
      </c>
      <c r="B311" s="101">
        <v>858</v>
      </c>
      <c r="C311" s="101">
        <v>1698</v>
      </c>
      <c r="D311" s="101">
        <v>36641</v>
      </c>
      <c r="E311" s="101">
        <v>562</v>
      </c>
      <c r="F311" s="101">
        <v>0</v>
      </c>
      <c r="G311" s="101">
        <v>1218</v>
      </c>
      <c r="H311" s="101">
        <v>0</v>
      </c>
      <c r="I311" s="101">
        <v>19421</v>
      </c>
      <c r="J311" s="101">
        <v>0</v>
      </c>
      <c r="K311" s="101">
        <v>5463</v>
      </c>
      <c r="L311" s="101">
        <v>2279</v>
      </c>
      <c r="M311" s="101">
        <v>7971</v>
      </c>
      <c r="N311" s="101">
        <v>18657</v>
      </c>
      <c r="O311" s="101">
        <v>5616</v>
      </c>
      <c r="P311" s="101">
        <v>34400</v>
      </c>
      <c r="Q311" s="101">
        <v>85</v>
      </c>
      <c r="R311" s="101">
        <v>4609</v>
      </c>
      <c r="S311" s="101">
        <v>2529</v>
      </c>
      <c r="T311" s="101">
        <v>10215</v>
      </c>
      <c r="U311" s="101">
        <v>34907</v>
      </c>
      <c r="V311" s="101">
        <v>34081</v>
      </c>
      <c r="W311" s="101">
        <v>62990</v>
      </c>
      <c r="X311" s="101">
        <v>61344</v>
      </c>
      <c r="Y311" s="101">
        <v>1646</v>
      </c>
      <c r="Z311" s="101">
        <v>6916</v>
      </c>
      <c r="AA311" s="101">
        <v>2705888.9080118695</v>
      </c>
      <c r="AB311" s="101">
        <v>44660</v>
      </c>
      <c r="AC311" s="101">
        <v>36058.972999999998</v>
      </c>
      <c r="AD311" s="101">
        <v>17525</v>
      </c>
      <c r="AE311" t="s">
        <v>275</v>
      </c>
      <c r="AF311" s="149">
        <v>-0.20725511986029529</v>
      </c>
      <c r="AG311" s="149">
        <v>0.55416732814732494</v>
      </c>
      <c r="AH311" s="149">
        <f t="shared" si="28"/>
        <v>1.933640260358787E-2</v>
      </c>
      <c r="AI311" s="149">
        <f t="shared" si="29"/>
        <v>0.30831878075885061</v>
      </c>
      <c r="AJ311" s="149">
        <v>0.3406645499285601</v>
      </c>
      <c r="AK311" s="149">
        <v>0.24512882500558394</v>
      </c>
      <c r="AL311" s="149">
        <v>2.6131131925702492E-2</v>
      </c>
      <c r="AM311" s="149">
        <v>2.8333231415234719E-2</v>
      </c>
      <c r="AN311" s="149">
        <v>7.1378122124007445E-2</v>
      </c>
      <c r="AO311">
        <f t="shared" si="30"/>
        <v>0</v>
      </c>
      <c r="AP311" s="149">
        <v>2.0304810287347198E-2</v>
      </c>
      <c r="AQ311" s="149">
        <v>4.295743622816113E-2</v>
      </c>
      <c r="AR311" s="149">
        <v>0.70900142879822192</v>
      </c>
      <c r="AS311" s="208">
        <v>2057.5733523537801</v>
      </c>
      <c r="AT311" s="149">
        <f t="shared" si="27"/>
        <v>2.9100000000000004E-2</v>
      </c>
      <c r="AU311" s="149">
        <v>0.14550000000000002</v>
      </c>
      <c r="AV311">
        <v>9</v>
      </c>
    </row>
    <row r="312" spans="1:48" x14ac:dyDescent="0.25">
      <c r="A312" t="s">
        <v>426</v>
      </c>
      <c r="B312" s="101">
        <v>1639</v>
      </c>
      <c r="C312" s="101">
        <v>34201</v>
      </c>
      <c r="D312" s="101">
        <v>152467</v>
      </c>
      <c r="E312" s="101">
        <v>293</v>
      </c>
      <c r="F312" s="101">
        <v>11716</v>
      </c>
      <c r="G312" s="101">
        <v>2286</v>
      </c>
      <c r="H312" s="101">
        <v>0</v>
      </c>
      <c r="I312" s="101">
        <v>12798</v>
      </c>
      <c r="J312" s="101">
        <v>1442</v>
      </c>
      <c r="K312" s="101">
        <v>28641</v>
      </c>
      <c r="L312" s="101">
        <v>644</v>
      </c>
      <c r="M312" s="101">
        <v>21778</v>
      </c>
      <c r="N312" s="101">
        <v>113072</v>
      </c>
      <c r="O312" s="101">
        <v>27858</v>
      </c>
      <c r="P312" s="101">
        <v>91817</v>
      </c>
      <c r="Q312" s="101">
        <v>27</v>
      </c>
      <c r="R312" s="101">
        <v>0</v>
      </c>
      <c r="S312" s="101">
        <v>7638</v>
      </c>
      <c r="T312" s="101">
        <v>27491</v>
      </c>
      <c r="U312" s="101">
        <v>61908</v>
      </c>
      <c r="V312" s="101">
        <v>184897</v>
      </c>
      <c r="W312" s="101">
        <v>197727</v>
      </c>
      <c r="X312" s="101">
        <v>181075</v>
      </c>
      <c r="Y312" s="101">
        <v>16652</v>
      </c>
      <c r="Z312" s="101">
        <v>4688</v>
      </c>
      <c r="AA312" s="101">
        <v>5949150.319450058</v>
      </c>
      <c r="AB312" s="101">
        <v>143442</v>
      </c>
      <c r="AC312" s="101">
        <v>116568.68</v>
      </c>
      <c r="AD312" s="101">
        <v>51079</v>
      </c>
      <c r="AE312" t="s">
        <v>426</v>
      </c>
      <c r="AF312" s="149">
        <v>1.8055197317513542E-3</v>
      </c>
      <c r="AG312" s="149">
        <v>0.31309836289429366</v>
      </c>
      <c r="AH312" s="149">
        <f t="shared" si="28"/>
        <v>7.0814810319278595E-2</v>
      </c>
      <c r="AI312" s="149">
        <f t="shared" si="29"/>
        <v>7.2018490140446173E-2</v>
      </c>
      <c r="AJ312" s="149">
        <v>0.27118319703429478</v>
      </c>
      <c r="AK312" s="149">
        <v>0.42206320944520964</v>
      </c>
      <c r="AL312" s="149">
        <v>8.4217127655808258E-2</v>
      </c>
      <c r="AM312" s="149">
        <v>4.2187664179888618E-2</v>
      </c>
      <c r="AN312" s="149">
        <v>3.7624354023039385E-4</v>
      </c>
      <c r="AO312">
        <f t="shared" si="30"/>
        <v>0</v>
      </c>
      <c r="AP312" s="149">
        <v>4.3115001997703906E-3</v>
      </c>
      <c r="AQ312" s="149">
        <v>3.0087698288296782E-2</v>
      </c>
      <c r="AR312" s="149">
        <v>0.72545479373074995</v>
      </c>
      <c r="AS312" s="208">
        <v>2282.1253352649819</v>
      </c>
      <c r="AT312" s="149">
        <f t="shared" si="27"/>
        <v>4.6600000000000003E-2</v>
      </c>
      <c r="AU312" s="149">
        <v>0.23300000000000001</v>
      </c>
      <c r="AV312">
        <v>8.5</v>
      </c>
    </row>
    <row r="313" spans="1:48" x14ac:dyDescent="0.25">
      <c r="A313" t="s">
        <v>828</v>
      </c>
      <c r="B313" s="101">
        <v>1146</v>
      </c>
      <c r="C313" s="101">
        <v>7706</v>
      </c>
      <c r="D313" s="101">
        <v>135367</v>
      </c>
      <c r="E313" s="101">
        <v>3958</v>
      </c>
      <c r="F313" s="101">
        <v>0</v>
      </c>
      <c r="G313" s="101">
        <v>11680</v>
      </c>
      <c r="H313" s="101">
        <v>0</v>
      </c>
      <c r="I313" s="101">
        <v>54811</v>
      </c>
      <c r="J313" s="101">
        <v>0</v>
      </c>
      <c r="K313" s="101">
        <v>24018</v>
      </c>
      <c r="L313" s="101">
        <v>2596</v>
      </c>
      <c r="M313" s="101">
        <v>5692</v>
      </c>
      <c r="N313" s="101">
        <v>110930</v>
      </c>
      <c r="O313" s="101">
        <v>32169</v>
      </c>
      <c r="P313" s="101">
        <v>63447</v>
      </c>
      <c r="Q313" s="101">
        <v>41</v>
      </c>
      <c r="R313" s="101">
        <v>4000</v>
      </c>
      <c r="S313" s="101">
        <v>11069</v>
      </c>
      <c r="T313" s="101">
        <v>25319</v>
      </c>
      <c r="U313" s="101">
        <v>59890</v>
      </c>
      <c r="V313" s="101">
        <v>35078</v>
      </c>
      <c r="W313" s="101">
        <v>157798</v>
      </c>
      <c r="X313" s="101">
        <v>158526</v>
      </c>
      <c r="Y313" s="101">
        <v>-728</v>
      </c>
      <c r="Z313" s="101">
        <v>24393</v>
      </c>
      <c r="AA313" s="101">
        <v>3313218.3360000029</v>
      </c>
      <c r="AB313" s="101">
        <v>111631</v>
      </c>
      <c r="AC313" s="101">
        <v>99674.785000000003</v>
      </c>
      <c r="AD313" s="101">
        <v>52948</v>
      </c>
      <c r="AE313" t="s">
        <v>828</v>
      </c>
      <c r="AF313" s="149">
        <v>-0.16933674698031662</v>
      </c>
      <c r="AG313" s="149">
        <v>0.37953586230497216</v>
      </c>
      <c r="AH313" s="149">
        <f t="shared" si="28"/>
        <v>7.4018682112574299E-2</v>
      </c>
      <c r="AI313" s="149">
        <f t="shared" si="29"/>
        <v>0.34734914257468408</v>
      </c>
      <c r="AJ313" s="149">
        <v>0.14527370435620224</v>
      </c>
      <c r="AK313" s="149">
        <v>0.44915477275027837</v>
      </c>
      <c r="AL313" s="149">
        <v>-4.6134932001673026E-3</v>
      </c>
      <c r="AM313" s="149">
        <v>1.203868413800015E-2</v>
      </c>
      <c r="AN313" s="149">
        <v>-1.9252365310648813E-2</v>
      </c>
      <c r="AO313">
        <f t="shared" si="30"/>
        <v>2</v>
      </c>
      <c r="AP313" s="149">
        <v>5.4010507104019063E-2</v>
      </c>
      <c r="AQ313" s="149">
        <v>2.1013358973058012E-2</v>
      </c>
      <c r="AR313" s="149">
        <v>0.70799507839058295</v>
      </c>
      <c r="AS313" s="208">
        <v>1882.5033051295611</v>
      </c>
      <c r="AT313" s="149">
        <f t="shared" si="27"/>
        <v>6.3700000000000007E-2</v>
      </c>
      <c r="AU313" s="149">
        <v>0.31850000000000001</v>
      </c>
      <c r="AV313">
        <v>7</v>
      </c>
    </row>
    <row r="314" spans="1:48" x14ac:dyDescent="0.25">
      <c r="A314" t="s">
        <v>205</v>
      </c>
      <c r="B314" s="101">
        <v>0</v>
      </c>
      <c r="C314" s="101">
        <v>1834</v>
      </c>
      <c r="D314" s="101">
        <v>38753</v>
      </c>
      <c r="E314" s="101">
        <v>0</v>
      </c>
      <c r="F314" s="101">
        <v>19</v>
      </c>
      <c r="G314" s="101">
        <v>16488</v>
      </c>
      <c r="H314" s="101">
        <v>0</v>
      </c>
      <c r="I314" s="101">
        <v>-792</v>
      </c>
      <c r="J314" s="101">
        <v>340</v>
      </c>
      <c r="K314" s="101">
        <v>8996</v>
      </c>
      <c r="L314" s="101">
        <v>0</v>
      </c>
      <c r="M314" s="101">
        <v>2910</v>
      </c>
      <c r="N314" s="101">
        <v>20462</v>
      </c>
      <c r="O314" s="101">
        <v>10479</v>
      </c>
      <c r="P314" s="101">
        <v>26605</v>
      </c>
      <c r="Q314" s="101">
        <v>0</v>
      </c>
      <c r="R314" s="101">
        <v>368</v>
      </c>
      <c r="S314" s="101">
        <v>4502</v>
      </c>
      <c r="T314" s="101">
        <v>6132</v>
      </c>
      <c r="U314" s="101">
        <v>9194</v>
      </c>
      <c r="V314" s="101">
        <v>110128</v>
      </c>
      <c r="W314" s="101">
        <v>62377</v>
      </c>
      <c r="X314" s="101">
        <v>61385</v>
      </c>
      <c r="Y314" s="101">
        <v>992</v>
      </c>
      <c r="Z314" s="101">
        <v>969</v>
      </c>
      <c r="AA314" s="101">
        <v>2412093.5121951215</v>
      </c>
      <c r="AB314" s="101">
        <v>44850</v>
      </c>
      <c r="AC314" s="101">
        <v>38024.26</v>
      </c>
      <c r="AD314" s="101">
        <v>20330</v>
      </c>
      <c r="AE314" t="s">
        <v>205</v>
      </c>
      <c r="AF314" s="149">
        <v>3.1341680427080493E-2</v>
      </c>
      <c r="AG314" s="149">
        <v>0.1473940715327765</v>
      </c>
      <c r="AH314" s="149">
        <f t="shared" si="28"/>
        <v>0.26463279734517531</v>
      </c>
      <c r="AI314" s="149">
        <f t="shared" si="29"/>
        <v>-7.2462606409413729E-3</v>
      </c>
      <c r="AJ314" s="149">
        <v>0.18422238966285651</v>
      </c>
      <c r="AK314" s="149">
        <v>0.29850615627005894</v>
      </c>
      <c r="AL314" s="149">
        <v>1.5903297689853633E-2</v>
      </c>
      <c r="AM314" s="149">
        <v>6.7635479598686474E-2</v>
      </c>
      <c r="AN314" s="149">
        <v>4.9030016407682654E-2</v>
      </c>
      <c r="AO314">
        <f t="shared" si="30"/>
        <v>0</v>
      </c>
      <c r="AP314" s="149">
        <v>2.2079452362248907E-2</v>
      </c>
      <c r="AQ314" s="149">
        <v>3.8669597963914927E-2</v>
      </c>
      <c r="AR314" s="149">
        <v>0.71901502156243491</v>
      </c>
      <c r="AS314" s="208">
        <v>1870.3521888834234</v>
      </c>
      <c r="AT314" s="149">
        <f t="shared" si="27"/>
        <v>6.5799999999999997E-2</v>
      </c>
      <c r="AU314" s="149">
        <v>0.32899999999999996</v>
      </c>
      <c r="AV314">
        <v>10</v>
      </c>
    </row>
    <row r="315" spans="1:48" x14ac:dyDescent="0.25">
      <c r="A315" t="s">
        <v>601</v>
      </c>
      <c r="B315" s="101">
        <v>8655</v>
      </c>
      <c r="C315" s="101">
        <v>10921</v>
      </c>
      <c r="D315" s="101">
        <v>169108</v>
      </c>
      <c r="E315" s="101">
        <v>418</v>
      </c>
      <c r="F315" s="101">
        <v>432</v>
      </c>
      <c r="G315" s="101">
        <v>8671</v>
      </c>
      <c r="H315" s="101">
        <v>0</v>
      </c>
      <c r="I315" s="101">
        <v>9796</v>
      </c>
      <c r="J315" s="101">
        <v>1936</v>
      </c>
      <c r="K315" s="101">
        <v>17978</v>
      </c>
      <c r="L315" s="101">
        <v>10028</v>
      </c>
      <c r="M315" s="101">
        <v>4252</v>
      </c>
      <c r="N315" s="101">
        <v>60180</v>
      </c>
      <c r="O315" s="101">
        <v>13698</v>
      </c>
      <c r="P315" s="101">
        <v>138811</v>
      </c>
      <c r="Q315" s="101">
        <v>23</v>
      </c>
      <c r="R315" s="101">
        <v>0</v>
      </c>
      <c r="S315" s="101">
        <v>12484</v>
      </c>
      <c r="T315" s="101">
        <v>16998</v>
      </c>
      <c r="U315" s="101">
        <v>126955</v>
      </c>
      <c r="V315" s="101">
        <v>174124</v>
      </c>
      <c r="W315" s="101">
        <v>225238</v>
      </c>
      <c r="X315" s="101">
        <v>215395</v>
      </c>
      <c r="Y315" s="101">
        <v>9843</v>
      </c>
      <c r="Z315" s="101">
        <v>3432</v>
      </c>
      <c r="AA315" s="101">
        <v>2588282.2222222239</v>
      </c>
      <c r="AB315" s="101">
        <v>165885</v>
      </c>
      <c r="AC315" s="101">
        <v>137951.50099999999</v>
      </c>
      <c r="AD315" s="101">
        <v>64896</v>
      </c>
      <c r="AE315" t="s">
        <v>601</v>
      </c>
      <c r="AF315" s="149">
        <v>6.6387554497908882E-2</v>
      </c>
      <c r="AG315" s="149">
        <v>0.5636482298724016</v>
      </c>
      <c r="AH315" s="149">
        <f t="shared" si="28"/>
        <v>4.0415027659631148E-2</v>
      </c>
      <c r="AI315" s="149">
        <f t="shared" si="29"/>
        <v>5.2087125618234933E-2</v>
      </c>
      <c r="AJ315" s="149">
        <v>0.53203704525879292</v>
      </c>
      <c r="AK315" s="149">
        <v>0.24847849244820269</v>
      </c>
      <c r="AL315" s="149">
        <v>4.3700441310968841E-2</v>
      </c>
      <c r="AM315" s="149">
        <v>8.0059027987247733E-2</v>
      </c>
      <c r="AN315" s="149">
        <v>3.6860411108350706E-2</v>
      </c>
      <c r="AO315">
        <f t="shared" si="30"/>
        <v>0</v>
      </c>
      <c r="AP315" s="149">
        <v>1.6160683366039479E-2</v>
      </c>
      <c r="AQ315" s="149">
        <v>1.1491321278923734E-2</v>
      </c>
      <c r="AR315" s="149">
        <v>0.7364876264218293</v>
      </c>
      <c r="AS315" s="208">
        <v>2125.7319557445758</v>
      </c>
      <c r="AT315" s="149">
        <f t="shared" si="27"/>
        <v>4.7199999999999999E-2</v>
      </c>
      <c r="AU315" s="149">
        <v>0.23599999999999999</v>
      </c>
      <c r="AV315">
        <v>9.5</v>
      </c>
    </row>
    <row r="316" spans="1:48" x14ac:dyDescent="0.25">
      <c r="A316" t="s">
        <v>114</v>
      </c>
      <c r="B316" s="101">
        <v>462</v>
      </c>
      <c r="C316" s="101">
        <v>5469</v>
      </c>
      <c r="D316" s="101">
        <v>36837</v>
      </c>
      <c r="E316" s="101">
        <v>564</v>
      </c>
      <c r="F316" s="101">
        <v>0</v>
      </c>
      <c r="G316" s="101">
        <v>-4</v>
      </c>
      <c r="H316" s="101">
        <v>679</v>
      </c>
      <c r="I316" s="101">
        <v>-953</v>
      </c>
      <c r="J316" s="101">
        <v>1</v>
      </c>
      <c r="K316" s="101">
        <v>5077</v>
      </c>
      <c r="L316" s="101">
        <v>11038</v>
      </c>
      <c r="M316" s="101">
        <v>5504</v>
      </c>
      <c r="N316" s="101">
        <v>26505</v>
      </c>
      <c r="O316" s="101">
        <v>14907</v>
      </c>
      <c r="P316" s="101">
        <v>13761</v>
      </c>
      <c r="Q316" s="101">
        <v>0</v>
      </c>
      <c r="R316" s="101">
        <v>0</v>
      </c>
      <c r="S316" s="101">
        <v>3057</v>
      </c>
      <c r="T316" s="101">
        <v>6444</v>
      </c>
      <c r="U316" s="101">
        <v>968</v>
      </c>
      <c r="V316" s="101">
        <v>40457</v>
      </c>
      <c r="W316" s="101">
        <v>71207</v>
      </c>
      <c r="X316" s="101">
        <v>65542</v>
      </c>
      <c r="Y316" s="101">
        <v>5665</v>
      </c>
      <c r="Z316" s="101">
        <v>1897</v>
      </c>
      <c r="AA316" s="101">
        <v>2587294.2558139525</v>
      </c>
      <c r="AB316" s="101">
        <v>53314</v>
      </c>
      <c r="AC316" s="101">
        <v>40336.807999999997</v>
      </c>
      <c r="AD316" s="101">
        <v>20003</v>
      </c>
      <c r="AE316" t="s">
        <v>114</v>
      </c>
      <c r="AF316" s="149">
        <v>7.6649767579030151E-2</v>
      </c>
      <c r="AG316" s="149">
        <v>1.3594169112587245E-2</v>
      </c>
      <c r="AH316" s="149">
        <f t="shared" si="28"/>
        <v>-5.6174252531352256E-5</v>
      </c>
      <c r="AI316" s="149">
        <f t="shared" si="29"/>
        <v>-1.3369472102461836E-2</v>
      </c>
      <c r="AJ316" s="149">
        <v>2.2946058674006769E-2</v>
      </c>
      <c r="AK316" s="149">
        <v>0.40982465905928195</v>
      </c>
      <c r="AL316" s="149">
        <v>7.9556785147527634E-2</v>
      </c>
      <c r="AM316" s="149">
        <v>-1.793808158623893E-2</v>
      </c>
      <c r="AN316" s="149">
        <v>1.7974421016246113E-2</v>
      </c>
      <c r="AO316">
        <f t="shared" si="30"/>
        <v>1</v>
      </c>
      <c r="AP316" s="149">
        <v>8.1136685999971918E-3</v>
      </c>
      <c r="AQ316" s="149">
        <v>3.6334830224752521E-2</v>
      </c>
      <c r="AR316" s="149">
        <v>0.74871852486412849</v>
      </c>
      <c r="AS316" s="208">
        <v>2016.5379193121032</v>
      </c>
      <c r="AT316" s="149">
        <f t="shared" si="27"/>
        <v>4.24E-2</v>
      </c>
      <c r="AU316" s="149">
        <v>0.21199999999999999</v>
      </c>
      <c r="AV316">
        <v>9.5</v>
      </c>
    </row>
    <row r="317" spans="1:48" x14ac:dyDescent="0.25">
      <c r="A317" t="s">
        <v>206</v>
      </c>
      <c r="B317" s="101">
        <v>336</v>
      </c>
      <c r="C317" s="101">
        <v>1619</v>
      </c>
      <c r="D317" s="101">
        <v>27144</v>
      </c>
      <c r="E317" s="101">
        <v>159</v>
      </c>
      <c r="F317" s="101">
        <v>0</v>
      </c>
      <c r="G317" s="101">
        <v>2349</v>
      </c>
      <c r="H317" s="101">
        <v>0</v>
      </c>
      <c r="I317" s="101">
        <v>893</v>
      </c>
      <c r="J317" s="101">
        <v>0</v>
      </c>
      <c r="K317" s="101">
        <v>5352</v>
      </c>
      <c r="L317" s="101">
        <v>8862</v>
      </c>
      <c r="M317" s="101">
        <v>-1937</v>
      </c>
      <c r="N317" s="101">
        <v>7907</v>
      </c>
      <c r="O317" s="101">
        <v>7864</v>
      </c>
      <c r="P317" s="101">
        <v>22883</v>
      </c>
      <c r="Q317" s="101">
        <v>0</v>
      </c>
      <c r="R317" s="101">
        <v>29</v>
      </c>
      <c r="S317" s="101">
        <v>1276</v>
      </c>
      <c r="T317" s="101">
        <v>4825</v>
      </c>
      <c r="U317" s="101">
        <v>14387</v>
      </c>
      <c r="V317" s="101">
        <v>29017</v>
      </c>
      <c r="W317" s="101">
        <v>54590</v>
      </c>
      <c r="X317" s="101">
        <v>53062</v>
      </c>
      <c r="Y317" s="101">
        <v>1528</v>
      </c>
      <c r="Z317" s="101">
        <v>1391</v>
      </c>
      <c r="AA317" s="101">
        <v>572650.97260273946</v>
      </c>
      <c r="AB317" s="101">
        <v>43915</v>
      </c>
      <c r="AC317" s="101">
        <v>33589.385000000002</v>
      </c>
      <c r="AD317" s="101">
        <v>15151</v>
      </c>
      <c r="AE317" t="s">
        <v>206</v>
      </c>
      <c r="AF317" s="149">
        <v>2.2788056420589852E-2</v>
      </c>
      <c r="AG317" s="149">
        <v>0.26354643707638764</v>
      </c>
      <c r="AH317" s="149">
        <f t="shared" si="28"/>
        <v>4.3029858948525374E-2</v>
      </c>
      <c r="AI317" s="149">
        <f t="shared" si="29"/>
        <v>1.6358307382304451E-2</v>
      </c>
      <c r="AJ317" s="149">
        <v>0.25725920498259758</v>
      </c>
      <c r="AK317" s="149">
        <v>0.17655859235441229</v>
      </c>
      <c r="AL317" s="149">
        <v>2.7990474445869207E-2</v>
      </c>
      <c r="AM317" s="149">
        <v>4.4505157292470947E-2</v>
      </c>
      <c r="AN317" s="149">
        <v>5.4817616367820281E-2</v>
      </c>
      <c r="AO317">
        <f t="shared" si="30"/>
        <v>0</v>
      </c>
      <c r="AP317" s="149">
        <v>3.755266532331929E-4</v>
      </c>
      <c r="AQ317" s="149">
        <v>1.0490034303036078E-2</v>
      </c>
      <c r="AR317" s="149">
        <v>0.80445136471881296</v>
      </c>
      <c r="AS317" s="208">
        <v>2216.974787142763</v>
      </c>
      <c r="AT317" s="149">
        <f t="shared" si="27"/>
        <v>5.5300000000000002E-2</v>
      </c>
      <c r="AU317" s="149">
        <v>0.27650000000000002</v>
      </c>
      <c r="AV317">
        <v>8</v>
      </c>
    </row>
    <row r="318" spans="1:48" x14ac:dyDescent="0.25">
      <c r="A318" t="s">
        <v>602</v>
      </c>
      <c r="B318" s="101">
        <v>446</v>
      </c>
      <c r="C318" s="101">
        <v>3820</v>
      </c>
      <c r="D318" s="101">
        <v>66479</v>
      </c>
      <c r="E318" s="101">
        <v>1789</v>
      </c>
      <c r="F318" s="101">
        <v>2343</v>
      </c>
      <c r="G318" s="101">
        <v>3809</v>
      </c>
      <c r="H318" s="101">
        <v>6</v>
      </c>
      <c r="I318" s="101">
        <v>-373</v>
      </c>
      <c r="J318" s="101">
        <v>0</v>
      </c>
      <c r="K318" s="101">
        <v>25921</v>
      </c>
      <c r="L318" s="101">
        <v>570</v>
      </c>
      <c r="M318" s="101">
        <v>5254</v>
      </c>
      <c r="N318" s="101">
        <v>59388</v>
      </c>
      <c r="O318" s="101">
        <v>10002</v>
      </c>
      <c r="P318" s="101">
        <v>20238</v>
      </c>
      <c r="Q318" s="101">
        <v>0</v>
      </c>
      <c r="R318" s="101">
        <v>0</v>
      </c>
      <c r="S318" s="101">
        <v>6308</v>
      </c>
      <c r="T318" s="101">
        <v>14130</v>
      </c>
      <c r="U318" s="101">
        <v>2773</v>
      </c>
      <c r="V318" s="101">
        <v>60570</v>
      </c>
      <c r="W318" s="101">
        <v>124810</v>
      </c>
      <c r="X318" s="101">
        <v>119544</v>
      </c>
      <c r="Y318" s="101">
        <v>5266</v>
      </c>
      <c r="Z318" s="101">
        <v>-664</v>
      </c>
      <c r="AA318" s="101">
        <v>633391.91609589104</v>
      </c>
      <c r="AB318" s="101">
        <v>97219</v>
      </c>
      <c r="AC318" s="101">
        <v>68901.687999999995</v>
      </c>
      <c r="AD318" s="101">
        <v>26465</v>
      </c>
      <c r="AE318" t="s">
        <v>602</v>
      </c>
      <c r="AF318" s="149">
        <v>6.2743369922281869E-2</v>
      </c>
      <c r="AG318" s="149">
        <v>2.2217771011938146E-2</v>
      </c>
      <c r="AH318" s="149">
        <f t="shared" ref="AH318:AH344" si="31">SUM(F318,G318)/W318</f>
        <v>4.9290922201746655E-2</v>
      </c>
      <c r="AI318" s="149">
        <f t="shared" ref="AI318:AI344" si="32">SUM(I318,J318)/W318</f>
        <v>-2.9885425847287878E-3</v>
      </c>
      <c r="AJ318" s="149">
        <v>3.0224661485457896E-2</v>
      </c>
      <c r="AK318" s="149">
        <v>0.53956716878963529</v>
      </c>
      <c r="AL318" s="149">
        <v>4.2192132040701866E-2</v>
      </c>
      <c r="AM318" s="149">
        <v>9.5150377580863421E-2</v>
      </c>
      <c r="AN318" s="149">
        <v>8.2796070304704886E-2</v>
      </c>
      <c r="AO318">
        <f t="shared" si="30"/>
        <v>0</v>
      </c>
      <c r="AP318" s="149">
        <v>2.0380979088214086E-2</v>
      </c>
      <c r="AQ318" s="149">
        <v>5.0894474664600897E-3</v>
      </c>
      <c r="AR318" s="149">
        <v>0.7811766785588018</v>
      </c>
      <c r="AS318" s="208">
        <v>2603.5022860381637</v>
      </c>
      <c r="AT318" s="149">
        <f t="shared" si="27"/>
        <v>5.6200000000000007E-2</v>
      </c>
      <c r="AU318" s="149">
        <v>0.28100000000000003</v>
      </c>
      <c r="AV318">
        <v>8.5</v>
      </c>
    </row>
    <row r="319" spans="1:48" x14ac:dyDescent="0.25">
      <c r="A319" t="s">
        <v>322</v>
      </c>
      <c r="B319" s="101">
        <v>23895</v>
      </c>
      <c r="C319" s="101">
        <v>44162</v>
      </c>
      <c r="D319" s="101">
        <v>436205</v>
      </c>
      <c r="E319" s="101">
        <v>9874</v>
      </c>
      <c r="F319" s="101">
        <v>8</v>
      </c>
      <c r="G319" s="101">
        <v>18171</v>
      </c>
      <c r="H319" s="101">
        <v>0</v>
      </c>
      <c r="I319" s="101">
        <v>148474</v>
      </c>
      <c r="J319" s="101">
        <v>3380</v>
      </c>
      <c r="K319" s="101">
        <v>31081</v>
      </c>
      <c r="L319" s="101">
        <v>-34</v>
      </c>
      <c r="M319" s="101">
        <v>20637</v>
      </c>
      <c r="N319" s="101">
        <v>270694</v>
      </c>
      <c r="O319" s="101">
        <v>58693</v>
      </c>
      <c r="P319" s="101">
        <v>320250</v>
      </c>
      <c r="Q319" s="101">
        <v>279</v>
      </c>
      <c r="R319" s="101">
        <v>17340</v>
      </c>
      <c r="S319" s="101">
        <v>12084</v>
      </c>
      <c r="T319" s="101">
        <v>56512</v>
      </c>
      <c r="U319" s="101">
        <v>336602</v>
      </c>
      <c r="V319" s="101">
        <v>455475</v>
      </c>
      <c r="W319" s="101">
        <v>362215</v>
      </c>
      <c r="X319" s="101">
        <v>363435</v>
      </c>
      <c r="Y319" s="101">
        <v>-1220</v>
      </c>
      <c r="Z319" s="101">
        <v>32496</v>
      </c>
      <c r="AA319" s="101">
        <v>15636183</v>
      </c>
      <c r="AB319" s="101">
        <v>237584</v>
      </c>
      <c r="AC319" s="101">
        <v>233044.43400000001</v>
      </c>
      <c r="AD319" s="101">
        <v>115941</v>
      </c>
      <c r="AE319" t="s">
        <v>322</v>
      </c>
      <c r="AF319" s="149">
        <v>-9.0937702745606891E-2</v>
      </c>
      <c r="AG319" s="149">
        <v>0.8711925237773146</v>
      </c>
      <c r="AH319" s="149">
        <f t="shared" si="31"/>
        <v>5.0188424002319064E-2</v>
      </c>
      <c r="AI319" s="149">
        <f t="shared" si="32"/>
        <v>0.41923719337962262</v>
      </c>
      <c r="AJ319" s="149">
        <v>0.58374909929185714</v>
      </c>
      <c r="AK319" s="149">
        <v>0.36786473366927047</v>
      </c>
      <c r="AL319" s="149">
        <v>-3.368165316179617E-3</v>
      </c>
      <c r="AM319" s="149">
        <v>3.3025156346531109E-2</v>
      </c>
      <c r="AN319" s="149">
        <v>6.7067803513012865E-3</v>
      </c>
      <c r="AO319">
        <f t="shared" si="30"/>
        <v>1</v>
      </c>
      <c r="AP319" s="149">
        <v>3.3672680590257166E-2</v>
      </c>
      <c r="AQ319" s="149">
        <v>4.3168356275571897E-2</v>
      </c>
      <c r="AR319" s="149">
        <v>0.65592163748502263</v>
      </c>
      <c r="AS319" s="208">
        <v>2010.0260822314799</v>
      </c>
      <c r="AT319" s="149">
        <f t="shared" si="27"/>
        <v>5.269999999999999E-2</v>
      </c>
      <c r="AU319" s="149">
        <v>0.26349999999999996</v>
      </c>
      <c r="AV319">
        <v>8</v>
      </c>
    </row>
    <row r="320" spans="1:48" x14ac:dyDescent="0.25">
      <c r="A320" t="s">
        <v>138</v>
      </c>
      <c r="B320" s="101">
        <v>1065</v>
      </c>
      <c r="C320" s="101">
        <v>2042</v>
      </c>
      <c r="D320" s="101">
        <v>65801</v>
      </c>
      <c r="E320" s="101">
        <v>338</v>
      </c>
      <c r="F320" s="101">
        <v>0</v>
      </c>
      <c r="G320" s="101">
        <v>696</v>
      </c>
      <c r="H320" s="101">
        <v>21110</v>
      </c>
      <c r="I320" s="101">
        <v>12207</v>
      </c>
      <c r="J320" s="101">
        <v>0</v>
      </c>
      <c r="K320" s="101">
        <v>7270</v>
      </c>
      <c r="L320" s="101">
        <v>336</v>
      </c>
      <c r="M320" s="101">
        <v>2446</v>
      </c>
      <c r="N320" s="101">
        <v>52540</v>
      </c>
      <c r="O320" s="101">
        <v>6204</v>
      </c>
      <c r="P320" s="101">
        <v>41852</v>
      </c>
      <c r="Q320" s="101">
        <v>0</v>
      </c>
      <c r="R320" s="101">
        <v>0</v>
      </c>
      <c r="S320" s="101">
        <v>6539</v>
      </c>
      <c r="T320" s="101">
        <v>6175</v>
      </c>
      <c r="U320" s="101">
        <v>22708</v>
      </c>
      <c r="V320" s="101">
        <v>64229</v>
      </c>
      <c r="W320" s="101">
        <v>101381</v>
      </c>
      <c r="X320" s="101">
        <v>95821</v>
      </c>
      <c r="Y320" s="101">
        <v>5560</v>
      </c>
      <c r="Z320" s="101">
        <v>4653</v>
      </c>
      <c r="AA320" s="101">
        <v>2640699.5985699687</v>
      </c>
      <c r="AB320" s="101">
        <v>73603</v>
      </c>
      <c r="AC320" s="101">
        <v>64405.970999999998</v>
      </c>
      <c r="AD320" s="101">
        <v>26487</v>
      </c>
      <c r="AE320" t="s">
        <v>138</v>
      </c>
      <c r="AF320" s="149">
        <v>1.5407226206093845E-2</v>
      </c>
      <c r="AG320" s="149">
        <v>0.22398674307809155</v>
      </c>
      <c r="AH320" s="149">
        <f t="shared" si="31"/>
        <v>6.8651917025872701E-3</v>
      </c>
      <c r="AI320" s="149">
        <f t="shared" si="32"/>
        <v>0.12040717688718794</v>
      </c>
      <c r="AJ320" s="149">
        <v>0.14052554226137046</v>
      </c>
      <c r="AK320" s="149">
        <v>0.46368369958520872</v>
      </c>
      <c r="AL320" s="149">
        <v>5.4842623371243134E-2</v>
      </c>
      <c r="AM320" s="149">
        <v>8.1160219822190155E-3</v>
      </c>
      <c r="AN320" s="149">
        <v>7.5694347846246582E-2</v>
      </c>
      <c r="AO320">
        <f t="shared" si="30"/>
        <v>0</v>
      </c>
      <c r="AP320" s="149">
        <v>1.1538158037502097E-2</v>
      </c>
      <c r="AQ320" s="149">
        <v>2.6047283007367937E-2</v>
      </c>
      <c r="AR320" s="149">
        <v>0.72600388632978563</v>
      </c>
      <c r="AS320" s="208">
        <v>2431.6068637444782</v>
      </c>
      <c r="AT320" s="149">
        <f t="shared" si="27"/>
        <v>3.8399999999999997E-2</v>
      </c>
      <c r="AU320" s="149">
        <v>0.19199999999999998</v>
      </c>
      <c r="AV320">
        <v>9.5</v>
      </c>
    </row>
    <row r="321" spans="1:48" x14ac:dyDescent="0.25">
      <c r="A321" t="s">
        <v>160</v>
      </c>
      <c r="B321" s="101">
        <v>0</v>
      </c>
      <c r="C321" s="101">
        <v>3395</v>
      </c>
      <c r="D321" s="101">
        <v>43928</v>
      </c>
      <c r="E321" s="101">
        <v>713</v>
      </c>
      <c r="F321" s="101">
        <v>0</v>
      </c>
      <c r="G321" s="101">
        <v>7983</v>
      </c>
      <c r="H321" s="101">
        <v>0</v>
      </c>
      <c r="I321" s="101">
        <v>-676</v>
      </c>
      <c r="J321" s="101">
        <v>4</v>
      </c>
      <c r="K321" s="101">
        <v>33886</v>
      </c>
      <c r="L321" s="101">
        <v>272</v>
      </c>
      <c r="M321" s="101">
        <v>6011</v>
      </c>
      <c r="N321" s="101">
        <v>44332</v>
      </c>
      <c r="O321" s="101">
        <v>9792</v>
      </c>
      <c r="P321" s="101">
        <v>31455</v>
      </c>
      <c r="Q321" s="101">
        <v>0</v>
      </c>
      <c r="R321" s="101">
        <v>0</v>
      </c>
      <c r="S321" s="101">
        <v>3801</v>
      </c>
      <c r="T321" s="101">
        <v>6136</v>
      </c>
      <c r="U321" s="101">
        <v>-6760</v>
      </c>
      <c r="V321" s="101">
        <v>36346</v>
      </c>
      <c r="W321" s="101">
        <v>84672</v>
      </c>
      <c r="X321" s="101">
        <v>72605</v>
      </c>
      <c r="Y321" s="101">
        <v>12067</v>
      </c>
      <c r="Z321" s="101">
        <v>11519</v>
      </c>
      <c r="AA321" s="101">
        <v>3034351.7224669596</v>
      </c>
      <c r="AB321" s="101">
        <v>54617</v>
      </c>
      <c r="AC321" s="101">
        <v>37991.173000000003</v>
      </c>
      <c r="AD321" s="101">
        <v>24931</v>
      </c>
      <c r="AE321" t="s">
        <v>160</v>
      </c>
      <c r="AF321" s="149">
        <v>4.9048091458805745E-2</v>
      </c>
      <c r="AG321" s="149">
        <v>-7.9837490551776261E-2</v>
      </c>
      <c r="AH321" s="149">
        <f t="shared" si="31"/>
        <v>9.4281462585034018E-2</v>
      </c>
      <c r="AI321" s="149">
        <f t="shared" si="32"/>
        <v>-7.9365079365079361E-3</v>
      </c>
      <c r="AJ321" s="149">
        <v>-6.2968159486016625E-2</v>
      </c>
      <c r="AK321" s="149">
        <v>0.46413166380501697</v>
      </c>
      <c r="AL321" s="149">
        <v>0.1425146447467876</v>
      </c>
      <c r="AM321" s="149">
        <v>0.15181934174724446</v>
      </c>
      <c r="AN321" s="149">
        <v>8.7892898719441212E-2</v>
      </c>
      <c r="AO321">
        <f t="shared" si="30"/>
        <v>0</v>
      </c>
      <c r="AP321" s="149">
        <v>3.2410359977324263E-2</v>
      </c>
      <c r="AQ321" s="149">
        <v>3.5836542451660049E-2</v>
      </c>
      <c r="AR321" s="149">
        <v>0.64504204459561598</v>
      </c>
      <c r="AS321" s="208">
        <v>1523.8527535999358</v>
      </c>
      <c r="AT321" s="149">
        <f t="shared" si="27"/>
        <v>3.78E-2</v>
      </c>
      <c r="AU321" s="149">
        <v>0.189</v>
      </c>
      <c r="AV321">
        <v>9</v>
      </c>
    </row>
    <row r="322" spans="1:48" x14ac:dyDescent="0.25">
      <c r="A322" t="s">
        <v>207</v>
      </c>
      <c r="B322" s="101">
        <v>-6</v>
      </c>
      <c r="C322" s="101">
        <v>1447</v>
      </c>
      <c r="D322" s="101">
        <v>68605</v>
      </c>
      <c r="E322" s="101">
        <v>428</v>
      </c>
      <c r="F322" s="101">
        <v>4909</v>
      </c>
      <c r="G322" s="101">
        <v>10651</v>
      </c>
      <c r="H322" s="101">
        <v>0</v>
      </c>
      <c r="I322" s="101">
        <v>-2816</v>
      </c>
      <c r="J322" s="101">
        <v>3</v>
      </c>
      <c r="K322" s="101">
        <v>34082</v>
      </c>
      <c r="L322" s="101">
        <v>681</v>
      </c>
      <c r="M322" s="101">
        <v>13775</v>
      </c>
      <c r="N322" s="101">
        <v>77956</v>
      </c>
      <c r="O322" s="101">
        <v>23786</v>
      </c>
      <c r="P322" s="101">
        <v>15719</v>
      </c>
      <c r="Q322" s="101">
        <v>50</v>
      </c>
      <c r="R322" s="101">
        <v>0</v>
      </c>
      <c r="S322" s="101">
        <v>3406</v>
      </c>
      <c r="T322" s="101">
        <v>10842</v>
      </c>
      <c r="U322" s="101">
        <v>-34081</v>
      </c>
      <c r="V322" s="101">
        <v>66195</v>
      </c>
      <c r="W322" s="101">
        <v>145229</v>
      </c>
      <c r="X322" s="101">
        <v>135300</v>
      </c>
      <c r="Y322" s="101">
        <v>9929</v>
      </c>
      <c r="Z322" s="101">
        <v>-726</v>
      </c>
      <c r="AA322" s="101">
        <v>3814711.0444444437</v>
      </c>
      <c r="AB322" s="101">
        <v>101623</v>
      </c>
      <c r="AC322" s="101">
        <v>83088.351999999999</v>
      </c>
      <c r="AD322" s="101">
        <v>41545</v>
      </c>
      <c r="AE322" t="s">
        <v>207</v>
      </c>
      <c r="AF322" s="149">
        <v>5.9478478816214389E-2</v>
      </c>
      <c r="AG322" s="149">
        <v>-0.23467076134931728</v>
      </c>
      <c r="AH322" s="149">
        <f t="shared" si="31"/>
        <v>0.10714113572358137</v>
      </c>
      <c r="AI322" s="149">
        <f t="shared" si="32"/>
        <v>-1.9369409690901954E-2</v>
      </c>
      <c r="AJ322" s="149">
        <v>-0.20825523827885614</v>
      </c>
      <c r="AK322" s="149">
        <v>0.59165597795975988</v>
      </c>
      <c r="AL322" s="149">
        <v>6.8367887956262183E-2</v>
      </c>
      <c r="AM322" s="149">
        <v>6.0740740740740741E-2</v>
      </c>
      <c r="AN322" s="149">
        <v>6.6526293344705348E-2</v>
      </c>
      <c r="AO322">
        <f t="shared" si="30"/>
        <v>0</v>
      </c>
      <c r="AP322" s="149">
        <v>6.6291856309690211E-3</v>
      </c>
      <c r="AQ322" s="149">
        <v>2.6266868493513305E-2</v>
      </c>
      <c r="AR322" s="149">
        <v>0.69974316424405592</v>
      </c>
      <c r="AS322" s="208">
        <v>1999.9603321699362</v>
      </c>
      <c r="AT322" s="149">
        <f t="shared" ref="AT322:AT343" si="33">AU322/5</f>
        <v>4.1200000000000001E-2</v>
      </c>
      <c r="AU322" s="149">
        <v>0.20600000000000002</v>
      </c>
      <c r="AV322">
        <v>9.5</v>
      </c>
    </row>
    <row r="323" spans="1:48" x14ac:dyDescent="0.25">
      <c r="A323" t="s">
        <v>277</v>
      </c>
      <c r="B323" s="101">
        <v>13</v>
      </c>
      <c r="C323" s="101">
        <v>783</v>
      </c>
      <c r="D323" s="101">
        <v>59735</v>
      </c>
      <c r="E323" s="101">
        <v>85</v>
      </c>
      <c r="F323" s="101">
        <v>778</v>
      </c>
      <c r="G323" s="101">
        <v>776</v>
      </c>
      <c r="H323" s="101">
        <v>4</v>
      </c>
      <c r="I323" s="101">
        <v>0</v>
      </c>
      <c r="J323" s="101">
        <v>0</v>
      </c>
      <c r="K323" s="101">
        <v>28156</v>
      </c>
      <c r="L323" s="101">
        <v>272</v>
      </c>
      <c r="M323" s="101">
        <v>2340</v>
      </c>
      <c r="N323" s="101">
        <v>22410</v>
      </c>
      <c r="O323" s="101">
        <v>8459</v>
      </c>
      <c r="P323" s="101">
        <v>48718</v>
      </c>
      <c r="Q323" s="101">
        <v>2</v>
      </c>
      <c r="R323" s="101">
        <v>0</v>
      </c>
      <c r="S323" s="101">
        <v>5669</v>
      </c>
      <c r="T323" s="101">
        <v>7684</v>
      </c>
      <c r="U323" s="101">
        <v>29747</v>
      </c>
      <c r="V323" s="101">
        <v>49437</v>
      </c>
      <c r="W323" s="101">
        <v>67389</v>
      </c>
      <c r="X323" s="101">
        <v>63414</v>
      </c>
      <c r="Y323" s="101">
        <v>3975</v>
      </c>
      <c r="Z323" s="101">
        <v>1458</v>
      </c>
      <c r="AA323" s="101">
        <v>2804101.0551801808</v>
      </c>
      <c r="AB323" s="101">
        <v>43856</v>
      </c>
      <c r="AC323" s="101">
        <v>41948.21</v>
      </c>
      <c r="AD323" s="101">
        <v>24605</v>
      </c>
      <c r="AE323" t="s">
        <v>277</v>
      </c>
      <c r="AF323" s="149">
        <v>2.2911751176007952E-2</v>
      </c>
      <c r="AG323" s="149">
        <v>0.4414221905652258</v>
      </c>
      <c r="AH323" s="149">
        <f t="shared" si="31"/>
        <v>2.3060143346837023E-2</v>
      </c>
      <c r="AI323" s="149">
        <f t="shared" si="32"/>
        <v>0</v>
      </c>
      <c r="AJ323" s="149">
        <v>0.44418940776684623</v>
      </c>
      <c r="AK323" s="149">
        <v>0.24111811667491553</v>
      </c>
      <c r="AL323" s="149">
        <v>5.8985887904554155E-2</v>
      </c>
      <c r="AM323" s="149">
        <v>2.2237308341888268E-2</v>
      </c>
      <c r="AN323" s="149">
        <v>-3.2604956822419755E-2</v>
      </c>
      <c r="AO323">
        <f t="shared" si="30"/>
        <v>1</v>
      </c>
      <c r="AP323" s="149">
        <v>4.1156568579441749E-2</v>
      </c>
      <c r="AQ323" s="149">
        <v>4.1627960617867624E-2</v>
      </c>
      <c r="AR323" s="149">
        <v>0.65105921824200952</v>
      </c>
      <c r="AS323" s="208">
        <v>1704.8652712863238</v>
      </c>
      <c r="AT323" s="149">
        <f t="shared" si="33"/>
        <v>3.7999999999999999E-2</v>
      </c>
      <c r="AU323" s="149">
        <v>0.19</v>
      </c>
      <c r="AV323">
        <v>9</v>
      </c>
    </row>
    <row r="324" spans="1:48" x14ac:dyDescent="0.25">
      <c r="A324" t="s">
        <v>232</v>
      </c>
      <c r="B324" s="101">
        <v>4897</v>
      </c>
      <c r="C324" s="101">
        <v>6494</v>
      </c>
      <c r="D324" s="101">
        <v>46125</v>
      </c>
      <c r="E324" s="101">
        <v>162</v>
      </c>
      <c r="F324" s="101">
        <v>2619</v>
      </c>
      <c r="G324" s="101">
        <v>1486</v>
      </c>
      <c r="H324" s="101">
        <v>0</v>
      </c>
      <c r="I324" s="101">
        <v>-79</v>
      </c>
      <c r="J324" s="101">
        <v>0</v>
      </c>
      <c r="K324" s="101">
        <v>3303</v>
      </c>
      <c r="L324" s="101">
        <v>1481</v>
      </c>
      <c r="M324" s="101">
        <v>958</v>
      </c>
      <c r="N324" s="101">
        <v>14275</v>
      </c>
      <c r="O324" s="101">
        <v>12488</v>
      </c>
      <c r="P324" s="101">
        <v>24942</v>
      </c>
      <c r="Q324" s="101">
        <v>11</v>
      </c>
      <c r="R324" s="101">
        <v>3385</v>
      </c>
      <c r="S324" s="101">
        <v>6100</v>
      </c>
      <c r="T324" s="101">
        <v>6246</v>
      </c>
      <c r="U324" s="101">
        <v>30837</v>
      </c>
      <c r="V324" s="101">
        <v>53222</v>
      </c>
      <c r="W324" s="101">
        <v>65795</v>
      </c>
      <c r="X324" s="101">
        <v>68085</v>
      </c>
      <c r="Y324" s="101">
        <v>-2290</v>
      </c>
      <c r="Z324" s="101">
        <v>720</v>
      </c>
      <c r="AA324" s="101">
        <v>2376839.6206896557</v>
      </c>
      <c r="AB324" s="101">
        <v>47752</v>
      </c>
      <c r="AC324" s="101">
        <v>46442.726999999999</v>
      </c>
      <c r="AD324" s="101">
        <v>23945</v>
      </c>
      <c r="AE324" t="s">
        <v>232</v>
      </c>
      <c r="AF324" s="149">
        <v>-4.0762975910023556E-2</v>
      </c>
      <c r="AG324" s="149">
        <v>0.46868303062542749</v>
      </c>
      <c r="AH324" s="149">
        <f t="shared" si="31"/>
        <v>6.2390759176229195E-2</v>
      </c>
      <c r="AI324" s="149">
        <f t="shared" si="32"/>
        <v>-1.200699141272133E-3</v>
      </c>
      <c r="AJ324" s="149">
        <v>0.47701041112546549</v>
      </c>
      <c r="AK324" s="149">
        <v>0.21164766409180541</v>
      </c>
      <c r="AL324" s="149">
        <v>-3.4805076373584619E-2</v>
      </c>
      <c r="AM324" s="149">
        <v>-2.2164922893836467E-2</v>
      </c>
      <c r="AN324" s="149">
        <v>-3.2576037109272045E-2</v>
      </c>
      <c r="AO324">
        <f t="shared" si="30"/>
        <v>3</v>
      </c>
      <c r="AP324" s="149">
        <v>1.6315829470324492E-2</v>
      </c>
      <c r="AQ324" s="149">
        <v>3.6124927740552558E-2</v>
      </c>
      <c r="AR324" s="149">
        <v>0.72576943536742911</v>
      </c>
      <c r="AS324" s="208">
        <v>1939.5584464397577</v>
      </c>
      <c r="AT324" s="149">
        <f t="shared" si="33"/>
        <v>6.3799999999999996E-2</v>
      </c>
      <c r="AU324" s="149">
        <v>0.31899999999999995</v>
      </c>
      <c r="AV324">
        <v>7</v>
      </c>
    </row>
    <row r="325" spans="1:48" x14ac:dyDescent="0.25">
      <c r="A325" t="s">
        <v>208</v>
      </c>
      <c r="B325" s="101">
        <v>1017</v>
      </c>
      <c r="C325" s="101">
        <v>6295</v>
      </c>
      <c r="D325" s="101">
        <v>122174</v>
      </c>
      <c r="E325" s="101">
        <v>2437</v>
      </c>
      <c r="F325" s="101">
        <v>5602</v>
      </c>
      <c r="G325" s="101">
        <v>623</v>
      </c>
      <c r="H325" s="101">
        <v>0</v>
      </c>
      <c r="I325" s="101">
        <v>7172</v>
      </c>
      <c r="J325" s="101">
        <v>0</v>
      </c>
      <c r="K325" s="101">
        <v>14554</v>
      </c>
      <c r="L325" s="101">
        <v>7967</v>
      </c>
      <c r="M325" s="101">
        <v>0</v>
      </c>
      <c r="N325" s="101">
        <v>60896</v>
      </c>
      <c r="O325" s="101">
        <v>9825</v>
      </c>
      <c r="P325" s="101">
        <v>78245</v>
      </c>
      <c r="Q325" s="101">
        <v>0</v>
      </c>
      <c r="R325" s="101">
        <v>0</v>
      </c>
      <c r="S325" s="101">
        <v>7988</v>
      </c>
      <c r="T325" s="101">
        <v>10888</v>
      </c>
      <c r="U325" s="101">
        <v>68375</v>
      </c>
      <c r="V325" s="101">
        <v>129293</v>
      </c>
      <c r="W325" s="101">
        <v>122379</v>
      </c>
      <c r="X325" s="101">
        <v>119906</v>
      </c>
      <c r="Y325" s="101">
        <v>2473</v>
      </c>
      <c r="Z325" s="101">
        <v>-148</v>
      </c>
      <c r="AA325" s="101">
        <v>2218984.7717629857</v>
      </c>
      <c r="AB325" s="101">
        <v>84742</v>
      </c>
      <c r="AC325" s="101">
        <v>76618.320999999996</v>
      </c>
      <c r="AD325" s="101">
        <v>29231</v>
      </c>
      <c r="AE325" t="s">
        <v>208</v>
      </c>
      <c r="AF325" s="149">
        <v>2.0926792995530279E-2</v>
      </c>
      <c r="AG325" s="149">
        <v>0.55871513903529202</v>
      </c>
      <c r="AH325" s="149">
        <f t="shared" si="31"/>
        <v>5.0866570244894958E-2</v>
      </c>
      <c r="AI325" s="149">
        <f t="shared" si="32"/>
        <v>5.8604825991387409E-2</v>
      </c>
      <c r="AJ325" s="149">
        <v>0.52379574927070827</v>
      </c>
      <c r="AK325" s="149">
        <v>0.362817411613303</v>
      </c>
      <c r="AL325" s="149">
        <v>2.0207715376004052E-2</v>
      </c>
      <c r="AM325" s="149">
        <v>2.1861394081712809E-2</v>
      </c>
      <c r="AN325" s="149">
        <v>-7.1848951650953161E-3</v>
      </c>
      <c r="AO325">
        <f t="shared" si="30"/>
        <v>1</v>
      </c>
      <c r="AP325" s="149">
        <v>3.9426699025159545E-4</v>
      </c>
      <c r="AQ325" s="149">
        <v>1.813207144823038E-2</v>
      </c>
      <c r="AR325" s="149">
        <v>0.69245540493058455</v>
      </c>
      <c r="AS325" s="208">
        <v>2621.1323936916287</v>
      </c>
      <c r="AT325" s="149">
        <f t="shared" si="33"/>
        <v>4.7399999999999998E-2</v>
      </c>
      <c r="AU325" s="149">
        <v>0.23699999999999999</v>
      </c>
      <c r="AV325">
        <v>8.5</v>
      </c>
    </row>
    <row r="326" spans="1:48" x14ac:dyDescent="0.25">
      <c r="A326" t="s">
        <v>396</v>
      </c>
      <c r="B326" s="101">
        <v>52</v>
      </c>
      <c r="C326" s="101">
        <v>3650</v>
      </c>
      <c r="D326" s="101">
        <v>31061</v>
      </c>
      <c r="E326" s="101">
        <v>4790</v>
      </c>
      <c r="F326" s="101">
        <v>750</v>
      </c>
      <c r="G326" s="101">
        <v>2654</v>
      </c>
      <c r="H326" s="101">
        <v>396</v>
      </c>
      <c r="I326" s="101">
        <v>-1001</v>
      </c>
      <c r="J326" s="101">
        <v>4</v>
      </c>
      <c r="K326" s="101">
        <v>16672</v>
      </c>
      <c r="L326" s="101">
        <v>1027</v>
      </c>
      <c r="M326" s="101">
        <v>2664</v>
      </c>
      <c r="N326" s="101">
        <v>30184</v>
      </c>
      <c r="O326" s="101">
        <v>16068</v>
      </c>
      <c r="P326" s="101">
        <v>5938</v>
      </c>
      <c r="Q326" s="101">
        <v>300</v>
      </c>
      <c r="R326" s="101">
        <v>0</v>
      </c>
      <c r="S326" s="101">
        <v>4089</v>
      </c>
      <c r="T326" s="101">
        <v>6140</v>
      </c>
      <c r="U326" s="101">
        <v>-7696</v>
      </c>
      <c r="V326" s="101">
        <v>38593</v>
      </c>
      <c r="W326" s="101">
        <v>69887</v>
      </c>
      <c r="X326" s="101">
        <v>65632</v>
      </c>
      <c r="Y326" s="101">
        <v>4255</v>
      </c>
      <c r="Z326" s="101">
        <v>-942</v>
      </c>
      <c r="AA326" s="101">
        <v>1912936.0499999998</v>
      </c>
      <c r="AB326" s="101">
        <v>53593</v>
      </c>
      <c r="AC326" s="101">
        <v>39621.06</v>
      </c>
      <c r="AD326" s="101">
        <v>22208</v>
      </c>
      <c r="AE326" t="s">
        <v>396</v>
      </c>
      <c r="AF326" s="149">
        <v>6.7680684533604249E-2</v>
      </c>
      <c r="AG326" s="149">
        <v>-0.11012062329188547</v>
      </c>
      <c r="AH326" s="149">
        <f t="shared" si="31"/>
        <v>4.8707198763718575E-2</v>
      </c>
      <c r="AI326" s="149">
        <f t="shared" si="32"/>
        <v>-1.426588635940876E-2</v>
      </c>
      <c r="AJ326" s="149">
        <v>-9.4289638988653113E-2</v>
      </c>
      <c r="AK326" s="149">
        <v>0.48125767311341061</v>
      </c>
      <c r="AL326" s="149">
        <v>6.0883998454648217E-2</v>
      </c>
      <c r="AM326" s="149">
        <v>7.7242416317991627E-2</v>
      </c>
      <c r="AN326" s="149">
        <v>4.9220203176420091E-2</v>
      </c>
      <c r="AO326">
        <f t="shared" si="30"/>
        <v>0</v>
      </c>
      <c r="AP326" s="149">
        <v>-1.3700688253895574E-2</v>
      </c>
      <c r="AQ326" s="149">
        <v>2.7371843833617123E-2</v>
      </c>
      <c r="AR326" s="149">
        <v>0.76685220427261147</v>
      </c>
      <c r="AS326" s="208">
        <v>1784.0895172910664</v>
      </c>
      <c r="AT326" s="149">
        <f t="shared" si="33"/>
        <v>5.1700000000000003E-2</v>
      </c>
      <c r="AU326" s="149">
        <v>0.25850000000000001</v>
      </c>
      <c r="AV326">
        <v>8.5</v>
      </c>
    </row>
    <row r="327" spans="1:48" x14ac:dyDescent="0.25">
      <c r="A327" t="s">
        <v>233</v>
      </c>
      <c r="B327" s="101">
        <v>41</v>
      </c>
      <c r="C327" s="101">
        <v>19310</v>
      </c>
      <c r="D327" s="101">
        <v>259981</v>
      </c>
      <c r="E327" s="101">
        <v>352</v>
      </c>
      <c r="F327" s="101">
        <v>0</v>
      </c>
      <c r="G327" s="101">
        <v>698</v>
      </c>
      <c r="H327" s="101">
        <v>0</v>
      </c>
      <c r="I327" s="101">
        <v>5064</v>
      </c>
      <c r="J327" s="101">
        <v>0</v>
      </c>
      <c r="K327" s="101">
        <v>13971</v>
      </c>
      <c r="L327" s="101">
        <v>21719</v>
      </c>
      <c r="M327" s="101">
        <v>8898</v>
      </c>
      <c r="N327" s="101">
        <v>84466</v>
      </c>
      <c r="O327" s="101">
        <v>12223</v>
      </c>
      <c r="P327" s="101">
        <v>193840</v>
      </c>
      <c r="Q327" s="101">
        <v>1942</v>
      </c>
      <c r="R327" s="101">
        <v>0</v>
      </c>
      <c r="S327" s="101">
        <v>10465</v>
      </c>
      <c r="T327" s="101">
        <v>27098</v>
      </c>
      <c r="U327" s="101">
        <v>188059</v>
      </c>
      <c r="V327" s="101">
        <v>249264</v>
      </c>
      <c r="W327" s="101">
        <v>183593</v>
      </c>
      <c r="X327" s="101">
        <v>175750</v>
      </c>
      <c r="Y327" s="101">
        <v>7843</v>
      </c>
      <c r="Z327" s="101">
        <v>3610</v>
      </c>
      <c r="AA327" s="101">
        <v>3608480.1867333017</v>
      </c>
      <c r="AB327" s="101">
        <v>117991</v>
      </c>
      <c r="AC327" s="101">
        <v>112175.023</v>
      </c>
      <c r="AD327" s="101">
        <v>53724</v>
      </c>
      <c r="AE327" t="s">
        <v>233</v>
      </c>
      <c r="AF327" s="149">
        <v>5.0110843005996962E-4</v>
      </c>
      <c r="AG327" s="149">
        <v>1.0243255461809546</v>
      </c>
      <c r="AH327" s="149">
        <f t="shared" si="31"/>
        <v>3.8018878715419431E-3</v>
      </c>
      <c r="AI327" s="149">
        <f t="shared" si="32"/>
        <v>2.7582750976344415E-2</v>
      </c>
      <c r="AJ327" s="149">
        <v>1.0054738470420985</v>
      </c>
      <c r="AK327" s="149">
        <v>0.25593120708775458</v>
      </c>
      <c r="AL327" s="149">
        <v>4.2719493662612407E-2</v>
      </c>
      <c r="AM327" s="149">
        <v>7.982422987753629E-2</v>
      </c>
      <c r="AN327" s="149">
        <v>2.4397717523049478E-2</v>
      </c>
      <c r="AO327">
        <f t="shared" si="30"/>
        <v>0</v>
      </c>
      <c r="AP327" s="149">
        <v>4.0943826834356427E-2</v>
      </c>
      <c r="AQ327" s="149">
        <v>1.9654780883439464E-2</v>
      </c>
      <c r="AR327" s="149">
        <v>0.6426770083826725</v>
      </c>
      <c r="AS327" s="208">
        <v>2087.9871751917208</v>
      </c>
      <c r="AT327" s="149">
        <f t="shared" si="33"/>
        <v>3.5400000000000001E-2</v>
      </c>
      <c r="AU327" s="149">
        <v>0.17699999999999999</v>
      </c>
      <c r="AV327">
        <v>9</v>
      </c>
    </row>
    <row r="328" spans="1:48" x14ac:dyDescent="0.25">
      <c r="A328" t="s">
        <v>278</v>
      </c>
      <c r="B328" s="101">
        <v>0</v>
      </c>
      <c r="C328" s="101">
        <v>814</v>
      </c>
      <c r="D328" s="101">
        <v>31796</v>
      </c>
      <c r="E328" s="101">
        <v>803</v>
      </c>
      <c r="F328" s="101">
        <v>2300</v>
      </c>
      <c r="G328" s="101">
        <v>1373</v>
      </c>
      <c r="H328" s="101">
        <v>0</v>
      </c>
      <c r="I328" s="101">
        <v>0</v>
      </c>
      <c r="J328" s="101">
        <v>0</v>
      </c>
      <c r="K328" s="101">
        <v>4439</v>
      </c>
      <c r="L328" s="101">
        <v>12605</v>
      </c>
      <c r="M328" s="101">
        <v>2105</v>
      </c>
      <c r="N328" s="101">
        <v>23024</v>
      </c>
      <c r="O328" s="101">
        <v>6796</v>
      </c>
      <c r="P328" s="101">
        <v>16131</v>
      </c>
      <c r="Q328" s="101">
        <v>6</v>
      </c>
      <c r="R328" s="101">
        <v>0</v>
      </c>
      <c r="S328" s="101">
        <v>4861</v>
      </c>
      <c r="T328" s="101">
        <v>5416</v>
      </c>
      <c r="U328" s="101">
        <v>3592</v>
      </c>
      <c r="V328" s="101">
        <v>31425</v>
      </c>
      <c r="W328" s="101">
        <v>52703</v>
      </c>
      <c r="X328" s="101">
        <v>48452</v>
      </c>
      <c r="Y328" s="101">
        <v>4251</v>
      </c>
      <c r="Z328" s="101">
        <v>1337</v>
      </c>
      <c r="AA328" s="101">
        <v>2349498.182926829</v>
      </c>
      <c r="AB328" s="101">
        <v>42550</v>
      </c>
      <c r="AC328" s="101">
        <v>26790.488000000001</v>
      </c>
      <c r="AD328" s="101">
        <v>16552</v>
      </c>
      <c r="AE328" t="s">
        <v>278</v>
      </c>
      <c r="AF328" s="149">
        <v>5.2160218583382351E-2</v>
      </c>
      <c r="AG328" s="149">
        <v>6.8155512968901197E-2</v>
      </c>
      <c r="AH328" s="149">
        <f t="shared" si="31"/>
        <v>6.9692427376050706E-2</v>
      </c>
      <c r="AI328" s="149">
        <f t="shared" si="32"/>
        <v>0</v>
      </c>
      <c r="AJ328" s="149">
        <v>7.6518604254027275E-2</v>
      </c>
      <c r="AK328" s="149">
        <v>0.40943201621794645</v>
      </c>
      <c r="AL328" s="149">
        <v>8.0659544997438479E-2</v>
      </c>
      <c r="AM328" s="149">
        <v>-5.5520074935070461E-2</v>
      </c>
      <c r="AN328" s="149">
        <v>9.7234280044648392E-3</v>
      </c>
      <c r="AO328">
        <f t="shared" si="30"/>
        <v>1</v>
      </c>
      <c r="AP328" s="149">
        <v>5.6211221372597384E-3</v>
      </c>
      <c r="AQ328" s="149">
        <v>4.4579970455701362E-2</v>
      </c>
      <c r="AR328" s="149">
        <v>0.80735442005198943</v>
      </c>
      <c r="AS328" s="208">
        <v>1618.5650072498793</v>
      </c>
      <c r="AT328" s="149">
        <f t="shared" si="33"/>
        <v>4.3400000000000001E-2</v>
      </c>
      <c r="AU328" s="149">
        <v>0.217</v>
      </c>
      <c r="AV328">
        <v>7.5</v>
      </c>
    </row>
    <row r="329" spans="1:48" x14ac:dyDescent="0.25">
      <c r="A329" t="s">
        <v>234</v>
      </c>
      <c r="B329" s="101">
        <v>0</v>
      </c>
      <c r="C329" s="101">
        <v>3136</v>
      </c>
      <c r="D329" s="101">
        <v>19721</v>
      </c>
      <c r="E329" s="101">
        <v>327</v>
      </c>
      <c r="F329" s="101">
        <v>0</v>
      </c>
      <c r="G329" s="101">
        <v>400</v>
      </c>
      <c r="H329" s="101">
        <v>1300</v>
      </c>
      <c r="I329" s="101">
        <v>-1204</v>
      </c>
      <c r="J329" s="101">
        <v>0</v>
      </c>
      <c r="K329" s="101">
        <v>4497</v>
      </c>
      <c r="L329" s="101">
        <v>13551</v>
      </c>
      <c r="M329" s="101">
        <v>2500</v>
      </c>
      <c r="N329" s="101">
        <v>20826</v>
      </c>
      <c r="O329" s="101">
        <v>8552</v>
      </c>
      <c r="P329" s="101">
        <v>4200</v>
      </c>
      <c r="Q329" s="101">
        <v>5</v>
      </c>
      <c r="R329" s="101">
        <v>0</v>
      </c>
      <c r="S329" s="101">
        <v>7279</v>
      </c>
      <c r="T329" s="101">
        <v>3366</v>
      </c>
      <c r="U329" s="101">
        <v>-7398</v>
      </c>
      <c r="V329" s="101">
        <v>22457</v>
      </c>
      <c r="W329" s="101">
        <v>54661</v>
      </c>
      <c r="X329" s="101">
        <v>48529</v>
      </c>
      <c r="Y329" s="101">
        <v>6132</v>
      </c>
      <c r="Z329" s="101">
        <v>-2285</v>
      </c>
      <c r="AA329" s="101">
        <v>2185623.9501915704</v>
      </c>
      <c r="AB329" s="101">
        <v>31558</v>
      </c>
      <c r="AC329" s="101">
        <v>22424.457999999999</v>
      </c>
      <c r="AD329" s="101">
        <v>14637</v>
      </c>
      <c r="AE329" t="s">
        <v>234</v>
      </c>
      <c r="AF329" s="149">
        <v>0.14611880499807908</v>
      </c>
      <c r="AG329" s="149">
        <v>-0.13534329778086754</v>
      </c>
      <c r="AH329" s="149">
        <f t="shared" si="31"/>
        <v>7.3178317264594502E-3</v>
      </c>
      <c r="AI329" s="149">
        <f t="shared" si="32"/>
        <v>-2.2026673496642946E-2</v>
      </c>
      <c r="AJ329" s="149">
        <v>-0.11904648652604234</v>
      </c>
      <c r="AK329" s="149">
        <v>0.47087817672062948</v>
      </c>
      <c r="AL329" s="149">
        <v>0.11218236036662337</v>
      </c>
      <c r="AM329" s="149">
        <v>0.10577515345893247</v>
      </c>
      <c r="AN329" s="149">
        <v>3.7945888388751757E-2</v>
      </c>
      <c r="AO329">
        <f t="shared" si="30"/>
        <v>0</v>
      </c>
      <c r="AP329" s="149">
        <v>1.8294579316148626E-3</v>
      </c>
      <c r="AQ329" s="149">
        <v>3.9991655386656853E-2</v>
      </c>
      <c r="AR329" s="149">
        <v>0.57743540950010974</v>
      </c>
      <c r="AS329" s="208">
        <v>1532.0392156862745</v>
      </c>
      <c r="AT329" s="149">
        <f t="shared" si="33"/>
        <v>5.1200000000000002E-2</v>
      </c>
      <c r="AU329" s="149">
        <v>0.25600000000000001</v>
      </c>
      <c r="AV329">
        <v>8.5</v>
      </c>
    </row>
    <row r="330" spans="1:48" x14ac:dyDescent="0.25">
      <c r="A330" t="s">
        <v>279</v>
      </c>
      <c r="B330" s="101">
        <v>2780</v>
      </c>
      <c r="C330" s="101">
        <v>185586</v>
      </c>
      <c r="D330" s="101">
        <v>639263</v>
      </c>
      <c r="E330" s="101">
        <v>4602</v>
      </c>
      <c r="F330" s="101">
        <v>14522</v>
      </c>
      <c r="G330" s="101">
        <v>22494</v>
      </c>
      <c r="H330" s="101">
        <v>0</v>
      </c>
      <c r="I330" s="101">
        <v>30936</v>
      </c>
      <c r="J330" s="101">
        <v>550</v>
      </c>
      <c r="K330" s="101">
        <v>100804</v>
      </c>
      <c r="L330" s="101">
        <v>906</v>
      </c>
      <c r="M330" s="101">
        <v>54022</v>
      </c>
      <c r="N330" s="101">
        <v>238276</v>
      </c>
      <c r="O330" s="101">
        <v>44920</v>
      </c>
      <c r="P330" s="101">
        <v>475000</v>
      </c>
      <c r="Q330" s="101">
        <v>485</v>
      </c>
      <c r="R330" s="101">
        <v>52000</v>
      </c>
      <c r="S330" s="101">
        <v>27879</v>
      </c>
      <c r="T330" s="101">
        <v>217904</v>
      </c>
      <c r="U330" s="101">
        <v>580520</v>
      </c>
      <c r="V330" s="101">
        <v>711335</v>
      </c>
      <c r="W330" s="101">
        <v>689680</v>
      </c>
      <c r="X330" s="101">
        <v>674326</v>
      </c>
      <c r="Y330" s="101">
        <v>15354</v>
      </c>
      <c r="Z330" s="101">
        <v>31187</v>
      </c>
      <c r="AA330" s="101">
        <v>18053902.399571121</v>
      </c>
      <c r="AB330" s="101">
        <v>482330</v>
      </c>
      <c r="AC330" s="101">
        <v>414180.30599999998</v>
      </c>
      <c r="AD330" s="101">
        <v>161389</v>
      </c>
      <c r="AE330" t="s">
        <v>279</v>
      </c>
      <c r="AF330" s="149">
        <v>3.856861152998492E-3</v>
      </c>
      <c r="AG330" s="149">
        <v>0.84172369794687396</v>
      </c>
      <c r="AH330" s="149">
        <f t="shared" si="31"/>
        <v>5.3671267834357966E-2</v>
      </c>
      <c r="AI330" s="149">
        <f t="shared" si="32"/>
        <v>4.5653056489966364E-2</v>
      </c>
      <c r="AJ330" s="149">
        <v>0.81620711054402051</v>
      </c>
      <c r="AK330" s="149">
        <v>0.22554105014463341</v>
      </c>
      <c r="AL330" s="149">
        <v>2.2262498550052197E-2</v>
      </c>
      <c r="AM330" s="149">
        <v>8.0052797937254047E-2</v>
      </c>
      <c r="AN330" s="149">
        <v>4.4419233076733199E-2</v>
      </c>
      <c r="AO330">
        <f t="shared" si="30"/>
        <v>0</v>
      </c>
      <c r="AP330" s="149">
        <v>4.2155057417932955E-2</v>
      </c>
      <c r="AQ330" s="149">
        <v>2.6177216099598541E-2</v>
      </c>
      <c r="AR330" s="149">
        <v>0.69935332328036193</v>
      </c>
      <c r="AS330" s="208">
        <v>2566.3478056125264</v>
      </c>
      <c r="AT330" s="149">
        <f t="shared" si="33"/>
        <v>3.9199999999999999E-2</v>
      </c>
      <c r="AU330" s="149">
        <v>0.19600000000000001</v>
      </c>
      <c r="AV330">
        <v>10</v>
      </c>
    </row>
    <row r="331" spans="1:48" x14ac:dyDescent="0.25">
      <c r="A331" t="s">
        <v>209</v>
      </c>
      <c r="B331" s="101">
        <v>192</v>
      </c>
      <c r="C331" s="101">
        <v>16916</v>
      </c>
      <c r="D331" s="101">
        <v>69012</v>
      </c>
      <c r="E331" s="101">
        <v>34</v>
      </c>
      <c r="F331" s="101">
        <v>0</v>
      </c>
      <c r="G331" s="101">
        <v>2691</v>
      </c>
      <c r="H331" s="101">
        <v>0</v>
      </c>
      <c r="I331" s="101">
        <v>6769</v>
      </c>
      <c r="J331" s="101">
        <v>0</v>
      </c>
      <c r="K331" s="101">
        <v>10399</v>
      </c>
      <c r="L331" s="101">
        <v>2364</v>
      </c>
      <c r="M331" s="101">
        <v>3918</v>
      </c>
      <c r="N331" s="101">
        <v>62403</v>
      </c>
      <c r="O331" s="101">
        <v>8649</v>
      </c>
      <c r="P331" s="101">
        <v>19630</v>
      </c>
      <c r="Q331" s="101">
        <v>87</v>
      </c>
      <c r="R331" s="101">
        <v>3000</v>
      </c>
      <c r="S331" s="101">
        <v>6240</v>
      </c>
      <c r="T331" s="101">
        <v>12286</v>
      </c>
      <c r="U331" s="101">
        <v>21871</v>
      </c>
      <c r="V331" s="101">
        <v>60846</v>
      </c>
      <c r="W331" s="101">
        <v>100486</v>
      </c>
      <c r="X331" s="101">
        <v>99454</v>
      </c>
      <c r="Y331" s="101">
        <v>1032</v>
      </c>
      <c r="Z331" s="101">
        <v>4213</v>
      </c>
      <c r="AA331" s="101">
        <v>2026463.4876728803</v>
      </c>
      <c r="AB331" s="101">
        <v>67022</v>
      </c>
      <c r="AC331" s="101">
        <v>68314.453999999998</v>
      </c>
      <c r="AD331" s="101">
        <v>30385</v>
      </c>
      <c r="AE331" t="s">
        <v>209</v>
      </c>
      <c r="AF331" s="149">
        <v>-2.693907609020162E-2</v>
      </c>
      <c r="AG331" s="149">
        <v>0.21765221025814541</v>
      </c>
      <c r="AH331" s="149">
        <f t="shared" si="31"/>
        <v>2.6779849929343392E-2</v>
      </c>
      <c r="AI331" s="149">
        <f t="shared" si="32"/>
        <v>6.7362617678084505E-2</v>
      </c>
      <c r="AJ331" s="149">
        <v>0.17371195987500748</v>
      </c>
      <c r="AK331" s="149">
        <v>0.55570595307003878</v>
      </c>
      <c r="AL331" s="149">
        <v>1.0270087375355771E-2</v>
      </c>
      <c r="AM331" s="149">
        <v>-9.7473836953654039E-2</v>
      </c>
      <c r="AN331" s="149">
        <v>4.6535700879298383E-2</v>
      </c>
      <c r="AO331">
        <f t="shared" si="30"/>
        <v>1</v>
      </c>
      <c r="AP331" s="149">
        <v>6.2879406086419995E-2</v>
      </c>
      <c r="AQ331" s="149">
        <v>2.0166625078845615E-2</v>
      </c>
      <c r="AR331" s="149">
        <v>0.66697848456501407</v>
      </c>
      <c r="AS331" s="208">
        <v>2248.2953430969228</v>
      </c>
      <c r="AT331" s="149">
        <f t="shared" si="33"/>
        <v>4.9599999999999998E-2</v>
      </c>
      <c r="AU331" s="149">
        <v>0.248</v>
      </c>
      <c r="AV331">
        <v>9.5</v>
      </c>
    </row>
    <row r="332" spans="1:48" x14ac:dyDescent="0.25">
      <c r="A332" t="s">
        <v>280</v>
      </c>
      <c r="B332" s="101">
        <v>461</v>
      </c>
      <c r="C332" s="101">
        <v>97</v>
      </c>
      <c r="D332" s="101">
        <v>62533</v>
      </c>
      <c r="E332" s="101">
        <v>2303</v>
      </c>
      <c r="F332" s="101">
        <v>0</v>
      </c>
      <c r="G332" s="101">
        <v>1817</v>
      </c>
      <c r="H332" s="101">
        <v>485</v>
      </c>
      <c r="I332" s="101">
        <v>6791</v>
      </c>
      <c r="J332" s="101">
        <v>0</v>
      </c>
      <c r="K332" s="101">
        <v>14050</v>
      </c>
      <c r="L332" s="101">
        <v>9</v>
      </c>
      <c r="M332" s="101">
        <v>7342</v>
      </c>
      <c r="N332" s="101">
        <v>45239</v>
      </c>
      <c r="O332" s="101">
        <v>4652</v>
      </c>
      <c r="P332" s="101">
        <v>34239</v>
      </c>
      <c r="Q332" s="101">
        <v>267</v>
      </c>
      <c r="R332" s="101">
        <v>322</v>
      </c>
      <c r="S332" s="101">
        <v>4352</v>
      </c>
      <c r="T332" s="101">
        <v>6815</v>
      </c>
      <c r="U332" s="101">
        <v>22292</v>
      </c>
      <c r="V332" s="101">
        <v>52397</v>
      </c>
      <c r="W332" s="101">
        <v>81166</v>
      </c>
      <c r="X332" s="101">
        <v>74411</v>
      </c>
      <c r="Y332" s="101">
        <v>6755</v>
      </c>
      <c r="Z332" s="101">
        <v>1037</v>
      </c>
      <c r="AA332" s="101">
        <v>4831932.9299674276</v>
      </c>
      <c r="AB332" s="101">
        <v>46502</v>
      </c>
      <c r="AC332" s="101">
        <v>30369.226999999999</v>
      </c>
      <c r="AD332" s="101">
        <v>17469</v>
      </c>
      <c r="AE332" t="s">
        <v>280</v>
      </c>
      <c r="AF332" s="149">
        <v>0</v>
      </c>
      <c r="AG332" s="149">
        <v>0</v>
      </c>
      <c r="AH332" s="149">
        <f t="shared" si="31"/>
        <v>2.23862208313826E-2</v>
      </c>
      <c r="AI332" s="149">
        <f t="shared" si="32"/>
        <v>8.3668038341177337E-2</v>
      </c>
      <c r="AJ332" s="149">
        <v>-5.5881280339058217E-2</v>
      </c>
      <c r="AK332" s="149">
        <v>0.438</v>
      </c>
      <c r="AL332" s="149">
        <v>0</v>
      </c>
      <c r="AM332" s="149">
        <v>5.669976204151965E-2</v>
      </c>
      <c r="AN332" s="149">
        <v>-2.5208574833874838E-2</v>
      </c>
      <c r="AO332">
        <f t="shared" si="30"/>
        <v>1</v>
      </c>
      <c r="AP332" s="149">
        <v>3.293866890077126E-2</v>
      </c>
      <c r="AQ332" s="149">
        <v>5.9531490155575337E-2</v>
      </c>
      <c r="AR332" s="149">
        <v>0.5729246236108716</v>
      </c>
      <c r="AS332" s="208">
        <v>1738.463964737535</v>
      </c>
      <c r="AT332" s="149">
        <f t="shared" si="33"/>
        <v>1.6500000000000001E-2</v>
      </c>
      <c r="AU332" s="149">
        <v>8.2500000000000004E-2</v>
      </c>
      <c r="AV332">
        <v>9</v>
      </c>
    </row>
    <row r="333" spans="1:48" x14ac:dyDescent="0.25">
      <c r="A333" t="s">
        <v>432</v>
      </c>
      <c r="B333" s="101">
        <v>2167</v>
      </c>
      <c r="C333" s="101">
        <v>5366</v>
      </c>
      <c r="D333" s="101">
        <v>46841</v>
      </c>
      <c r="E333" s="101">
        <v>535</v>
      </c>
      <c r="F333" s="101">
        <v>0</v>
      </c>
      <c r="G333" s="101">
        <v>6224</v>
      </c>
      <c r="H333" s="101">
        <v>213</v>
      </c>
      <c r="I333" s="101">
        <v>39875</v>
      </c>
      <c r="J333" s="101">
        <v>3</v>
      </c>
      <c r="K333" s="101">
        <v>41393</v>
      </c>
      <c r="L333" s="101">
        <v>445</v>
      </c>
      <c r="M333" s="101">
        <v>0</v>
      </c>
      <c r="N333" s="101">
        <v>118578</v>
      </c>
      <c r="O333" s="101">
        <v>12655</v>
      </c>
      <c r="P333" s="101">
        <v>6000</v>
      </c>
      <c r="Q333" s="101">
        <v>133</v>
      </c>
      <c r="R333" s="101">
        <v>0</v>
      </c>
      <c r="S333" s="101">
        <v>2976</v>
      </c>
      <c r="T333" s="101">
        <v>2719</v>
      </c>
      <c r="U333" s="101">
        <v>-36447</v>
      </c>
      <c r="V333" s="101">
        <v>30496</v>
      </c>
      <c r="W333" s="101">
        <v>96436</v>
      </c>
      <c r="X333" s="101">
        <v>83082</v>
      </c>
      <c r="Y333" s="101">
        <v>13354</v>
      </c>
      <c r="Z333" s="101">
        <v>4626</v>
      </c>
      <c r="AA333" s="101">
        <v>175009</v>
      </c>
      <c r="AB333" s="101">
        <v>49883</v>
      </c>
      <c r="AC333" s="101">
        <v>54830.586000000003</v>
      </c>
      <c r="AD333" s="101">
        <v>23899</v>
      </c>
      <c r="AE333" t="s">
        <v>432</v>
      </c>
      <c r="AF333" s="149">
        <v>3.9839893815587543E-2</v>
      </c>
      <c r="AG333" s="149">
        <v>-0.37793977352855779</v>
      </c>
      <c r="AH333" s="149">
        <f t="shared" si="31"/>
        <v>6.4540213198390636E-2</v>
      </c>
      <c r="AI333" s="149">
        <f t="shared" si="32"/>
        <v>0.41351777344560126</v>
      </c>
      <c r="AJ333" s="149">
        <v>-0.65965738935667173</v>
      </c>
      <c r="AK333" s="149">
        <v>0.82886321219619608</v>
      </c>
      <c r="AL333" s="149">
        <v>0.13847525820233109</v>
      </c>
      <c r="AM333" s="149">
        <v>4.6451497860199711E-2</v>
      </c>
      <c r="AN333" s="149">
        <v>8.2937142267828598E-2</v>
      </c>
      <c r="AO333">
        <f t="shared" si="30"/>
        <v>0</v>
      </c>
      <c r="AP333" s="149">
        <v>6.1901157244182672E-2</v>
      </c>
      <c r="AQ333" s="149">
        <v>1.8147683437720354E-3</v>
      </c>
      <c r="AR333" s="149">
        <v>0.51726533659629181</v>
      </c>
      <c r="AS333" s="208">
        <v>2294.2627725009415</v>
      </c>
      <c r="AT333" s="149">
        <f t="shared" si="33"/>
        <v>3.3500000000000002E-2</v>
      </c>
      <c r="AU333" s="149">
        <v>0.16750000000000001</v>
      </c>
      <c r="AV333">
        <v>8.5</v>
      </c>
    </row>
    <row r="334" spans="1:48" x14ac:dyDescent="0.25">
      <c r="A334" t="s">
        <v>235</v>
      </c>
      <c r="B334" s="101">
        <v>567</v>
      </c>
      <c r="C334" s="101">
        <v>32479</v>
      </c>
      <c r="D334" s="101">
        <v>149016</v>
      </c>
      <c r="E334" s="101">
        <v>915</v>
      </c>
      <c r="F334" s="101">
        <v>0</v>
      </c>
      <c r="G334" s="101">
        <v>4617</v>
      </c>
      <c r="H334" s="101">
        <v>0</v>
      </c>
      <c r="I334" s="101">
        <v>1212</v>
      </c>
      <c r="J334" s="101">
        <v>0</v>
      </c>
      <c r="K334" s="101">
        <v>59545</v>
      </c>
      <c r="L334" s="101">
        <v>526</v>
      </c>
      <c r="M334" s="101">
        <v>10823</v>
      </c>
      <c r="N334" s="101">
        <v>170944</v>
      </c>
      <c r="O334" s="101">
        <v>19488</v>
      </c>
      <c r="P334" s="101">
        <v>31050</v>
      </c>
      <c r="Q334" s="101">
        <v>37</v>
      </c>
      <c r="R334" s="101">
        <v>0</v>
      </c>
      <c r="S334" s="101">
        <v>26443</v>
      </c>
      <c r="T334" s="101">
        <v>11739</v>
      </c>
      <c r="U334" s="101">
        <v>-6242</v>
      </c>
      <c r="V334" s="101">
        <v>158383</v>
      </c>
      <c r="W334" s="101">
        <v>223629</v>
      </c>
      <c r="X334" s="101">
        <v>212463</v>
      </c>
      <c r="Y334" s="101">
        <v>11166</v>
      </c>
      <c r="Z334" s="101">
        <v>5004</v>
      </c>
      <c r="AA334" s="101">
        <v>16791244.567731634</v>
      </c>
      <c r="AB334" s="101">
        <v>168806</v>
      </c>
      <c r="AC334" s="101">
        <v>132555.92600000001</v>
      </c>
      <c r="AD334" s="101">
        <v>66641</v>
      </c>
      <c r="AE334" t="s">
        <v>235</v>
      </c>
      <c r="AF334" s="149">
        <v>2.9343242602703584E-2</v>
      </c>
      <c r="AG334" s="149">
        <v>-2.791230117739649E-2</v>
      </c>
      <c r="AH334" s="149">
        <f t="shared" si="31"/>
        <v>2.0645801752008908E-2</v>
      </c>
      <c r="AI334" s="149">
        <f t="shared" si="32"/>
        <v>5.4196906483506167E-3</v>
      </c>
      <c r="AJ334" s="149">
        <v>-2.9228588421000852E-2</v>
      </c>
      <c r="AK334" s="149">
        <v>0.65823389205278382</v>
      </c>
      <c r="AL334" s="149">
        <v>4.9930912359309389E-2</v>
      </c>
      <c r="AM334" s="149">
        <v>9.3521027324072664E-2</v>
      </c>
      <c r="AN334" s="149">
        <v>3.0995666555552706E-2</v>
      </c>
      <c r="AO334">
        <f t="shared" si="30"/>
        <v>0</v>
      </c>
      <c r="AP334" s="149">
        <v>2.6471298445192706E-2</v>
      </c>
      <c r="AQ334" s="149">
        <v>7.508762361364997E-2</v>
      </c>
      <c r="AR334" s="149">
        <v>0.75487206088846359</v>
      </c>
      <c r="AS334" s="208">
        <v>1989.1046953076934</v>
      </c>
      <c r="AT334" s="149">
        <f t="shared" si="33"/>
        <v>4.3900000000000002E-2</v>
      </c>
      <c r="AU334" s="149">
        <v>0.2195</v>
      </c>
      <c r="AV334">
        <v>9.5</v>
      </c>
    </row>
    <row r="335" spans="1:48" x14ac:dyDescent="0.25">
      <c r="A335" t="s">
        <v>210</v>
      </c>
      <c r="B335" s="101">
        <v>700</v>
      </c>
      <c r="C335" s="101">
        <v>9290</v>
      </c>
      <c r="D335" s="101">
        <v>130753</v>
      </c>
      <c r="E335" s="101">
        <v>35</v>
      </c>
      <c r="F335" s="101">
        <v>7473</v>
      </c>
      <c r="G335" s="101">
        <v>9973</v>
      </c>
      <c r="H335" s="101">
        <v>0</v>
      </c>
      <c r="I335" s="101">
        <v>16691</v>
      </c>
      <c r="J335" s="101">
        <v>289</v>
      </c>
      <c r="K335" s="101">
        <v>37578</v>
      </c>
      <c r="L335" s="101">
        <v>-295</v>
      </c>
      <c r="M335" s="101">
        <v>8111</v>
      </c>
      <c r="N335" s="101">
        <v>67484</v>
      </c>
      <c r="O335" s="101">
        <v>14253</v>
      </c>
      <c r="P335" s="101">
        <v>108398</v>
      </c>
      <c r="Q335" s="101">
        <v>17</v>
      </c>
      <c r="R335" s="101">
        <v>0</v>
      </c>
      <c r="S335" s="101">
        <v>5907</v>
      </c>
      <c r="T335" s="101">
        <v>24541</v>
      </c>
      <c r="U335" s="101">
        <v>76023</v>
      </c>
      <c r="V335" s="101">
        <v>151319</v>
      </c>
      <c r="W335" s="101">
        <v>166912</v>
      </c>
      <c r="X335" s="101">
        <v>167812</v>
      </c>
      <c r="Y335" s="101">
        <v>-900</v>
      </c>
      <c r="Z335" s="101">
        <v>5689</v>
      </c>
      <c r="AA335" s="101">
        <v>-132414.2093023248</v>
      </c>
      <c r="AB335" s="101">
        <v>114482</v>
      </c>
      <c r="AC335" s="101">
        <v>114177.30899999999</v>
      </c>
      <c r="AD335" s="101">
        <v>45041</v>
      </c>
      <c r="AE335" t="s">
        <v>210</v>
      </c>
      <c r="AF335" s="149">
        <v>1.98967120398773E-2</v>
      </c>
      <c r="AG335" s="149">
        <v>0.45546755176380366</v>
      </c>
      <c r="AH335" s="149">
        <f t="shared" si="31"/>
        <v>0.10452214340490798</v>
      </c>
      <c r="AI335" s="149">
        <f t="shared" si="32"/>
        <v>0.10173025306748466</v>
      </c>
      <c r="AJ335" s="149">
        <v>0.3967990318251533</v>
      </c>
      <c r="AK335" s="149">
        <v>0.30591115140525837</v>
      </c>
      <c r="AL335" s="149">
        <v>-5.3920628834355829E-3</v>
      </c>
      <c r="AM335" s="149">
        <v>4.4195110428723282E-2</v>
      </c>
      <c r="AN335" s="149">
        <v>4.1860050644943303E-2</v>
      </c>
      <c r="AO335">
        <f t="shared" si="30"/>
        <v>1</v>
      </c>
      <c r="AP335" s="149">
        <v>-1.5840682515337424E-2</v>
      </c>
      <c r="AQ335" s="149">
        <v>-7.933174924650403E-4</v>
      </c>
      <c r="AR335" s="149">
        <v>0.68588238113496935</v>
      </c>
      <c r="AS335" s="208">
        <v>2534.9638995581804</v>
      </c>
      <c r="AT335" s="149">
        <f t="shared" si="33"/>
        <v>5.6699999999999993E-2</v>
      </c>
      <c r="AU335" s="149">
        <v>0.28349999999999997</v>
      </c>
      <c r="AV335">
        <v>6</v>
      </c>
    </row>
    <row r="336" spans="1:48" x14ac:dyDescent="0.25">
      <c r="A336" t="s">
        <v>324</v>
      </c>
      <c r="B336" s="101">
        <v>1048</v>
      </c>
      <c r="C336" s="101">
        <v>51855</v>
      </c>
      <c r="D336" s="101">
        <v>343787</v>
      </c>
      <c r="E336" s="101">
        <v>9008</v>
      </c>
      <c r="F336" s="101">
        <v>0</v>
      </c>
      <c r="G336" s="101">
        <v>2410</v>
      </c>
      <c r="H336" s="101">
        <v>0</v>
      </c>
      <c r="I336" s="101">
        <v>2769</v>
      </c>
      <c r="J336" s="101">
        <v>117</v>
      </c>
      <c r="K336" s="101">
        <v>18851</v>
      </c>
      <c r="L336" s="101">
        <v>136095</v>
      </c>
      <c r="M336" s="101">
        <v>40687</v>
      </c>
      <c r="N336" s="101">
        <v>374726</v>
      </c>
      <c r="O336" s="101">
        <v>54565</v>
      </c>
      <c r="P336" s="101">
        <v>62100</v>
      </c>
      <c r="Q336" s="101">
        <v>16</v>
      </c>
      <c r="R336" s="101">
        <v>1</v>
      </c>
      <c r="S336" s="101">
        <v>29489</v>
      </c>
      <c r="T336" s="101">
        <v>85730</v>
      </c>
      <c r="U336" s="101">
        <v>-20707</v>
      </c>
      <c r="V336" s="101">
        <v>352808</v>
      </c>
      <c r="W336" s="101">
        <v>482328</v>
      </c>
      <c r="X336" s="101">
        <v>486094</v>
      </c>
      <c r="Y336" s="101">
        <v>-3766</v>
      </c>
      <c r="Z336" s="101">
        <v>19981</v>
      </c>
      <c r="AA336" s="101">
        <v>-1250403.1365248188</v>
      </c>
      <c r="AB336" s="101">
        <v>351684</v>
      </c>
      <c r="AC336" s="101">
        <v>334701.85100000002</v>
      </c>
      <c r="AD336" s="101">
        <v>128434</v>
      </c>
      <c r="AE336" t="s">
        <v>324</v>
      </c>
      <c r="AF336" s="149">
        <v>-5.4106334278748072E-2</v>
      </c>
      <c r="AG336" s="149">
        <v>-4.2931366207228275E-2</v>
      </c>
      <c r="AH336" s="149">
        <f t="shared" si="31"/>
        <v>4.9965998241860311E-3</v>
      </c>
      <c r="AI336" s="149">
        <f t="shared" si="32"/>
        <v>5.9834801214111557E-3</v>
      </c>
      <c r="AJ336" s="149">
        <v>-4.6520210313313763E-2</v>
      </c>
      <c r="AK336" s="149">
        <v>0.61772060920466776</v>
      </c>
      <c r="AL336" s="149">
        <v>-7.8079647045164284E-3</v>
      </c>
      <c r="AM336" s="149">
        <v>5.7166774442151139E-2</v>
      </c>
      <c r="AN336" s="149">
        <v>2.8068005881379202E-2</v>
      </c>
      <c r="AO336">
        <f t="shared" si="30"/>
        <v>1</v>
      </c>
      <c r="AP336" s="149">
        <v>2.2744895589723178E-2</v>
      </c>
      <c r="AQ336" s="149">
        <v>-2.5924332332454654E-3</v>
      </c>
      <c r="AR336" s="149">
        <v>0.72913867741453953</v>
      </c>
      <c r="AS336" s="208">
        <v>2606.0221670274227</v>
      </c>
      <c r="AT336" s="149">
        <f t="shared" si="33"/>
        <v>5.8200000000000009E-2</v>
      </c>
      <c r="AU336" s="149">
        <v>0.29100000000000004</v>
      </c>
      <c r="AV336">
        <v>7</v>
      </c>
    </row>
    <row r="337" spans="1:48" x14ac:dyDescent="0.25">
      <c r="A337" t="s">
        <v>325</v>
      </c>
      <c r="B337" s="101">
        <v>2137</v>
      </c>
      <c r="C337" s="101">
        <v>1675</v>
      </c>
      <c r="D337" s="101">
        <v>33415</v>
      </c>
      <c r="E337" s="101">
        <v>853</v>
      </c>
      <c r="F337" s="101">
        <v>949</v>
      </c>
      <c r="G337" s="101">
        <v>566</v>
      </c>
      <c r="H337" s="101">
        <v>7089</v>
      </c>
      <c r="I337" s="101">
        <v>-20</v>
      </c>
      <c r="J337" s="101">
        <v>0</v>
      </c>
      <c r="K337" s="101">
        <v>5366</v>
      </c>
      <c r="L337" s="101">
        <v>10</v>
      </c>
      <c r="M337" s="101">
        <v>1233</v>
      </c>
      <c r="N337" s="101">
        <v>25970</v>
      </c>
      <c r="O337" s="101">
        <v>2507</v>
      </c>
      <c r="P337" s="101">
        <v>18586</v>
      </c>
      <c r="Q337" s="101">
        <v>24</v>
      </c>
      <c r="R337" s="101">
        <v>113</v>
      </c>
      <c r="S337" s="101">
        <v>2674</v>
      </c>
      <c r="T337" s="101">
        <v>3405</v>
      </c>
      <c r="U337" s="101">
        <v>9589</v>
      </c>
      <c r="V337" s="101">
        <v>34115</v>
      </c>
      <c r="W337" s="101">
        <v>28479</v>
      </c>
      <c r="X337" s="101">
        <v>29172</v>
      </c>
      <c r="Y337" s="101">
        <v>-693</v>
      </c>
      <c r="Z337" s="101">
        <v>3440</v>
      </c>
      <c r="AA337" s="101">
        <v>-538990</v>
      </c>
      <c r="AB337" s="101">
        <v>18943</v>
      </c>
      <c r="AC337" s="101">
        <v>20957.04</v>
      </c>
      <c r="AD337" s="101">
        <v>9732</v>
      </c>
      <c r="AE337" t="s">
        <v>325</v>
      </c>
      <c r="AF337" s="149">
        <v>-0.13255381158046281</v>
      </c>
      <c r="AG337" s="149">
        <v>0.33670423821061135</v>
      </c>
      <c r="AH337" s="149">
        <f t="shared" si="31"/>
        <v>5.3197092594543346E-2</v>
      </c>
      <c r="AI337" s="149">
        <f t="shared" si="32"/>
        <v>-7.0227184943291547E-4</v>
      </c>
      <c r="AJ337" s="149">
        <v>0.3435794796165596</v>
      </c>
      <c r="AK337" s="149">
        <v>0.48743407346233975</v>
      </c>
      <c r="AL337" s="149">
        <v>-2.4333719582850522E-2</v>
      </c>
      <c r="AM337" s="149">
        <v>-0.13992749870533402</v>
      </c>
      <c r="AN337" s="149">
        <v>-1.4007579698298283E-2</v>
      </c>
      <c r="AO337">
        <f t="shared" si="30"/>
        <v>3</v>
      </c>
      <c r="AP337" s="149">
        <v>2.7318374942940413E-2</v>
      </c>
      <c r="AQ337" s="149">
        <v>-1.8925875206292356E-2</v>
      </c>
      <c r="AR337" s="149">
        <v>0.66515678219038588</v>
      </c>
      <c r="AS337" s="208">
        <v>2153.4155363748459</v>
      </c>
      <c r="AT337" s="149">
        <f t="shared" si="33"/>
        <v>5.91E-2</v>
      </c>
      <c r="AU337" s="149">
        <v>0.29549999999999998</v>
      </c>
      <c r="AV337">
        <v>6</v>
      </c>
    </row>
    <row r="338" spans="1:48" x14ac:dyDescent="0.25">
      <c r="A338" t="s">
        <v>326</v>
      </c>
      <c r="B338" s="101">
        <v>12659</v>
      </c>
      <c r="C338" s="101">
        <v>37380</v>
      </c>
      <c r="D338" s="101">
        <v>151271</v>
      </c>
      <c r="E338" s="101">
        <v>564</v>
      </c>
      <c r="F338" s="101">
        <v>0</v>
      </c>
      <c r="G338" s="101">
        <v>4262</v>
      </c>
      <c r="H338" s="101">
        <v>199</v>
      </c>
      <c r="I338" s="101">
        <v>5643</v>
      </c>
      <c r="J338" s="101">
        <v>529</v>
      </c>
      <c r="K338" s="101">
        <v>24061</v>
      </c>
      <c r="L338" s="101">
        <v>3483</v>
      </c>
      <c r="M338" s="101">
        <v>8012</v>
      </c>
      <c r="N338" s="101">
        <v>64947</v>
      </c>
      <c r="O338" s="101">
        <v>18912</v>
      </c>
      <c r="P338" s="101">
        <v>112008</v>
      </c>
      <c r="Q338" s="101">
        <v>6</v>
      </c>
      <c r="R338" s="101">
        <v>12053</v>
      </c>
      <c r="S338" s="101">
        <v>8891</v>
      </c>
      <c r="T338" s="101">
        <v>31248</v>
      </c>
      <c r="U338" s="101">
        <v>124189</v>
      </c>
      <c r="V338" s="101">
        <v>157270</v>
      </c>
      <c r="W338" s="101">
        <v>152237</v>
      </c>
      <c r="X338" s="101">
        <v>155369</v>
      </c>
      <c r="Y338" s="101">
        <v>-3132</v>
      </c>
      <c r="Z338" s="101">
        <v>17339</v>
      </c>
      <c r="AA338" s="101">
        <v>5243993.294573646</v>
      </c>
      <c r="AB338" s="101">
        <v>93237</v>
      </c>
      <c r="AC338" s="101">
        <v>91455.675000000003</v>
      </c>
      <c r="AD338" s="101">
        <v>47843</v>
      </c>
      <c r="AE338" t="s">
        <v>326</v>
      </c>
      <c r="AF338" s="149">
        <v>-0.13394247127833575</v>
      </c>
      <c r="AG338" s="149">
        <v>0.81576095167403462</v>
      </c>
      <c r="AH338" s="149">
        <f t="shared" si="31"/>
        <v>2.7995822303382226E-2</v>
      </c>
      <c r="AI338" s="149">
        <f t="shared" si="32"/>
        <v>4.054204956745075E-2</v>
      </c>
      <c r="AJ338" s="149">
        <v>0.79074101565322497</v>
      </c>
      <c r="AK338" s="149">
        <v>0.2618144437949731</v>
      </c>
      <c r="AL338" s="149">
        <v>-2.0573185230922837E-2</v>
      </c>
      <c r="AM338" s="149">
        <v>6.4960320725221954E-2</v>
      </c>
      <c r="AN338" s="149">
        <v>4.0486755700372287E-2</v>
      </c>
      <c r="AO338">
        <f t="shared" si="30"/>
        <v>1</v>
      </c>
      <c r="AP338" s="149">
        <v>7.2321446166175113E-2</v>
      </c>
      <c r="AQ338" s="149">
        <v>3.4446246934540528E-2</v>
      </c>
      <c r="AR338" s="149">
        <v>0.61244638294238585</v>
      </c>
      <c r="AS338" s="208">
        <v>1911.5790188742344</v>
      </c>
      <c r="AT338" s="149">
        <f t="shared" si="33"/>
        <v>5.6200000000000007E-2</v>
      </c>
      <c r="AU338" s="149">
        <v>0.28100000000000003</v>
      </c>
      <c r="AV338">
        <v>7</v>
      </c>
    </row>
    <row r="339" spans="1:48" x14ac:dyDescent="0.25">
      <c r="A339" t="s">
        <v>397</v>
      </c>
      <c r="B339" s="101">
        <v>363</v>
      </c>
      <c r="C339" s="101">
        <v>5229</v>
      </c>
      <c r="D339" s="101">
        <v>41670</v>
      </c>
      <c r="E339" s="101">
        <v>512</v>
      </c>
      <c r="F339" s="101">
        <v>390</v>
      </c>
      <c r="G339" s="101">
        <v>1528</v>
      </c>
      <c r="H339" s="101">
        <v>0</v>
      </c>
      <c r="I339" s="101">
        <v>488</v>
      </c>
      <c r="J339" s="101">
        <v>0</v>
      </c>
      <c r="K339" s="101">
        <v>6200</v>
      </c>
      <c r="L339" s="101">
        <v>8218</v>
      </c>
      <c r="M339" s="101">
        <v>2646</v>
      </c>
      <c r="N339" s="101">
        <v>20750</v>
      </c>
      <c r="O339" s="101">
        <v>11665</v>
      </c>
      <c r="P339" s="101">
        <v>24621</v>
      </c>
      <c r="Q339" s="101">
        <v>-5</v>
      </c>
      <c r="R339" s="101">
        <v>0</v>
      </c>
      <c r="S339" s="101">
        <v>4041</v>
      </c>
      <c r="T339" s="101">
        <v>6172</v>
      </c>
      <c r="U339" s="101">
        <v>15847</v>
      </c>
      <c r="V339" s="101">
        <v>41284</v>
      </c>
      <c r="W339" s="101">
        <v>65718</v>
      </c>
      <c r="X339" s="101">
        <v>61319</v>
      </c>
      <c r="Y339" s="101">
        <v>4399</v>
      </c>
      <c r="Z339" s="101">
        <v>5842</v>
      </c>
      <c r="AA339" s="101">
        <v>2833230.8181818184</v>
      </c>
      <c r="AB339" s="101">
        <v>45975</v>
      </c>
      <c r="AC339" s="101">
        <v>41976.565000000002</v>
      </c>
      <c r="AD339" s="101">
        <v>22553</v>
      </c>
      <c r="AE339" t="s">
        <v>397</v>
      </c>
      <c r="AF339" s="149">
        <v>-2.4574697951854896E-2</v>
      </c>
      <c r="AG339" s="149">
        <v>0.24113637055296874</v>
      </c>
      <c r="AH339" s="149">
        <f t="shared" si="31"/>
        <v>2.9185306917435101E-2</v>
      </c>
      <c r="AI339" s="149">
        <f t="shared" si="32"/>
        <v>7.4256672448948539E-3</v>
      </c>
      <c r="AJ339" s="149">
        <v>0.23944064031163456</v>
      </c>
      <c r="AK339" s="149">
        <v>0.30857771697103087</v>
      </c>
      <c r="AL339" s="149">
        <v>6.6937520922730448E-2</v>
      </c>
      <c r="AM339" s="149">
        <v>0.10548757023012391</v>
      </c>
      <c r="AN339" s="149">
        <v>6.6313624865789525E-2</v>
      </c>
      <c r="AO339">
        <f t="shared" si="30"/>
        <v>0</v>
      </c>
      <c r="AP339" s="149">
        <v>2.2741105937490489E-2</v>
      </c>
      <c r="AQ339" s="149">
        <v>4.3115225574571522E-2</v>
      </c>
      <c r="AR339" s="149">
        <v>0.69963325369409401</v>
      </c>
      <c r="AS339" s="208">
        <v>1861.240854875183</v>
      </c>
      <c r="AT339" s="149">
        <f t="shared" si="33"/>
        <v>4.4600000000000001E-2</v>
      </c>
      <c r="AU339" s="149">
        <v>0.223</v>
      </c>
      <c r="AV339">
        <v>10</v>
      </c>
    </row>
    <row r="340" spans="1:48" x14ac:dyDescent="0.25">
      <c r="A340" t="s">
        <v>211</v>
      </c>
      <c r="B340" s="101">
        <v>636</v>
      </c>
      <c r="C340" s="101">
        <v>14979</v>
      </c>
      <c r="D340" s="101">
        <v>157493</v>
      </c>
      <c r="E340" s="101">
        <v>5444</v>
      </c>
      <c r="F340" s="101">
        <v>9057</v>
      </c>
      <c r="G340" s="101">
        <v>2483</v>
      </c>
      <c r="H340" s="101">
        <v>0</v>
      </c>
      <c r="I340" s="101">
        <v>-1600</v>
      </c>
      <c r="J340" s="101">
        <v>1</v>
      </c>
      <c r="K340" s="101">
        <v>15127</v>
      </c>
      <c r="L340" s="101">
        <v>19847</v>
      </c>
      <c r="M340" s="101">
        <v>7864</v>
      </c>
      <c r="N340" s="101">
        <v>78097</v>
      </c>
      <c r="O340" s="101">
        <v>20451</v>
      </c>
      <c r="P340" s="101">
        <v>91094</v>
      </c>
      <c r="Q340" s="101">
        <v>85</v>
      </c>
      <c r="R340" s="101">
        <v>0</v>
      </c>
      <c r="S340" s="101">
        <v>6405</v>
      </c>
      <c r="T340" s="101">
        <v>35185</v>
      </c>
      <c r="U340" s="101">
        <v>78391</v>
      </c>
      <c r="V340" s="101">
        <v>149768</v>
      </c>
      <c r="W340" s="101">
        <v>213771</v>
      </c>
      <c r="X340" s="101">
        <v>210497</v>
      </c>
      <c r="Y340" s="101">
        <v>3274</v>
      </c>
      <c r="Z340" s="101">
        <v>4510</v>
      </c>
      <c r="AA340" s="101">
        <v>1551061.6827330496</v>
      </c>
      <c r="AB340" s="101">
        <v>155151</v>
      </c>
      <c r="AC340" s="101">
        <v>128446.91099999999</v>
      </c>
      <c r="AD340" s="101">
        <v>48752</v>
      </c>
      <c r="AE340" t="s">
        <v>211</v>
      </c>
      <c r="AF340" s="149">
        <v>3.4148691824428947E-4</v>
      </c>
      <c r="AG340" s="149">
        <v>0.36670549326148072</v>
      </c>
      <c r="AH340" s="149">
        <f t="shared" si="31"/>
        <v>5.3983000500535623E-2</v>
      </c>
      <c r="AI340" s="149">
        <f t="shared" si="32"/>
        <v>-7.4799668804468337E-3</v>
      </c>
      <c r="AJ340" s="149">
        <v>0.37841943013785778</v>
      </c>
      <c r="AK340" s="149">
        <v>0.33761893851294977</v>
      </c>
      <c r="AL340" s="149">
        <v>1.53154543881069E-2</v>
      </c>
      <c r="AM340" s="149">
        <v>7.5357396576388957E-2</v>
      </c>
      <c r="AN340" s="149">
        <v>5.2549511316872431E-2</v>
      </c>
      <c r="AO340">
        <f t="shared" si="30"/>
        <v>0</v>
      </c>
      <c r="AP340" s="149">
        <v>2.7295563944594918E-2</v>
      </c>
      <c r="AQ340" s="149">
        <v>7.2557160827850815E-3</v>
      </c>
      <c r="AR340" s="149">
        <v>0.72578132674684592</v>
      </c>
      <c r="AS340" s="208">
        <v>2634.7003404988513</v>
      </c>
      <c r="AT340" s="149">
        <f t="shared" si="33"/>
        <v>4.4299999999999999E-2</v>
      </c>
      <c r="AU340" s="149">
        <v>0.2215</v>
      </c>
      <c r="AV340">
        <v>10</v>
      </c>
    </row>
    <row r="341" spans="1:48" x14ac:dyDescent="0.25">
      <c r="A341" t="s">
        <v>161</v>
      </c>
      <c r="B341" s="101">
        <v>450</v>
      </c>
      <c r="C341" s="101">
        <v>21745</v>
      </c>
      <c r="D341" s="101">
        <v>56774</v>
      </c>
      <c r="E341" s="101">
        <v>269</v>
      </c>
      <c r="F341" s="101">
        <v>865</v>
      </c>
      <c r="G341" s="101">
        <v>3113</v>
      </c>
      <c r="H341" s="101">
        <v>0</v>
      </c>
      <c r="I341" s="101">
        <v>12779</v>
      </c>
      <c r="J341" s="101">
        <v>3</v>
      </c>
      <c r="K341" s="101">
        <v>7340</v>
      </c>
      <c r="L341" s="101">
        <v>6670</v>
      </c>
      <c r="M341" s="101">
        <v>7618</v>
      </c>
      <c r="N341" s="101">
        <v>48974</v>
      </c>
      <c r="O341" s="101">
        <v>3554</v>
      </c>
      <c r="P341" s="101">
        <v>50857</v>
      </c>
      <c r="Q341" s="101">
        <v>3</v>
      </c>
      <c r="R341" s="101">
        <v>0</v>
      </c>
      <c r="S341" s="101">
        <v>8807</v>
      </c>
      <c r="T341" s="101">
        <v>5431</v>
      </c>
      <c r="U341" s="101">
        <v>39492</v>
      </c>
      <c r="V341" s="101">
        <v>68940</v>
      </c>
      <c r="W341" s="101">
        <v>83001</v>
      </c>
      <c r="X341" s="101">
        <v>71216</v>
      </c>
      <c r="Y341" s="101">
        <v>11785</v>
      </c>
      <c r="Z341" s="101">
        <v>2480</v>
      </c>
      <c r="AA341" s="101">
        <v>1659454.8021390382</v>
      </c>
      <c r="AB341" s="101">
        <v>55641</v>
      </c>
      <c r="AC341" s="101">
        <v>39200.868999999999</v>
      </c>
      <c r="AD341" s="101">
        <v>23448</v>
      </c>
      <c r="AE341" t="s">
        <v>161</v>
      </c>
      <c r="AF341" s="149">
        <v>5.3095745834387538E-2</v>
      </c>
      <c r="AG341" s="149">
        <v>0.47580149636751362</v>
      </c>
      <c r="AH341" s="149">
        <f t="shared" si="31"/>
        <v>4.7927133408031231E-2</v>
      </c>
      <c r="AI341" s="149">
        <f t="shared" si="32"/>
        <v>0.15399814460066746</v>
      </c>
      <c r="AJ341" s="149">
        <v>0.37375405115601013</v>
      </c>
      <c r="AK341" s="149">
        <v>0.41635352728138336</v>
      </c>
      <c r="AL341" s="149">
        <v>0.14198624112962493</v>
      </c>
      <c r="AM341" s="149">
        <v>7.0610031226188169E-2</v>
      </c>
      <c r="AN341" s="149">
        <v>4.1540392444975052E-2</v>
      </c>
      <c r="AO341">
        <f t="shared" si="30"/>
        <v>0</v>
      </c>
      <c r="AP341" s="149">
        <v>3.0207467379911087E-2</v>
      </c>
      <c r="AQ341" s="149">
        <v>1.9993190469259868E-2</v>
      </c>
      <c r="AR341" s="149">
        <v>0.67036541728412913</v>
      </c>
      <c r="AS341" s="208">
        <v>1671.8214346639372</v>
      </c>
      <c r="AT341" s="149">
        <f t="shared" si="33"/>
        <v>1.9599999999999999E-2</v>
      </c>
      <c r="AU341" s="149">
        <v>9.8000000000000004E-2</v>
      </c>
      <c r="AV341">
        <v>9</v>
      </c>
    </row>
    <row r="342" spans="1:48" x14ac:dyDescent="0.25">
      <c r="A342" t="s">
        <v>327</v>
      </c>
      <c r="B342" s="101">
        <v>2240</v>
      </c>
      <c r="C342" s="101">
        <v>24141</v>
      </c>
      <c r="D342" s="101">
        <v>220151</v>
      </c>
      <c r="E342" s="101">
        <v>1619</v>
      </c>
      <c r="F342" s="101">
        <v>2140</v>
      </c>
      <c r="G342" s="101">
        <v>4820</v>
      </c>
      <c r="H342" s="101">
        <v>0</v>
      </c>
      <c r="I342" s="101">
        <v>19453</v>
      </c>
      <c r="J342" s="101">
        <v>0</v>
      </c>
      <c r="K342" s="101">
        <v>17612</v>
      </c>
      <c r="L342" s="101">
        <v>852</v>
      </c>
      <c r="M342" s="101">
        <v>4728</v>
      </c>
      <c r="N342" s="101">
        <v>66357</v>
      </c>
      <c r="O342" s="101">
        <v>32215</v>
      </c>
      <c r="P342" s="101">
        <v>153561</v>
      </c>
      <c r="Q342" s="101">
        <v>0</v>
      </c>
      <c r="R342" s="101">
        <v>12000</v>
      </c>
      <c r="S342" s="101">
        <v>6165</v>
      </c>
      <c r="T342" s="101">
        <v>27458</v>
      </c>
      <c r="U342" s="101">
        <v>169032</v>
      </c>
      <c r="V342" s="101">
        <v>187350</v>
      </c>
      <c r="W342" s="101">
        <v>173602</v>
      </c>
      <c r="X342" s="101">
        <v>188195</v>
      </c>
      <c r="Y342" s="101">
        <v>-14593</v>
      </c>
      <c r="Z342" s="101">
        <v>12606</v>
      </c>
      <c r="AA342" s="101">
        <v>2446256.5717344768</v>
      </c>
      <c r="AB342" s="101">
        <v>131982</v>
      </c>
      <c r="AC342" s="101">
        <v>112528.734</v>
      </c>
      <c r="AD342" s="101">
        <v>44874</v>
      </c>
      <c r="AE342" t="s">
        <v>327</v>
      </c>
      <c r="AF342" s="149">
        <v>-0.12591444799023052</v>
      </c>
      <c r="AG342" s="149">
        <v>0.97367541848596217</v>
      </c>
      <c r="AH342" s="149">
        <f t="shared" si="31"/>
        <v>4.0091704012626579E-2</v>
      </c>
      <c r="AI342" s="149">
        <f t="shared" si="32"/>
        <v>0.11205516065483116</v>
      </c>
      <c r="AJ342" s="149">
        <v>0.90004781050909555</v>
      </c>
      <c r="AK342" s="149">
        <v>0.22285697013662192</v>
      </c>
      <c r="AL342" s="149">
        <v>-8.4060091473600537E-2</v>
      </c>
      <c r="AM342" s="149">
        <v>1.0630712002186753E-2</v>
      </c>
      <c r="AN342" s="149">
        <v>-2.9147155592567815E-2</v>
      </c>
      <c r="AO342">
        <f t="shared" si="30"/>
        <v>2</v>
      </c>
      <c r="AP342" s="149">
        <v>8.5226552689485147E-2</v>
      </c>
      <c r="AQ342" s="149">
        <v>1.4093531665261744E-2</v>
      </c>
      <c r="AR342" s="149">
        <v>0.76038323932869745</v>
      </c>
      <c r="AS342" s="208">
        <v>2507.65998128092</v>
      </c>
      <c r="AT342" s="149">
        <f t="shared" si="33"/>
        <v>5.6500000000000009E-2</v>
      </c>
      <c r="AU342" s="149">
        <v>0.28250000000000003</v>
      </c>
      <c r="AV342">
        <v>4.5</v>
      </c>
    </row>
    <row r="343" spans="1:48" x14ac:dyDescent="0.25">
      <c r="A343" t="s">
        <v>162</v>
      </c>
      <c r="B343" s="101">
        <v>4468</v>
      </c>
      <c r="C343" s="101">
        <v>62123</v>
      </c>
      <c r="D343" s="101">
        <v>410273</v>
      </c>
      <c r="E343" s="101">
        <v>982</v>
      </c>
      <c r="F343" s="101">
        <v>11649</v>
      </c>
      <c r="G343" s="101">
        <v>4655</v>
      </c>
      <c r="H343" s="101">
        <v>0</v>
      </c>
      <c r="I343" s="101">
        <v>41201</v>
      </c>
      <c r="J343" s="101">
        <v>-3699</v>
      </c>
      <c r="K343" s="101">
        <v>42200</v>
      </c>
      <c r="L343" s="101">
        <v>118923</v>
      </c>
      <c r="M343" s="101">
        <v>40126</v>
      </c>
      <c r="N343" s="101">
        <v>341132</v>
      </c>
      <c r="O343" s="101">
        <v>17189</v>
      </c>
      <c r="P343" s="101">
        <v>232626</v>
      </c>
      <c r="Q343" s="101">
        <v>0</v>
      </c>
      <c r="R343" s="101">
        <v>0</v>
      </c>
      <c r="S343" s="101">
        <v>38215</v>
      </c>
      <c r="T343" s="101">
        <v>103739</v>
      </c>
      <c r="U343" s="101">
        <v>157027</v>
      </c>
      <c r="V343" s="101">
        <v>453459</v>
      </c>
      <c r="W343" s="101">
        <v>749362</v>
      </c>
      <c r="X343" s="101">
        <v>706069</v>
      </c>
      <c r="Y343" s="101">
        <v>43293</v>
      </c>
      <c r="Z343" s="101">
        <v>24532</v>
      </c>
      <c r="AA343" s="101">
        <v>-4246927.3500000015</v>
      </c>
      <c r="AB343" s="101">
        <v>491216</v>
      </c>
      <c r="AC343" s="101">
        <v>375995.20299999998</v>
      </c>
      <c r="AD343" s="101">
        <v>133141</v>
      </c>
      <c r="AE343" t="s">
        <v>162</v>
      </c>
      <c r="AF343" s="149">
        <v>3.7697401256001774E-2</v>
      </c>
      <c r="AG343" s="149">
        <v>0.2095475884819353</v>
      </c>
      <c r="AH343" s="149">
        <f t="shared" si="31"/>
        <v>2.1757174770004349E-2</v>
      </c>
      <c r="AI343" s="149">
        <f t="shared" si="32"/>
        <v>5.0045238482869431E-2</v>
      </c>
      <c r="AJ343" s="149">
        <v>0.17712678251632721</v>
      </c>
      <c r="AK343" s="149">
        <v>0.46545440652966774</v>
      </c>
      <c r="AL343" s="149">
        <v>5.7773145689266336E-2</v>
      </c>
      <c r="AM343" s="149">
        <v>8.4171171761446367E-2</v>
      </c>
      <c r="AN343" s="149">
        <v>5.8468548049653631E-2</v>
      </c>
      <c r="AO343">
        <f t="shared" si="30"/>
        <v>0</v>
      </c>
      <c r="AP343" s="149">
        <v>7.8083089348005372E-3</v>
      </c>
      <c r="AQ343" s="149">
        <v>-5.6760030071168451E-3</v>
      </c>
      <c r="AR343" s="149">
        <v>0.65650840322095627</v>
      </c>
      <c r="AS343" s="208">
        <v>2824.0376968777459</v>
      </c>
      <c r="AT343" s="149">
        <f t="shared" si="33"/>
        <v>4.6600000000000003E-2</v>
      </c>
      <c r="AU343" s="149">
        <v>0.23300000000000001</v>
      </c>
      <c r="AV343">
        <v>8.5</v>
      </c>
    </row>
    <row r="344" spans="1:48" x14ac:dyDescent="0.25">
      <c r="A344" t="s">
        <v>440</v>
      </c>
      <c r="B344" s="101">
        <v>1260317</v>
      </c>
      <c r="C344" s="101">
        <v>16006540</v>
      </c>
      <c r="D344" s="101">
        <v>56634830</v>
      </c>
      <c r="E344" s="101">
        <v>2273335</v>
      </c>
      <c r="F344" s="101">
        <v>2290356</v>
      </c>
      <c r="G344" s="101">
        <v>2358783</v>
      </c>
      <c r="H344" s="101">
        <v>620689</v>
      </c>
      <c r="I344" s="101">
        <v>3947118</v>
      </c>
      <c r="J344" s="101">
        <v>311890</v>
      </c>
      <c r="K344" s="101">
        <v>10584124</v>
      </c>
      <c r="L344" s="101">
        <v>3526034</v>
      </c>
      <c r="M344" s="101">
        <v>4496011</v>
      </c>
      <c r="N344" s="101">
        <v>41306280</v>
      </c>
      <c r="O344" s="101">
        <v>7433849</v>
      </c>
      <c r="P344" s="101">
        <v>38015819</v>
      </c>
      <c r="Q344" s="101">
        <v>258665</v>
      </c>
      <c r="R344" s="101">
        <v>1583766</v>
      </c>
      <c r="S344" s="101">
        <v>4190466</v>
      </c>
      <c r="T344" s="101">
        <v>11520904</v>
      </c>
      <c r="U344" s="101">
        <v>31693623</v>
      </c>
      <c r="V344" s="101">
        <v>64072856.231340155</v>
      </c>
      <c r="W344" s="101">
        <v>76648618</v>
      </c>
      <c r="X344" s="101">
        <v>74882848</v>
      </c>
      <c r="Y344" s="101">
        <v>1765770</v>
      </c>
      <c r="Z344" s="101">
        <v>3225338</v>
      </c>
      <c r="AA344" s="101">
        <v>1499120784.2871952</v>
      </c>
      <c r="AB344" s="101">
        <v>53001297</v>
      </c>
      <c r="AC344" s="101">
        <v>43769192.669229999</v>
      </c>
      <c r="AD344" s="101">
        <v>17942942</v>
      </c>
      <c r="AE344" t="s">
        <v>440</v>
      </c>
      <c r="AF344" s="149">
        <v>-1.7562495386413881E-2</v>
      </c>
      <c r="AG344" s="149">
        <v>0.4125468250451691</v>
      </c>
      <c r="AH344" s="149">
        <f t="shared" si="31"/>
        <v>6.0655222772574971E-2</v>
      </c>
      <c r="AI344" s="149">
        <f t="shared" si="32"/>
        <v>5.5565359312805873E-2</v>
      </c>
      <c r="AJ344" s="149">
        <v>0.38092970025891398</v>
      </c>
      <c r="AK344" s="149">
        <v>0.39599635121353804</v>
      </c>
      <c r="AL344" s="149">
        <v>2.3037205967627494E-2</v>
      </c>
      <c r="AM344" s="149">
        <v>0.05</v>
      </c>
      <c r="AN344" s="149">
        <v>2.4608663282863028E-2</v>
      </c>
      <c r="AO344">
        <f t="shared" ref="AO344" si="34">COUNTIF(AL344:AN344,"&lt;0")</f>
        <v>0</v>
      </c>
      <c r="AP344" s="149">
        <v>0.03</v>
      </c>
      <c r="AQ344" s="149">
        <v>1.957234496011722E-2</v>
      </c>
      <c r="AR344" s="149">
        <v>0.69197871118228249</v>
      </c>
      <c r="AS344" s="208">
        <v>2439.3542970394706</v>
      </c>
      <c r="AT344" s="149">
        <f t="shared" ref="AT344" si="35">AU344/5</f>
        <v>4.7100000000000003E-2</v>
      </c>
      <c r="AU344" s="149">
        <v>0.23550000000000001</v>
      </c>
      <c r="AV344">
        <v>10</v>
      </c>
    </row>
    <row r="345" spans="1:48" x14ac:dyDescent="0.25">
      <c r="D345" s="101">
        <f>SUM(B344:D344)</f>
        <v>73901687</v>
      </c>
    </row>
    <row r="348" spans="1:48" x14ac:dyDescent="0.25">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F348" s="149"/>
      <c r="AG348" s="149"/>
      <c r="AH348" s="149"/>
      <c r="AI348" s="149"/>
      <c r="AJ348" s="149"/>
      <c r="AK348" s="149"/>
      <c r="AL348" s="149"/>
      <c r="AM348" s="149"/>
      <c r="AN348" s="149"/>
      <c r="AP348" s="149"/>
      <c r="AQ348" s="149"/>
      <c r="AR348" s="149"/>
      <c r="AS348" s="208"/>
      <c r="AT348" s="149"/>
      <c r="AU348" s="149"/>
    </row>
    <row r="349" spans="1:48" x14ac:dyDescent="0.25">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F349" s="149"/>
      <c r="AG349" s="149"/>
      <c r="AH349" s="149"/>
      <c r="AI349" s="149"/>
      <c r="AJ349" s="149"/>
      <c r="AK349" s="149"/>
      <c r="AL349" s="149"/>
      <c r="AM349" s="149"/>
      <c r="AN349" s="149"/>
      <c r="AP349" s="149"/>
      <c r="AQ349" s="149"/>
      <c r="AR349" s="149"/>
      <c r="AS349" s="208"/>
      <c r="AT349" s="149"/>
      <c r="AU349" s="149"/>
    </row>
    <row r="350" spans="1:48" x14ac:dyDescent="0.25">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F350" s="149"/>
      <c r="AG350" s="149"/>
      <c r="AH350" s="149"/>
      <c r="AI350" s="149"/>
      <c r="AJ350" s="149"/>
      <c r="AK350" s="149"/>
      <c r="AL350" s="149"/>
      <c r="AM350" s="149"/>
      <c r="AN350" s="149"/>
      <c r="AP350" s="149"/>
      <c r="AQ350" s="149"/>
      <c r="AR350" s="149"/>
      <c r="AS350" s="208"/>
      <c r="AT350" s="149"/>
      <c r="AU350" s="149"/>
    </row>
    <row r="351" spans="1:48" x14ac:dyDescent="0.25">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F351" s="149"/>
      <c r="AG351" s="149"/>
      <c r="AH351" s="149"/>
      <c r="AI351" s="149"/>
      <c r="AJ351" s="149"/>
      <c r="AK351" s="149"/>
      <c r="AL351" s="149"/>
      <c r="AM351" s="149"/>
      <c r="AN351" s="149"/>
      <c r="AP351" s="149"/>
      <c r="AQ351" s="149"/>
      <c r="AR351" s="149"/>
      <c r="AS351" s="208"/>
      <c r="AT351" s="149"/>
      <c r="AU351" s="149"/>
    </row>
  </sheetData>
  <sheetProtection algorithmName="SHA-512" hashValue="ECmbv7xVIfnH91WldYWmdnd0oS16bKaCQk4SFolg2R/efTsNrsnpqbULmbTt7iQMUMhqzjgJbe/+8uxa0UHeoA==" saltValue="p9jc7yelv75w07nZ7teU6A==" spinCount="100000" sheet="1" objects="1" scenarios="1"/>
  <sortState xmlns:xlrd2="http://schemas.microsoft.com/office/spreadsheetml/2017/richdata2" ref="AE2:AV343">
    <sortCondition ref="AE2:AE343"/>
  </sortState>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dimension ref="A1:AV396"/>
  <sheetViews>
    <sheetView workbookViewId="0">
      <pane xSplit="2" ySplit="1" topLeftCell="C51" activePane="bottomRight" state="frozen"/>
      <selection pane="topRight" activeCell="C1" sqref="C1"/>
      <selection pane="bottomLeft" activeCell="A2" sqref="A2"/>
      <selection pane="bottomRight" activeCell="E61" sqref="E61"/>
    </sheetView>
  </sheetViews>
  <sheetFormatPr defaultColWidth="9.08984375" defaultRowHeight="10.5" x14ac:dyDescent="0.25"/>
  <cols>
    <col min="1" max="1" width="10" style="75" bestFit="1" customWidth="1"/>
    <col min="2" max="2" width="28.90625" style="75" bestFit="1" customWidth="1"/>
    <col min="3" max="3" width="18.81640625" style="75" bestFit="1" customWidth="1"/>
    <col min="4" max="4" width="19.453125" style="75" bestFit="1" customWidth="1"/>
    <col min="5" max="5" width="15.7265625" style="75" bestFit="1" customWidth="1"/>
    <col min="6" max="6" width="15.81640625" style="145" bestFit="1" customWidth="1"/>
    <col min="7" max="7" width="20.453125" style="75" bestFit="1" customWidth="1"/>
    <col min="8" max="8" width="19.36328125" style="75" bestFit="1" customWidth="1"/>
    <col min="9" max="9" width="19.54296875" style="75" bestFit="1" customWidth="1"/>
    <col min="10" max="10" width="20.08984375" style="75" bestFit="1" customWidth="1"/>
    <col min="11" max="11" width="19.54296875" style="75" bestFit="1" customWidth="1"/>
    <col min="12" max="12" width="20.08984375" style="75" bestFit="1" customWidth="1"/>
    <col min="13" max="13" width="19.54296875" style="75" bestFit="1" customWidth="1"/>
    <col min="14" max="14" width="20.08984375" style="75" bestFit="1" customWidth="1"/>
    <col min="15" max="15" width="19.54296875" style="75" bestFit="1" customWidth="1"/>
    <col min="16" max="16" width="20.08984375" style="75" bestFit="1" customWidth="1"/>
    <col min="17" max="17" width="19.54296875" style="75" bestFit="1" customWidth="1"/>
    <col min="18" max="18" width="20.08984375" style="75" bestFit="1" customWidth="1"/>
    <col min="19" max="19" width="19.54296875" style="75" bestFit="1" customWidth="1"/>
    <col min="20" max="20" width="20.08984375" style="75" bestFit="1" customWidth="1"/>
    <col min="21" max="21" width="19.54296875" style="75" bestFit="1" customWidth="1"/>
    <col min="22" max="22" width="20.08984375" style="75" bestFit="1" customWidth="1"/>
    <col min="23" max="23" width="19.453125" style="75" bestFit="1" customWidth="1"/>
    <col min="24" max="24" width="20.08984375" style="75" bestFit="1" customWidth="1"/>
    <col min="25" max="26" width="20.08984375" style="75" customWidth="1"/>
    <col min="27" max="27" width="17" style="75" bestFit="1" customWidth="1"/>
    <col min="28" max="28" width="25.453125" style="75" bestFit="1" customWidth="1"/>
    <col min="29" max="29" width="24.453125" style="75" bestFit="1" customWidth="1"/>
    <col min="30" max="30" width="25.453125" style="75" bestFit="1" customWidth="1"/>
    <col min="31" max="31" width="25.90625" style="75" bestFit="1" customWidth="1"/>
    <col min="32" max="32" width="29.36328125" style="75" bestFit="1" customWidth="1"/>
    <col min="33" max="33" width="14.90625" style="75" bestFit="1" customWidth="1"/>
    <col min="34" max="34" width="15.90625" style="75" bestFit="1" customWidth="1"/>
    <col min="35" max="36" width="20.54296875" style="75" bestFit="1" customWidth="1"/>
    <col min="37" max="37" width="20.36328125" style="75" bestFit="1" customWidth="1"/>
    <col min="38" max="39" width="20.36328125" style="75" customWidth="1"/>
    <col min="40" max="40" width="22.81640625" style="75" bestFit="1" customWidth="1"/>
    <col min="41" max="43" width="22.453125" style="75" bestFit="1" customWidth="1"/>
    <col min="44" max="44" width="22.90625" style="75" bestFit="1" customWidth="1"/>
    <col min="45" max="45" width="23" style="75" customWidth="1"/>
    <col min="46" max="46" width="22.08984375" style="75" bestFit="1" customWidth="1"/>
    <col min="47" max="47" width="24.453125" style="75" bestFit="1" customWidth="1"/>
    <col min="48" max="48" width="24.90625" style="75" bestFit="1" customWidth="1"/>
    <col min="49" max="49" width="18.7265625" style="75" bestFit="1" customWidth="1"/>
    <col min="50" max="50" width="19.36328125" style="75" bestFit="1" customWidth="1"/>
    <col min="51" max="16384" width="9.08984375" style="75"/>
  </cols>
  <sheetData>
    <row r="1" spans="1:48" x14ac:dyDescent="0.25">
      <c r="A1" s="75" t="s">
        <v>549</v>
      </c>
      <c r="B1" s="75" t="s">
        <v>526</v>
      </c>
      <c r="C1" s="75" t="s">
        <v>565</v>
      </c>
      <c r="D1" s="75" t="s">
        <v>566</v>
      </c>
      <c r="E1" s="264" t="s">
        <v>584</v>
      </c>
      <c r="F1" s="216" t="s">
        <v>571</v>
      </c>
      <c r="G1" s="75" t="s">
        <v>953</v>
      </c>
      <c r="H1" s="75" t="s">
        <v>922</v>
      </c>
      <c r="I1" s="75" t="s">
        <v>923</v>
      </c>
      <c r="J1" s="75" t="s">
        <v>924</v>
      </c>
      <c r="K1" s="75" t="s">
        <v>925</v>
      </c>
      <c r="L1" s="75" t="s">
        <v>926</v>
      </c>
      <c r="M1" s="75" t="s">
        <v>927</v>
      </c>
      <c r="N1" s="75" t="s">
        <v>928</v>
      </c>
      <c r="O1" s="75" t="s">
        <v>929</v>
      </c>
      <c r="P1" s="75" t="s">
        <v>930</v>
      </c>
      <c r="Q1" s="75" t="s">
        <v>931</v>
      </c>
      <c r="R1" s="75" t="s">
        <v>932</v>
      </c>
      <c r="S1" s="75" t="s">
        <v>933</v>
      </c>
      <c r="T1" s="75" t="s">
        <v>934</v>
      </c>
      <c r="U1" s="75" t="s">
        <v>935</v>
      </c>
      <c r="V1" s="75" t="s">
        <v>936</v>
      </c>
      <c r="W1" s="75" t="s">
        <v>937</v>
      </c>
      <c r="X1" s="75" t="s">
        <v>938</v>
      </c>
      <c r="Y1" s="263" t="s">
        <v>939</v>
      </c>
      <c r="Z1" s="263" t="s">
        <v>940</v>
      </c>
      <c r="AA1" s="263" t="s">
        <v>921</v>
      </c>
      <c r="AB1" s="263" t="s">
        <v>954</v>
      </c>
      <c r="AC1" s="263" t="s">
        <v>956</v>
      </c>
      <c r="AF1" s="216">
        <v>70900000000</v>
      </c>
      <c r="AG1" s="75">
        <v>59099144000</v>
      </c>
      <c r="AH1" s="75" t="s">
        <v>670</v>
      </c>
      <c r="AI1" s="75" t="s">
        <v>671</v>
      </c>
      <c r="AJ1" s="75" t="s">
        <v>744</v>
      </c>
      <c r="AK1" s="75" t="s">
        <v>760</v>
      </c>
      <c r="AL1" s="75" t="s">
        <v>801</v>
      </c>
      <c r="AM1" s="75" t="s">
        <v>835</v>
      </c>
      <c r="AN1" s="75" t="s">
        <v>879</v>
      </c>
      <c r="AO1" s="75" t="s">
        <v>758</v>
      </c>
      <c r="AP1" s="75" t="s">
        <v>759</v>
      </c>
      <c r="AQ1" s="75" t="s">
        <v>757</v>
      </c>
      <c r="AR1" s="75" t="s">
        <v>745</v>
      </c>
      <c r="AS1" s="75" t="s">
        <v>746</v>
      </c>
      <c r="AT1" s="75" t="s">
        <v>747</v>
      </c>
      <c r="AU1" s="75" t="s">
        <v>955</v>
      </c>
      <c r="AV1" s="75" t="s">
        <v>957</v>
      </c>
    </row>
    <row r="2" spans="1:48" x14ac:dyDescent="0.25">
      <c r="A2" s="75" t="s">
        <v>512</v>
      </c>
      <c r="B2" s="75" t="s">
        <v>104</v>
      </c>
      <c r="C2" s="145">
        <f>SUM(G2,I2,K2,M2,O2,Q2,S2,U2,W2,Y2)/10</f>
        <v>1872.8</v>
      </c>
      <c r="D2" s="145">
        <f>SUM(H2,J2,L2,N2,P2,R2,T2,V2,X2,Z2)/10</f>
        <v>1358.8</v>
      </c>
      <c r="E2" s="145">
        <v>3298000</v>
      </c>
      <c r="F2" s="145">
        <f>AM2*$AF$15</f>
        <v>9510845.7171990909</v>
      </c>
      <c r="G2" s="145">
        <v>2622</v>
      </c>
      <c r="H2" s="145">
        <v>2537</v>
      </c>
      <c r="I2" s="145">
        <v>1079</v>
      </c>
      <c r="J2" s="145">
        <v>1146</v>
      </c>
      <c r="K2" s="145">
        <v>2653</v>
      </c>
      <c r="L2" s="145">
        <v>969</v>
      </c>
      <c r="M2" s="145">
        <v>827</v>
      </c>
      <c r="N2" s="145">
        <v>737</v>
      </c>
      <c r="O2" s="145">
        <v>1442</v>
      </c>
      <c r="P2" s="145">
        <v>1002</v>
      </c>
      <c r="Q2" s="145">
        <v>1058</v>
      </c>
      <c r="R2" s="145">
        <v>856</v>
      </c>
      <c r="S2" s="145">
        <v>974</v>
      </c>
      <c r="T2" s="145">
        <v>903</v>
      </c>
      <c r="U2" s="145">
        <v>1264</v>
      </c>
      <c r="V2" s="145">
        <v>1028</v>
      </c>
      <c r="W2" s="145">
        <v>4003</v>
      </c>
      <c r="X2" s="145">
        <v>2406</v>
      </c>
      <c r="Y2" s="145">
        <v>2806</v>
      </c>
      <c r="Z2" s="145">
        <v>2004</v>
      </c>
      <c r="AA2" s="145">
        <v>25936</v>
      </c>
      <c r="AB2" s="75">
        <v>36285</v>
      </c>
      <c r="AC2" s="75">
        <v>38430</v>
      </c>
      <c r="AF2" s="216">
        <v>74103000000</v>
      </c>
      <c r="AG2" s="75">
        <f>E344</f>
        <v>3131593000</v>
      </c>
      <c r="AH2" s="75">
        <v>25279</v>
      </c>
      <c r="AI2" s="75">
        <v>25399</v>
      </c>
      <c r="AJ2" s="75">
        <v>25386</v>
      </c>
      <c r="AK2" s="75">
        <v>25442</v>
      </c>
      <c r="AL2" s="75">
        <v>25399</v>
      </c>
      <c r="AM2" s="75">
        <v>25574</v>
      </c>
      <c r="AN2" s="75">
        <v>25724</v>
      </c>
      <c r="AO2" s="75">
        <v>38101</v>
      </c>
      <c r="AP2" s="75">
        <v>33404</v>
      </c>
      <c r="AQ2" s="75">
        <v>34218000</v>
      </c>
      <c r="AR2" s="75">
        <v>34103</v>
      </c>
      <c r="AS2" s="75">
        <v>34015</v>
      </c>
      <c r="AT2" s="75">
        <v>35302</v>
      </c>
      <c r="AU2" s="75">
        <v>36285</v>
      </c>
      <c r="AV2" s="75">
        <v>38430</v>
      </c>
    </row>
    <row r="3" spans="1:48" x14ac:dyDescent="0.25">
      <c r="A3" s="75" t="s">
        <v>514</v>
      </c>
      <c r="B3" s="75" t="s">
        <v>236</v>
      </c>
      <c r="C3" s="145">
        <f t="shared" ref="C3:C66" si="0">SUM(G3,I3,K3,M3,O3,Q3,S3,U3,W3,Y3)/10</f>
        <v>3897.7</v>
      </c>
      <c r="D3" s="145">
        <f t="shared" ref="D3:D66" si="1">SUM(H3,J3,L3,N3,P3,R3,T3,V3,X3,Z3)/10</f>
        <v>3751.1</v>
      </c>
      <c r="E3" s="145">
        <v>4464000</v>
      </c>
      <c r="F3" s="145">
        <f t="shared" ref="F3:F66" si="2">AM3*$AF$15</f>
        <v>12066137.064773774</v>
      </c>
      <c r="G3" s="145">
        <v>6366</v>
      </c>
      <c r="H3" s="145">
        <v>5195</v>
      </c>
      <c r="I3" s="145">
        <v>9234</v>
      </c>
      <c r="J3" s="145">
        <v>10129</v>
      </c>
      <c r="K3" s="145">
        <v>10725</v>
      </c>
      <c r="L3" s="145">
        <v>10828</v>
      </c>
      <c r="M3" s="145">
        <v>4592</v>
      </c>
      <c r="N3" s="145">
        <v>2185</v>
      </c>
      <c r="O3" s="145">
        <v>2704</v>
      </c>
      <c r="P3" s="145">
        <v>4598</v>
      </c>
      <c r="Q3" s="145">
        <v>3394</v>
      </c>
      <c r="R3" s="145">
        <v>2799</v>
      </c>
      <c r="S3" s="145">
        <v>-5797</v>
      </c>
      <c r="T3" s="145">
        <v>-4845</v>
      </c>
      <c r="U3" s="145">
        <v>2812</v>
      </c>
      <c r="V3" s="145">
        <v>3048</v>
      </c>
      <c r="W3" s="145">
        <v>4068</v>
      </c>
      <c r="X3" s="145">
        <v>2546</v>
      </c>
      <c r="Y3" s="145">
        <v>879</v>
      </c>
      <c r="Z3" s="145">
        <v>1028</v>
      </c>
      <c r="AA3" s="145">
        <v>33209</v>
      </c>
      <c r="AB3" s="75">
        <v>78657</v>
      </c>
      <c r="AC3" s="75">
        <v>84333</v>
      </c>
      <c r="AF3" s="145">
        <f>-SUM(AF1,-AF2)</f>
        <v>3203000000</v>
      </c>
      <c r="AG3" s="136">
        <f>AG2/AG1</f>
        <v>5.2988804710944713E-2</v>
      </c>
      <c r="AH3" s="75">
        <v>31382</v>
      </c>
      <c r="AI3" s="75">
        <v>31502</v>
      </c>
      <c r="AJ3" s="75">
        <v>31724</v>
      </c>
      <c r="AK3" s="75">
        <v>31829</v>
      </c>
      <c r="AL3" s="75">
        <v>31991</v>
      </c>
      <c r="AM3" s="75">
        <v>32445</v>
      </c>
      <c r="AN3" s="75">
        <v>33063</v>
      </c>
      <c r="AO3" s="75">
        <v>46730</v>
      </c>
      <c r="AP3" s="75">
        <v>49476</v>
      </c>
      <c r="AQ3" s="75">
        <v>52766000</v>
      </c>
      <c r="AR3" s="75">
        <v>57568</v>
      </c>
      <c r="AS3" s="75">
        <v>63863</v>
      </c>
      <c r="AT3" s="75">
        <v>71904</v>
      </c>
      <c r="AU3" s="75">
        <v>78657</v>
      </c>
      <c r="AV3" s="75">
        <v>84333</v>
      </c>
    </row>
    <row r="4" spans="1:48" ht="12.5" x14ac:dyDescent="0.25">
      <c r="A4" s="75" t="s">
        <v>515</v>
      </c>
      <c r="B4" s="75" t="s">
        <v>163</v>
      </c>
      <c r="C4" s="145">
        <f t="shared" si="0"/>
        <v>1407.5</v>
      </c>
      <c r="D4" s="145">
        <f t="shared" si="1"/>
        <v>1578.3</v>
      </c>
      <c r="E4" s="145">
        <v>2778000</v>
      </c>
      <c r="F4" s="145">
        <f t="shared" si="2"/>
        <v>10078357.665445192</v>
      </c>
      <c r="G4" s="145">
        <v>870</v>
      </c>
      <c r="H4" s="145">
        <v>867</v>
      </c>
      <c r="I4" s="145">
        <v>2543</v>
      </c>
      <c r="J4" s="145">
        <v>3803</v>
      </c>
      <c r="K4" s="145">
        <v>2295</v>
      </c>
      <c r="L4" s="145">
        <v>3054</v>
      </c>
      <c r="M4" s="145">
        <v>866</v>
      </c>
      <c r="N4" s="145">
        <v>979</v>
      </c>
      <c r="O4" s="145">
        <v>1891</v>
      </c>
      <c r="P4" s="145">
        <v>1639</v>
      </c>
      <c r="Q4" s="145">
        <v>1194</v>
      </c>
      <c r="R4" s="145">
        <v>1046</v>
      </c>
      <c r="S4" s="145">
        <v>985</v>
      </c>
      <c r="T4" s="145">
        <v>995</v>
      </c>
      <c r="U4" s="145">
        <v>2008</v>
      </c>
      <c r="V4" s="145">
        <v>2034</v>
      </c>
      <c r="W4" s="145">
        <v>750</v>
      </c>
      <c r="X4" s="145">
        <v>801</v>
      </c>
      <c r="Y4" s="145">
        <v>673</v>
      </c>
      <c r="Z4" s="145">
        <v>565</v>
      </c>
      <c r="AA4" s="145">
        <v>27471</v>
      </c>
      <c r="AB4" s="75">
        <v>43627</v>
      </c>
      <c r="AC4" s="75">
        <v>46169</v>
      </c>
      <c r="AF4" s="145">
        <v>3038277000</v>
      </c>
      <c r="AG4"/>
      <c r="AH4" s="75">
        <v>27050</v>
      </c>
      <c r="AI4" s="75">
        <v>26963</v>
      </c>
      <c r="AJ4" s="75">
        <v>27007</v>
      </c>
      <c r="AK4" s="75">
        <v>27116</v>
      </c>
      <c r="AL4" s="75">
        <v>27120</v>
      </c>
      <c r="AM4" s="75">
        <v>27100</v>
      </c>
      <c r="AN4" s="75">
        <v>27244</v>
      </c>
      <c r="AO4" s="75">
        <v>43742</v>
      </c>
      <c r="AP4" s="75">
        <v>34989</v>
      </c>
      <c r="AQ4" s="75">
        <v>37480000</v>
      </c>
      <c r="AR4" s="75">
        <v>37413</v>
      </c>
      <c r="AS4" s="75">
        <v>37617</v>
      </c>
      <c r="AT4" s="75">
        <v>40898</v>
      </c>
      <c r="AU4" s="75">
        <v>43627</v>
      </c>
      <c r="AV4" s="75">
        <v>46169</v>
      </c>
    </row>
    <row r="5" spans="1:48" x14ac:dyDescent="0.25">
      <c r="A5" s="75" t="s">
        <v>516</v>
      </c>
      <c r="B5" s="75" t="s">
        <v>125</v>
      </c>
      <c r="C5" s="145">
        <f t="shared" si="0"/>
        <v>2311.1</v>
      </c>
      <c r="D5" s="145">
        <f t="shared" si="1"/>
        <v>1662.3</v>
      </c>
      <c r="E5" s="145">
        <v>4045000</v>
      </c>
      <c r="F5" s="145">
        <f t="shared" si="2"/>
        <v>10398187.465898434</v>
      </c>
      <c r="G5" s="145">
        <v>274</v>
      </c>
      <c r="H5" s="145">
        <v>365</v>
      </c>
      <c r="I5" s="145">
        <v>2867</v>
      </c>
      <c r="J5" s="145">
        <v>1876</v>
      </c>
      <c r="K5" s="145">
        <v>2027</v>
      </c>
      <c r="L5" s="145">
        <v>1965</v>
      </c>
      <c r="M5" s="145">
        <v>5949</v>
      </c>
      <c r="N5" s="145">
        <v>2121</v>
      </c>
      <c r="O5" s="145">
        <v>3820</v>
      </c>
      <c r="P5" s="145">
        <v>4460</v>
      </c>
      <c r="Q5" s="145">
        <v>1072</v>
      </c>
      <c r="R5" s="145">
        <v>942</v>
      </c>
      <c r="S5" s="145">
        <v>1280</v>
      </c>
      <c r="T5" s="145">
        <v>488</v>
      </c>
      <c r="U5" s="145">
        <v>3705</v>
      </c>
      <c r="V5" s="145">
        <v>2747</v>
      </c>
      <c r="W5" s="145">
        <v>1535</v>
      </c>
      <c r="X5" s="145">
        <v>1227</v>
      </c>
      <c r="Y5" s="145">
        <v>582</v>
      </c>
      <c r="Z5" s="145">
        <v>432</v>
      </c>
      <c r="AA5" s="145">
        <v>28197</v>
      </c>
      <c r="AB5" s="75">
        <v>67079</v>
      </c>
      <c r="AC5" s="75">
        <v>73696</v>
      </c>
      <c r="AF5" s="145">
        <f>SUM(AF3:AF4)</f>
        <v>6241277000</v>
      </c>
      <c r="AG5" s="262">
        <f>8781000000/619200000000</f>
        <v>1.4181201550387598E-2</v>
      </c>
      <c r="AH5" s="75">
        <v>27894</v>
      </c>
      <c r="AI5" s="75">
        <v>27924</v>
      </c>
      <c r="AJ5" s="75">
        <v>27871</v>
      </c>
      <c r="AK5" s="75">
        <v>27824</v>
      </c>
      <c r="AL5" s="75">
        <v>27900</v>
      </c>
      <c r="AM5" s="75">
        <v>27960</v>
      </c>
      <c r="AN5" s="75">
        <v>28149</v>
      </c>
      <c r="AO5" s="75">
        <v>64419</v>
      </c>
      <c r="AP5" s="75">
        <v>64156</v>
      </c>
      <c r="AQ5" s="75">
        <v>64932000</v>
      </c>
      <c r="AR5" s="75">
        <v>65566</v>
      </c>
      <c r="AS5" s="75">
        <v>64446</v>
      </c>
      <c r="AT5" s="75">
        <v>62728</v>
      </c>
      <c r="AU5" s="75">
        <v>67079</v>
      </c>
      <c r="AV5" s="75">
        <v>73696</v>
      </c>
    </row>
    <row r="6" spans="1:48" x14ac:dyDescent="0.25">
      <c r="A6" s="75" t="s">
        <v>517</v>
      </c>
      <c r="B6" s="75" t="s">
        <v>281</v>
      </c>
      <c r="C6" s="145">
        <f t="shared" si="0"/>
        <v>1855.6</v>
      </c>
      <c r="D6" s="145">
        <f t="shared" si="1"/>
        <v>1742.9</v>
      </c>
      <c r="E6" s="145">
        <v>2705000</v>
      </c>
      <c r="F6" s="145">
        <f t="shared" si="2"/>
        <v>7472488.5819848794</v>
      </c>
      <c r="G6" s="145">
        <v>486</v>
      </c>
      <c r="H6" s="145">
        <v>449</v>
      </c>
      <c r="I6" s="145">
        <v>1684</v>
      </c>
      <c r="J6" s="145">
        <v>1994</v>
      </c>
      <c r="K6" s="145">
        <v>1744</v>
      </c>
      <c r="L6" s="145">
        <v>1752</v>
      </c>
      <c r="M6" s="145">
        <v>3063</v>
      </c>
      <c r="N6" s="145">
        <v>2296</v>
      </c>
      <c r="O6" s="145">
        <v>1028</v>
      </c>
      <c r="P6" s="145">
        <v>1746</v>
      </c>
      <c r="Q6" s="145">
        <v>3043</v>
      </c>
      <c r="R6" s="145">
        <v>2900</v>
      </c>
      <c r="S6" s="145">
        <v>6676</v>
      </c>
      <c r="T6" s="145">
        <v>4842</v>
      </c>
      <c r="U6" s="145">
        <v>832</v>
      </c>
      <c r="V6" s="145">
        <v>1225</v>
      </c>
      <c r="W6" s="145">
        <v>0</v>
      </c>
      <c r="X6" s="145">
        <v>307</v>
      </c>
      <c r="Y6" s="145">
        <v>0</v>
      </c>
      <c r="Z6" s="145">
        <v>-82</v>
      </c>
      <c r="AA6" s="145">
        <v>20247</v>
      </c>
      <c r="AB6" s="75">
        <v>65737</v>
      </c>
      <c r="AC6" s="75">
        <v>69415</v>
      </c>
      <c r="AF6" s="145">
        <v>17942942</v>
      </c>
      <c r="AG6" s="262">
        <f>8.437/856.4</f>
        <v>9.8517048108360573E-3</v>
      </c>
      <c r="AH6" s="75">
        <v>20015</v>
      </c>
      <c r="AI6" s="75">
        <v>20013</v>
      </c>
      <c r="AJ6" s="75">
        <v>20060</v>
      </c>
      <c r="AK6" s="75">
        <v>20168</v>
      </c>
      <c r="AL6" s="75">
        <v>20136</v>
      </c>
      <c r="AM6" s="75">
        <v>20093</v>
      </c>
      <c r="AN6" s="75">
        <v>20356</v>
      </c>
      <c r="AO6" s="75">
        <v>44784</v>
      </c>
      <c r="AP6" s="75">
        <v>46855</v>
      </c>
      <c r="AQ6" s="75">
        <v>46856000</v>
      </c>
      <c r="AR6" s="75">
        <v>49773</v>
      </c>
      <c r="AS6" s="75">
        <v>52387</v>
      </c>
      <c r="AT6" s="75">
        <v>58611</v>
      </c>
      <c r="AU6" s="75">
        <v>65737</v>
      </c>
      <c r="AV6" s="75">
        <v>69415</v>
      </c>
    </row>
    <row r="7" spans="1:48" x14ac:dyDescent="0.25">
      <c r="A7" s="75" t="s">
        <v>517</v>
      </c>
      <c r="B7" s="75" t="s">
        <v>282</v>
      </c>
      <c r="C7" s="145">
        <f t="shared" si="0"/>
        <v>4918.3</v>
      </c>
      <c r="D7" s="145">
        <f t="shared" si="1"/>
        <v>5409.4</v>
      </c>
      <c r="E7" s="145">
        <v>3706000</v>
      </c>
      <c r="F7" s="145">
        <f t="shared" si="2"/>
        <v>9642868.483665254</v>
      </c>
      <c r="G7" s="145">
        <v>3476</v>
      </c>
      <c r="H7" s="145">
        <v>3445</v>
      </c>
      <c r="I7" s="145">
        <v>15407</v>
      </c>
      <c r="J7" s="145">
        <v>15303</v>
      </c>
      <c r="K7" s="145">
        <v>9156</v>
      </c>
      <c r="L7" s="145">
        <v>10330</v>
      </c>
      <c r="M7" s="145">
        <v>2260</v>
      </c>
      <c r="N7" s="145">
        <v>2504</v>
      </c>
      <c r="O7" s="145">
        <v>4369</v>
      </c>
      <c r="P7" s="145">
        <v>4302</v>
      </c>
      <c r="Q7" s="145">
        <v>3032</v>
      </c>
      <c r="R7" s="145">
        <v>3990</v>
      </c>
      <c r="S7" s="145">
        <v>6162</v>
      </c>
      <c r="T7" s="145">
        <v>6464</v>
      </c>
      <c r="U7" s="145">
        <v>1449</v>
      </c>
      <c r="V7" s="145">
        <v>2259</v>
      </c>
      <c r="W7" s="145">
        <v>1236</v>
      </c>
      <c r="X7" s="145">
        <v>4041</v>
      </c>
      <c r="Y7" s="145">
        <v>2636</v>
      </c>
      <c r="Z7" s="145">
        <v>1456</v>
      </c>
      <c r="AA7" s="145">
        <v>26710</v>
      </c>
      <c r="AB7" s="75">
        <v>69234</v>
      </c>
      <c r="AC7" s="75">
        <v>71595</v>
      </c>
      <c r="AF7" s="144">
        <f>AF5/AF6</f>
        <v>347.84022597854914</v>
      </c>
      <c r="AG7" s="137">
        <f>AF5/AG6*AG5</f>
        <v>8984110747.1517124</v>
      </c>
      <c r="AH7" s="75">
        <v>25106</v>
      </c>
      <c r="AI7" s="75">
        <v>25226</v>
      </c>
      <c r="AJ7" s="75">
        <v>25292</v>
      </c>
      <c r="AK7" s="75">
        <v>25560</v>
      </c>
      <c r="AL7" s="75">
        <v>25814</v>
      </c>
      <c r="AM7" s="75">
        <v>25929</v>
      </c>
      <c r="AN7" s="75">
        <v>26357</v>
      </c>
      <c r="AO7" s="75">
        <v>55073</v>
      </c>
      <c r="AP7" s="75">
        <v>49696</v>
      </c>
      <c r="AQ7" s="75">
        <v>51899000</v>
      </c>
      <c r="AR7" s="75">
        <v>52216</v>
      </c>
      <c r="AS7" s="75">
        <v>56375</v>
      </c>
      <c r="AT7" s="75">
        <v>57775</v>
      </c>
      <c r="AU7" s="75">
        <v>69234</v>
      </c>
      <c r="AV7" s="75">
        <v>71595</v>
      </c>
    </row>
    <row r="8" spans="1:48" x14ac:dyDescent="0.25">
      <c r="A8" s="75" t="s">
        <v>514</v>
      </c>
      <c r="B8" s="75" t="s">
        <v>237</v>
      </c>
      <c r="C8" s="145">
        <f t="shared" si="0"/>
        <v>18189.599999999999</v>
      </c>
      <c r="D8" s="145">
        <f t="shared" si="1"/>
        <v>16906.3</v>
      </c>
      <c r="E8" s="145">
        <v>21752000</v>
      </c>
      <c r="F8" s="145">
        <f t="shared" si="2"/>
        <v>41194822.088611215</v>
      </c>
      <c r="G8" s="145">
        <v>3468</v>
      </c>
      <c r="H8" s="145">
        <v>3139</v>
      </c>
      <c r="I8" s="145">
        <v>36174</v>
      </c>
      <c r="J8" s="145">
        <v>35078</v>
      </c>
      <c r="K8" s="145">
        <v>44556</v>
      </c>
      <c r="L8" s="145">
        <v>43282</v>
      </c>
      <c r="M8" s="145">
        <v>21378</v>
      </c>
      <c r="N8" s="145">
        <v>18205</v>
      </c>
      <c r="O8" s="145">
        <v>14566</v>
      </c>
      <c r="P8" s="145">
        <v>12760</v>
      </c>
      <c r="Q8" s="145">
        <v>20005</v>
      </c>
      <c r="R8" s="145">
        <v>18463</v>
      </c>
      <c r="S8" s="145">
        <v>13526</v>
      </c>
      <c r="T8" s="145">
        <v>13167</v>
      </c>
      <c r="U8" s="145">
        <v>15661</v>
      </c>
      <c r="V8" s="145">
        <v>15210</v>
      </c>
      <c r="W8" s="145">
        <v>6815</v>
      </c>
      <c r="X8" s="145">
        <v>5753</v>
      </c>
      <c r="Y8" s="145">
        <v>5747</v>
      </c>
      <c r="Z8" s="145">
        <v>4006</v>
      </c>
      <c r="AA8" s="145">
        <v>112923</v>
      </c>
      <c r="AB8" s="75">
        <v>429787</v>
      </c>
      <c r="AC8" s="75">
        <v>440934</v>
      </c>
      <c r="AF8" s="261">
        <f>$AF$5/1067600000000</f>
        <v>5.846081865867366E-3</v>
      </c>
      <c r="AG8" s="137">
        <f>AG7/AF6</f>
        <v>500.70444117534976</v>
      </c>
      <c r="AH8" s="75">
        <v>108437</v>
      </c>
      <c r="AI8" s="75">
        <v>108500</v>
      </c>
      <c r="AJ8" s="75">
        <v>108578</v>
      </c>
      <c r="AK8" s="75">
        <v>109398</v>
      </c>
      <c r="AL8" s="75">
        <v>109896</v>
      </c>
      <c r="AM8" s="75">
        <v>110770</v>
      </c>
      <c r="AN8" s="75">
        <v>111834</v>
      </c>
      <c r="AO8" s="75">
        <v>424192</v>
      </c>
      <c r="AP8" s="75">
        <v>462767</v>
      </c>
      <c r="AQ8" s="75">
        <v>467300000</v>
      </c>
      <c r="AR8" s="75">
        <v>479030</v>
      </c>
      <c r="AS8" s="75">
        <v>485722</v>
      </c>
      <c r="AT8" s="75">
        <v>478003</v>
      </c>
      <c r="AU8" s="75">
        <v>429787</v>
      </c>
      <c r="AV8" s="75">
        <v>440934</v>
      </c>
    </row>
    <row r="9" spans="1:48" ht="12.5" x14ac:dyDescent="0.25">
      <c r="A9" s="75" t="s">
        <v>518</v>
      </c>
      <c r="B9" s="75" t="s">
        <v>139</v>
      </c>
      <c r="C9" s="145">
        <f t="shared" si="0"/>
        <v>5762.3</v>
      </c>
      <c r="D9" s="145">
        <f t="shared" si="1"/>
        <v>-508</v>
      </c>
      <c r="E9" s="145">
        <v>13860000</v>
      </c>
      <c r="F9" s="145">
        <f t="shared" si="2"/>
        <v>27204871.58459951</v>
      </c>
      <c r="G9" s="145">
        <v>4600</v>
      </c>
      <c r="H9" s="145">
        <v>4909</v>
      </c>
      <c r="I9" s="145">
        <v>22927</v>
      </c>
      <c r="J9" s="145">
        <v>26747</v>
      </c>
      <c r="K9" s="145">
        <v>24251</v>
      </c>
      <c r="L9" s="145">
        <v>32080</v>
      </c>
      <c r="M9" s="145">
        <v>2090</v>
      </c>
      <c r="N9" s="145">
        <v>2469</v>
      </c>
      <c r="O9" s="145">
        <v>562</v>
      </c>
      <c r="P9" s="145">
        <v>851</v>
      </c>
      <c r="Q9" s="145">
        <v>-4005</v>
      </c>
      <c r="R9" s="145">
        <v>-29221</v>
      </c>
      <c r="S9" s="145">
        <v>5749</v>
      </c>
      <c r="T9" s="145">
        <v>-7523</v>
      </c>
      <c r="U9" s="145">
        <v>523</v>
      </c>
      <c r="V9" s="145">
        <v>-17555</v>
      </c>
      <c r="W9" s="145">
        <v>523</v>
      </c>
      <c r="X9" s="145">
        <v>-17555</v>
      </c>
      <c r="Y9" s="145">
        <v>403</v>
      </c>
      <c r="Z9" s="145">
        <v>-282</v>
      </c>
      <c r="AA9" s="145">
        <v>74752</v>
      </c>
      <c r="AB9" s="75">
        <v>201686</v>
      </c>
      <c r="AC9" s="75">
        <v>206460</v>
      </c>
      <c r="AF9" s="144">
        <f>8437000000/17475000</f>
        <v>482.80400572246066</v>
      </c>
      <c r="AG9" s="102"/>
      <c r="AH9" s="75">
        <v>72487</v>
      </c>
      <c r="AI9" s="75">
        <v>72611</v>
      </c>
      <c r="AJ9" s="75">
        <v>72883</v>
      </c>
      <c r="AK9" s="75">
        <v>73105</v>
      </c>
      <c r="AL9" s="75">
        <v>73132</v>
      </c>
      <c r="AM9" s="75">
        <v>73152</v>
      </c>
      <c r="AN9" s="75">
        <v>73949</v>
      </c>
      <c r="AO9" s="75">
        <v>274361</v>
      </c>
      <c r="AP9" s="75">
        <v>265798</v>
      </c>
      <c r="AQ9" s="75">
        <v>187867000</v>
      </c>
      <c r="AR9" s="75">
        <v>187048</v>
      </c>
      <c r="AS9" s="75">
        <v>185826</v>
      </c>
      <c r="AT9" s="75">
        <v>198850</v>
      </c>
      <c r="AU9" s="75">
        <v>201686</v>
      </c>
      <c r="AV9" s="75">
        <v>206460</v>
      </c>
    </row>
    <row r="10" spans="1:48" ht="12.5" x14ac:dyDescent="0.25">
      <c r="A10" s="75" t="s">
        <v>519</v>
      </c>
      <c r="B10" s="75" t="s">
        <v>427</v>
      </c>
      <c r="C10" s="145">
        <f t="shared" si="0"/>
        <v>113358</v>
      </c>
      <c r="D10" s="145">
        <f t="shared" si="1"/>
        <v>93251.1</v>
      </c>
      <c r="E10" s="145">
        <v>33372000</v>
      </c>
      <c r="F10" s="145">
        <f t="shared" si="2"/>
        <v>81014747.930390298</v>
      </c>
      <c r="G10" s="145">
        <v>122809</v>
      </c>
      <c r="H10" s="145">
        <v>124025</v>
      </c>
      <c r="I10" s="145">
        <v>133158</v>
      </c>
      <c r="J10" s="145">
        <v>162639</v>
      </c>
      <c r="K10" s="145">
        <v>98324</v>
      </c>
      <c r="L10" s="145">
        <v>101023</v>
      </c>
      <c r="M10" s="145">
        <v>128991</v>
      </c>
      <c r="N10" s="145">
        <v>70609</v>
      </c>
      <c r="O10" s="145">
        <v>128125</v>
      </c>
      <c r="P10" s="145">
        <v>46190</v>
      </c>
      <c r="Q10" s="145">
        <v>102527</v>
      </c>
      <c r="R10" s="145">
        <v>73412</v>
      </c>
      <c r="S10" s="145">
        <v>97170</v>
      </c>
      <c r="T10" s="145">
        <v>69365</v>
      </c>
      <c r="U10" s="145">
        <v>72661</v>
      </c>
      <c r="V10" s="145">
        <v>65212</v>
      </c>
      <c r="W10" s="145">
        <v>143380</v>
      </c>
      <c r="X10" s="145">
        <v>130220</v>
      </c>
      <c r="Y10" s="145">
        <v>106435</v>
      </c>
      <c r="Z10" s="145">
        <v>89816</v>
      </c>
      <c r="AA10" s="145">
        <v>229570</v>
      </c>
      <c r="AB10" s="75">
        <v>804300</v>
      </c>
      <c r="AC10" s="75">
        <v>838378</v>
      </c>
      <c r="AF10" s="144">
        <f>8781000000/16358000</f>
        <v>536.80156498349436</v>
      </c>
      <c r="AG10" s="101"/>
      <c r="AH10" s="75">
        <v>200954</v>
      </c>
      <c r="AI10" s="75">
        <v>203997</v>
      </c>
      <c r="AJ10" s="75">
        <v>207819</v>
      </c>
      <c r="AK10" s="75">
        <v>211639</v>
      </c>
      <c r="AL10" s="75">
        <v>214715</v>
      </c>
      <c r="AM10" s="75">
        <v>217843</v>
      </c>
      <c r="AN10" s="75">
        <v>222825</v>
      </c>
      <c r="AO10" s="75">
        <v>697149</v>
      </c>
      <c r="AP10" s="75">
        <v>719744</v>
      </c>
      <c r="AQ10" s="75">
        <v>459657000</v>
      </c>
      <c r="AR10" s="75">
        <v>770343</v>
      </c>
      <c r="AS10" s="75">
        <v>782298</v>
      </c>
      <c r="AT10" s="75">
        <v>790352</v>
      </c>
      <c r="AU10" s="75">
        <v>804300</v>
      </c>
      <c r="AV10" s="75">
        <v>838378</v>
      </c>
    </row>
    <row r="11" spans="1:48" ht="12.5" x14ac:dyDescent="0.25">
      <c r="A11" s="75" t="s">
        <v>517</v>
      </c>
      <c r="B11" s="75" t="s">
        <v>283</v>
      </c>
      <c r="C11" s="145">
        <f t="shared" si="0"/>
        <v>18003.5</v>
      </c>
      <c r="D11" s="145">
        <f t="shared" si="1"/>
        <v>17207.2</v>
      </c>
      <c r="E11" s="145">
        <v>19185000</v>
      </c>
      <c r="F11" s="145">
        <f t="shared" si="2"/>
        <v>41988818.162992232</v>
      </c>
      <c r="G11" s="145">
        <v>18202</v>
      </c>
      <c r="H11" s="145">
        <v>14709</v>
      </c>
      <c r="I11" s="145">
        <v>35172</v>
      </c>
      <c r="J11" s="145">
        <v>34370</v>
      </c>
      <c r="K11" s="145">
        <v>28827</v>
      </c>
      <c r="L11" s="145">
        <v>17905</v>
      </c>
      <c r="M11" s="145">
        <v>17951</v>
      </c>
      <c r="N11" s="145">
        <v>12772</v>
      </c>
      <c r="O11" s="145">
        <v>10989</v>
      </c>
      <c r="P11" s="145">
        <v>15186</v>
      </c>
      <c r="Q11" s="145">
        <v>6914</v>
      </c>
      <c r="R11" s="145">
        <v>8485</v>
      </c>
      <c r="S11" s="145">
        <v>9967</v>
      </c>
      <c r="T11" s="145">
        <v>13609</v>
      </c>
      <c r="U11" s="145">
        <v>20607</v>
      </c>
      <c r="V11" s="145">
        <v>20613</v>
      </c>
      <c r="W11" s="145">
        <v>19684</v>
      </c>
      <c r="X11" s="145">
        <v>22604</v>
      </c>
      <c r="Y11" s="145">
        <v>11722</v>
      </c>
      <c r="Z11" s="145">
        <v>11819</v>
      </c>
      <c r="AA11" s="145">
        <v>115746</v>
      </c>
      <c r="AB11" s="75">
        <v>317015</v>
      </c>
      <c r="AC11" s="75">
        <v>327747</v>
      </c>
      <c r="AF11" s="144">
        <f>SUM(AF10,-AF9)</f>
        <v>53.9975592610337</v>
      </c>
      <c r="AG11"/>
      <c r="AH11" s="75">
        <v>108918</v>
      </c>
      <c r="AI11" s="75">
        <v>109667</v>
      </c>
      <c r="AJ11" s="75">
        <v>111036</v>
      </c>
      <c r="AK11" s="75">
        <v>111792</v>
      </c>
      <c r="AL11" s="75">
        <v>112587</v>
      </c>
      <c r="AM11" s="75">
        <v>112905</v>
      </c>
      <c r="AN11" s="75">
        <v>114182</v>
      </c>
      <c r="AO11" s="75">
        <v>301826</v>
      </c>
      <c r="AP11" s="75">
        <v>282626</v>
      </c>
      <c r="AQ11" s="75">
        <v>270069000</v>
      </c>
      <c r="AR11" s="75">
        <v>279372</v>
      </c>
      <c r="AS11" s="75">
        <v>284253</v>
      </c>
      <c r="AT11" s="75">
        <v>297997</v>
      </c>
      <c r="AU11" s="75">
        <v>317015</v>
      </c>
      <c r="AV11" s="75">
        <v>327747</v>
      </c>
    </row>
    <row r="12" spans="1:48" ht="12.5" x14ac:dyDescent="0.25">
      <c r="A12" s="75" t="s">
        <v>513</v>
      </c>
      <c r="B12" s="75" t="s">
        <v>341</v>
      </c>
      <c r="C12" s="145">
        <f t="shared" si="0"/>
        <v>2019.9</v>
      </c>
      <c r="D12" s="145">
        <f t="shared" si="1"/>
        <v>1564.2</v>
      </c>
      <c r="E12" s="145">
        <v>887000</v>
      </c>
      <c r="F12" s="145">
        <f t="shared" si="2"/>
        <v>3878122.2780539654</v>
      </c>
      <c r="G12" s="145">
        <v>832</v>
      </c>
      <c r="H12" s="145">
        <v>657</v>
      </c>
      <c r="I12" s="145">
        <v>2821</v>
      </c>
      <c r="J12" s="145">
        <v>2607</v>
      </c>
      <c r="K12" s="145">
        <v>3029</v>
      </c>
      <c r="L12" s="145">
        <v>2314</v>
      </c>
      <c r="M12" s="145">
        <v>4126</v>
      </c>
      <c r="N12" s="145">
        <v>3418</v>
      </c>
      <c r="O12" s="145">
        <v>2423</v>
      </c>
      <c r="P12" s="145">
        <v>1688</v>
      </c>
      <c r="Q12" s="145">
        <v>557</v>
      </c>
      <c r="R12" s="145">
        <v>368</v>
      </c>
      <c r="S12" s="145">
        <v>994</v>
      </c>
      <c r="T12" s="145">
        <v>385</v>
      </c>
      <c r="U12" s="145">
        <v>14</v>
      </c>
      <c r="V12" s="145">
        <v>-131</v>
      </c>
      <c r="W12" s="145">
        <v>5044</v>
      </c>
      <c r="X12" s="145">
        <v>4211</v>
      </c>
      <c r="Y12" s="145">
        <v>359</v>
      </c>
      <c r="Z12" s="145">
        <v>125</v>
      </c>
      <c r="AA12" s="145">
        <v>10510</v>
      </c>
      <c r="AB12" s="75">
        <v>22220</v>
      </c>
      <c r="AC12" s="75">
        <v>21953</v>
      </c>
      <c r="AF12" s="144">
        <f>SUM(AF7,AF11)</f>
        <v>401.83778523958284</v>
      </c>
      <c r="AG12"/>
      <c r="AH12" s="75">
        <v>10052</v>
      </c>
      <c r="AI12" s="75">
        <v>10083</v>
      </c>
      <c r="AJ12" s="75">
        <v>10139</v>
      </c>
      <c r="AK12" s="75">
        <v>10212</v>
      </c>
      <c r="AL12" s="75">
        <v>10373</v>
      </c>
      <c r="AM12" s="75">
        <v>10428</v>
      </c>
      <c r="AN12" s="75">
        <v>10463</v>
      </c>
      <c r="AO12" s="75">
        <v>18129</v>
      </c>
      <c r="AP12" s="75">
        <v>17245</v>
      </c>
      <c r="AQ12" s="75">
        <v>18392000</v>
      </c>
      <c r="AR12" s="75">
        <v>18755</v>
      </c>
      <c r="AS12" s="75">
        <v>19084</v>
      </c>
      <c r="AT12" s="75">
        <v>21476</v>
      </c>
      <c r="AU12" s="75">
        <v>22220</v>
      </c>
      <c r="AV12" s="75">
        <v>21953</v>
      </c>
    </row>
    <row r="13" spans="1:48" ht="12.5" x14ac:dyDescent="0.25">
      <c r="A13" s="75" t="s">
        <v>513</v>
      </c>
      <c r="B13" s="75" t="s">
        <v>591</v>
      </c>
      <c r="C13" s="145">
        <f t="shared" si="0"/>
        <v>14305.5</v>
      </c>
      <c r="D13" s="145">
        <f t="shared" si="1"/>
        <v>13526.9</v>
      </c>
      <c r="E13" s="145">
        <v>7961000</v>
      </c>
      <c r="F13" s="145">
        <f t="shared" si="2"/>
        <v>21200996.818881899</v>
      </c>
      <c r="G13" s="145">
        <v>15758</v>
      </c>
      <c r="H13" s="145">
        <v>15695</v>
      </c>
      <c r="I13" s="145">
        <v>15764</v>
      </c>
      <c r="J13" s="145">
        <v>12849</v>
      </c>
      <c r="K13" s="145">
        <v>15924</v>
      </c>
      <c r="L13" s="145">
        <v>14051</v>
      </c>
      <c r="M13" s="145">
        <v>16806</v>
      </c>
      <c r="N13" s="145">
        <v>16278</v>
      </c>
      <c r="O13" s="145">
        <v>15333</v>
      </c>
      <c r="P13" s="145">
        <v>12862</v>
      </c>
      <c r="Q13" s="145">
        <v>8579</v>
      </c>
      <c r="R13" s="145">
        <v>8131</v>
      </c>
      <c r="S13" s="145">
        <v>12377</v>
      </c>
      <c r="T13" s="145">
        <v>13093</v>
      </c>
      <c r="U13" s="145">
        <v>15746</v>
      </c>
      <c r="V13" s="145">
        <v>14310</v>
      </c>
      <c r="W13" s="145">
        <v>9082</v>
      </c>
      <c r="X13" s="145">
        <v>9564</v>
      </c>
      <c r="Y13" s="145">
        <v>17686</v>
      </c>
      <c r="Z13" s="145">
        <v>18436</v>
      </c>
      <c r="AA13" s="145">
        <v>58736</v>
      </c>
      <c r="AB13" s="75">
        <v>147963</v>
      </c>
      <c r="AC13" s="75">
        <v>152483</v>
      </c>
      <c r="AF13" s="144"/>
      <c r="AG13" s="102"/>
      <c r="AH13" s="75">
        <v>54451</v>
      </c>
      <c r="AI13" s="75">
        <v>54757</v>
      </c>
      <c r="AJ13" s="75">
        <v>55391</v>
      </c>
      <c r="AK13" s="75">
        <v>55978</v>
      </c>
      <c r="AL13" s="75">
        <v>56352</v>
      </c>
      <c r="AM13" s="75">
        <v>57008</v>
      </c>
      <c r="AN13" s="75">
        <v>57726</v>
      </c>
      <c r="AO13" s="75">
        <v>106403</v>
      </c>
      <c r="AP13" s="75">
        <v>106026</v>
      </c>
      <c r="AQ13" s="75">
        <v>114265000</v>
      </c>
      <c r="AR13" s="75">
        <v>128110</v>
      </c>
      <c r="AS13" s="75">
        <v>143922</v>
      </c>
      <c r="AT13" s="75">
        <v>145480</v>
      </c>
      <c r="AU13" s="75">
        <v>147963</v>
      </c>
      <c r="AV13" s="75">
        <v>152483</v>
      </c>
    </row>
    <row r="14" spans="1:48" ht="12.5" x14ac:dyDescent="0.25">
      <c r="A14" s="75" t="s">
        <v>516</v>
      </c>
      <c r="B14" s="75" t="s">
        <v>126</v>
      </c>
      <c r="C14" s="145">
        <f t="shared" si="0"/>
        <v>630.29999999999995</v>
      </c>
      <c r="D14" s="145">
        <f t="shared" si="1"/>
        <v>777.2</v>
      </c>
      <c r="E14" s="145">
        <v>2512000</v>
      </c>
      <c r="F14" s="145">
        <f t="shared" si="2"/>
        <v>1396466.1636068891</v>
      </c>
      <c r="G14" s="145">
        <v>0</v>
      </c>
      <c r="H14" s="145">
        <v>6</v>
      </c>
      <c r="I14" s="145">
        <v>21</v>
      </c>
      <c r="J14" s="145">
        <v>21</v>
      </c>
      <c r="K14" s="145">
        <v>248</v>
      </c>
      <c r="L14" s="145">
        <v>317</v>
      </c>
      <c r="M14" s="145">
        <v>0</v>
      </c>
      <c r="N14" s="145">
        <v>19</v>
      </c>
      <c r="O14" s="145">
        <v>265</v>
      </c>
      <c r="P14" s="145">
        <v>19</v>
      </c>
      <c r="Q14" s="145">
        <v>0</v>
      </c>
      <c r="R14" s="145">
        <v>46</v>
      </c>
      <c r="S14" s="145">
        <v>1224</v>
      </c>
      <c r="T14" s="145">
        <v>1795</v>
      </c>
      <c r="U14" s="145">
        <v>1694</v>
      </c>
      <c r="V14" s="145">
        <v>1604</v>
      </c>
      <c r="W14" s="145">
        <v>1847</v>
      </c>
      <c r="X14" s="145">
        <v>2659</v>
      </c>
      <c r="Y14" s="145">
        <v>1004</v>
      </c>
      <c r="Z14" s="145">
        <v>1286</v>
      </c>
      <c r="AA14" s="145">
        <v>3807</v>
      </c>
      <c r="AB14" s="75">
        <v>36338</v>
      </c>
      <c r="AC14" s="75">
        <v>39393</v>
      </c>
      <c r="AF14" s="144">
        <f>AF7*1.035</f>
        <v>360.01463388779831</v>
      </c>
      <c r="AG14"/>
      <c r="AH14" s="75">
        <v>3633</v>
      </c>
      <c r="AI14" s="75">
        <v>3654</v>
      </c>
      <c r="AJ14" s="75">
        <v>3674</v>
      </c>
      <c r="AK14" s="75">
        <v>3723</v>
      </c>
      <c r="AL14" s="75">
        <v>3746</v>
      </c>
      <c r="AM14" s="75">
        <v>3755</v>
      </c>
      <c r="AN14" s="75">
        <v>3840</v>
      </c>
      <c r="AO14" s="75">
        <v>29560</v>
      </c>
      <c r="AP14" s="75">
        <v>27275</v>
      </c>
      <c r="AQ14" s="75">
        <v>28616000</v>
      </c>
      <c r="AR14" s="75">
        <v>27187</v>
      </c>
      <c r="AS14" s="75">
        <v>27813</v>
      </c>
      <c r="AT14" s="75">
        <v>31529</v>
      </c>
      <c r="AU14" s="75">
        <v>36338</v>
      </c>
      <c r="AV14" s="75">
        <v>39393</v>
      </c>
    </row>
    <row r="15" spans="1:48" ht="12.5" x14ac:dyDescent="0.25">
      <c r="A15" s="75" t="s">
        <v>520</v>
      </c>
      <c r="B15" s="75" t="s">
        <v>212</v>
      </c>
      <c r="C15" s="145">
        <f t="shared" si="0"/>
        <v>47397</v>
      </c>
      <c r="D15" s="145">
        <f t="shared" si="1"/>
        <v>45330.5</v>
      </c>
      <c r="E15" s="145">
        <v>21527000</v>
      </c>
      <c r="F15" s="145">
        <f t="shared" si="2"/>
        <v>58977358.993811481</v>
      </c>
      <c r="G15" s="145">
        <v>20936</v>
      </c>
      <c r="H15" s="145">
        <v>21934</v>
      </c>
      <c r="I15" s="145">
        <v>68614</v>
      </c>
      <c r="J15" s="145">
        <v>68627</v>
      </c>
      <c r="K15" s="145">
        <v>57237</v>
      </c>
      <c r="L15" s="145">
        <v>50582</v>
      </c>
      <c r="M15" s="145">
        <v>26939</v>
      </c>
      <c r="N15" s="145">
        <v>46242</v>
      </c>
      <c r="O15" s="145">
        <v>55970</v>
      </c>
      <c r="P15" s="145">
        <v>53127</v>
      </c>
      <c r="Q15" s="145">
        <v>19648</v>
      </c>
      <c r="R15" s="145">
        <v>28333</v>
      </c>
      <c r="S15" s="145">
        <v>58304</v>
      </c>
      <c r="T15" s="145">
        <v>49282</v>
      </c>
      <c r="U15" s="145">
        <v>67839</v>
      </c>
      <c r="V15" s="145">
        <v>39102</v>
      </c>
      <c r="W15" s="145">
        <v>72280</v>
      </c>
      <c r="X15" s="145">
        <v>62369</v>
      </c>
      <c r="Y15" s="145">
        <v>26203</v>
      </c>
      <c r="Z15" s="145">
        <v>33707</v>
      </c>
      <c r="AA15" s="145">
        <v>163310</v>
      </c>
      <c r="AB15" s="75">
        <v>495608</v>
      </c>
      <c r="AC15" s="75">
        <v>466927</v>
      </c>
      <c r="AF15" s="144">
        <f>AF14*1.033</f>
        <v>371.89511680609564</v>
      </c>
      <c r="AG15"/>
      <c r="AH15" s="75">
        <v>154338</v>
      </c>
      <c r="AI15" s="75">
        <v>155215</v>
      </c>
      <c r="AJ15" s="75">
        <v>156294</v>
      </c>
      <c r="AK15" s="75">
        <v>157310</v>
      </c>
      <c r="AL15" s="75">
        <v>157462</v>
      </c>
      <c r="AM15" s="75">
        <v>158586</v>
      </c>
      <c r="AN15" s="75">
        <v>160759</v>
      </c>
      <c r="AO15" s="75">
        <v>351919</v>
      </c>
      <c r="AP15" s="75">
        <v>480635</v>
      </c>
      <c r="AQ15" s="75">
        <v>391717000</v>
      </c>
      <c r="AR15" s="75">
        <v>496723</v>
      </c>
      <c r="AS15" s="75">
        <v>510171</v>
      </c>
      <c r="AT15" s="75">
        <v>512993</v>
      </c>
      <c r="AU15" s="75">
        <v>495608</v>
      </c>
      <c r="AV15" s="75">
        <v>466927</v>
      </c>
    </row>
    <row r="16" spans="1:48" ht="12.5" x14ac:dyDescent="0.25">
      <c r="A16" s="75" t="s">
        <v>514</v>
      </c>
      <c r="B16" s="75" t="s">
        <v>238</v>
      </c>
      <c r="C16" s="145">
        <f t="shared" si="0"/>
        <v>13007.2</v>
      </c>
      <c r="D16" s="145">
        <f t="shared" si="1"/>
        <v>9296.1</v>
      </c>
      <c r="E16" s="145">
        <v>13698000</v>
      </c>
      <c r="F16" s="145">
        <f t="shared" si="2"/>
        <v>34349348.673561409</v>
      </c>
      <c r="G16" s="145">
        <v>33071</v>
      </c>
      <c r="H16" s="145">
        <v>24364</v>
      </c>
      <c r="I16" s="145">
        <v>43358</v>
      </c>
      <c r="J16" s="145">
        <v>31764</v>
      </c>
      <c r="K16" s="145">
        <v>18755</v>
      </c>
      <c r="L16" s="145">
        <v>14503</v>
      </c>
      <c r="M16" s="145">
        <v>5818</v>
      </c>
      <c r="N16" s="145">
        <v>4046</v>
      </c>
      <c r="O16" s="145">
        <v>7933</v>
      </c>
      <c r="P16" s="145">
        <v>5034</v>
      </c>
      <c r="Q16" s="145">
        <v>8030</v>
      </c>
      <c r="R16" s="145">
        <v>3379</v>
      </c>
      <c r="S16" s="145">
        <v>3931</v>
      </c>
      <c r="T16" s="145">
        <v>2415</v>
      </c>
      <c r="U16" s="145">
        <v>1036</v>
      </c>
      <c r="V16" s="145">
        <v>1830</v>
      </c>
      <c r="W16" s="145">
        <v>6383</v>
      </c>
      <c r="X16" s="145">
        <v>4071</v>
      </c>
      <c r="Y16" s="145">
        <v>1757</v>
      </c>
      <c r="Z16" s="145">
        <v>1555</v>
      </c>
      <c r="AA16" s="145">
        <v>95862</v>
      </c>
      <c r="AB16" s="75">
        <v>239892</v>
      </c>
      <c r="AC16" s="75">
        <v>252228</v>
      </c>
      <c r="AF16" s="261"/>
      <c r="AG16"/>
      <c r="AH16" s="75">
        <v>89298</v>
      </c>
      <c r="AI16" s="75">
        <v>89895</v>
      </c>
      <c r="AJ16" s="75">
        <v>90827</v>
      </c>
      <c r="AK16" s="75">
        <v>91907</v>
      </c>
      <c r="AL16" s="75">
        <v>90829</v>
      </c>
      <c r="AM16" s="75">
        <v>92363</v>
      </c>
      <c r="AN16" s="75">
        <v>94418</v>
      </c>
      <c r="AO16" s="75">
        <v>201154</v>
      </c>
      <c r="AP16" s="75">
        <v>204291</v>
      </c>
      <c r="AQ16" s="75">
        <v>201041000</v>
      </c>
      <c r="AR16" s="75">
        <v>200179</v>
      </c>
      <c r="AS16" s="75">
        <v>208019</v>
      </c>
      <c r="AT16" s="75">
        <v>225901</v>
      </c>
      <c r="AU16" s="75">
        <v>239892</v>
      </c>
      <c r="AV16" s="75">
        <v>252228</v>
      </c>
    </row>
    <row r="17" spans="1:48" x14ac:dyDescent="0.25">
      <c r="A17" s="75" t="s">
        <v>514</v>
      </c>
      <c r="B17" s="75" t="s">
        <v>239</v>
      </c>
      <c r="C17" s="145">
        <f t="shared" si="0"/>
        <v>735299</v>
      </c>
      <c r="D17" s="145">
        <f t="shared" si="1"/>
        <v>468041.2</v>
      </c>
      <c r="E17" s="145">
        <v>232955000</v>
      </c>
      <c r="F17" s="145">
        <f t="shared" si="2"/>
        <v>336454999.75494194</v>
      </c>
      <c r="G17" s="145">
        <v>567484</v>
      </c>
      <c r="H17" s="145">
        <v>356407</v>
      </c>
      <c r="I17" s="145">
        <v>1072878</v>
      </c>
      <c r="J17" s="145">
        <v>711317</v>
      </c>
      <c r="K17" s="145">
        <v>1038898</v>
      </c>
      <c r="L17" s="145">
        <v>791060</v>
      </c>
      <c r="M17" s="145">
        <v>678722</v>
      </c>
      <c r="N17" s="145">
        <v>429898</v>
      </c>
      <c r="O17" s="145">
        <v>824955</v>
      </c>
      <c r="P17" s="145">
        <v>375922</v>
      </c>
      <c r="Q17" s="145">
        <v>637306</v>
      </c>
      <c r="R17" s="145">
        <v>388019</v>
      </c>
      <c r="S17" s="145">
        <v>526268</v>
      </c>
      <c r="T17" s="145">
        <v>343980</v>
      </c>
      <c r="U17" s="145">
        <v>771573</v>
      </c>
      <c r="V17" s="145">
        <v>578158</v>
      </c>
      <c r="W17" s="145">
        <v>697061</v>
      </c>
      <c r="X17" s="145">
        <v>387377</v>
      </c>
      <c r="Y17" s="145">
        <v>537845</v>
      </c>
      <c r="Z17" s="145">
        <v>318274</v>
      </c>
      <c r="AA17" s="145">
        <v>935793</v>
      </c>
      <c r="AB17" s="75">
        <v>13189351</v>
      </c>
      <c r="AC17" s="75">
        <v>13762187</v>
      </c>
      <c r="AH17" s="75">
        <v>867590</v>
      </c>
      <c r="AI17" s="75">
        <v>875058</v>
      </c>
      <c r="AJ17" s="75">
        <v>882533</v>
      </c>
      <c r="AK17" s="75">
        <v>893122</v>
      </c>
      <c r="AL17" s="75">
        <v>893783</v>
      </c>
      <c r="AM17" s="75">
        <v>904704</v>
      </c>
      <c r="AN17" s="75">
        <v>918117</v>
      </c>
      <c r="AO17" s="75">
        <v>10614749</v>
      </c>
      <c r="AP17" s="75">
        <v>11045473</v>
      </c>
      <c r="AQ17" s="75">
        <v>11469509000</v>
      </c>
      <c r="AR17" s="75">
        <v>12091076</v>
      </c>
      <c r="AS17" s="75">
        <v>12537094</v>
      </c>
      <c r="AT17" s="75">
        <v>12830290</v>
      </c>
      <c r="AU17" s="75">
        <v>13189351</v>
      </c>
      <c r="AV17" s="75">
        <v>13762187</v>
      </c>
    </row>
    <row r="18" spans="1:48" ht="12.5" x14ac:dyDescent="0.25">
      <c r="A18" s="75" t="s">
        <v>515</v>
      </c>
      <c r="B18" s="75" t="s">
        <v>164</v>
      </c>
      <c r="C18" s="145">
        <f t="shared" si="0"/>
        <v>24889.3</v>
      </c>
      <c r="D18" s="145">
        <f t="shared" si="1"/>
        <v>18939.900000000001</v>
      </c>
      <c r="E18" s="145">
        <v>27248000</v>
      </c>
      <c r="F18" s="145">
        <f t="shared" si="2"/>
        <v>61580624.811454155</v>
      </c>
      <c r="G18" s="145">
        <v>10682</v>
      </c>
      <c r="H18" s="145">
        <v>10682</v>
      </c>
      <c r="I18" s="145">
        <v>49320</v>
      </c>
      <c r="J18" s="145">
        <v>47146</v>
      </c>
      <c r="K18" s="145">
        <v>46741</v>
      </c>
      <c r="L18" s="145">
        <v>26665</v>
      </c>
      <c r="M18" s="145">
        <v>36612</v>
      </c>
      <c r="N18" s="145">
        <v>22982</v>
      </c>
      <c r="O18" s="145">
        <v>23396</v>
      </c>
      <c r="P18" s="145">
        <v>15934</v>
      </c>
      <c r="Q18" s="145">
        <v>21017</v>
      </c>
      <c r="R18" s="145">
        <v>15979</v>
      </c>
      <c r="S18" s="145">
        <v>16158</v>
      </c>
      <c r="T18" s="145">
        <v>12831</v>
      </c>
      <c r="U18" s="145">
        <v>14215</v>
      </c>
      <c r="V18" s="145">
        <v>13793</v>
      </c>
      <c r="W18" s="145">
        <v>9524</v>
      </c>
      <c r="X18" s="145">
        <v>11660</v>
      </c>
      <c r="Y18" s="145">
        <v>21228</v>
      </c>
      <c r="Z18" s="145">
        <v>11727</v>
      </c>
      <c r="AA18" s="145">
        <v>168563</v>
      </c>
      <c r="AB18" s="75">
        <v>587559</v>
      </c>
      <c r="AC18" s="75">
        <v>590596</v>
      </c>
      <c r="AF18"/>
      <c r="AG18"/>
      <c r="AH18" s="75">
        <v>160059</v>
      </c>
      <c r="AI18" s="75">
        <v>161181</v>
      </c>
      <c r="AJ18" s="75">
        <v>162456</v>
      </c>
      <c r="AK18" s="75">
        <v>163776</v>
      </c>
      <c r="AL18" s="75">
        <v>164781</v>
      </c>
      <c r="AM18" s="75">
        <v>165586</v>
      </c>
      <c r="AN18" s="75">
        <v>167191</v>
      </c>
      <c r="AO18" s="75">
        <v>549689</v>
      </c>
      <c r="AP18" s="75">
        <v>529372</v>
      </c>
      <c r="AQ18" s="75">
        <v>556057000</v>
      </c>
      <c r="AR18" s="75">
        <v>544938</v>
      </c>
      <c r="AS18" s="75">
        <v>558962</v>
      </c>
      <c r="AT18" s="75">
        <v>595519</v>
      </c>
      <c r="AU18" s="75">
        <v>587559</v>
      </c>
      <c r="AV18" s="75">
        <v>590596</v>
      </c>
    </row>
    <row r="19" spans="1:48" ht="12.5" x14ac:dyDescent="0.25">
      <c r="A19" s="75" t="s">
        <v>515</v>
      </c>
      <c r="B19" s="75" t="s">
        <v>165</v>
      </c>
      <c r="C19" s="145">
        <f t="shared" si="0"/>
        <v>44113.8</v>
      </c>
      <c r="D19" s="145">
        <f t="shared" si="1"/>
        <v>37367.9</v>
      </c>
      <c r="E19" s="145">
        <v>39864000</v>
      </c>
      <c r="F19" s="145">
        <f t="shared" si="2"/>
        <v>60977410.931994669</v>
      </c>
      <c r="G19" s="145">
        <v>94591</v>
      </c>
      <c r="H19" s="145">
        <v>92826</v>
      </c>
      <c r="I19" s="145">
        <v>52451</v>
      </c>
      <c r="J19" s="145">
        <v>62936</v>
      </c>
      <c r="K19" s="145">
        <v>33888</v>
      </c>
      <c r="L19" s="145">
        <v>34126</v>
      </c>
      <c r="M19" s="145">
        <v>57898</v>
      </c>
      <c r="N19" s="145">
        <v>34126</v>
      </c>
      <c r="O19" s="145">
        <v>34958</v>
      </c>
      <c r="P19" s="145">
        <v>35107</v>
      </c>
      <c r="Q19" s="145">
        <v>35795</v>
      </c>
      <c r="R19" s="145">
        <v>1230</v>
      </c>
      <c r="S19" s="145">
        <v>42990</v>
      </c>
      <c r="T19" s="145">
        <v>37618</v>
      </c>
      <c r="U19" s="145">
        <v>40896</v>
      </c>
      <c r="V19" s="265">
        <v>32205</v>
      </c>
      <c r="W19" s="145">
        <v>11871</v>
      </c>
      <c r="X19" s="145">
        <v>12943</v>
      </c>
      <c r="Y19" s="145">
        <v>35800</v>
      </c>
      <c r="Z19" s="145">
        <v>30562</v>
      </c>
      <c r="AA19" s="145">
        <v>169302</v>
      </c>
      <c r="AB19" s="75">
        <v>720467</v>
      </c>
      <c r="AC19" s="75">
        <v>738505</v>
      </c>
      <c r="AF19"/>
      <c r="AG19"/>
      <c r="AH19" s="75">
        <v>155721</v>
      </c>
      <c r="AI19" s="75">
        <v>157277</v>
      </c>
      <c r="AJ19" s="75">
        <v>159277</v>
      </c>
      <c r="AK19" s="75">
        <v>161326</v>
      </c>
      <c r="AL19" s="75">
        <v>162424</v>
      </c>
      <c r="AM19" s="75">
        <v>163964</v>
      </c>
      <c r="AN19" s="75">
        <v>165770</v>
      </c>
      <c r="AO19" s="75">
        <v>684051</v>
      </c>
      <c r="AP19" s="75">
        <v>681425</v>
      </c>
      <c r="AQ19" s="75">
        <v>695308000</v>
      </c>
      <c r="AR19" s="75">
        <v>678148</v>
      </c>
      <c r="AS19" s="75">
        <v>683199</v>
      </c>
      <c r="AT19" s="75">
        <v>695720</v>
      </c>
      <c r="AU19" s="75">
        <v>720467</v>
      </c>
      <c r="AV19" s="75">
        <v>738505</v>
      </c>
    </row>
    <row r="20" spans="1:48" ht="12.5" x14ac:dyDescent="0.25">
      <c r="A20" s="75" t="s">
        <v>512</v>
      </c>
      <c r="B20" s="75" t="s">
        <v>105</v>
      </c>
      <c r="C20" s="145">
        <f t="shared" si="0"/>
        <v>16165.8</v>
      </c>
      <c r="D20" s="145">
        <f t="shared" si="1"/>
        <v>14641.8</v>
      </c>
      <c r="E20" s="145">
        <v>12454000</v>
      </c>
      <c r="F20" s="145">
        <f t="shared" si="2"/>
        <v>25643655.884247519</v>
      </c>
      <c r="G20" s="145">
        <v>6669</v>
      </c>
      <c r="H20" s="145">
        <v>7015</v>
      </c>
      <c r="I20" s="145">
        <v>119098</v>
      </c>
      <c r="J20" s="145">
        <v>106596</v>
      </c>
      <c r="K20" s="145">
        <v>7671</v>
      </c>
      <c r="L20" s="145">
        <v>7837</v>
      </c>
      <c r="M20" s="145">
        <v>2968</v>
      </c>
      <c r="N20" s="145">
        <v>5190</v>
      </c>
      <c r="O20" s="145">
        <v>3726</v>
      </c>
      <c r="P20" s="145">
        <v>2603</v>
      </c>
      <c r="Q20" s="145">
        <v>2319</v>
      </c>
      <c r="R20" s="145">
        <v>2901</v>
      </c>
      <c r="S20" s="145">
        <v>4217</v>
      </c>
      <c r="T20" s="145">
        <v>3750</v>
      </c>
      <c r="U20" s="145">
        <v>4262</v>
      </c>
      <c r="V20" s="145">
        <v>2089</v>
      </c>
      <c r="W20" s="145">
        <v>7748</v>
      </c>
      <c r="X20" s="145">
        <v>5599</v>
      </c>
      <c r="Y20" s="145">
        <v>2980</v>
      </c>
      <c r="Z20" s="145">
        <v>2838</v>
      </c>
      <c r="AA20" s="145">
        <v>70395</v>
      </c>
      <c r="AB20" s="75">
        <v>415606</v>
      </c>
      <c r="AC20" s="75">
        <v>412868</v>
      </c>
      <c r="AF20"/>
      <c r="AG20"/>
      <c r="AH20" s="75">
        <v>67555</v>
      </c>
      <c r="AI20" s="75">
        <v>67688</v>
      </c>
      <c r="AJ20" s="75">
        <v>67970</v>
      </c>
      <c r="AK20" s="75">
        <v>68571</v>
      </c>
      <c r="AL20" s="75">
        <v>68836</v>
      </c>
      <c r="AM20" s="75">
        <v>68954</v>
      </c>
      <c r="AN20" s="75">
        <v>69414</v>
      </c>
      <c r="AO20" s="75">
        <v>347627</v>
      </c>
      <c r="AP20" s="75">
        <v>361077</v>
      </c>
      <c r="AQ20" s="75">
        <v>397281000</v>
      </c>
      <c r="AR20" s="75">
        <v>397539</v>
      </c>
      <c r="AS20" s="75">
        <v>416445</v>
      </c>
      <c r="AT20" s="75">
        <v>416193</v>
      </c>
      <c r="AU20" s="75">
        <v>415606</v>
      </c>
      <c r="AV20" s="75">
        <v>412868</v>
      </c>
    </row>
    <row r="21" spans="1:48" ht="12.5" x14ac:dyDescent="0.25">
      <c r="A21" s="75" t="s">
        <v>513</v>
      </c>
      <c r="B21" s="75" t="s">
        <v>342</v>
      </c>
      <c r="C21" s="145">
        <f t="shared" si="0"/>
        <v>3429.4</v>
      </c>
      <c r="D21" s="145">
        <f t="shared" si="1"/>
        <v>3684.2</v>
      </c>
      <c r="E21" s="145">
        <v>2274000</v>
      </c>
      <c r="F21" s="145">
        <f t="shared" si="2"/>
        <v>6347505.8536464404</v>
      </c>
      <c r="G21" s="145">
        <v>549</v>
      </c>
      <c r="H21" s="145">
        <v>290</v>
      </c>
      <c r="I21" s="145">
        <v>1697</v>
      </c>
      <c r="J21" s="145">
        <v>1697</v>
      </c>
      <c r="K21" s="145">
        <v>5300</v>
      </c>
      <c r="L21" s="145">
        <v>4366</v>
      </c>
      <c r="M21" s="145">
        <v>5761</v>
      </c>
      <c r="N21" s="145">
        <v>5206</v>
      </c>
      <c r="O21" s="145">
        <v>5118</v>
      </c>
      <c r="P21" s="145">
        <v>11032</v>
      </c>
      <c r="Q21" s="145">
        <v>2512</v>
      </c>
      <c r="R21" s="145">
        <v>2472</v>
      </c>
      <c r="S21" s="145">
        <v>2584</v>
      </c>
      <c r="T21" s="145">
        <v>1766</v>
      </c>
      <c r="U21" s="145">
        <v>2584</v>
      </c>
      <c r="V21" s="145">
        <v>1766</v>
      </c>
      <c r="W21" s="145">
        <v>2099</v>
      </c>
      <c r="X21" s="145">
        <v>2161</v>
      </c>
      <c r="Y21" s="145">
        <v>6090</v>
      </c>
      <c r="Z21" s="145">
        <v>6086</v>
      </c>
      <c r="AA21" s="145">
        <v>17390</v>
      </c>
      <c r="AB21" s="75">
        <v>28974</v>
      </c>
      <c r="AC21" s="75">
        <v>28974</v>
      </c>
      <c r="AF21"/>
      <c r="AG21"/>
      <c r="AH21" s="75">
        <v>16709</v>
      </c>
      <c r="AI21" s="75">
        <v>16708</v>
      </c>
      <c r="AJ21" s="75">
        <v>16714</v>
      </c>
      <c r="AK21" s="75">
        <v>16728</v>
      </c>
      <c r="AL21" s="75">
        <v>16817</v>
      </c>
      <c r="AM21" s="75">
        <v>17068</v>
      </c>
      <c r="AN21" s="75">
        <v>17242</v>
      </c>
      <c r="AO21" s="75">
        <v>24473</v>
      </c>
      <c r="AP21" s="75">
        <v>22245</v>
      </c>
      <c r="AQ21" s="75">
        <v>28815000</v>
      </c>
      <c r="AR21" s="75">
        <v>27484</v>
      </c>
      <c r="AS21" s="75">
        <v>27776</v>
      </c>
      <c r="AT21" s="75">
        <v>27402</v>
      </c>
      <c r="AU21" s="75">
        <v>28974</v>
      </c>
      <c r="AV21" s="75">
        <v>28974</v>
      </c>
    </row>
    <row r="22" spans="1:48" ht="12.5" x14ac:dyDescent="0.25">
      <c r="A22" s="75" t="s">
        <v>513</v>
      </c>
      <c r="B22" s="75" t="s">
        <v>343</v>
      </c>
      <c r="C22" s="145">
        <f t="shared" si="0"/>
        <v>722</v>
      </c>
      <c r="D22" s="145">
        <f t="shared" si="1"/>
        <v>605.70000000000005</v>
      </c>
      <c r="E22" s="145">
        <v>824000</v>
      </c>
      <c r="F22" s="145">
        <f t="shared" si="2"/>
        <v>2577605.0545830489</v>
      </c>
      <c r="G22" s="145">
        <v>398</v>
      </c>
      <c r="H22" s="145">
        <v>372</v>
      </c>
      <c r="I22" s="145">
        <v>1863</v>
      </c>
      <c r="J22" s="145">
        <v>1377</v>
      </c>
      <c r="K22" s="145">
        <v>467</v>
      </c>
      <c r="L22" s="145">
        <v>238</v>
      </c>
      <c r="M22" s="145">
        <v>635</v>
      </c>
      <c r="N22" s="145">
        <v>696</v>
      </c>
      <c r="O22" s="145">
        <v>458</v>
      </c>
      <c r="P22" s="145">
        <v>229</v>
      </c>
      <c r="Q22" s="145">
        <v>320</v>
      </c>
      <c r="R22" s="145">
        <v>243</v>
      </c>
      <c r="S22" s="145">
        <v>1586</v>
      </c>
      <c r="T22" s="145">
        <v>1510</v>
      </c>
      <c r="U22" s="145">
        <v>580</v>
      </c>
      <c r="V22" s="145">
        <v>565</v>
      </c>
      <c r="W22" s="145">
        <v>360</v>
      </c>
      <c r="X22" s="145">
        <v>341</v>
      </c>
      <c r="Y22" s="145">
        <v>553</v>
      </c>
      <c r="Z22" s="145">
        <v>486</v>
      </c>
      <c r="AA22" s="145">
        <v>7205</v>
      </c>
      <c r="AB22" s="75">
        <v>15968</v>
      </c>
      <c r="AC22" s="75">
        <v>16746</v>
      </c>
      <c r="AF22"/>
      <c r="AG22"/>
      <c r="AH22" s="75">
        <v>6658</v>
      </c>
      <c r="AI22" s="75">
        <v>6801</v>
      </c>
      <c r="AJ22" s="75">
        <v>6848</v>
      </c>
      <c r="AK22" s="75">
        <v>6856</v>
      </c>
      <c r="AL22" s="75">
        <v>6899</v>
      </c>
      <c r="AM22" s="75">
        <v>6931</v>
      </c>
      <c r="AN22" s="75">
        <v>7071</v>
      </c>
      <c r="AO22" s="75">
        <v>16667</v>
      </c>
      <c r="AP22" s="75">
        <v>15790</v>
      </c>
      <c r="AQ22" s="75">
        <v>15247000</v>
      </c>
      <c r="AR22" s="75">
        <v>15137</v>
      </c>
      <c r="AS22" s="75">
        <v>14895</v>
      </c>
      <c r="AT22" s="75">
        <v>15315</v>
      </c>
      <c r="AU22" s="75">
        <v>15968</v>
      </c>
      <c r="AV22" s="75">
        <v>16746</v>
      </c>
    </row>
    <row r="23" spans="1:48" ht="12.5" x14ac:dyDescent="0.25">
      <c r="A23" s="75" t="s">
        <v>520</v>
      </c>
      <c r="B23" s="75" t="s">
        <v>213</v>
      </c>
      <c r="C23" s="145">
        <f t="shared" si="0"/>
        <v>76.7</v>
      </c>
      <c r="D23" s="145">
        <f t="shared" si="1"/>
        <v>202.3</v>
      </c>
      <c r="E23" s="145">
        <v>2699000</v>
      </c>
      <c r="F23" s="145">
        <f t="shared" si="2"/>
        <v>9252378.6110188533</v>
      </c>
      <c r="G23" s="145">
        <v>0</v>
      </c>
      <c r="H23" s="145">
        <v>0</v>
      </c>
      <c r="I23" s="145">
        <v>0</v>
      </c>
      <c r="J23" s="145">
        <v>35</v>
      </c>
      <c r="K23" s="145">
        <v>767</v>
      </c>
      <c r="L23" s="145">
        <v>168</v>
      </c>
      <c r="M23" s="145">
        <v>0</v>
      </c>
      <c r="N23" s="145">
        <v>5</v>
      </c>
      <c r="O23" s="145">
        <v>0</v>
      </c>
      <c r="P23" s="145">
        <v>36</v>
      </c>
      <c r="Q23" s="145">
        <v>0</v>
      </c>
      <c r="R23" s="145">
        <v>254</v>
      </c>
      <c r="S23" s="145">
        <v>0</v>
      </c>
      <c r="T23" s="145">
        <v>5</v>
      </c>
      <c r="U23" s="145">
        <v>0</v>
      </c>
      <c r="V23" s="145">
        <v>0</v>
      </c>
      <c r="W23" s="145">
        <v>0</v>
      </c>
      <c r="X23" s="145">
        <v>1520</v>
      </c>
      <c r="Y23" s="145">
        <v>0</v>
      </c>
      <c r="Z23" s="145">
        <v>0</v>
      </c>
      <c r="AA23" s="145">
        <v>25187</v>
      </c>
      <c r="AB23" s="75">
        <v>60963</v>
      </c>
      <c r="AC23" s="75">
        <v>61550</v>
      </c>
      <c r="AF23"/>
      <c r="AG23"/>
      <c r="AH23" s="75">
        <v>24522</v>
      </c>
      <c r="AI23" s="75">
        <v>24638</v>
      </c>
      <c r="AJ23" s="75">
        <v>24764</v>
      </c>
      <c r="AK23" s="75">
        <v>24838</v>
      </c>
      <c r="AL23" s="75">
        <v>24792</v>
      </c>
      <c r="AM23" s="75">
        <v>24879</v>
      </c>
      <c r="AN23" s="75">
        <v>25008</v>
      </c>
      <c r="AO23" s="75">
        <v>50671</v>
      </c>
      <c r="AP23" s="75">
        <v>51906</v>
      </c>
      <c r="AQ23" s="75">
        <v>54281000</v>
      </c>
      <c r="AR23" s="75">
        <v>52027</v>
      </c>
      <c r="AS23" s="75">
        <v>51813</v>
      </c>
      <c r="AT23" s="75">
        <v>48856</v>
      </c>
      <c r="AU23" s="75">
        <v>60963</v>
      </c>
      <c r="AV23" s="75">
        <v>61550</v>
      </c>
    </row>
    <row r="24" spans="1:48" ht="12.5" x14ac:dyDescent="0.25">
      <c r="A24" s="75" t="s">
        <v>517</v>
      </c>
      <c r="B24" s="75" t="s">
        <v>284</v>
      </c>
      <c r="C24" s="145">
        <f t="shared" si="0"/>
        <v>12751.1</v>
      </c>
      <c r="D24" s="145">
        <f t="shared" si="1"/>
        <v>11628.4</v>
      </c>
      <c r="E24" s="145">
        <v>8445000</v>
      </c>
      <c r="F24" s="145">
        <f t="shared" si="2"/>
        <v>18119845.776143398</v>
      </c>
      <c r="G24" s="145">
        <v>5416</v>
      </c>
      <c r="H24" s="145">
        <v>5359</v>
      </c>
      <c r="I24" s="145">
        <v>21224</v>
      </c>
      <c r="J24" s="145">
        <v>19493</v>
      </c>
      <c r="K24" s="145">
        <v>32276</v>
      </c>
      <c r="L24" s="145">
        <v>31651</v>
      </c>
      <c r="M24" s="145">
        <v>12046</v>
      </c>
      <c r="N24" s="145">
        <v>11567</v>
      </c>
      <c r="O24" s="145">
        <v>13705</v>
      </c>
      <c r="P24" s="145">
        <v>14440</v>
      </c>
      <c r="Q24" s="145">
        <v>7223</v>
      </c>
      <c r="R24" s="145">
        <v>7137</v>
      </c>
      <c r="S24" s="145">
        <v>11482</v>
      </c>
      <c r="T24" s="145">
        <v>8811</v>
      </c>
      <c r="U24" s="145">
        <v>10237</v>
      </c>
      <c r="V24" s="145">
        <v>8937</v>
      </c>
      <c r="W24" s="145">
        <v>6069</v>
      </c>
      <c r="X24" s="145">
        <v>7202</v>
      </c>
      <c r="Y24" s="145">
        <v>7833</v>
      </c>
      <c r="Z24" s="145">
        <v>1687</v>
      </c>
      <c r="AA24" s="145">
        <v>48568</v>
      </c>
      <c r="AB24" s="75">
        <v>184056</v>
      </c>
      <c r="AC24" s="75">
        <v>179951</v>
      </c>
      <c r="AF24"/>
      <c r="AG24"/>
      <c r="AH24" s="75">
        <v>48344</v>
      </c>
      <c r="AI24" s="75">
        <v>48485</v>
      </c>
      <c r="AJ24" s="75">
        <v>48688</v>
      </c>
      <c r="AK24" s="75">
        <v>48741</v>
      </c>
      <c r="AL24" s="75">
        <v>48643</v>
      </c>
      <c r="AM24" s="75">
        <v>48723</v>
      </c>
      <c r="AN24" s="75">
        <v>48812</v>
      </c>
      <c r="AO24" s="75">
        <v>141483</v>
      </c>
      <c r="AP24" s="75">
        <v>126217</v>
      </c>
      <c r="AQ24" s="75">
        <v>156404000</v>
      </c>
      <c r="AR24" s="75">
        <v>161036</v>
      </c>
      <c r="AS24" s="75">
        <v>175946</v>
      </c>
      <c r="AT24" s="75">
        <v>179600</v>
      </c>
      <c r="AU24" s="75">
        <v>184056</v>
      </c>
      <c r="AV24" s="75">
        <v>179951</v>
      </c>
    </row>
    <row r="25" spans="1:48" ht="12.5" x14ac:dyDescent="0.25">
      <c r="A25" s="75" t="s">
        <v>515</v>
      </c>
      <c r="B25" s="75" t="s">
        <v>166</v>
      </c>
      <c r="C25" s="145">
        <f t="shared" si="0"/>
        <v>18082.3</v>
      </c>
      <c r="D25" s="145">
        <f t="shared" si="1"/>
        <v>16000.9</v>
      </c>
      <c r="E25" s="145">
        <v>14243000</v>
      </c>
      <c r="F25" s="145">
        <f t="shared" si="2"/>
        <v>22531637.54681411</v>
      </c>
      <c r="G25" s="145">
        <v>0</v>
      </c>
      <c r="H25" s="145">
        <v>0</v>
      </c>
      <c r="I25" s="145">
        <v>15802</v>
      </c>
      <c r="J25" s="145">
        <v>15940</v>
      </c>
      <c r="K25" s="145">
        <v>40200</v>
      </c>
      <c r="L25" s="145">
        <v>27919</v>
      </c>
      <c r="M25" s="145">
        <v>20218</v>
      </c>
      <c r="N25" s="145">
        <v>29250</v>
      </c>
      <c r="O25" s="145">
        <v>30632</v>
      </c>
      <c r="P25" s="145">
        <v>24604</v>
      </c>
      <c r="Q25" s="145">
        <v>17522</v>
      </c>
      <c r="R25" s="145">
        <v>20128</v>
      </c>
      <c r="S25" s="145">
        <v>17991</v>
      </c>
      <c r="T25" s="145">
        <v>14666</v>
      </c>
      <c r="U25" s="145">
        <v>5019</v>
      </c>
      <c r="V25" s="145">
        <v>1111</v>
      </c>
      <c r="W25" s="145">
        <v>1895</v>
      </c>
      <c r="X25" s="145">
        <v>10060</v>
      </c>
      <c r="Y25" s="145">
        <v>31544</v>
      </c>
      <c r="Z25" s="145">
        <v>16331</v>
      </c>
      <c r="AA25" s="145">
        <v>63160</v>
      </c>
      <c r="AB25" s="75">
        <v>264374</v>
      </c>
      <c r="AC25" s="75">
        <v>269587</v>
      </c>
      <c r="AF25"/>
      <c r="AG25"/>
      <c r="AH25" s="75">
        <v>56371</v>
      </c>
      <c r="AI25" s="75">
        <v>57358</v>
      </c>
      <c r="AJ25" s="75">
        <v>57960</v>
      </c>
      <c r="AK25" s="75">
        <v>58938</v>
      </c>
      <c r="AL25" s="75">
        <v>59992</v>
      </c>
      <c r="AM25" s="75">
        <v>60586</v>
      </c>
      <c r="AN25" s="75">
        <v>61655</v>
      </c>
      <c r="AO25" s="75">
        <v>233741</v>
      </c>
      <c r="AP25" s="75">
        <v>236191</v>
      </c>
      <c r="AQ25" s="75">
        <v>195824000</v>
      </c>
      <c r="AR25" s="75">
        <v>196625</v>
      </c>
      <c r="AS25" s="75">
        <v>224915</v>
      </c>
      <c r="AT25" s="75">
        <v>250404</v>
      </c>
      <c r="AU25" s="75">
        <v>264374</v>
      </c>
      <c r="AV25" s="75">
        <v>269587</v>
      </c>
    </row>
    <row r="26" spans="1:48" ht="12.5" x14ac:dyDescent="0.25">
      <c r="A26" s="75" t="s">
        <v>522</v>
      </c>
      <c r="B26" s="75" t="s">
        <v>826</v>
      </c>
      <c r="C26" s="145">
        <f t="shared" si="0"/>
        <v>624</v>
      </c>
      <c r="D26" s="145">
        <f t="shared" si="1"/>
        <v>660.9</v>
      </c>
      <c r="E26" s="145">
        <v>2052000</v>
      </c>
      <c r="F26" s="145">
        <f t="shared" si="2"/>
        <v>5881149.3771715965</v>
      </c>
      <c r="G26" s="145">
        <v>1023</v>
      </c>
      <c r="H26" s="145">
        <v>903</v>
      </c>
      <c r="I26" s="145">
        <v>1546</v>
      </c>
      <c r="J26" s="145">
        <v>1287</v>
      </c>
      <c r="K26" s="145">
        <v>1803</v>
      </c>
      <c r="L26" s="145">
        <v>1580</v>
      </c>
      <c r="M26" s="145">
        <v>737</v>
      </c>
      <c r="N26" s="145">
        <v>537</v>
      </c>
      <c r="O26" s="145">
        <v>372</v>
      </c>
      <c r="P26" s="145">
        <v>500</v>
      </c>
      <c r="Q26" s="145">
        <v>150</v>
      </c>
      <c r="R26" s="145">
        <v>353</v>
      </c>
      <c r="S26" s="145">
        <v>465</v>
      </c>
      <c r="T26" s="145">
        <v>599</v>
      </c>
      <c r="U26" s="145">
        <v>94</v>
      </c>
      <c r="V26" s="145">
        <v>278</v>
      </c>
      <c r="W26" s="145">
        <v>21</v>
      </c>
      <c r="X26" s="145">
        <v>264</v>
      </c>
      <c r="Y26" s="145">
        <v>29</v>
      </c>
      <c r="Z26" s="145">
        <v>308</v>
      </c>
      <c r="AA26" s="145">
        <v>16245</v>
      </c>
      <c r="AB26" s="75">
        <v>32851</v>
      </c>
      <c r="AC26" s="75">
        <v>42906</v>
      </c>
      <c r="AF26"/>
      <c r="AG26"/>
      <c r="AH26" s="75">
        <v>15945</v>
      </c>
      <c r="AI26" s="75">
        <v>15902</v>
      </c>
      <c r="AJ26" s="75">
        <v>15927</v>
      </c>
      <c r="AK26" s="75">
        <v>15895</v>
      </c>
      <c r="AL26" s="75">
        <v>15875</v>
      </c>
      <c r="AM26" s="75">
        <v>15814</v>
      </c>
      <c r="AN26" s="75">
        <v>16132</v>
      </c>
      <c r="AO26" s="75">
        <v>21970</v>
      </c>
      <c r="AP26" s="75">
        <v>25600</v>
      </c>
      <c r="AQ26" s="75">
        <v>26040000</v>
      </c>
      <c r="AR26" s="75">
        <v>25999</v>
      </c>
      <c r="AS26" s="75">
        <v>27736</v>
      </c>
      <c r="AT26" s="75">
        <v>29764</v>
      </c>
      <c r="AU26" s="75">
        <v>32851</v>
      </c>
      <c r="AV26" s="75">
        <v>42906</v>
      </c>
    </row>
    <row r="27" spans="1:48" ht="12.5" x14ac:dyDescent="0.25">
      <c r="A27" s="75" t="s">
        <v>522</v>
      </c>
      <c r="B27" s="75" t="s">
        <v>592</v>
      </c>
      <c r="C27" s="145">
        <f t="shared" si="0"/>
        <v>41.1</v>
      </c>
      <c r="D27" s="145">
        <f t="shared" si="1"/>
        <v>69.2</v>
      </c>
      <c r="E27" s="145">
        <v>7540000</v>
      </c>
      <c r="F27" s="145">
        <f t="shared" si="2"/>
        <v>13359588.281025374</v>
      </c>
      <c r="G27" s="145">
        <v>0</v>
      </c>
      <c r="H27" s="145">
        <v>285</v>
      </c>
      <c r="I27" s="145">
        <v>155</v>
      </c>
      <c r="J27" s="145">
        <v>20</v>
      </c>
      <c r="K27" s="145">
        <v>169</v>
      </c>
      <c r="L27" s="145">
        <v>55</v>
      </c>
      <c r="M27" s="145">
        <v>87</v>
      </c>
      <c r="N27" s="145">
        <v>107</v>
      </c>
      <c r="O27" s="145">
        <v>0</v>
      </c>
      <c r="P27" s="145">
        <v>21</v>
      </c>
      <c r="Q27" s="145">
        <v>0</v>
      </c>
      <c r="R27" s="145">
        <v>0</v>
      </c>
      <c r="S27" s="145">
        <v>0</v>
      </c>
      <c r="T27" s="145">
        <v>0</v>
      </c>
      <c r="U27" s="145">
        <v>0</v>
      </c>
      <c r="V27" s="145">
        <v>0</v>
      </c>
      <c r="W27" s="145">
        <v>0</v>
      </c>
      <c r="X27" s="145">
        <v>0</v>
      </c>
      <c r="Y27" s="145">
        <v>0</v>
      </c>
      <c r="Z27" s="145">
        <v>204</v>
      </c>
      <c r="AA27" s="145">
        <v>35817</v>
      </c>
      <c r="AB27" s="75">
        <v>99897</v>
      </c>
      <c r="AC27" s="75">
        <v>100294</v>
      </c>
      <c r="AF27"/>
      <c r="AG27"/>
      <c r="AH27" s="75">
        <v>36125</v>
      </c>
      <c r="AI27" s="75">
        <v>35965</v>
      </c>
      <c r="AJ27" s="75">
        <v>35722</v>
      </c>
      <c r="AK27" s="75">
        <v>35965</v>
      </c>
      <c r="AL27" s="75">
        <v>36065</v>
      </c>
      <c r="AM27" s="75">
        <v>35923</v>
      </c>
      <c r="AN27" s="75">
        <v>35966</v>
      </c>
      <c r="AO27" s="75">
        <v>67401</v>
      </c>
      <c r="AP27" s="75">
        <v>73824</v>
      </c>
      <c r="AQ27" s="75">
        <v>74244000</v>
      </c>
      <c r="AR27" s="75">
        <v>81382</v>
      </c>
      <c r="AS27" s="75">
        <v>91100</v>
      </c>
      <c r="AT27" s="75">
        <v>96637</v>
      </c>
      <c r="AU27" s="75">
        <v>99897</v>
      </c>
      <c r="AV27" s="75">
        <v>100294</v>
      </c>
    </row>
    <row r="28" spans="1:48" ht="12.5" x14ac:dyDescent="0.25">
      <c r="A28" s="75" t="s">
        <v>522</v>
      </c>
      <c r="B28" s="75" t="s">
        <v>399</v>
      </c>
      <c r="C28" s="145">
        <f t="shared" si="0"/>
        <v>1456.7</v>
      </c>
      <c r="D28" s="145">
        <f t="shared" si="1"/>
        <v>1710.3</v>
      </c>
      <c r="E28" s="145">
        <v>1396000</v>
      </c>
      <c r="F28" s="145">
        <f t="shared" si="2"/>
        <v>4987857.3066033544</v>
      </c>
      <c r="G28" s="145">
        <v>0</v>
      </c>
      <c r="H28" s="145">
        <v>394</v>
      </c>
      <c r="I28" s="145">
        <v>2666</v>
      </c>
      <c r="J28" s="145">
        <v>2726</v>
      </c>
      <c r="K28" s="145">
        <v>1612</v>
      </c>
      <c r="L28" s="145">
        <v>1364</v>
      </c>
      <c r="M28" s="145">
        <v>1232</v>
      </c>
      <c r="N28" s="145">
        <v>1545</v>
      </c>
      <c r="O28" s="145">
        <v>415</v>
      </c>
      <c r="P28" s="145">
        <v>474</v>
      </c>
      <c r="Q28" s="145">
        <v>2997</v>
      </c>
      <c r="R28" s="145">
        <v>3153</v>
      </c>
      <c r="S28" s="145">
        <v>1621</v>
      </c>
      <c r="T28" s="145">
        <v>1651</v>
      </c>
      <c r="U28" s="145">
        <v>1296</v>
      </c>
      <c r="V28" s="145">
        <v>2947</v>
      </c>
      <c r="W28" s="145">
        <v>2728</v>
      </c>
      <c r="X28" s="145">
        <v>2634</v>
      </c>
      <c r="Y28" s="145">
        <v>0</v>
      </c>
      <c r="Z28" s="145">
        <v>215</v>
      </c>
      <c r="AA28" s="145">
        <v>13525</v>
      </c>
      <c r="AB28" s="75">
        <v>23821</v>
      </c>
      <c r="AC28" s="75">
        <v>23733</v>
      </c>
      <c r="AF28"/>
      <c r="AG28"/>
      <c r="AH28" s="75">
        <v>13407</v>
      </c>
      <c r="AI28" s="75">
        <v>13446</v>
      </c>
      <c r="AJ28" s="75">
        <v>13526</v>
      </c>
      <c r="AK28" s="75">
        <v>13485</v>
      </c>
      <c r="AL28" s="75">
        <v>13450</v>
      </c>
      <c r="AM28" s="75">
        <v>13412</v>
      </c>
      <c r="AN28" s="75">
        <v>13449</v>
      </c>
      <c r="AO28" s="75">
        <v>18607</v>
      </c>
      <c r="AP28" s="75">
        <v>17355</v>
      </c>
      <c r="AQ28" s="75">
        <v>17503000</v>
      </c>
      <c r="AR28" s="75">
        <v>16853</v>
      </c>
      <c r="AS28" s="75">
        <v>20753</v>
      </c>
      <c r="AT28" s="75">
        <v>23180</v>
      </c>
      <c r="AU28" s="75">
        <v>23821</v>
      </c>
      <c r="AV28" s="75">
        <v>23733</v>
      </c>
    </row>
    <row r="29" spans="1:48" ht="12.5" x14ac:dyDescent="0.25">
      <c r="A29" s="75" t="s">
        <v>515</v>
      </c>
      <c r="B29" s="75" t="s">
        <v>523</v>
      </c>
      <c r="C29" s="145">
        <f t="shared" si="0"/>
        <v>1431.4</v>
      </c>
      <c r="D29" s="145">
        <f t="shared" si="1"/>
        <v>1397</v>
      </c>
      <c r="E29" s="216">
        <v>5228000</v>
      </c>
      <c r="F29" s="145">
        <f t="shared" si="2"/>
        <v>12996246.751905818</v>
      </c>
      <c r="G29" s="145">
        <v>0</v>
      </c>
      <c r="H29" s="145">
        <v>21</v>
      </c>
      <c r="I29" s="145">
        <v>3374</v>
      </c>
      <c r="J29" s="145">
        <v>3946</v>
      </c>
      <c r="K29" s="145">
        <v>4463</v>
      </c>
      <c r="L29" s="145">
        <v>4430</v>
      </c>
      <c r="M29" s="145">
        <v>4365</v>
      </c>
      <c r="N29" s="145">
        <v>3604</v>
      </c>
      <c r="O29" s="145">
        <v>1032</v>
      </c>
      <c r="P29" s="145">
        <v>519</v>
      </c>
      <c r="Q29" s="145">
        <v>185</v>
      </c>
      <c r="R29" s="145">
        <v>241</v>
      </c>
      <c r="S29" s="145">
        <v>61</v>
      </c>
      <c r="T29" s="145">
        <v>238</v>
      </c>
      <c r="U29" s="145">
        <v>68</v>
      </c>
      <c r="V29" s="145">
        <v>222</v>
      </c>
      <c r="W29" s="145">
        <v>248</v>
      </c>
      <c r="X29" s="145">
        <v>218</v>
      </c>
      <c r="Y29" s="145">
        <v>518</v>
      </c>
      <c r="Z29" s="145">
        <v>531</v>
      </c>
      <c r="AA29" s="145">
        <v>35556</v>
      </c>
      <c r="AB29" s="75">
        <v>80211</v>
      </c>
      <c r="AC29" s="75">
        <v>82401</v>
      </c>
      <c r="AF29"/>
      <c r="AG29"/>
      <c r="AH29" s="75">
        <v>34803</v>
      </c>
      <c r="AI29" s="75">
        <v>34748</v>
      </c>
      <c r="AJ29" s="75">
        <v>34766</v>
      </c>
      <c r="AK29" s="75">
        <v>34936</v>
      </c>
      <c r="AL29" s="75">
        <v>35010</v>
      </c>
      <c r="AM29" s="75">
        <v>34946</v>
      </c>
      <c r="AN29" s="75">
        <v>35420</v>
      </c>
      <c r="AO29" s="75">
        <v>70105</v>
      </c>
      <c r="AP29" s="75">
        <v>70964</v>
      </c>
      <c r="AQ29" s="75">
        <v>74225000</v>
      </c>
      <c r="AR29" s="75">
        <v>74621</v>
      </c>
      <c r="AS29" s="75">
        <v>76993</v>
      </c>
      <c r="AT29" s="75">
        <v>78696</v>
      </c>
      <c r="AU29" s="75">
        <v>80211</v>
      </c>
      <c r="AV29" s="75">
        <v>82401</v>
      </c>
    </row>
    <row r="30" spans="1:48" ht="12.5" x14ac:dyDescent="0.25">
      <c r="A30" s="75" t="s">
        <v>513</v>
      </c>
      <c r="B30" s="75" t="s">
        <v>344</v>
      </c>
      <c r="C30" s="145">
        <f t="shared" si="0"/>
        <v>4059.4</v>
      </c>
      <c r="D30" s="145">
        <f t="shared" si="1"/>
        <v>3409.6</v>
      </c>
      <c r="E30" s="145">
        <v>3095000</v>
      </c>
      <c r="F30" s="145">
        <f t="shared" si="2"/>
        <v>7019520.3297150554</v>
      </c>
      <c r="G30" s="145">
        <v>3339</v>
      </c>
      <c r="H30" s="145">
        <v>3568</v>
      </c>
      <c r="I30" s="145">
        <v>5497</v>
      </c>
      <c r="J30" s="145">
        <v>3141</v>
      </c>
      <c r="K30" s="145">
        <v>5611</v>
      </c>
      <c r="L30" s="145">
        <v>5060</v>
      </c>
      <c r="M30" s="145">
        <v>3914</v>
      </c>
      <c r="N30" s="145">
        <v>2993</v>
      </c>
      <c r="O30" s="145">
        <v>2691</v>
      </c>
      <c r="P30" s="145">
        <v>1757</v>
      </c>
      <c r="Q30" s="145">
        <v>5731</v>
      </c>
      <c r="R30" s="145">
        <v>4521</v>
      </c>
      <c r="S30" s="145">
        <v>5361</v>
      </c>
      <c r="T30" s="145">
        <v>4651</v>
      </c>
      <c r="U30" s="145">
        <v>3079</v>
      </c>
      <c r="V30" s="145">
        <v>3253</v>
      </c>
      <c r="W30" s="145">
        <v>4102</v>
      </c>
      <c r="X30" s="145">
        <v>3733</v>
      </c>
      <c r="Y30" s="145">
        <v>1269</v>
      </c>
      <c r="Z30" s="145">
        <v>1419</v>
      </c>
      <c r="AA30" s="145">
        <v>19260</v>
      </c>
      <c r="AB30" s="75">
        <v>35502</v>
      </c>
      <c r="AC30" s="75">
        <v>40630</v>
      </c>
      <c r="AF30"/>
      <c r="AG30"/>
      <c r="AH30" s="75">
        <v>18352</v>
      </c>
      <c r="AI30" s="75">
        <v>18394</v>
      </c>
      <c r="AJ30" s="75">
        <v>18497</v>
      </c>
      <c r="AK30" s="75">
        <v>18663</v>
      </c>
      <c r="AL30" s="75">
        <v>18754</v>
      </c>
      <c r="AM30" s="75">
        <v>18875</v>
      </c>
      <c r="AN30" s="75">
        <v>19092</v>
      </c>
      <c r="AO30" s="75">
        <v>35122</v>
      </c>
      <c r="AP30" s="75">
        <v>36847</v>
      </c>
      <c r="AQ30" s="75">
        <v>35394000</v>
      </c>
      <c r="AR30" s="75">
        <v>36357</v>
      </c>
      <c r="AS30" s="75">
        <v>37781</v>
      </c>
      <c r="AT30" s="75">
        <v>38480</v>
      </c>
      <c r="AU30" s="75">
        <v>35502</v>
      </c>
      <c r="AV30" s="75">
        <v>40630</v>
      </c>
    </row>
    <row r="31" spans="1:48" ht="12.5" x14ac:dyDescent="0.25">
      <c r="A31" s="75" t="s">
        <v>522</v>
      </c>
      <c r="B31" s="75" t="s">
        <v>434</v>
      </c>
      <c r="C31" s="145">
        <f t="shared" si="0"/>
        <v>334.9</v>
      </c>
      <c r="D31" s="145">
        <f t="shared" si="1"/>
        <v>168.9</v>
      </c>
      <c r="E31" s="145">
        <v>2028000</v>
      </c>
      <c r="F31" s="145">
        <f t="shared" si="2"/>
        <v>4874057.4008606896</v>
      </c>
      <c r="G31" s="145">
        <v>55</v>
      </c>
      <c r="H31" s="145">
        <v>16</v>
      </c>
      <c r="I31" s="145">
        <v>30</v>
      </c>
      <c r="J31" s="145">
        <v>106</v>
      </c>
      <c r="K31" s="145">
        <v>1152</v>
      </c>
      <c r="L31" s="145">
        <v>203</v>
      </c>
      <c r="M31" s="145">
        <v>647</v>
      </c>
      <c r="N31" s="145">
        <v>16</v>
      </c>
      <c r="O31" s="145">
        <v>334</v>
      </c>
      <c r="P31" s="145">
        <v>120</v>
      </c>
      <c r="Q31" s="145">
        <v>286</v>
      </c>
      <c r="R31" s="145">
        <v>146</v>
      </c>
      <c r="S31" s="145">
        <v>135</v>
      </c>
      <c r="T31" s="145">
        <v>132</v>
      </c>
      <c r="U31" s="145">
        <v>514</v>
      </c>
      <c r="V31" s="145">
        <v>393</v>
      </c>
      <c r="W31" s="145">
        <v>154</v>
      </c>
      <c r="X31" s="145">
        <v>431</v>
      </c>
      <c r="Y31" s="145">
        <v>42</v>
      </c>
      <c r="Z31" s="145">
        <v>126</v>
      </c>
      <c r="AA31" s="145">
        <v>13063</v>
      </c>
      <c r="AB31" s="75">
        <v>52708</v>
      </c>
      <c r="AC31" s="75">
        <v>53862</v>
      </c>
      <c r="AF31"/>
      <c r="AG31"/>
      <c r="AH31" s="75">
        <v>13095</v>
      </c>
      <c r="AI31" s="75">
        <v>13110</v>
      </c>
      <c r="AJ31" s="75">
        <v>13134</v>
      </c>
      <c r="AK31" s="75">
        <v>13098</v>
      </c>
      <c r="AL31" s="75">
        <v>13108</v>
      </c>
      <c r="AM31" s="75">
        <v>13106</v>
      </c>
      <c r="AN31" s="75">
        <v>13119</v>
      </c>
      <c r="AO31" s="75">
        <v>15356</v>
      </c>
      <c r="AP31" s="75">
        <v>15994</v>
      </c>
      <c r="AQ31" s="75">
        <v>16879000</v>
      </c>
      <c r="AR31" s="75">
        <v>18093</v>
      </c>
      <c r="AS31" s="75">
        <v>19705</v>
      </c>
      <c r="AT31" s="75">
        <v>22090</v>
      </c>
      <c r="AU31" s="75">
        <v>52708</v>
      </c>
      <c r="AV31" s="75">
        <v>53862</v>
      </c>
    </row>
    <row r="32" spans="1:48" ht="12.5" x14ac:dyDescent="0.25">
      <c r="A32" s="75" t="s">
        <v>514</v>
      </c>
      <c r="B32" s="75" t="s">
        <v>435</v>
      </c>
      <c r="C32" s="145">
        <f t="shared" si="0"/>
        <v>1565.9</v>
      </c>
      <c r="D32" s="145">
        <f t="shared" si="1"/>
        <v>1705.5</v>
      </c>
      <c r="E32" s="145">
        <v>4789000</v>
      </c>
      <c r="F32" s="145">
        <f t="shared" si="2"/>
        <v>11059045.088462867</v>
      </c>
      <c r="G32" s="145">
        <v>2112</v>
      </c>
      <c r="H32" s="145">
        <v>2237</v>
      </c>
      <c r="I32" s="145">
        <v>1944</v>
      </c>
      <c r="J32" s="145">
        <v>836</v>
      </c>
      <c r="K32" s="145">
        <v>1206</v>
      </c>
      <c r="L32" s="145">
        <v>904</v>
      </c>
      <c r="M32" s="145">
        <v>571</v>
      </c>
      <c r="N32" s="145">
        <v>733</v>
      </c>
      <c r="O32" s="145">
        <v>317</v>
      </c>
      <c r="P32" s="145">
        <v>946</v>
      </c>
      <c r="Q32" s="145">
        <v>443</v>
      </c>
      <c r="R32" s="145">
        <v>462</v>
      </c>
      <c r="S32" s="145">
        <v>5409</v>
      </c>
      <c r="T32" s="145">
        <v>6685</v>
      </c>
      <c r="U32" s="145">
        <v>178</v>
      </c>
      <c r="V32" s="145">
        <v>1255</v>
      </c>
      <c r="W32" s="145">
        <v>754</v>
      </c>
      <c r="X32" s="145">
        <v>493</v>
      </c>
      <c r="Y32" s="145">
        <v>2725</v>
      </c>
      <c r="Z32" s="145">
        <v>2504</v>
      </c>
      <c r="AA32" s="145">
        <v>29718</v>
      </c>
      <c r="AB32" s="75">
        <v>89405</v>
      </c>
      <c r="AC32" s="75">
        <v>99253</v>
      </c>
      <c r="AF32"/>
      <c r="AG32"/>
      <c r="AH32" s="75">
        <v>29839</v>
      </c>
      <c r="AI32" s="75">
        <v>29941</v>
      </c>
      <c r="AJ32" s="75">
        <v>29965</v>
      </c>
      <c r="AK32" s="75">
        <v>29860</v>
      </c>
      <c r="AL32" s="75">
        <v>29715</v>
      </c>
      <c r="AM32" s="75">
        <v>29737</v>
      </c>
      <c r="AN32" s="75">
        <v>30138</v>
      </c>
      <c r="AO32" s="75">
        <v>90206</v>
      </c>
      <c r="AP32" s="75">
        <v>92575</v>
      </c>
      <c r="AQ32" s="75">
        <v>96099000</v>
      </c>
      <c r="AR32" s="75">
        <v>97618</v>
      </c>
      <c r="AS32" s="75">
        <v>95840</v>
      </c>
      <c r="AT32" s="75">
        <v>94876</v>
      </c>
      <c r="AU32" s="75">
        <v>89405</v>
      </c>
      <c r="AV32" s="75">
        <v>99253</v>
      </c>
    </row>
    <row r="33" spans="1:48" ht="12.5" x14ac:dyDescent="0.25">
      <c r="A33" s="75" t="s">
        <v>513</v>
      </c>
      <c r="B33" s="75" t="s">
        <v>345</v>
      </c>
      <c r="C33" s="145">
        <f t="shared" si="0"/>
        <v>20503.3</v>
      </c>
      <c r="D33" s="145">
        <f t="shared" si="1"/>
        <v>17307.7</v>
      </c>
      <c r="E33" s="145">
        <v>12262000</v>
      </c>
      <c r="F33" s="145">
        <f t="shared" si="2"/>
        <v>25244240.528797772</v>
      </c>
      <c r="G33" s="145">
        <v>8127</v>
      </c>
      <c r="H33" s="145">
        <v>4275</v>
      </c>
      <c r="I33" s="145">
        <v>6572</v>
      </c>
      <c r="J33" s="145">
        <v>3225</v>
      </c>
      <c r="K33" s="145">
        <v>58552</v>
      </c>
      <c r="L33" s="145">
        <v>61276</v>
      </c>
      <c r="M33" s="145">
        <v>26816</v>
      </c>
      <c r="N33" s="145">
        <v>21885</v>
      </c>
      <c r="O33" s="145">
        <v>16127</v>
      </c>
      <c r="P33" s="145">
        <v>13328</v>
      </c>
      <c r="Q33" s="145">
        <v>16813</v>
      </c>
      <c r="R33" s="145">
        <v>11565</v>
      </c>
      <c r="S33" s="145">
        <v>7325</v>
      </c>
      <c r="T33" s="145">
        <v>5413</v>
      </c>
      <c r="U33" s="145">
        <v>27487</v>
      </c>
      <c r="V33" s="145">
        <v>24519</v>
      </c>
      <c r="W33" s="145">
        <v>32972</v>
      </c>
      <c r="X33" s="145">
        <v>27512</v>
      </c>
      <c r="Y33" s="145">
        <v>4242</v>
      </c>
      <c r="Z33" s="145">
        <v>79</v>
      </c>
      <c r="AA33" s="145">
        <v>70216</v>
      </c>
      <c r="AB33" s="75">
        <v>283478</v>
      </c>
      <c r="AC33" s="75">
        <v>284818</v>
      </c>
      <c r="AF33"/>
      <c r="AG33"/>
      <c r="AH33" s="75">
        <v>66211</v>
      </c>
      <c r="AI33" s="75">
        <v>66331</v>
      </c>
      <c r="AJ33" s="75">
        <v>66805</v>
      </c>
      <c r="AK33" s="75">
        <v>67485</v>
      </c>
      <c r="AL33" s="75">
        <v>67514</v>
      </c>
      <c r="AM33" s="75">
        <v>67880</v>
      </c>
      <c r="AN33" s="75">
        <v>68864</v>
      </c>
      <c r="AO33" s="75">
        <v>226558</v>
      </c>
      <c r="AP33" s="75">
        <v>264990</v>
      </c>
      <c r="AQ33" s="75">
        <v>275343000</v>
      </c>
      <c r="AR33" s="75">
        <v>281072</v>
      </c>
      <c r="AS33" s="75">
        <v>293154</v>
      </c>
      <c r="AT33" s="75">
        <v>298829</v>
      </c>
      <c r="AU33" s="75">
        <v>283478</v>
      </c>
      <c r="AV33" s="75">
        <v>284818</v>
      </c>
    </row>
    <row r="34" spans="1:48" ht="12.5" x14ac:dyDescent="0.25">
      <c r="A34" s="75" t="s">
        <v>515</v>
      </c>
      <c r="B34" s="75" t="s">
        <v>167</v>
      </c>
      <c r="C34" s="145">
        <f t="shared" si="0"/>
        <v>2084</v>
      </c>
      <c r="D34" s="145">
        <f t="shared" si="1"/>
        <v>1617.9</v>
      </c>
      <c r="E34" s="145">
        <v>6290000</v>
      </c>
      <c r="F34" s="145">
        <f t="shared" si="2"/>
        <v>16307600.871947294</v>
      </c>
      <c r="G34" s="145">
        <v>1448</v>
      </c>
      <c r="H34" s="145">
        <v>1019</v>
      </c>
      <c r="I34" s="145">
        <v>1468</v>
      </c>
      <c r="J34" s="145">
        <v>1556</v>
      </c>
      <c r="K34" s="145">
        <v>954</v>
      </c>
      <c r="L34" s="145">
        <v>885</v>
      </c>
      <c r="M34" s="145">
        <v>1364</v>
      </c>
      <c r="N34" s="145">
        <v>1253</v>
      </c>
      <c r="O34" s="145">
        <v>1254</v>
      </c>
      <c r="P34" s="145">
        <v>1326</v>
      </c>
      <c r="Q34" s="145">
        <v>2105</v>
      </c>
      <c r="R34" s="145">
        <v>1294</v>
      </c>
      <c r="S34" s="145">
        <v>4775</v>
      </c>
      <c r="T34" s="145">
        <v>3728</v>
      </c>
      <c r="U34" s="145">
        <v>2902</v>
      </c>
      <c r="V34" s="145">
        <v>1735</v>
      </c>
      <c r="W34" s="145">
        <v>2180</v>
      </c>
      <c r="X34" s="145">
        <v>1431</v>
      </c>
      <c r="Y34" s="145">
        <v>2390</v>
      </c>
      <c r="Z34" s="145">
        <v>1952</v>
      </c>
      <c r="AA34" s="145">
        <v>43922</v>
      </c>
      <c r="AB34" s="75">
        <v>102763</v>
      </c>
      <c r="AC34" s="75">
        <v>100623</v>
      </c>
      <c r="AF34"/>
      <c r="AG34"/>
      <c r="AH34" s="75">
        <v>44231</v>
      </c>
      <c r="AI34" s="75">
        <v>44039</v>
      </c>
      <c r="AJ34" s="75">
        <v>43899</v>
      </c>
      <c r="AK34" s="75">
        <v>43783</v>
      </c>
      <c r="AL34" s="75">
        <v>43846</v>
      </c>
      <c r="AM34" s="75">
        <v>43850</v>
      </c>
      <c r="AN34" s="75">
        <v>44022</v>
      </c>
      <c r="AO34" s="75">
        <v>88637</v>
      </c>
      <c r="AP34" s="75">
        <v>91792</v>
      </c>
      <c r="AQ34" s="75">
        <v>95730000</v>
      </c>
      <c r="AR34" s="75">
        <v>93948</v>
      </c>
      <c r="AS34" s="75">
        <v>98083</v>
      </c>
      <c r="AT34" s="75">
        <v>100227</v>
      </c>
      <c r="AU34" s="75">
        <v>102763</v>
      </c>
      <c r="AV34" s="75">
        <v>100623</v>
      </c>
    </row>
    <row r="35" spans="1:48" ht="12.5" x14ac:dyDescent="0.25">
      <c r="A35" s="75" t="s">
        <v>513</v>
      </c>
      <c r="B35" s="75" t="s">
        <v>346</v>
      </c>
      <c r="C35" s="145">
        <f t="shared" si="0"/>
        <v>9474.9</v>
      </c>
      <c r="D35" s="145">
        <f t="shared" si="1"/>
        <v>8099.1</v>
      </c>
      <c r="E35" s="145">
        <v>3112000</v>
      </c>
      <c r="F35" s="145">
        <f t="shared" si="2"/>
        <v>11788331.412519619</v>
      </c>
      <c r="G35" s="145">
        <v>7277</v>
      </c>
      <c r="H35" s="145">
        <v>6083</v>
      </c>
      <c r="I35" s="145">
        <v>9142</v>
      </c>
      <c r="J35" s="145">
        <v>8396</v>
      </c>
      <c r="K35" s="145">
        <v>8030</v>
      </c>
      <c r="L35" s="145">
        <v>10235</v>
      </c>
      <c r="M35" s="145">
        <v>7841</v>
      </c>
      <c r="N35" s="145">
        <v>4508</v>
      </c>
      <c r="O35" s="145">
        <v>17891</v>
      </c>
      <c r="P35" s="145">
        <v>15911</v>
      </c>
      <c r="Q35" s="145">
        <v>7792</v>
      </c>
      <c r="R35" s="145">
        <v>6807</v>
      </c>
      <c r="S35" s="145">
        <v>11985</v>
      </c>
      <c r="T35" s="145">
        <v>9733</v>
      </c>
      <c r="U35" s="145">
        <v>11577</v>
      </c>
      <c r="V35" s="145">
        <v>9310</v>
      </c>
      <c r="W35" s="145">
        <v>7155</v>
      </c>
      <c r="X35" s="145">
        <v>5763</v>
      </c>
      <c r="Y35" s="145">
        <v>6059</v>
      </c>
      <c r="Z35" s="145">
        <v>4245</v>
      </c>
      <c r="AA35" s="145">
        <v>32618</v>
      </c>
      <c r="AB35" s="75">
        <v>78836</v>
      </c>
      <c r="AC35" s="75">
        <v>80113</v>
      </c>
      <c r="AF35"/>
      <c r="AG35"/>
      <c r="AH35" s="75">
        <v>30256</v>
      </c>
      <c r="AI35" s="75">
        <v>30552</v>
      </c>
      <c r="AJ35" s="75">
        <v>30802</v>
      </c>
      <c r="AK35" s="75">
        <v>31200</v>
      </c>
      <c r="AL35" s="75">
        <v>31455</v>
      </c>
      <c r="AM35" s="75">
        <v>31698</v>
      </c>
      <c r="AN35" s="75">
        <v>32263</v>
      </c>
      <c r="AO35" s="75">
        <v>45959</v>
      </c>
      <c r="AP35" s="75">
        <v>43363</v>
      </c>
      <c r="AQ35" s="75">
        <v>73520000</v>
      </c>
      <c r="AR35" s="75">
        <v>74346</v>
      </c>
      <c r="AS35" s="75">
        <v>74653</v>
      </c>
      <c r="AT35" s="75">
        <v>78923</v>
      </c>
      <c r="AU35" s="75">
        <v>78836</v>
      </c>
      <c r="AV35" s="75">
        <v>80113</v>
      </c>
    </row>
    <row r="36" spans="1:48" ht="12.5" x14ac:dyDescent="0.25">
      <c r="A36" s="75" t="s">
        <v>513</v>
      </c>
      <c r="B36" s="75" t="s">
        <v>347</v>
      </c>
      <c r="C36" s="145">
        <f t="shared" si="0"/>
        <v>10864.5</v>
      </c>
      <c r="D36" s="145">
        <f t="shared" si="1"/>
        <v>11031.1</v>
      </c>
      <c r="E36" s="145">
        <v>3330000</v>
      </c>
      <c r="F36" s="145">
        <f t="shared" si="2"/>
        <v>11382221.944967363</v>
      </c>
      <c r="G36" s="145">
        <v>13679</v>
      </c>
      <c r="H36" s="145">
        <v>14038</v>
      </c>
      <c r="I36" s="145">
        <v>8661</v>
      </c>
      <c r="J36" s="145">
        <v>7421</v>
      </c>
      <c r="K36" s="145">
        <v>17161</v>
      </c>
      <c r="L36" s="145">
        <v>9117</v>
      </c>
      <c r="M36" s="145">
        <v>12587</v>
      </c>
      <c r="N36" s="145">
        <v>13618</v>
      </c>
      <c r="O36" s="145">
        <v>4459</v>
      </c>
      <c r="P36" s="145">
        <v>4729</v>
      </c>
      <c r="Q36" s="145">
        <v>7320</v>
      </c>
      <c r="R36" s="145">
        <v>9893</v>
      </c>
      <c r="S36" s="145">
        <v>11330</v>
      </c>
      <c r="T36" s="145">
        <v>11790</v>
      </c>
      <c r="U36" s="145">
        <v>8561</v>
      </c>
      <c r="V36" s="145">
        <v>12592</v>
      </c>
      <c r="W36" s="145">
        <v>11586</v>
      </c>
      <c r="X36" s="145">
        <v>18817</v>
      </c>
      <c r="Y36" s="145">
        <v>13301</v>
      </c>
      <c r="Z36" s="145">
        <v>8296</v>
      </c>
      <c r="AA36" s="145">
        <v>31652</v>
      </c>
      <c r="AB36" s="75">
        <v>52728</v>
      </c>
      <c r="AC36" s="75">
        <v>58135</v>
      </c>
      <c r="AF36"/>
      <c r="AG36"/>
      <c r="AH36" s="75">
        <v>29175</v>
      </c>
      <c r="AI36" s="75">
        <v>29494</v>
      </c>
      <c r="AJ36" s="75">
        <v>29823</v>
      </c>
      <c r="AK36" s="75">
        <v>29968</v>
      </c>
      <c r="AL36" s="75">
        <v>30216</v>
      </c>
      <c r="AM36" s="75">
        <v>30606</v>
      </c>
      <c r="AN36" s="75">
        <v>30897</v>
      </c>
      <c r="AO36" s="75">
        <v>75280</v>
      </c>
      <c r="AP36" s="75">
        <v>74074</v>
      </c>
      <c r="AQ36" s="75">
        <v>72442000</v>
      </c>
      <c r="AR36" s="75">
        <v>75000</v>
      </c>
      <c r="AS36" s="75">
        <v>78197</v>
      </c>
      <c r="AT36" s="75">
        <v>50091</v>
      </c>
      <c r="AU36" s="75">
        <v>52728</v>
      </c>
      <c r="AV36" s="75">
        <v>58135</v>
      </c>
    </row>
    <row r="37" spans="1:48" ht="12.5" x14ac:dyDescent="0.25">
      <c r="A37" s="75" t="s">
        <v>515</v>
      </c>
      <c r="B37" s="75" t="s">
        <v>168</v>
      </c>
      <c r="C37" s="145">
        <f t="shared" si="0"/>
        <v>8025.1</v>
      </c>
      <c r="D37" s="145">
        <f t="shared" si="1"/>
        <v>7510.6</v>
      </c>
      <c r="E37" s="145">
        <v>2548000</v>
      </c>
      <c r="F37" s="145">
        <f t="shared" si="2"/>
        <v>9755552.7040575016</v>
      </c>
      <c r="G37" s="145">
        <v>164</v>
      </c>
      <c r="H37" s="145">
        <v>263</v>
      </c>
      <c r="I37" s="145">
        <v>31449</v>
      </c>
      <c r="J37" s="145">
        <v>31314</v>
      </c>
      <c r="K37" s="145">
        <v>18103</v>
      </c>
      <c r="L37" s="145">
        <v>13294</v>
      </c>
      <c r="M37" s="145">
        <v>10777</v>
      </c>
      <c r="N37" s="145">
        <v>11059</v>
      </c>
      <c r="O37" s="145">
        <v>2424</v>
      </c>
      <c r="P37" s="145">
        <v>2728</v>
      </c>
      <c r="Q37" s="145">
        <v>3838</v>
      </c>
      <c r="R37" s="145">
        <v>2748</v>
      </c>
      <c r="S37" s="145">
        <v>1708</v>
      </c>
      <c r="T37" s="145">
        <v>1639</v>
      </c>
      <c r="U37" s="145">
        <v>4073</v>
      </c>
      <c r="V37" s="145">
        <v>4099</v>
      </c>
      <c r="W37" s="145">
        <v>7072</v>
      </c>
      <c r="X37" s="145">
        <v>7761</v>
      </c>
      <c r="Y37" s="145">
        <v>643</v>
      </c>
      <c r="Z37" s="145">
        <v>201</v>
      </c>
      <c r="AA37" s="145">
        <v>26742</v>
      </c>
      <c r="AB37" s="75">
        <v>45060</v>
      </c>
      <c r="AC37" s="75">
        <v>44769</v>
      </c>
      <c r="AF37"/>
      <c r="AG37"/>
      <c r="AH37" s="75">
        <v>25426</v>
      </c>
      <c r="AI37" s="75">
        <v>25801</v>
      </c>
      <c r="AJ37" s="75">
        <v>25896</v>
      </c>
      <c r="AK37" s="75">
        <v>25866</v>
      </c>
      <c r="AL37" s="75">
        <v>26157</v>
      </c>
      <c r="AM37" s="75">
        <v>26232</v>
      </c>
      <c r="AN37" s="75">
        <v>26573</v>
      </c>
      <c r="AO37" s="75">
        <v>57872</v>
      </c>
      <c r="AP37" s="75">
        <v>49832</v>
      </c>
      <c r="AQ37" s="75">
        <v>53343000</v>
      </c>
      <c r="AR37" s="75">
        <v>52831</v>
      </c>
      <c r="AS37" s="75">
        <v>51059</v>
      </c>
      <c r="AT37" s="75">
        <v>46278</v>
      </c>
      <c r="AU37" s="75">
        <v>45060</v>
      </c>
      <c r="AV37" s="75">
        <v>44769</v>
      </c>
    </row>
    <row r="38" spans="1:48" ht="12.5" x14ac:dyDescent="0.25">
      <c r="A38" s="75" t="s">
        <v>514</v>
      </c>
      <c r="B38" s="75" t="s">
        <v>241</v>
      </c>
      <c r="C38" s="145">
        <f t="shared" si="0"/>
        <v>5145</v>
      </c>
      <c r="D38" s="145">
        <f t="shared" si="1"/>
        <v>4875</v>
      </c>
      <c r="E38" s="145">
        <v>6420000</v>
      </c>
      <c r="F38" s="145">
        <f t="shared" si="2"/>
        <v>15653809.256602177</v>
      </c>
      <c r="G38" s="145">
        <v>0</v>
      </c>
      <c r="H38" s="145">
        <v>3</v>
      </c>
      <c r="I38" s="145">
        <v>5587</v>
      </c>
      <c r="J38" s="145">
        <v>3038</v>
      </c>
      <c r="K38" s="145">
        <v>3366</v>
      </c>
      <c r="L38" s="145">
        <v>6527</v>
      </c>
      <c r="M38" s="145">
        <v>6494</v>
      </c>
      <c r="N38" s="145">
        <v>7014</v>
      </c>
      <c r="O38" s="145">
        <v>3139</v>
      </c>
      <c r="P38" s="145">
        <v>2806</v>
      </c>
      <c r="Q38" s="145">
        <v>3787</v>
      </c>
      <c r="R38" s="145">
        <v>3330</v>
      </c>
      <c r="S38" s="145">
        <v>6267</v>
      </c>
      <c r="T38" s="145">
        <v>5791</v>
      </c>
      <c r="U38" s="145">
        <v>16123</v>
      </c>
      <c r="V38" s="145">
        <v>13461</v>
      </c>
      <c r="W38" s="145">
        <v>4491</v>
      </c>
      <c r="X38" s="145">
        <v>4757</v>
      </c>
      <c r="Y38" s="145">
        <v>2196</v>
      </c>
      <c r="Z38" s="145">
        <v>2023</v>
      </c>
      <c r="AA38" s="145">
        <v>43005</v>
      </c>
      <c r="AB38" s="75">
        <v>90677</v>
      </c>
      <c r="AC38" s="75">
        <v>90129</v>
      </c>
      <c r="AF38"/>
      <c r="AG38"/>
      <c r="AH38" s="75">
        <v>40696</v>
      </c>
      <c r="AI38" s="75">
        <v>41086</v>
      </c>
      <c r="AJ38" s="75">
        <v>41168</v>
      </c>
      <c r="AK38" s="75">
        <v>41569</v>
      </c>
      <c r="AL38" s="75">
        <v>41863</v>
      </c>
      <c r="AM38" s="75">
        <v>42092</v>
      </c>
      <c r="AN38" s="75">
        <v>42711</v>
      </c>
      <c r="AO38" s="75">
        <v>102819</v>
      </c>
      <c r="AP38" s="75">
        <v>101884</v>
      </c>
      <c r="AQ38" s="75">
        <v>97644000</v>
      </c>
      <c r="AR38" s="75">
        <v>93306</v>
      </c>
      <c r="AS38" s="75">
        <v>91361</v>
      </c>
      <c r="AT38" s="75">
        <v>92214</v>
      </c>
      <c r="AU38" s="75">
        <v>90677</v>
      </c>
      <c r="AV38" s="75">
        <v>90129</v>
      </c>
    </row>
    <row r="39" spans="1:48" ht="12.5" x14ac:dyDescent="0.25">
      <c r="A39" s="75" t="s">
        <v>513</v>
      </c>
      <c r="B39" s="75" t="s">
        <v>348</v>
      </c>
      <c r="C39" s="145">
        <f t="shared" si="0"/>
        <v>2514.4</v>
      </c>
      <c r="D39" s="145">
        <f t="shared" si="1"/>
        <v>2158.5</v>
      </c>
      <c r="E39" s="145">
        <v>4759000</v>
      </c>
      <c r="F39" s="145">
        <f t="shared" si="2"/>
        <v>7704551.1348718833</v>
      </c>
      <c r="G39" s="145">
        <v>3558</v>
      </c>
      <c r="H39" s="145">
        <v>2431</v>
      </c>
      <c r="I39" s="145">
        <v>2594</v>
      </c>
      <c r="J39" s="145">
        <v>1735</v>
      </c>
      <c r="K39" s="145">
        <v>3031</v>
      </c>
      <c r="L39" s="145">
        <v>1219</v>
      </c>
      <c r="M39" s="145">
        <v>2169</v>
      </c>
      <c r="N39" s="145">
        <v>1874</v>
      </c>
      <c r="O39" s="145">
        <v>1216</v>
      </c>
      <c r="P39" s="145">
        <v>1921</v>
      </c>
      <c r="Q39" s="145">
        <v>1112</v>
      </c>
      <c r="R39" s="145">
        <v>789</v>
      </c>
      <c r="S39" s="145">
        <v>3316</v>
      </c>
      <c r="T39" s="145">
        <v>3232</v>
      </c>
      <c r="U39" s="145">
        <v>1090</v>
      </c>
      <c r="V39" s="145">
        <v>770</v>
      </c>
      <c r="W39" s="145">
        <v>3566</v>
      </c>
      <c r="X39" s="145">
        <v>4049</v>
      </c>
      <c r="Y39" s="145">
        <v>3492</v>
      </c>
      <c r="Z39" s="145">
        <v>3565</v>
      </c>
      <c r="AA39" s="145">
        <v>21009</v>
      </c>
      <c r="AB39" s="75">
        <v>69443</v>
      </c>
      <c r="AC39" s="75">
        <v>83113</v>
      </c>
      <c r="AF39"/>
      <c r="AG39"/>
      <c r="AH39" s="75">
        <v>20061</v>
      </c>
      <c r="AI39" s="75">
        <v>20145</v>
      </c>
      <c r="AJ39" s="75">
        <v>20175</v>
      </c>
      <c r="AK39" s="75">
        <v>20401</v>
      </c>
      <c r="AL39" s="75">
        <v>20529</v>
      </c>
      <c r="AM39" s="75">
        <v>20717</v>
      </c>
      <c r="AN39" s="75">
        <v>21009</v>
      </c>
      <c r="AO39" s="75">
        <v>45035</v>
      </c>
      <c r="AP39" s="75">
        <v>38322</v>
      </c>
      <c r="AQ39" s="75">
        <v>48387000</v>
      </c>
      <c r="AR39" s="75">
        <v>53882</v>
      </c>
      <c r="AS39" s="75">
        <v>57088</v>
      </c>
      <c r="AT39" s="75">
        <v>61552</v>
      </c>
      <c r="AU39" s="75">
        <v>69443</v>
      </c>
      <c r="AV39" s="75">
        <v>83113</v>
      </c>
    </row>
    <row r="40" spans="1:48" ht="12.5" x14ac:dyDescent="0.25">
      <c r="A40" s="75" t="s">
        <v>514</v>
      </c>
      <c r="B40" s="75" t="s">
        <v>242</v>
      </c>
      <c r="C40" s="145">
        <f t="shared" si="0"/>
        <v>12767.5</v>
      </c>
      <c r="D40" s="145">
        <f t="shared" si="1"/>
        <v>9878.7000000000007</v>
      </c>
      <c r="E40" s="145">
        <v>1142000</v>
      </c>
      <c r="F40" s="145">
        <f t="shared" si="2"/>
        <v>4595879.8534897296</v>
      </c>
      <c r="G40" s="145">
        <v>0</v>
      </c>
      <c r="H40" s="145">
        <v>0</v>
      </c>
      <c r="I40" s="145">
        <v>15071</v>
      </c>
      <c r="J40" s="145">
        <v>15180</v>
      </c>
      <c r="K40" s="145">
        <v>21949</v>
      </c>
      <c r="L40" s="145">
        <v>22086</v>
      </c>
      <c r="M40" s="145">
        <v>19515</v>
      </c>
      <c r="N40" s="145">
        <v>11831</v>
      </c>
      <c r="O40" s="145">
        <v>24581</v>
      </c>
      <c r="P40" s="145">
        <v>18963</v>
      </c>
      <c r="Q40" s="145">
        <v>20706</v>
      </c>
      <c r="R40" s="145">
        <v>13212</v>
      </c>
      <c r="S40" s="145">
        <v>15832</v>
      </c>
      <c r="T40" s="145">
        <v>10368</v>
      </c>
      <c r="U40" s="145">
        <v>5480</v>
      </c>
      <c r="V40" s="145">
        <v>3694</v>
      </c>
      <c r="W40" s="145">
        <v>4587</v>
      </c>
      <c r="X40" s="145">
        <v>3793</v>
      </c>
      <c r="Y40" s="145">
        <v>-46</v>
      </c>
      <c r="Z40" s="145">
        <v>-340</v>
      </c>
      <c r="AA40" s="145">
        <v>12951</v>
      </c>
      <c r="AB40" s="75">
        <v>21870</v>
      </c>
      <c r="AC40" s="75">
        <v>21944</v>
      </c>
      <c r="AF40"/>
      <c r="AG40"/>
      <c r="AH40" s="75">
        <v>10194</v>
      </c>
      <c r="AI40" s="75">
        <v>10798</v>
      </c>
      <c r="AJ40" s="75">
        <v>11198</v>
      </c>
      <c r="AK40" s="75">
        <v>11509</v>
      </c>
      <c r="AL40" s="75">
        <v>11954</v>
      </c>
      <c r="AM40" s="75">
        <v>12358</v>
      </c>
      <c r="AN40" s="75">
        <v>12490</v>
      </c>
      <c r="AO40" s="75">
        <v>21258</v>
      </c>
      <c r="AP40" s="75">
        <v>21199</v>
      </c>
      <c r="AQ40" s="75">
        <v>21044000</v>
      </c>
      <c r="AR40" s="75">
        <v>21384</v>
      </c>
      <c r="AS40" s="75">
        <v>21533</v>
      </c>
      <c r="AT40" s="75">
        <v>22477</v>
      </c>
      <c r="AU40" s="75">
        <v>21870</v>
      </c>
      <c r="AV40" s="75">
        <v>21944</v>
      </c>
    </row>
    <row r="41" spans="1:48" ht="12.5" x14ac:dyDescent="0.25">
      <c r="A41" s="75" t="s">
        <v>514</v>
      </c>
      <c r="B41" s="75" t="s">
        <v>243</v>
      </c>
      <c r="C41" s="145">
        <f t="shared" si="0"/>
        <v>2190.6</v>
      </c>
      <c r="D41" s="145">
        <f t="shared" si="1"/>
        <v>2143.1</v>
      </c>
      <c r="E41" s="145">
        <v>2689000</v>
      </c>
      <c r="F41" s="145">
        <f t="shared" si="2"/>
        <v>8825814.912042262</v>
      </c>
      <c r="G41" s="145">
        <v>0</v>
      </c>
      <c r="H41" s="145">
        <v>0</v>
      </c>
      <c r="I41" s="145">
        <v>13959</v>
      </c>
      <c r="J41" s="145">
        <v>13840</v>
      </c>
      <c r="K41" s="145">
        <v>6928</v>
      </c>
      <c r="L41" s="145">
        <v>6761</v>
      </c>
      <c r="M41" s="145">
        <v>220</v>
      </c>
      <c r="N41" s="145">
        <v>0</v>
      </c>
      <c r="O41" s="145">
        <v>0</v>
      </c>
      <c r="P41" s="145">
        <v>35</v>
      </c>
      <c r="Q41" s="145">
        <v>0</v>
      </c>
      <c r="R41" s="145">
        <v>0</v>
      </c>
      <c r="S41" s="145">
        <v>71</v>
      </c>
      <c r="T41" s="145">
        <v>71</v>
      </c>
      <c r="U41" s="145">
        <v>173</v>
      </c>
      <c r="V41" s="145">
        <v>172</v>
      </c>
      <c r="W41" s="145">
        <v>374</v>
      </c>
      <c r="X41" s="145">
        <v>373</v>
      </c>
      <c r="Y41" s="145">
        <v>181</v>
      </c>
      <c r="Z41" s="145">
        <v>179</v>
      </c>
      <c r="AA41" s="145">
        <v>23583</v>
      </c>
      <c r="AB41" s="75">
        <v>56113</v>
      </c>
      <c r="AC41" s="75">
        <v>57954</v>
      </c>
      <c r="AF41"/>
      <c r="AG41"/>
      <c r="AH41" s="75">
        <v>22826</v>
      </c>
      <c r="AI41" s="75">
        <v>23203</v>
      </c>
      <c r="AJ41" s="75">
        <v>23409</v>
      </c>
      <c r="AK41" s="75">
        <v>23554</v>
      </c>
      <c r="AL41" s="75">
        <v>23478</v>
      </c>
      <c r="AM41" s="75">
        <v>23732</v>
      </c>
      <c r="AN41" s="75">
        <v>23922</v>
      </c>
      <c r="AO41" s="75">
        <v>53128</v>
      </c>
      <c r="AP41" s="75">
        <v>58350</v>
      </c>
      <c r="AQ41" s="75">
        <v>61427000</v>
      </c>
      <c r="AR41" s="75">
        <v>60873</v>
      </c>
      <c r="AS41" s="75">
        <v>60740</v>
      </c>
      <c r="AT41" s="75">
        <v>56131</v>
      </c>
      <c r="AU41" s="75">
        <v>56113</v>
      </c>
      <c r="AV41" s="75">
        <v>57954</v>
      </c>
    </row>
    <row r="42" spans="1:48" ht="12.5" x14ac:dyDescent="0.25">
      <c r="A42" s="75" t="s">
        <v>517</v>
      </c>
      <c r="B42" s="75" t="s">
        <v>285</v>
      </c>
      <c r="C42" s="145">
        <f t="shared" si="0"/>
        <v>13607.3</v>
      </c>
      <c r="D42" s="145">
        <f t="shared" si="1"/>
        <v>11078.6</v>
      </c>
      <c r="E42" s="145">
        <v>7451000</v>
      </c>
      <c r="F42" s="145">
        <f t="shared" si="2"/>
        <v>13287812.523481797</v>
      </c>
      <c r="G42" s="145">
        <v>1649</v>
      </c>
      <c r="H42" s="145">
        <v>1602</v>
      </c>
      <c r="I42" s="145">
        <v>8828</v>
      </c>
      <c r="J42" s="145">
        <v>8478</v>
      </c>
      <c r="K42" s="145">
        <v>22903</v>
      </c>
      <c r="L42" s="145">
        <v>16921</v>
      </c>
      <c r="M42" s="145">
        <v>25719</v>
      </c>
      <c r="N42" s="145">
        <v>18144</v>
      </c>
      <c r="O42" s="145">
        <v>18092</v>
      </c>
      <c r="P42" s="145">
        <v>16418</v>
      </c>
      <c r="Q42" s="145">
        <v>13489</v>
      </c>
      <c r="R42" s="145">
        <v>9810</v>
      </c>
      <c r="S42" s="145">
        <v>7729</v>
      </c>
      <c r="T42" s="145">
        <v>6627</v>
      </c>
      <c r="U42" s="145">
        <v>18088</v>
      </c>
      <c r="V42" s="145">
        <v>16656</v>
      </c>
      <c r="W42" s="145">
        <v>18376</v>
      </c>
      <c r="X42" s="145">
        <v>15653</v>
      </c>
      <c r="Y42" s="145">
        <v>1200</v>
      </c>
      <c r="Z42" s="145">
        <v>477</v>
      </c>
      <c r="AA42" s="145">
        <v>37220</v>
      </c>
      <c r="AB42" s="75">
        <v>162227</v>
      </c>
      <c r="AC42" s="75">
        <v>171016</v>
      </c>
      <c r="AF42"/>
      <c r="AG42"/>
      <c r="AH42" s="75">
        <v>33731</v>
      </c>
      <c r="AI42" s="75">
        <v>33958</v>
      </c>
      <c r="AJ42" s="75">
        <v>34470</v>
      </c>
      <c r="AK42" s="75">
        <v>34852</v>
      </c>
      <c r="AL42" s="75">
        <v>35278</v>
      </c>
      <c r="AM42" s="75">
        <v>35730</v>
      </c>
      <c r="AN42" s="75">
        <v>36308</v>
      </c>
      <c r="AO42" s="75">
        <v>121689</v>
      </c>
      <c r="AP42" s="75">
        <v>116459</v>
      </c>
      <c r="AQ42" s="75">
        <v>127821000</v>
      </c>
      <c r="AR42" s="75">
        <v>128734</v>
      </c>
      <c r="AS42" s="75">
        <v>129984</v>
      </c>
      <c r="AT42" s="75">
        <v>146652</v>
      </c>
      <c r="AU42" s="75">
        <v>162227</v>
      </c>
      <c r="AV42" s="75">
        <v>171016</v>
      </c>
    </row>
    <row r="43" spans="1:48" ht="12.5" x14ac:dyDescent="0.25">
      <c r="A43" s="75" t="s">
        <v>513</v>
      </c>
      <c r="B43" s="75" t="s">
        <v>349</v>
      </c>
      <c r="C43" s="145">
        <f t="shared" si="0"/>
        <v>8973.5</v>
      </c>
      <c r="D43" s="145">
        <f t="shared" si="1"/>
        <v>9361.6</v>
      </c>
      <c r="E43" s="145">
        <v>1239000</v>
      </c>
      <c r="F43" s="145">
        <f t="shared" si="2"/>
        <v>4098656.08231998</v>
      </c>
      <c r="G43" s="145">
        <v>15922</v>
      </c>
      <c r="H43" s="145">
        <v>15684</v>
      </c>
      <c r="I43" s="145">
        <v>8438</v>
      </c>
      <c r="J43" s="145">
        <v>8370</v>
      </c>
      <c r="K43" s="145">
        <v>3667</v>
      </c>
      <c r="L43" s="145">
        <v>4213</v>
      </c>
      <c r="M43" s="145">
        <v>7767</v>
      </c>
      <c r="N43" s="145">
        <v>5121</v>
      </c>
      <c r="O43" s="145">
        <v>7805</v>
      </c>
      <c r="P43" s="145">
        <v>11741</v>
      </c>
      <c r="Q43" s="145">
        <v>6803</v>
      </c>
      <c r="R43" s="145">
        <v>7097</v>
      </c>
      <c r="S43" s="145">
        <v>7034</v>
      </c>
      <c r="T43" s="145">
        <v>6886</v>
      </c>
      <c r="U43" s="145">
        <v>8217</v>
      </c>
      <c r="V43" s="145">
        <v>9260</v>
      </c>
      <c r="W43" s="145">
        <v>11262</v>
      </c>
      <c r="X43" s="145">
        <v>12914</v>
      </c>
      <c r="Y43" s="145">
        <v>12820</v>
      </c>
      <c r="Z43" s="145">
        <v>12330</v>
      </c>
      <c r="AA43" s="145">
        <v>11461</v>
      </c>
      <c r="AB43" s="75">
        <v>23019</v>
      </c>
      <c r="AC43" s="75">
        <v>21942</v>
      </c>
      <c r="AF43"/>
      <c r="AG43"/>
      <c r="AH43" s="75">
        <v>10413</v>
      </c>
      <c r="AI43" s="75">
        <v>10503</v>
      </c>
      <c r="AJ43" s="75">
        <v>10587</v>
      </c>
      <c r="AK43" s="75">
        <v>10778</v>
      </c>
      <c r="AL43" s="75">
        <v>10959</v>
      </c>
      <c r="AM43" s="75">
        <v>11021</v>
      </c>
      <c r="AN43" s="75">
        <v>11163</v>
      </c>
      <c r="AO43" s="75">
        <v>40507</v>
      </c>
      <c r="AP43" s="75">
        <v>35875</v>
      </c>
      <c r="AQ43" s="75">
        <v>20260000</v>
      </c>
      <c r="AR43" s="75">
        <v>19014</v>
      </c>
      <c r="AS43" s="75">
        <v>21145</v>
      </c>
      <c r="AT43" s="75">
        <v>23310</v>
      </c>
      <c r="AU43" s="75">
        <v>23019</v>
      </c>
      <c r="AV43" s="75">
        <v>21942</v>
      </c>
    </row>
    <row r="44" spans="1:48" ht="12.5" x14ac:dyDescent="0.25">
      <c r="A44" s="75" t="s">
        <v>512</v>
      </c>
      <c r="B44" s="75" t="s">
        <v>106</v>
      </c>
      <c r="C44" s="145">
        <f t="shared" si="0"/>
        <v>2321.8000000000002</v>
      </c>
      <c r="D44" s="145">
        <f t="shared" si="1"/>
        <v>2048.8000000000002</v>
      </c>
      <c r="E44" s="145">
        <v>6936000</v>
      </c>
      <c r="F44" s="145">
        <f t="shared" si="2"/>
        <v>9549522.8093469236</v>
      </c>
      <c r="G44" s="145">
        <v>1893</v>
      </c>
      <c r="H44" s="145">
        <v>1539</v>
      </c>
      <c r="I44" s="145">
        <v>2718</v>
      </c>
      <c r="J44" s="145">
        <v>2248</v>
      </c>
      <c r="K44" s="145">
        <v>2024</v>
      </c>
      <c r="L44" s="145">
        <v>2341</v>
      </c>
      <c r="M44" s="145">
        <v>1003</v>
      </c>
      <c r="N44" s="145">
        <v>856</v>
      </c>
      <c r="O44" s="145">
        <v>1845</v>
      </c>
      <c r="P44" s="145">
        <v>1464</v>
      </c>
      <c r="Q44" s="145">
        <v>833</v>
      </c>
      <c r="R44" s="145">
        <v>593</v>
      </c>
      <c r="S44" s="145">
        <v>2209</v>
      </c>
      <c r="T44" s="145">
        <v>1940</v>
      </c>
      <c r="U44" s="145">
        <v>3288</v>
      </c>
      <c r="V44" s="145">
        <v>2939</v>
      </c>
      <c r="W44" s="145">
        <v>5089</v>
      </c>
      <c r="X44" s="145">
        <v>4594</v>
      </c>
      <c r="Y44" s="145">
        <v>2316</v>
      </c>
      <c r="Z44" s="145">
        <v>1974</v>
      </c>
      <c r="AA44" s="145">
        <v>26052</v>
      </c>
      <c r="AB44" s="75">
        <v>57301</v>
      </c>
      <c r="AC44" s="75">
        <v>58932</v>
      </c>
      <c r="AF44"/>
      <c r="AG44"/>
      <c r="AH44" s="75">
        <v>25355</v>
      </c>
      <c r="AI44" s="75">
        <v>25355</v>
      </c>
      <c r="AJ44" s="75">
        <v>25359</v>
      </c>
      <c r="AK44" s="75">
        <v>25516</v>
      </c>
      <c r="AL44" s="75">
        <v>25598</v>
      </c>
      <c r="AM44" s="75">
        <v>25678</v>
      </c>
      <c r="AN44" s="75">
        <v>25919</v>
      </c>
      <c r="AO44" s="75">
        <v>52927</v>
      </c>
      <c r="AP44" s="75">
        <v>51411</v>
      </c>
      <c r="AQ44" s="75">
        <v>52097000</v>
      </c>
      <c r="AR44" s="75">
        <v>54521</v>
      </c>
      <c r="AS44" s="75">
        <v>54842</v>
      </c>
      <c r="AT44" s="75">
        <v>57173</v>
      </c>
      <c r="AU44" s="75">
        <v>57301</v>
      </c>
      <c r="AV44" s="75">
        <v>58932</v>
      </c>
    </row>
    <row r="45" spans="1:48" ht="12.5" x14ac:dyDescent="0.25">
      <c r="A45" s="75" t="s">
        <v>518</v>
      </c>
      <c r="B45" s="75" t="s">
        <v>140</v>
      </c>
      <c r="C45" s="145">
        <f t="shared" si="0"/>
        <v>4971.6000000000004</v>
      </c>
      <c r="D45" s="145">
        <f t="shared" si="1"/>
        <v>4201.2</v>
      </c>
      <c r="E45" s="145">
        <v>3243000</v>
      </c>
      <c r="F45" s="145">
        <f t="shared" si="2"/>
        <v>8926226.593579907</v>
      </c>
      <c r="G45" s="145">
        <v>2695</v>
      </c>
      <c r="H45" s="145">
        <v>2605</v>
      </c>
      <c r="I45" s="145">
        <v>8578</v>
      </c>
      <c r="J45" s="145">
        <v>9659</v>
      </c>
      <c r="K45" s="145">
        <v>4172</v>
      </c>
      <c r="L45" s="145">
        <v>4717</v>
      </c>
      <c r="M45" s="145">
        <v>4669</v>
      </c>
      <c r="N45" s="145">
        <v>3592</v>
      </c>
      <c r="O45" s="145">
        <v>3518</v>
      </c>
      <c r="P45" s="145">
        <v>3075</v>
      </c>
      <c r="Q45" s="145">
        <v>458</v>
      </c>
      <c r="R45" s="145">
        <v>839</v>
      </c>
      <c r="S45" s="145">
        <v>176</v>
      </c>
      <c r="T45" s="145">
        <v>1246</v>
      </c>
      <c r="U45" s="145">
        <v>19354</v>
      </c>
      <c r="V45" s="145">
        <v>9109</v>
      </c>
      <c r="W45" s="145">
        <v>2884</v>
      </c>
      <c r="X45" s="145">
        <v>3309</v>
      </c>
      <c r="Y45" s="145">
        <v>3212</v>
      </c>
      <c r="Z45" s="145">
        <v>3861</v>
      </c>
      <c r="AA45" s="145">
        <v>24738</v>
      </c>
      <c r="AB45" s="75">
        <v>52394</v>
      </c>
      <c r="AC45" s="75">
        <v>62876</v>
      </c>
      <c r="AF45"/>
      <c r="AG45"/>
      <c r="AH45" s="75">
        <v>22796</v>
      </c>
      <c r="AI45" s="75">
        <v>23133</v>
      </c>
      <c r="AJ45" s="75">
        <v>23213</v>
      </c>
      <c r="AK45" s="75">
        <v>23330</v>
      </c>
      <c r="AL45" s="75">
        <v>23668</v>
      </c>
      <c r="AM45" s="75">
        <v>24002</v>
      </c>
      <c r="AN45" s="75">
        <v>24524</v>
      </c>
      <c r="AO45" s="75">
        <v>44110</v>
      </c>
      <c r="AP45" s="75">
        <v>50119</v>
      </c>
      <c r="AQ45" s="75">
        <v>54826000</v>
      </c>
      <c r="AR45" s="75">
        <v>48505</v>
      </c>
      <c r="AS45" s="75">
        <v>49156</v>
      </c>
      <c r="AT45" s="75">
        <v>50087</v>
      </c>
      <c r="AU45" s="75">
        <v>52394</v>
      </c>
      <c r="AV45" s="75">
        <v>62876</v>
      </c>
    </row>
    <row r="46" spans="1:48" ht="12.5" x14ac:dyDescent="0.25">
      <c r="A46" s="75" t="s">
        <v>524</v>
      </c>
      <c r="B46" s="75" t="s">
        <v>328</v>
      </c>
      <c r="C46" s="145">
        <f t="shared" si="0"/>
        <v>3303.7</v>
      </c>
      <c r="D46" s="145">
        <f t="shared" si="1"/>
        <v>2290.9</v>
      </c>
      <c r="E46" s="145">
        <v>3029000</v>
      </c>
      <c r="F46" s="145">
        <f t="shared" si="2"/>
        <v>8495200.1532016434</v>
      </c>
      <c r="G46" s="145">
        <v>2082</v>
      </c>
      <c r="H46" s="145">
        <v>2081</v>
      </c>
      <c r="I46" s="145">
        <v>2583</v>
      </c>
      <c r="J46" s="145">
        <v>1414</v>
      </c>
      <c r="K46" s="145">
        <v>2185</v>
      </c>
      <c r="L46" s="145">
        <v>1211</v>
      </c>
      <c r="M46" s="145">
        <v>6583</v>
      </c>
      <c r="N46" s="145">
        <v>2497</v>
      </c>
      <c r="O46" s="145">
        <v>3289</v>
      </c>
      <c r="P46" s="145">
        <v>3990</v>
      </c>
      <c r="Q46" s="145">
        <v>1892</v>
      </c>
      <c r="R46" s="145">
        <v>946</v>
      </c>
      <c r="S46" s="145">
        <v>2312</v>
      </c>
      <c r="T46" s="145">
        <v>1822</v>
      </c>
      <c r="U46" s="145">
        <v>6050</v>
      </c>
      <c r="V46" s="145">
        <v>4198</v>
      </c>
      <c r="W46" s="145">
        <v>3492</v>
      </c>
      <c r="X46" s="145">
        <v>2510</v>
      </c>
      <c r="Y46" s="145">
        <v>2569</v>
      </c>
      <c r="Z46" s="145">
        <v>2240</v>
      </c>
      <c r="AA46" s="145">
        <v>23127</v>
      </c>
      <c r="AB46" s="75">
        <v>32843</v>
      </c>
      <c r="AC46" s="75">
        <v>33939</v>
      </c>
      <c r="AF46"/>
      <c r="AG46"/>
      <c r="AH46" s="75">
        <v>22684</v>
      </c>
      <c r="AI46" s="75">
        <v>22721</v>
      </c>
      <c r="AJ46" s="75">
        <v>22801</v>
      </c>
      <c r="AK46" s="75">
        <v>22741</v>
      </c>
      <c r="AL46" s="75">
        <v>22818</v>
      </c>
      <c r="AM46" s="75">
        <v>22843</v>
      </c>
      <c r="AN46" s="75">
        <v>23159</v>
      </c>
      <c r="AO46" s="75">
        <v>34044</v>
      </c>
      <c r="AP46" s="75">
        <v>30765</v>
      </c>
      <c r="AQ46" s="75">
        <v>31895000</v>
      </c>
      <c r="AR46" s="75">
        <v>33536</v>
      </c>
      <c r="AS46" s="75">
        <v>34242</v>
      </c>
      <c r="AT46" s="75">
        <v>33670</v>
      </c>
      <c r="AU46" s="75">
        <v>32843</v>
      </c>
      <c r="AV46" s="75">
        <v>33939</v>
      </c>
    </row>
    <row r="47" spans="1:48" x14ac:dyDescent="0.25">
      <c r="A47" s="75" t="s">
        <v>513</v>
      </c>
      <c r="B47" s="75" t="s">
        <v>351</v>
      </c>
      <c r="C47" s="145">
        <f t="shared" si="0"/>
        <v>2281.0709284413947</v>
      </c>
      <c r="D47" s="145">
        <f t="shared" si="1"/>
        <v>2450.1550343089207</v>
      </c>
      <c r="E47" s="145">
        <v>8443000</v>
      </c>
      <c r="F47" s="145">
        <f t="shared" si="2"/>
        <v>12325347.961187622</v>
      </c>
      <c r="G47" s="145">
        <v>905</v>
      </c>
      <c r="H47" s="145">
        <v>1683</v>
      </c>
      <c r="I47" s="145">
        <v>5013.6387060635761</v>
      </c>
      <c r="J47" s="145">
        <v>4992.4985296177001</v>
      </c>
      <c r="K47" s="145">
        <v>2231.3992438033888</v>
      </c>
      <c r="L47" s="145">
        <v>2176.5357793026187</v>
      </c>
      <c r="M47" s="145">
        <v>2276.6440274471361</v>
      </c>
      <c r="N47" s="145">
        <v>1963.0719787144658</v>
      </c>
      <c r="O47" s="145">
        <v>2723.2328805489428</v>
      </c>
      <c r="P47" s="145">
        <v>2905.9627503150818</v>
      </c>
      <c r="Q47" s="145">
        <v>1178.0379498669654</v>
      </c>
      <c r="R47" s="145">
        <v>1386.9402044531578</v>
      </c>
      <c r="S47" s="145">
        <v>1468.7564766839378</v>
      </c>
      <c r="T47" s="145">
        <v>1915.5411006861784</v>
      </c>
      <c r="U47" s="145">
        <v>5427</v>
      </c>
      <c r="V47" s="145">
        <v>5418</v>
      </c>
      <c r="W47" s="145">
        <v>403</v>
      </c>
      <c r="X47" s="145">
        <v>906</v>
      </c>
      <c r="Y47" s="145">
        <v>1184</v>
      </c>
      <c r="Z47" s="145">
        <v>1154</v>
      </c>
      <c r="AA47" s="145">
        <v>34237</v>
      </c>
      <c r="AB47" s="75">
        <v>64711</v>
      </c>
      <c r="AC47" s="75">
        <v>68261</v>
      </c>
      <c r="AH47" s="75">
        <v>32761.547822433833</v>
      </c>
      <c r="AI47" s="75">
        <v>32803.956728749472</v>
      </c>
      <c r="AJ47" s="75">
        <v>32883.903094804649</v>
      </c>
      <c r="AK47" s="75">
        <v>32964.247444335524</v>
      </c>
      <c r="AL47" s="75">
        <v>32979.41940904635</v>
      </c>
      <c r="AM47" s="75">
        <v>33142</v>
      </c>
      <c r="AN47" s="75">
        <v>33748</v>
      </c>
      <c r="AO47" s="75">
        <v>74344.914857863041</v>
      </c>
      <c r="AP47" s="75">
        <v>73717.291555804506</v>
      </c>
      <c r="AQ47" s="75">
        <v>71040121.411567003</v>
      </c>
      <c r="AR47" s="75">
        <v>69645.582411426964</v>
      </c>
      <c r="AS47" s="75">
        <v>71093.441814871869</v>
      </c>
      <c r="AT47" s="75">
        <v>68593.130934042856</v>
      </c>
      <c r="AU47" s="75">
        <v>64711</v>
      </c>
      <c r="AV47" s="75">
        <v>68261</v>
      </c>
    </row>
    <row r="48" spans="1:48" ht="12.5" x14ac:dyDescent="0.25">
      <c r="A48" s="75" t="s">
        <v>513</v>
      </c>
      <c r="B48" s="75" t="s">
        <v>352</v>
      </c>
      <c r="C48" s="145">
        <f t="shared" si="0"/>
        <v>25525.9</v>
      </c>
      <c r="D48" s="145">
        <f t="shared" si="1"/>
        <v>22849.7</v>
      </c>
      <c r="E48" s="145">
        <v>32252000</v>
      </c>
      <c r="F48" s="145">
        <f t="shared" si="2"/>
        <v>68691259.444786698</v>
      </c>
      <c r="G48" s="145">
        <v>7281</v>
      </c>
      <c r="H48" s="145">
        <v>8559</v>
      </c>
      <c r="I48" s="145">
        <v>27293</v>
      </c>
      <c r="J48" s="145">
        <v>30566</v>
      </c>
      <c r="K48" s="145">
        <v>48353</v>
      </c>
      <c r="L48" s="145">
        <v>25371</v>
      </c>
      <c r="M48" s="145">
        <v>42664</v>
      </c>
      <c r="N48" s="145">
        <v>34435</v>
      </c>
      <c r="O48" s="145">
        <v>27508</v>
      </c>
      <c r="P48" s="145">
        <v>22164</v>
      </c>
      <c r="Q48" s="145">
        <v>15787</v>
      </c>
      <c r="R48" s="145">
        <v>11482</v>
      </c>
      <c r="S48" s="145">
        <v>26968</v>
      </c>
      <c r="T48" s="145">
        <v>30570</v>
      </c>
      <c r="U48" s="145">
        <v>38990</v>
      </c>
      <c r="V48" s="145">
        <v>38237</v>
      </c>
      <c r="W48" s="145">
        <v>11219</v>
      </c>
      <c r="X48" s="145">
        <v>13971</v>
      </c>
      <c r="Y48" s="145">
        <v>9196</v>
      </c>
      <c r="Z48" s="145">
        <v>13142</v>
      </c>
      <c r="AA48" s="145">
        <v>188834</v>
      </c>
      <c r="AB48" s="75">
        <v>452418</v>
      </c>
      <c r="AC48" s="75">
        <v>468171</v>
      </c>
      <c r="AF48"/>
      <c r="AG48"/>
      <c r="AH48" s="75">
        <v>182777</v>
      </c>
      <c r="AI48" s="75">
        <v>183749</v>
      </c>
      <c r="AJ48" s="75">
        <v>184069</v>
      </c>
      <c r="AK48" s="75">
        <v>184437</v>
      </c>
      <c r="AL48" s="75">
        <v>184126</v>
      </c>
      <c r="AM48" s="75">
        <v>184706</v>
      </c>
      <c r="AN48" s="75">
        <v>186438</v>
      </c>
      <c r="AO48" s="75">
        <v>448814</v>
      </c>
      <c r="AP48" s="75">
        <v>442481</v>
      </c>
      <c r="AQ48" s="75">
        <v>478706000</v>
      </c>
      <c r="AR48" s="75">
        <v>437711</v>
      </c>
      <c r="AS48" s="75">
        <v>434929</v>
      </c>
      <c r="AT48" s="75">
        <v>446060</v>
      </c>
      <c r="AU48" s="75">
        <v>452418</v>
      </c>
      <c r="AV48" s="75">
        <v>468171</v>
      </c>
    </row>
    <row r="49" spans="1:48" ht="12.5" x14ac:dyDescent="0.25">
      <c r="A49" s="75" t="s">
        <v>515</v>
      </c>
      <c r="B49" s="75" t="s">
        <v>169</v>
      </c>
      <c r="C49" s="145">
        <f t="shared" si="0"/>
        <v>278.10000000000002</v>
      </c>
      <c r="D49" s="145">
        <f t="shared" si="1"/>
        <v>268.7</v>
      </c>
      <c r="E49" s="145">
        <v>3681000</v>
      </c>
      <c r="F49" s="145">
        <f t="shared" si="2"/>
        <v>13416116.3387799</v>
      </c>
      <c r="G49" s="145">
        <v>8</v>
      </c>
      <c r="H49" s="145">
        <v>169</v>
      </c>
      <c r="I49" s="145">
        <v>136</v>
      </c>
      <c r="J49" s="145">
        <v>439</v>
      </c>
      <c r="K49" s="145">
        <v>203</v>
      </c>
      <c r="L49" s="145">
        <v>2057</v>
      </c>
      <c r="M49" s="145">
        <v>-78</v>
      </c>
      <c r="N49" s="145">
        <v>-1725</v>
      </c>
      <c r="O49" s="145">
        <v>94</v>
      </c>
      <c r="P49" s="145">
        <v>19</v>
      </c>
      <c r="Q49" s="145">
        <v>-244</v>
      </c>
      <c r="R49" s="145">
        <v>-389</v>
      </c>
      <c r="S49" s="145">
        <v>591</v>
      </c>
      <c r="T49" s="145">
        <v>667</v>
      </c>
      <c r="U49" s="145">
        <v>1091</v>
      </c>
      <c r="V49" s="145">
        <v>322</v>
      </c>
      <c r="W49" s="145">
        <v>536</v>
      </c>
      <c r="X49" s="145">
        <v>381</v>
      </c>
      <c r="Y49" s="145">
        <v>444</v>
      </c>
      <c r="Z49" s="145">
        <v>747</v>
      </c>
      <c r="AA49" s="145">
        <v>36007</v>
      </c>
      <c r="AB49" s="75">
        <v>59910</v>
      </c>
      <c r="AC49" s="75">
        <v>58063</v>
      </c>
      <c r="AF49"/>
      <c r="AG49"/>
      <c r="AH49" s="75">
        <v>36418</v>
      </c>
      <c r="AI49" s="75">
        <v>36352</v>
      </c>
      <c r="AJ49" s="75">
        <v>36219</v>
      </c>
      <c r="AK49" s="75">
        <v>36028</v>
      </c>
      <c r="AL49" s="75">
        <v>36087</v>
      </c>
      <c r="AM49" s="75">
        <v>36075</v>
      </c>
      <c r="AN49" s="75">
        <v>36277</v>
      </c>
      <c r="AO49" s="75">
        <v>69866</v>
      </c>
      <c r="AP49" s="75">
        <v>64693</v>
      </c>
      <c r="AQ49" s="75">
        <v>62693000</v>
      </c>
      <c r="AR49" s="75">
        <v>64681</v>
      </c>
      <c r="AS49" s="75">
        <v>62806</v>
      </c>
      <c r="AT49" s="75">
        <v>62090</v>
      </c>
      <c r="AU49" s="75">
        <v>59910</v>
      </c>
      <c r="AV49" s="75">
        <v>58063</v>
      </c>
    </row>
    <row r="50" spans="1:48" ht="12.5" x14ac:dyDescent="0.25">
      <c r="A50" s="75" t="s">
        <v>515</v>
      </c>
      <c r="B50" s="75" t="s">
        <v>170</v>
      </c>
      <c r="C50" s="145">
        <f t="shared" si="0"/>
        <v>1132</v>
      </c>
      <c r="D50" s="145">
        <f t="shared" si="1"/>
        <v>762.3</v>
      </c>
      <c r="E50" s="145">
        <v>2796000</v>
      </c>
      <c r="F50" s="145">
        <f t="shared" si="2"/>
        <v>7768145.1998457257</v>
      </c>
      <c r="G50" s="145">
        <v>239</v>
      </c>
      <c r="H50" s="145">
        <v>200</v>
      </c>
      <c r="I50" s="145">
        <v>2293</v>
      </c>
      <c r="J50" s="145">
        <v>198</v>
      </c>
      <c r="K50" s="145">
        <v>491</v>
      </c>
      <c r="L50" s="145">
        <v>524</v>
      </c>
      <c r="M50" s="145">
        <v>4033</v>
      </c>
      <c r="N50" s="145">
        <v>3412</v>
      </c>
      <c r="O50" s="145">
        <v>800</v>
      </c>
      <c r="P50" s="145">
        <v>133</v>
      </c>
      <c r="Q50" s="145">
        <v>326</v>
      </c>
      <c r="R50" s="145">
        <v>713</v>
      </c>
      <c r="S50" s="145">
        <v>325</v>
      </c>
      <c r="T50" s="145">
        <v>309</v>
      </c>
      <c r="U50" s="145">
        <v>1798</v>
      </c>
      <c r="V50" s="145">
        <v>260</v>
      </c>
      <c r="W50" s="145">
        <v>472</v>
      </c>
      <c r="X50" s="145">
        <v>74</v>
      </c>
      <c r="Y50" s="145">
        <v>543</v>
      </c>
      <c r="Z50" s="145">
        <v>1800</v>
      </c>
      <c r="AA50" s="145">
        <v>21394</v>
      </c>
      <c r="AB50" s="75">
        <v>54033</v>
      </c>
      <c r="AC50" s="75">
        <v>56397</v>
      </c>
      <c r="AF50"/>
      <c r="AG50"/>
      <c r="AH50" s="75">
        <v>20840</v>
      </c>
      <c r="AI50" s="75">
        <v>20765</v>
      </c>
      <c r="AJ50" s="75">
        <v>20672</v>
      </c>
      <c r="AK50" s="75">
        <v>20770</v>
      </c>
      <c r="AL50" s="75">
        <v>20884</v>
      </c>
      <c r="AM50" s="75">
        <v>20888</v>
      </c>
      <c r="AN50" s="75">
        <v>21105</v>
      </c>
      <c r="AO50" s="75">
        <v>48730</v>
      </c>
      <c r="AP50" s="75">
        <v>52455</v>
      </c>
      <c r="AQ50" s="75">
        <v>46756000</v>
      </c>
      <c r="AR50" s="75">
        <v>55696</v>
      </c>
      <c r="AS50" s="75">
        <v>46383</v>
      </c>
      <c r="AT50" s="75">
        <v>54213</v>
      </c>
      <c r="AU50" s="75">
        <v>54033</v>
      </c>
      <c r="AV50" s="75">
        <v>56397</v>
      </c>
    </row>
    <row r="51" spans="1:48" ht="12.5" x14ac:dyDescent="0.25">
      <c r="A51" s="75" t="s">
        <v>522</v>
      </c>
      <c r="B51" s="75" t="s">
        <v>400</v>
      </c>
      <c r="C51" s="145">
        <f t="shared" si="0"/>
        <v>3844.6</v>
      </c>
      <c r="D51" s="145">
        <f t="shared" si="1"/>
        <v>5053.2</v>
      </c>
      <c r="E51" s="145">
        <v>3277000</v>
      </c>
      <c r="F51" s="145">
        <f t="shared" si="2"/>
        <v>10292569.252725502</v>
      </c>
      <c r="G51" s="145">
        <v>5843</v>
      </c>
      <c r="H51" s="145">
        <v>6417</v>
      </c>
      <c r="I51" s="145">
        <v>2962</v>
      </c>
      <c r="J51" s="145">
        <v>3218</v>
      </c>
      <c r="K51" s="145">
        <v>4649</v>
      </c>
      <c r="L51" s="145">
        <v>4831</v>
      </c>
      <c r="M51" s="145">
        <v>3768</v>
      </c>
      <c r="N51" s="145">
        <v>4133</v>
      </c>
      <c r="O51" s="145">
        <v>2218</v>
      </c>
      <c r="P51" s="145">
        <v>4188</v>
      </c>
      <c r="Q51" s="145">
        <v>764</v>
      </c>
      <c r="R51" s="145">
        <v>1154</v>
      </c>
      <c r="S51" s="145">
        <v>3611</v>
      </c>
      <c r="T51" s="145">
        <v>4450</v>
      </c>
      <c r="U51" s="145">
        <v>3090</v>
      </c>
      <c r="V51" s="145">
        <v>4375</v>
      </c>
      <c r="W51" s="145">
        <v>8813</v>
      </c>
      <c r="X51" s="145">
        <v>13716</v>
      </c>
      <c r="Y51" s="145">
        <v>2728</v>
      </c>
      <c r="Z51" s="145">
        <v>4050</v>
      </c>
      <c r="AA51" s="145">
        <v>27531</v>
      </c>
      <c r="AB51" s="75">
        <v>54308</v>
      </c>
      <c r="AC51" s="75">
        <v>58664</v>
      </c>
      <c r="AF51"/>
      <c r="AG51"/>
      <c r="AH51" s="75">
        <v>28373</v>
      </c>
      <c r="AI51" s="75">
        <v>28232</v>
      </c>
      <c r="AJ51" s="75">
        <v>28121</v>
      </c>
      <c r="AK51" s="75">
        <v>27853</v>
      </c>
      <c r="AL51" s="75">
        <v>27670</v>
      </c>
      <c r="AM51" s="75">
        <v>27676</v>
      </c>
      <c r="AN51" s="75">
        <v>27682</v>
      </c>
      <c r="AO51" s="75">
        <v>47750</v>
      </c>
      <c r="AP51" s="75">
        <v>54669</v>
      </c>
      <c r="AQ51" s="75">
        <v>55855000</v>
      </c>
      <c r="AR51" s="75">
        <v>56150</v>
      </c>
      <c r="AS51" s="75">
        <v>53496</v>
      </c>
      <c r="AT51" s="75">
        <v>53943</v>
      </c>
      <c r="AU51" s="75">
        <v>54308</v>
      </c>
      <c r="AV51" s="75">
        <v>58664</v>
      </c>
    </row>
    <row r="52" spans="1:48" ht="12.5" x14ac:dyDescent="0.25">
      <c r="A52" s="75" t="s">
        <v>520</v>
      </c>
      <c r="B52" s="75" t="s">
        <v>214</v>
      </c>
      <c r="C52" s="145">
        <f t="shared" si="0"/>
        <v>3437.4</v>
      </c>
      <c r="D52" s="145">
        <f t="shared" si="1"/>
        <v>3330.4</v>
      </c>
      <c r="E52" s="145">
        <v>1823000</v>
      </c>
      <c r="F52" s="145">
        <f t="shared" si="2"/>
        <v>5798588.6612406429</v>
      </c>
      <c r="G52" s="145">
        <v>14949</v>
      </c>
      <c r="H52" s="145">
        <v>14848</v>
      </c>
      <c r="I52" s="145">
        <v>4020</v>
      </c>
      <c r="J52" s="145">
        <v>2385</v>
      </c>
      <c r="K52" s="145">
        <v>500</v>
      </c>
      <c r="L52" s="145">
        <v>1002</v>
      </c>
      <c r="M52" s="145">
        <v>662</v>
      </c>
      <c r="N52" s="145">
        <v>680</v>
      </c>
      <c r="O52" s="145">
        <v>1859</v>
      </c>
      <c r="P52" s="145">
        <v>1804</v>
      </c>
      <c r="Q52" s="145">
        <v>10702</v>
      </c>
      <c r="R52" s="145">
        <v>10620</v>
      </c>
      <c r="S52" s="145">
        <v>843</v>
      </c>
      <c r="T52" s="145">
        <v>817</v>
      </c>
      <c r="U52" s="145">
        <v>349</v>
      </c>
      <c r="V52" s="145">
        <v>348</v>
      </c>
      <c r="W52" s="145">
        <v>123</v>
      </c>
      <c r="X52" s="145">
        <v>124</v>
      </c>
      <c r="Y52" s="145">
        <v>367</v>
      </c>
      <c r="Z52" s="145">
        <v>676</v>
      </c>
      <c r="AA52" s="145">
        <v>16281</v>
      </c>
      <c r="AB52" s="75">
        <v>37606</v>
      </c>
      <c r="AC52" s="75">
        <v>38176</v>
      </c>
      <c r="AF52"/>
      <c r="AG52"/>
      <c r="AH52" s="75">
        <v>15156</v>
      </c>
      <c r="AI52" s="75">
        <v>15213</v>
      </c>
      <c r="AJ52" s="75">
        <v>15188</v>
      </c>
      <c r="AK52" s="75">
        <v>15183</v>
      </c>
      <c r="AL52" s="75">
        <v>15341</v>
      </c>
      <c r="AM52" s="75">
        <v>15592</v>
      </c>
      <c r="AN52" s="75">
        <v>16026</v>
      </c>
      <c r="AO52" s="75">
        <v>37813</v>
      </c>
      <c r="AP52" s="75">
        <v>42284</v>
      </c>
      <c r="AQ52" s="75">
        <v>37961000</v>
      </c>
      <c r="AR52" s="75">
        <v>37172</v>
      </c>
      <c r="AS52" s="75">
        <v>37337</v>
      </c>
      <c r="AT52" s="75">
        <v>35560</v>
      </c>
      <c r="AU52" s="75">
        <v>37606</v>
      </c>
      <c r="AV52" s="75">
        <v>38176</v>
      </c>
    </row>
    <row r="53" spans="1:48" ht="12.5" x14ac:dyDescent="0.25">
      <c r="A53" s="75" t="s">
        <v>520</v>
      </c>
      <c r="B53" s="75" t="s">
        <v>215</v>
      </c>
      <c r="C53" s="145">
        <f t="shared" si="0"/>
        <v>7389.4</v>
      </c>
      <c r="D53" s="145">
        <f t="shared" si="1"/>
        <v>5761.1</v>
      </c>
      <c r="E53" s="145">
        <v>2711000</v>
      </c>
      <c r="F53" s="145">
        <f t="shared" si="2"/>
        <v>8304046.0631633094</v>
      </c>
      <c r="G53" s="145">
        <v>8428</v>
      </c>
      <c r="H53" s="145">
        <v>8369</v>
      </c>
      <c r="I53" s="145">
        <v>6989</v>
      </c>
      <c r="J53" s="145">
        <v>5303</v>
      </c>
      <c r="K53" s="145">
        <v>11730</v>
      </c>
      <c r="L53" s="145">
        <v>11651</v>
      </c>
      <c r="M53" s="145">
        <v>4641</v>
      </c>
      <c r="N53" s="145">
        <v>3865</v>
      </c>
      <c r="O53" s="145">
        <v>7828</v>
      </c>
      <c r="P53" s="145">
        <v>6605</v>
      </c>
      <c r="Q53" s="145">
        <v>5161</v>
      </c>
      <c r="R53" s="145">
        <v>3269</v>
      </c>
      <c r="S53" s="145">
        <v>10684</v>
      </c>
      <c r="T53" s="145">
        <v>8497</v>
      </c>
      <c r="U53" s="145">
        <v>9856</v>
      </c>
      <c r="V53" s="145">
        <v>7953</v>
      </c>
      <c r="W53" s="145">
        <v>5739</v>
      </c>
      <c r="X53" s="145">
        <v>297</v>
      </c>
      <c r="Y53" s="145">
        <v>2838</v>
      </c>
      <c r="Z53" s="145">
        <v>1802</v>
      </c>
      <c r="AA53" s="145">
        <v>22690</v>
      </c>
      <c r="AB53" s="75">
        <v>42563</v>
      </c>
      <c r="AC53" s="75">
        <v>47378</v>
      </c>
      <c r="AF53"/>
      <c r="AG53"/>
      <c r="AH53" s="75">
        <v>21022</v>
      </c>
      <c r="AI53" s="75">
        <v>21265</v>
      </c>
      <c r="AJ53" s="75">
        <v>21588</v>
      </c>
      <c r="AK53" s="75">
        <v>21873</v>
      </c>
      <c r="AL53" s="75">
        <v>22019</v>
      </c>
      <c r="AM53" s="75">
        <v>22329</v>
      </c>
      <c r="AN53" s="75">
        <v>22500</v>
      </c>
      <c r="AO53" s="75">
        <v>31748</v>
      </c>
      <c r="AP53" s="75">
        <v>22999</v>
      </c>
      <c r="AQ53" s="75">
        <v>23704000</v>
      </c>
      <c r="AR53" s="75">
        <v>24469</v>
      </c>
      <c r="AS53" s="75">
        <v>30222</v>
      </c>
      <c r="AT53" s="75">
        <v>33601</v>
      </c>
      <c r="AU53" s="75">
        <v>42563</v>
      </c>
      <c r="AV53" s="75">
        <v>47378</v>
      </c>
    </row>
    <row r="54" spans="1:48" ht="12.5" x14ac:dyDescent="0.25">
      <c r="A54" s="75" t="s">
        <v>515</v>
      </c>
      <c r="B54" s="75" t="s">
        <v>171</v>
      </c>
      <c r="C54" s="145">
        <f t="shared" si="0"/>
        <v>1961.8</v>
      </c>
      <c r="D54" s="145">
        <f t="shared" si="1"/>
        <v>1983</v>
      </c>
      <c r="E54" s="145">
        <v>1974000</v>
      </c>
      <c r="F54" s="145">
        <f t="shared" si="2"/>
        <v>10102530.848037587</v>
      </c>
      <c r="G54" s="145">
        <v>0</v>
      </c>
      <c r="H54" s="145">
        <v>75</v>
      </c>
      <c r="I54" s="145">
        <v>10551</v>
      </c>
      <c r="J54" s="145">
        <v>9867</v>
      </c>
      <c r="K54" s="145">
        <v>2113</v>
      </c>
      <c r="L54" s="145">
        <v>2965</v>
      </c>
      <c r="M54" s="145">
        <v>1419</v>
      </c>
      <c r="N54" s="145">
        <v>1423</v>
      </c>
      <c r="O54" s="145">
        <v>3537</v>
      </c>
      <c r="P54" s="145">
        <v>3590</v>
      </c>
      <c r="Q54" s="145">
        <v>61</v>
      </c>
      <c r="R54" s="145">
        <v>183</v>
      </c>
      <c r="S54" s="145">
        <v>29</v>
      </c>
      <c r="T54" s="145">
        <v>63</v>
      </c>
      <c r="U54" s="145">
        <v>145</v>
      </c>
      <c r="V54" s="145">
        <v>65</v>
      </c>
      <c r="W54" s="145">
        <v>1753</v>
      </c>
      <c r="X54" s="145">
        <v>1566</v>
      </c>
      <c r="Y54" s="145">
        <v>10</v>
      </c>
      <c r="Z54" s="145">
        <v>33</v>
      </c>
      <c r="AA54" s="145">
        <v>27976</v>
      </c>
      <c r="AB54" s="75">
        <v>27066</v>
      </c>
      <c r="AC54" s="75">
        <v>29973</v>
      </c>
      <c r="AF54"/>
      <c r="AG54"/>
      <c r="AH54" s="75">
        <v>26348</v>
      </c>
      <c r="AI54" s="75">
        <v>26359</v>
      </c>
      <c r="AJ54" s="75">
        <v>26578</v>
      </c>
      <c r="AK54" s="75">
        <v>26715</v>
      </c>
      <c r="AL54" s="75">
        <v>27009</v>
      </c>
      <c r="AM54" s="75">
        <v>27165</v>
      </c>
      <c r="AN54" s="75">
        <v>27725</v>
      </c>
      <c r="AO54" s="75">
        <v>30048</v>
      </c>
      <c r="AP54" s="75">
        <v>27389</v>
      </c>
      <c r="AQ54" s="75">
        <v>26923000</v>
      </c>
      <c r="AR54" s="75">
        <v>27651</v>
      </c>
      <c r="AS54" s="75">
        <v>26661</v>
      </c>
      <c r="AT54" s="75">
        <v>26343</v>
      </c>
      <c r="AU54" s="75">
        <v>27066</v>
      </c>
      <c r="AV54" s="75">
        <v>29973</v>
      </c>
    </row>
    <row r="55" spans="1:48" ht="12.5" x14ac:dyDescent="0.25">
      <c r="A55" s="75" t="s">
        <v>517</v>
      </c>
      <c r="B55" s="75" t="s">
        <v>287</v>
      </c>
      <c r="C55" s="145">
        <f t="shared" si="0"/>
        <v>7998.4</v>
      </c>
      <c r="D55" s="145">
        <f t="shared" si="1"/>
        <v>8654.6</v>
      </c>
      <c r="E55" s="145">
        <v>11542000</v>
      </c>
      <c r="F55" s="145">
        <f t="shared" si="2"/>
        <v>24986145.317734342</v>
      </c>
      <c r="G55" s="145">
        <v>6035</v>
      </c>
      <c r="H55" s="145">
        <v>5556</v>
      </c>
      <c r="I55" s="145">
        <v>-230</v>
      </c>
      <c r="J55" s="145">
        <v>447</v>
      </c>
      <c r="K55" s="145">
        <v>2252</v>
      </c>
      <c r="L55" s="145">
        <v>4449</v>
      </c>
      <c r="M55" s="145">
        <v>9900</v>
      </c>
      <c r="N55" s="145">
        <v>11920</v>
      </c>
      <c r="O55" s="145">
        <v>14945</v>
      </c>
      <c r="P55" s="145">
        <v>14451</v>
      </c>
      <c r="Q55" s="145">
        <v>9572</v>
      </c>
      <c r="R55" s="145">
        <v>9182</v>
      </c>
      <c r="S55" s="145">
        <v>10021</v>
      </c>
      <c r="T55" s="145">
        <v>7249</v>
      </c>
      <c r="U55" s="145">
        <v>9100</v>
      </c>
      <c r="V55" s="145">
        <v>8322</v>
      </c>
      <c r="W55" s="145">
        <v>10380</v>
      </c>
      <c r="X55" s="145">
        <v>16601</v>
      </c>
      <c r="Y55" s="145">
        <v>8009</v>
      </c>
      <c r="Z55" s="145">
        <v>8369</v>
      </c>
      <c r="AA55" s="145">
        <v>68673</v>
      </c>
      <c r="AB55" s="75">
        <v>207922</v>
      </c>
      <c r="AC55" s="75">
        <v>227447</v>
      </c>
      <c r="AF55"/>
      <c r="AG55"/>
      <c r="AH55" s="75">
        <v>66445</v>
      </c>
      <c r="AI55" s="75">
        <v>66864</v>
      </c>
      <c r="AJ55" s="75">
        <v>66822</v>
      </c>
      <c r="AK55" s="75">
        <v>67113</v>
      </c>
      <c r="AL55" s="75">
        <v>67319</v>
      </c>
      <c r="AM55" s="75">
        <v>67186</v>
      </c>
      <c r="AN55" s="75">
        <v>67552</v>
      </c>
      <c r="AO55" s="75">
        <v>123932</v>
      </c>
      <c r="AP55" s="75">
        <v>133126</v>
      </c>
      <c r="AQ55" s="75">
        <v>139252000</v>
      </c>
      <c r="AR55" s="75">
        <v>145471</v>
      </c>
      <c r="AS55" s="75">
        <v>160564</v>
      </c>
      <c r="AT55" s="75">
        <v>186025</v>
      </c>
      <c r="AU55" s="75">
        <v>207922</v>
      </c>
      <c r="AV55" s="75">
        <v>227447</v>
      </c>
    </row>
    <row r="56" spans="1:48" ht="12.5" x14ac:dyDescent="0.25">
      <c r="A56" s="75" t="s">
        <v>514</v>
      </c>
      <c r="B56" s="75" t="s">
        <v>244</v>
      </c>
      <c r="C56" s="145">
        <f t="shared" si="0"/>
        <v>3107.7</v>
      </c>
      <c r="D56" s="145">
        <f t="shared" si="1"/>
        <v>2997.6</v>
      </c>
      <c r="E56" s="145">
        <v>3559000</v>
      </c>
      <c r="F56" s="145">
        <f t="shared" si="2"/>
        <v>13480826.089104161</v>
      </c>
      <c r="G56" s="145">
        <v>650</v>
      </c>
      <c r="H56" s="145">
        <v>476</v>
      </c>
      <c r="I56" s="145">
        <v>2316</v>
      </c>
      <c r="J56" s="145">
        <v>2152</v>
      </c>
      <c r="K56" s="145">
        <v>3537</v>
      </c>
      <c r="L56" s="145">
        <v>3743</v>
      </c>
      <c r="M56" s="145">
        <v>1404</v>
      </c>
      <c r="N56" s="145">
        <v>1397</v>
      </c>
      <c r="O56" s="145">
        <v>11503</v>
      </c>
      <c r="P56" s="145">
        <v>11465</v>
      </c>
      <c r="Q56" s="145">
        <v>4962</v>
      </c>
      <c r="R56" s="145">
        <v>4455</v>
      </c>
      <c r="S56" s="145">
        <v>842</v>
      </c>
      <c r="T56" s="145">
        <v>844</v>
      </c>
      <c r="U56" s="145">
        <v>2765</v>
      </c>
      <c r="V56" s="145">
        <v>2722</v>
      </c>
      <c r="W56" s="145">
        <v>1124</v>
      </c>
      <c r="X56" s="145">
        <v>957</v>
      </c>
      <c r="Y56" s="145">
        <v>1974</v>
      </c>
      <c r="Z56" s="145">
        <v>1765</v>
      </c>
      <c r="AA56" s="145">
        <v>36616</v>
      </c>
      <c r="AB56" s="75">
        <v>61667</v>
      </c>
      <c r="AC56" s="75">
        <v>61127</v>
      </c>
      <c r="AF56"/>
      <c r="AG56"/>
      <c r="AH56" s="75">
        <v>35230</v>
      </c>
      <c r="AI56" s="75">
        <v>35607</v>
      </c>
      <c r="AJ56" s="75">
        <v>35754</v>
      </c>
      <c r="AK56" s="75">
        <v>35966</v>
      </c>
      <c r="AL56" s="75">
        <v>36086</v>
      </c>
      <c r="AM56" s="75">
        <v>36249</v>
      </c>
      <c r="AN56" s="75">
        <v>36345</v>
      </c>
      <c r="AO56" s="75">
        <v>76360</v>
      </c>
      <c r="AP56" s="75">
        <v>64108</v>
      </c>
      <c r="AQ56" s="75">
        <v>64471000</v>
      </c>
      <c r="AR56" s="75">
        <v>62985</v>
      </c>
      <c r="AS56" s="75">
        <v>62007</v>
      </c>
      <c r="AT56" s="75">
        <v>59403</v>
      </c>
      <c r="AU56" s="75">
        <v>61667</v>
      </c>
      <c r="AV56" s="75">
        <v>61127</v>
      </c>
    </row>
    <row r="57" spans="1:48" ht="12.5" x14ac:dyDescent="0.25">
      <c r="A57" s="75" t="s">
        <v>512</v>
      </c>
      <c r="B57" s="75" t="s">
        <v>107</v>
      </c>
      <c r="C57" s="145">
        <f t="shared" si="0"/>
        <v>5954.9</v>
      </c>
      <c r="D57" s="145">
        <f t="shared" si="1"/>
        <v>6231.4</v>
      </c>
      <c r="E57" s="145">
        <v>8423000</v>
      </c>
      <c r="F57" s="145">
        <f t="shared" si="2"/>
        <v>13207855.073368486</v>
      </c>
      <c r="G57" s="145">
        <v>6986</v>
      </c>
      <c r="H57" s="145">
        <v>6923</v>
      </c>
      <c r="I57" s="145">
        <v>8159</v>
      </c>
      <c r="J57" s="145">
        <v>12249</v>
      </c>
      <c r="K57" s="145">
        <v>9022</v>
      </c>
      <c r="L57" s="145">
        <v>9276</v>
      </c>
      <c r="M57" s="145">
        <v>9405</v>
      </c>
      <c r="N57" s="145">
        <v>11048</v>
      </c>
      <c r="O57" s="145">
        <v>3544</v>
      </c>
      <c r="P57" s="145">
        <v>3669</v>
      </c>
      <c r="Q57" s="145">
        <v>3364</v>
      </c>
      <c r="R57" s="145">
        <v>3230</v>
      </c>
      <c r="S57" s="145">
        <v>4707</v>
      </c>
      <c r="T57" s="145">
        <v>3814</v>
      </c>
      <c r="U57" s="145">
        <v>3912</v>
      </c>
      <c r="V57" s="145">
        <v>3523</v>
      </c>
      <c r="W57" s="145">
        <v>7199</v>
      </c>
      <c r="X57" s="145">
        <v>5988</v>
      </c>
      <c r="Y57" s="145">
        <v>3251</v>
      </c>
      <c r="Z57" s="145">
        <v>2594</v>
      </c>
      <c r="AA57" s="145">
        <v>35868</v>
      </c>
      <c r="AB57" s="75">
        <v>98719</v>
      </c>
      <c r="AC57" s="75">
        <v>99245</v>
      </c>
      <c r="AF57"/>
      <c r="AG57"/>
      <c r="AH57" s="75">
        <v>35268</v>
      </c>
      <c r="AI57" s="75">
        <v>35291</v>
      </c>
      <c r="AJ57" s="75">
        <v>35497</v>
      </c>
      <c r="AK57" s="75">
        <v>35356</v>
      </c>
      <c r="AL57" s="75">
        <v>35317</v>
      </c>
      <c r="AM57" s="75">
        <v>35515</v>
      </c>
      <c r="AN57" s="75">
        <v>35700</v>
      </c>
      <c r="AO57" s="75">
        <v>96130</v>
      </c>
      <c r="AP57" s="75">
        <v>93055</v>
      </c>
      <c r="AQ57" s="75">
        <v>98458000</v>
      </c>
      <c r="AR57" s="75">
        <v>95747</v>
      </c>
      <c r="AS57" s="75">
        <v>95608</v>
      </c>
      <c r="AT57" s="75">
        <v>94703</v>
      </c>
      <c r="AU57" s="75">
        <v>98719</v>
      </c>
      <c r="AV57" s="75">
        <v>99245</v>
      </c>
    </row>
    <row r="58" spans="1:48" ht="12.5" x14ac:dyDescent="0.25">
      <c r="A58" s="75" t="s">
        <v>513</v>
      </c>
      <c r="B58" s="75" t="s">
        <v>353</v>
      </c>
      <c r="C58" s="145">
        <f t="shared" si="0"/>
        <v>1052.2</v>
      </c>
      <c r="D58" s="145">
        <f t="shared" si="1"/>
        <v>1081.9000000000001</v>
      </c>
      <c r="E58" s="145">
        <v>2641000</v>
      </c>
      <c r="F58" s="145">
        <f t="shared" si="2"/>
        <v>7686328.274148385</v>
      </c>
      <c r="G58" s="145">
        <v>3389</v>
      </c>
      <c r="H58" s="145">
        <v>3366</v>
      </c>
      <c r="I58" s="145" t="s">
        <v>613</v>
      </c>
      <c r="J58" s="145" t="s">
        <v>613</v>
      </c>
      <c r="K58" s="145">
        <v>778</v>
      </c>
      <c r="L58" s="145">
        <v>1018</v>
      </c>
      <c r="M58" s="145">
        <v>1485</v>
      </c>
      <c r="N58" s="145">
        <v>1409</v>
      </c>
      <c r="O58" s="145">
        <v>105</v>
      </c>
      <c r="P58" s="145">
        <v>99</v>
      </c>
      <c r="Q58" s="145">
        <v>211</v>
      </c>
      <c r="R58" s="145">
        <v>211</v>
      </c>
      <c r="S58" s="145">
        <v>600</v>
      </c>
      <c r="T58" s="145">
        <v>599</v>
      </c>
      <c r="U58" s="145">
        <v>566</v>
      </c>
      <c r="V58" s="145">
        <v>564</v>
      </c>
      <c r="W58" s="145">
        <v>1324</v>
      </c>
      <c r="X58" s="145">
        <v>1286</v>
      </c>
      <c r="Y58" s="145">
        <v>2064</v>
      </c>
      <c r="Z58" s="145">
        <v>2267</v>
      </c>
      <c r="AA58" s="145">
        <v>21739</v>
      </c>
      <c r="AB58" s="75">
        <v>53528</v>
      </c>
      <c r="AC58" s="75">
        <v>52784</v>
      </c>
      <c r="AF58"/>
      <c r="AG58"/>
      <c r="AH58" s="75">
        <v>20686</v>
      </c>
      <c r="AI58" s="75">
        <v>20335</v>
      </c>
      <c r="AJ58" s="75">
        <v>20436</v>
      </c>
      <c r="AK58" s="75">
        <v>21119</v>
      </c>
      <c r="AL58" s="75">
        <v>21001</v>
      </c>
      <c r="AM58" s="75">
        <v>20668</v>
      </c>
      <c r="AN58" s="75">
        <v>20851</v>
      </c>
      <c r="AO58" s="75">
        <v>40960</v>
      </c>
      <c r="AP58" s="75">
        <v>0</v>
      </c>
      <c r="AQ58" s="75">
        <v>43618000</v>
      </c>
      <c r="AR58" s="75">
        <v>45852</v>
      </c>
      <c r="AS58" s="75">
        <v>48947</v>
      </c>
      <c r="AT58" s="75">
        <v>54238</v>
      </c>
      <c r="AU58" s="75">
        <v>53528</v>
      </c>
      <c r="AV58" s="75">
        <v>52784</v>
      </c>
    </row>
    <row r="59" spans="1:48" ht="12.5" x14ac:dyDescent="0.25">
      <c r="A59" s="75" t="s">
        <v>515</v>
      </c>
      <c r="B59" s="75" t="s">
        <v>172</v>
      </c>
      <c r="C59" s="145">
        <f t="shared" si="0"/>
        <v>4566</v>
      </c>
      <c r="D59" s="145">
        <f t="shared" si="1"/>
        <v>3650.7</v>
      </c>
      <c r="E59" s="145">
        <v>4169000</v>
      </c>
      <c r="F59" s="145">
        <f t="shared" si="2"/>
        <v>10928881.797580732</v>
      </c>
      <c r="G59" s="145">
        <v>3326</v>
      </c>
      <c r="H59" s="145">
        <v>2999</v>
      </c>
      <c r="I59" s="145">
        <v>8311</v>
      </c>
      <c r="J59" s="145">
        <v>8028</v>
      </c>
      <c r="K59" s="145">
        <v>3543</v>
      </c>
      <c r="L59" s="145">
        <v>3955</v>
      </c>
      <c r="M59" s="145">
        <v>10270</v>
      </c>
      <c r="N59" s="145">
        <v>8473</v>
      </c>
      <c r="O59" s="145">
        <v>9765</v>
      </c>
      <c r="P59" s="145">
        <v>4274</v>
      </c>
      <c r="Q59" s="145">
        <v>3557</v>
      </c>
      <c r="R59" s="145">
        <v>3483</v>
      </c>
      <c r="S59" s="145">
        <v>1263</v>
      </c>
      <c r="T59" s="145">
        <v>1135</v>
      </c>
      <c r="U59" s="145">
        <v>1584</v>
      </c>
      <c r="V59" s="145">
        <v>2527</v>
      </c>
      <c r="W59" s="145">
        <v>619</v>
      </c>
      <c r="X59" s="145">
        <v>580</v>
      </c>
      <c r="Y59" s="145">
        <v>3422</v>
      </c>
      <c r="Z59" s="145">
        <v>1053</v>
      </c>
      <c r="AA59" s="145">
        <v>30293</v>
      </c>
      <c r="AB59" s="75">
        <v>83559</v>
      </c>
      <c r="AC59" s="75">
        <v>81661</v>
      </c>
      <c r="AF59"/>
      <c r="AG59"/>
      <c r="AH59" s="75">
        <v>27865</v>
      </c>
      <c r="AI59" s="75">
        <v>28195</v>
      </c>
      <c r="AJ59" s="75">
        <v>28544</v>
      </c>
      <c r="AK59" s="75">
        <v>28920</v>
      </c>
      <c r="AL59" s="75">
        <v>29121</v>
      </c>
      <c r="AM59" s="75">
        <v>29387</v>
      </c>
      <c r="AN59" s="75">
        <v>29729</v>
      </c>
      <c r="AO59" s="75">
        <v>96308</v>
      </c>
      <c r="AP59" s="75">
        <v>91490</v>
      </c>
      <c r="AQ59" s="75">
        <v>88077000</v>
      </c>
      <c r="AR59" s="75">
        <v>85124</v>
      </c>
      <c r="AS59" s="75">
        <v>84410</v>
      </c>
      <c r="AT59" s="75">
        <v>85623</v>
      </c>
      <c r="AU59" s="75">
        <v>83559</v>
      </c>
      <c r="AV59" s="75">
        <v>81661</v>
      </c>
    </row>
    <row r="60" spans="1:48" ht="12.5" x14ac:dyDescent="0.25">
      <c r="A60" s="75" t="s">
        <v>518</v>
      </c>
      <c r="B60" s="75" t="s">
        <v>141</v>
      </c>
      <c r="C60" s="145">
        <f t="shared" si="0"/>
        <v>6681.9</v>
      </c>
      <c r="D60" s="145">
        <f t="shared" si="1"/>
        <v>5398.7</v>
      </c>
      <c r="E60" s="145">
        <v>2811000</v>
      </c>
      <c r="F60" s="145">
        <f t="shared" si="2"/>
        <v>10843717.815832136</v>
      </c>
      <c r="G60" s="145">
        <v>1739</v>
      </c>
      <c r="H60" s="145">
        <v>1547</v>
      </c>
      <c r="I60" s="145">
        <v>7163</v>
      </c>
      <c r="J60" s="145">
        <v>5813</v>
      </c>
      <c r="K60" s="145">
        <v>6354</v>
      </c>
      <c r="L60" s="145">
        <v>4639</v>
      </c>
      <c r="M60" s="145">
        <v>13335</v>
      </c>
      <c r="N60" s="145">
        <v>8360</v>
      </c>
      <c r="O60" s="145">
        <v>6728</v>
      </c>
      <c r="P60" s="145">
        <v>6199</v>
      </c>
      <c r="Q60" s="145">
        <v>9337</v>
      </c>
      <c r="R60" s="145">
        <v>7605</v>
      </c>
      <c r="S60" s="145">
        <v>6986</v>
      </c>
      <c r="T60" s="145">
        <v>6143</v>
      </c>
      <c r="U60" s="145">
        <v>212</v>
      </c>
      <c r="V60" s="145">
        <v>-216</v>
      </c>
      <c r="W60" s="145">
        <v>7869</v>
      </c>
      <c r="X60" s="145">
        <v>7657</v>
      </c>
      <c r="Y60" s="145">
        <v>7096</v>
      </c>
      <c r="Z60" s="145">
        <v>6240</v>
      </c>
      <c r="AA60" s="145">
        <v>30051</v>
      </c>
      <c r="AB60" s="75">
        <v>53366</v>
      </c>
      <c r="AC60" s="75">
        <v>56960</v>
      </c>
      <c r="AF60"/>
      <c r="AG60"/>
      <c r="AH60" s="75">
        <v>28070</v>
      </c>
      <c r="AI60" s="75">
        <v>28252</v>
      </c>
      <c r="AJ60" s="75">
        <v>28487</v>
      </c>
      <c r="AK60" s="75">
        <v>28592</v>
      </c>
      <c r="AL60" s="75">
        <v>28901</v>
      </c>
      <c r="AM60" s="75">
        <v>29158</v>
      </c>
      <c r="AN60" s="75">
        <v>29612</v>
      </c>
      <c r="AO60" s="75">
        <v>55985</v>
      </c>
      <c r="AP60" s="75">
        <v>53310</v>
      </c>
      <c r="AQ60" s="75">
        <v>37411000</v>
      </c>
      <c r="AR60" s="75">
        <v>40775</v>
      </c>
      <c r="AS60" s="75">
        <v>47334</v>
      </c>
      <c r="AT60" s="75">
        <v>53191</v>
      </c>
      <c r="AU60" s="75">
        <v>53366</v>
      </c>
      <c r="AV60" s="75">
        <v>56960</v>
      </c>
    </row>
    <row r="61" spans="1:48" ht="12.5" x14ac:dyDescent="0.25">
      <c r="A61" s="75" t="s">
        <v>516</v>
      </c>
      <c r="B61" s="75" t="s">
        <v>127</v>
      </c>
      <c r="C61" s="145">
        <f t="shared" si="0"/>
        <v>1623.7</v>
      </c>
      <c r="D61" s="145">
        <f t="shared" si="1"/>
        <v>1489.9</v>
      </c>
      <c r="E61" s="145">
        <v>2086000</v>
      </c>
      <c r="F61" s="145">
        <f t="shared" si="2"/>
        <v>7051503.3097603796</v>
      </c>
      <c r="G61" s="145">
        <v>1065</v>
      </c>
      <c r="H61" s="145">
        <v>931</v>
      </c>
      <c r="I61" s="145">
        <v>2874</v>
      </c>
      <c r="J61" s="145">
        <v>2839</v>
      </c>
      <c r="K61" s="145">
        <v>1816</v>
      </c>
      <c r="L61" s="145">
        <v>1755</v>
      </c>
      <c r="M61" s="145">
        <v>1510</v>
      </c>
      <c r="N61" s="145">
        <v>1953</v>
      </c>
      <c r="O61" s="145">
        <v>4681</v>
      </c>
      <c r="P61" s="145">
        <v>3827</v>
      </c>
      <c r="Q61" s="145">
        <v>1105</v>
      </c>
      <c r="R61" s="145">
        <v>881</v>
      </c>
      <c r="S61" s="145">
        <v>1183</v>
      </c>
      <c r="T61" s="145">
        <v>1027</v>
      </c>
      <c r="U61" s="145">
        <v>825</v>
      </c>
      <c r="V61" s="145">
        <v>599</v>
      </c>
      <c r="W61" s="145">
        <v>333</v>
      </c>
      <c r="X61" s="145">
        <v>441</v>
      </c>
      <c r="Y61" s="145">
        <v>845</v>
      </c>
      <c r="Z61" s="145">
        <v>646</v>
      </c>
      <c r="AA61" s="145">
        <v>19138</v>
      </c>
      <c r="AB61" s="75">
        <v>40423</v>
      </c>
      <c r="AC61" s="75">
        <v>41925</v>
      </c>
      <c r="AF61"/>
      <c r="AG61"/>
      <c r="AH61" s="75">
        <v>18943</v>
      </c>
      <c r="AI61" s="75">
        <v>18911</v>
      </c>
      <c r="AJ61" s="75">
        <v>18930</v>
      </c>
      <c r="AK61" s="75">
        <v>18945</v>
      </c>
      <c r="AL61" s="75">
        <v>18943</v>
      </c>
      <c r="AM61" s="75">
        <v>18961</v>
      </c>
      <c r="AN61" s="75">
        <v>19194</v>
      </c>
      <c r="AO61" s="75">
        <v>41456</v>
      </c>
      <c r="AP61" s="75">
        <v>40656</v>
      </c>
      <c r="AQ61" s="75">
        <v>39252000</v>
      </c>
      <c r="AR61" s="75">
        <v>37167</v>
      </c>
      <c r="AS61" s="75">
        <v>37053</v>
      </c>
      <c r="AT61" s="75">
        <v>35559</v>
      </c>
      <c r="AU61" s="75">
        <v>40423</v>
      </c>
      <c r="AV61" s="75">
        <v>41925</v>
      </c>
    </row>
    <row r="62" spans="1:48" ht="12.5" x14ac:dyDescent="0.25">
      <c r="A62" s="75" t="s">
        <v>520</v>
      </c>
      <c r="B62" s="214" t="s">
        <v>216</v>
      </c>
      <c r="C62" s="145">
        <f t="shared" si="0"/>
        <v>6563</v>
      </c>
      <c r="D62" s="145">
        <f t="shared" si="1"/>
        <v>6552.1</v>
      </c>
      <c r="E62" s="216">
        <v>4482000</v>
      </c>
      <c r="F62" s="145">
        <f t="shared" si="2"/>
        <v>16180412.741999609</v>
      </c>
      <c r="G62" s="216">
        <v>5966</v>
      </c>
      <c r="H62" s="216">
        <v>5966</v>
      </c>
      <c r="I62" s="145">
        <v>6980</v>
      </c>
      <c r="J62" s="145">
        <v>7593</v>
      </c>
      <c r="K62" s="145">
        <v>3241</v>
      </c>
      <c r="L62" s="145">
        <v>3708</v>
      </c>
      <c r="M62" s="145">
        <v>4445</v>
      </c>
      <c r="N62" s="145">
        <v>4449</v>
      </c>
      <c r="O62" s="145">
        <v>6212</v>
      </c>
      <c r="P62" s="145">
        <v>5248</v>
      </c>
      <c r="Q62" s="145">
        <v>16984</v>
      </c>
      <c r="R62" s="145">
        <v>15623</v>
      </c>
      <c r="S62" s="145">
        <v>9363</v>
      </c>
      <c r="T62" s="145">
        <v>7640</v>
      </c>
      <c r="U62" s="145">
        <v>4309</v>
      </c>
      <c r="V62" s="145">
        <v>7249</v>
      </c>
      <c r="W62" s="145">
        <v>6508</v>
      </c>
      <c r="X62" s="145">
        <v>5817</v>
      </c>
      <c r="Y62" s="145">
        <v>1622</v>
      </c>
      <c r="Z62" s="145">
        <v>2228</v>
      </c>
      <c r="AA62" s="145">
        <v>43794</v>
      </c>
      <c r="AB62" s="75">
        <v>103658</v>
      </c>
      <c r="AC62" s="75">
        <v>107390</v>
      </c>
      <c r="AF62"/>
      <c r="AG62"/>
      <c r="AH62" s="75">
        <v>42759</v>
      </c>
      <c r="AI62" s="75">
        <v>42851</v>
      </c>
      <c r="AJ62" s="75">
        <v>42809</v>
      </c>
      <c r="AK62" s="75">
        <v>43123</v>
      </c>
      <c r="AL62" s="75">
        <v>43384</v>
      </c>
      <c r="AM62" s="75">
        <v>43508</v>
      </c>
      <c r="AN62" s="75">
        <v>43884</v>
      </c>
      <c r="AO62" s="75">
        <v>93635</v>
      </c>
      <c r="AP62" s="75">
        <v>93942</v>
      </c>
      <c r="AQ62" s="75">
        <v>94168000</v>
      </c>
      <c r="AR62" s="75">
        <v>95733</v>
      </c>
      <c r="AS62" s="75">
        <v>99149</v>
      </c>
      <c r="AT62" s="75">
        <v>102955</v>
      </c>
      <c r="AU62" s="75">
        <v>103658</v>
      </c>
      <c r="AV62" s="75">
        <v>107390</v>
      </c>
    </row>
    <row r="63" spans="1:48" ht="12.5" x14ac:dyDescent="0.25">
      <c r="A63" s="75" t="s">
        <v>516</v>
      </c>
      <c r="B63" s="75" t="s">
        <v>525</v>
      </c>
      <c r="C63" s="145">
        <f t="shared" si="0"/>
        <v>4542.3999999999996</v>
      </c>
      <c r="D63" s="145">
        <f t="shared" si="1"/>
        <v>3245.7</v>
      </c>
      <c r="E63" s="145">
        <v>8103000</v>
      </c>
      <c r="F63" s="145">
        <f t="shared" si="2"/>
        <v>19187928.551610503</v>
      </c>
      <c r="G63" s="145">
        <v>725</v>
      </c>
      <c r="H63" s="145">
        <v>361</v>
      </c>
      <c r="I63" s="145">
        <v>9740</v>
      </c>
      <c r="J63" s="145">
        <v>8657</v>
      </c>
      <c r="K63" s="145">
        <v>6137</v>
      </c>
      <c r="L63" s="145">
        <v>6993</v>
      </c>
      <c r="M63" s="145">
        <v>9394</v>
      </c>
      <c r="N63" s="145">
        <v>6332</v>
      </c>
      <c r="O63" s="145">
        <v>3740</v>
      </c>
      <c r="P63" s="145">
        <v>3099</v>
      </c>
      <c r="Q63" s="145">
        <v>4400</v>
      </c>
      <c r="R63" s="145">
        <v>2239</v>
      </c>
      <c r="S63" s="145">
        <v>3078</v>
      </c>
      <c r="T63" s="145">
        <v>1349</v>
      </c>
      <c r="U63" s="145">
        <v>2635</v>
      </c>
      <c r="V63" s="145">
        <v>937</v>
      </c>
      <c r="W63" s="145">
        <v>1097</v>
      </c>
      <c r="X63" s="145">
        <v>1544</v>
      </c>
      <c r="Y63" s="145">
        <v>4478</v>
      </c>
      <c r="Z63" s="145">
        <v>946</v>
      </c>
      <c r="AA63" s="145">
        <v>52234</v>
      </c>
      <c r="AB63" s="75">
        <v>106482</v>
      </c>
      <c r="AC63" s="75">
        <v>112525</v>
      </c>
      <c r="AF63"/>
      <c r="AG63"/>
      <c r="AH63" s="75">
        <v>51589</v>
      </c>
      <c r="AI63" s="75">
        <v>51728</v>
      </c>
      <c r="AJ63" s="75">
        <v>51442</v>
      </c>
      <c r="AK63" s="75">
        <v>51561</v>
      </c>
      <c r="AL63" s="75">
        <v>51778</v>
      </c>
      <c r="AM63" s="75">
        <v>51595</v>
      </c>
      <c r="AN63" s="75">
        <v>51992</v>
      </c>
      <c r="AO63" s="75">
        <v>106367</v>
      </c>
      <c r="AP63" s="75">
        <v>105052</v>
      </c>
      <c r="AQ63" s="75">
        <v>107172000</v>
      </c>
      <c r="AR63" s="75">
        <v>111669</v>
      </c>
      <c r="AS63" s="75">
        <v>107892</v>
      </c>
      <c r="AT63" s="75">
        <v>107238</v>
      </c>
      <c r="AU63" s="75">
        <v>106482</v>
      </c>
      <c r="AV63" s="75">
        <v>112525</v>
      </c>
    </row>
    <row r="64" spans="1:48" ht="12.5" x14ac:dyDescent="0.25">
      <c r="A64" s="75" t="s">
        <v>520</v>
      </c>
      <c r="B64" s="75" t="s">
        <v>217</v>
      </c>
      <c r="C64" s="145">
        <f t="shared" si="0"/>
        <v>10478</v>
      </c>
      <c r="D64" s="145">
        <f t="shared" si="1"/>
        <v>8805.6</v>
      </c>
      <c r="E64" s="145">
        <v>4974000</v>
      </c>
      <c r="F64" s="145">
        <f t="shared" si="2"/>
        <v>16716685.500434</v>
      </c>
      <c r="G64" s="145">
        <v>0</v>
      </c>
      <c r="H64" s="145">
        <v>813</v>
      </c>
      <c r="I64" s="145">
        <v>18511</v>
      </c>
      <c r="J64" s="145">
        <v>16287</v>
      </c>
      <c r="K64" s="145">
        <v>22035</v>
      </c>
      <c r="L64" s="145">
        <v>21125</v>
      </c>
      <c r="M64" s="145">
        <v>18897</v>
      </c>
      <c r="N64" s="145">
        <v>13871</v>
      </c>
      <c r="O64" s="145">
        <v>9948</v>
      </c>
      <c r="P64" s="145">
        <v>7000</v>
      </c>
      <c r="Q64" s="145">
        <v>4630</v>
      </c>
      <c r="R64" s="145">
        <v>3174</v>
      </c>
      <c r="S64" s="145">
        <v>27077</v>
      </c>
      <c r="T64" s="145">
        <v>22665</v>
      </c>
      <c r="U64" s="145">
        <v>2913</v>
      </c>
      <c r="V64" s="145">
        <v>2197</v>
      </c>
      <c r="W64" s="145">
        <v>769</v>
      </c>
      <c r="X64" s="145">
        <v>871</v>
      </c>
      <c r="Y64" s="145">
        <v>0</v>
      </c>
      <c r="Z64" s="145">
        <v>53</v>
      </c>
      <c r="AA64" s="145">
        <v>45924</v>
      </c>
      <c r="AB64" s="75">
        <v>88049</v>
      </c>
      <c r="AC64" s="75">
        <v>89144</v>
      </c>
      <c r="AF64"/>
      <c r="AG64"/>
      <c r="AH64" s="75">
        <v>42759</v>
      </c>
      <c r="AI64" s="75">
        <v>43620</v>
      </c>
      <c r="AJ64" s="75">
        <v>44064</v>
      </c>
      <c r="AK64" s="75">
        <v>44435</v>
      </c>
      <c r="AL64" s="75">
        <v>44720</v>
      </c>
      <c r="AM64" s="75">
        <v>44950</v>
      </c>
      <c r="AN64" s="75">
        <v>45572</v>
      </c>
      <c r="AO64" s="75">
        <v>75030</v>
      </c>
      <c r="AP64" s="75">
        <v>74817</v>
      </c>
      <c r="AQ64" s="75">
        <v>77548000</v>
      </c>
      <c r="AR64" s="75">
        <v>80258</v>
      </c>
      <c r="AS64" s="75">
        <v>83450</v>
      </c>
      <c r="AT64" s="75">
        <v>86978</v>
      </c>
      <c r="AU64" s="75">
        <v>88049</v>
      </c>
      <c r="AV64" s="75">
        <v>89144</v>
      </c>
    </row>
    <row r="65" spans="1:48" ht="12.5" x14ac:dyDescent="0.25">
      <c r="A65" s="75" t="s">
        <v>512</v>
      </c>
      <c r="B65" s="75" t="s">
        <v>115</v>
      </c>
      <c r="C65" s="145">
        <f t="shared" si="0"/>
        <v>1166.8</v>
      </c>
      <c r="D65" s="145">
        <f t="shared" si="1"/>
        <v>978.3</v>
      </c>
      <c r="E65" s="145">
        <v>2912000</v>
      </c>
      <c r="F65" s="145">
        <f t="shared" si="2"/>
        <v>9116636.893384628</v>
      </c>
      <c r="G65" s="145">
        <v>0</v>
      </c>
      <c r="H65" s="145">
        <v>192</v>
      </c>
      <c r="I65" s="145">
        <v>2912</v>
      </c>
      <c r="J65" s="145">
        <v>2675</v>
      </c>
      <c r="K65" s="145">
        <v>1892</v>
      </c>
      <c r="L65" s="145">
        <v>1509</v>
      </c>
      <c r="M65" s="145">
        <v>1563</v>
      </c>
      <c r="N65" s="145">
        <v>978</v>
      </c>
      <c r="O65" s="145">
        <v>1070</v>
      </c>
      <c r="P65" s="145">
        <v>837</v>
      </c>
      <c r="Q65" s="145">
        <v>1245</v>
      </c>
      <c r="R65" s="145">
        <v>1033</v>
      </c>
      <c r="S65" s="145">
        <v>815</v>
      </c>
      <c r="T65" s="145">
        <v>758</v>
      </c>
      <c r="U65" s="145">
        <v>1127</v>
      </c>
      <c r="V65" s="145">
        <v>717</v>
      </c>
      <c r="W65" s="145">
        <v>218</v>
      </c>
      <c r="X65" s="145">
        <v>387</v>
      </c>
      <c r="Y65" s="145">
        <v>826</v>
      </c>
      <c r="Z65" s="145">
        <v>697</v>
      </c>
      <c r="AA65" s="145">
        <v>24665</v>
      </c>
      <c r="AB65" s="75">
        <v>49183</v>
      </c>
      <c r="AC65" s="75">
        <v>50252</v>
      </c>
      <c r="AF65"/>
      <c r="AG65"/>
      <c r="AH65" s="75">
        <v>23745</v>
      </c>
      <c r="AI65" s="75">
        <v>23914</v>
      </c>
      <c r="AJ65" s="75">
        <v>24116</v>
      </c>
      <c r="AK65" s="75">
        <v>24291</v>
      </c>
      <c r="AL65" s="75">
        <v>24374</v>
      </c>
      <c r="AM65" s="75">
        <v>24514</v>
      </c>
      <c r="AN65" s="75">
        <v>24602</v>
      </c>
      <c r="AO65" s="75">
        <v>42170</v>
      </c>
      <c r="AP65" s="75">
        <v>41677</v>
      </c>
      <c r="AQ65" s="75">
        <v>41057000</v>
      </c>
      <c r="AR65" s="75">
        <v>40928</v>
      </c>
      <c r="AS65" s="75">
        <v>44245</v>
      </c>
      <c r="AT65" s="75">
        <v>45724</v>
      </c>
      <c r="AU65" s="75">
        <v>49183</v>
      </c>
      <c r="AV65" s="75">
        <v>50252</v>
      </c>
    </row>
    <row r="66" spans="1:48" ht="12.5" x14ac:dyDescent="0.25">
      <c r="A66" s="75" t="s">
        <v>517</v>
      </c>
      <c r="B66" s="75" t="s">
        <v>288</v>
      </c>
      <c r="C66" s="145">
        <f t="shared" si="0"/>
        <v>21783.8</v>
      </c>
      <c r="D66" s="145">
        <f t="shared" si="1"/>
        <v>18410.099999999999</v>
      </c>
      <c r="E66" s="145">
        <v>18360000</v>
      </c>
      <c r="F66" s="145">
        <f t="shared" si="2"/>
        <v>38875312.245091595</v>
      </c>
      <c r="G66" s="145">
        <v>7518</v>
      </c>
      <c r="H66" s="145">
        <v>10873</v>
      </c>
      <c r="I66" s="145">
        <v>27633</v>
      </c>
      <c r="J66" s="145">
        <v>29299</v>
      </c>
      <c r="K66" s="145">
        <v>19327</v>
      </c>
      <c r="L66" s="145">
        <v>19051</v>
      </c>
      <c r="M66" s="145">
        <v>40257</v>
      </c>
      <c r="N66" s="145">
        <v>12502</v>
      </c>
      <c r="O66" s="145">
        <v>34475</v>
      </c>
      <c r="P66" s="145">
        <v>34666</v>
      </c>
      <c r="Q66" s="145">
        <v>35667</v>
      </c>
      <c r="R66" s="145">
        <v>32471</v>
      </c>
      <c r="S66" s="145">
        <v>16645</v>
      </c>
      <c r="T66" s="145">
        <v>10331</v>
      </c>
      <c r="U66" s="145">
        <v>19210</v>
      </c>
      <c r="V66" s="145">
        <v>17382</v>
      </c>
      <c r="W66" s="145">
        <v>9203</v>
      </c>
      <c r="X66" s="145">
        <v>8790</v>
      </c>
      <c r="Y66" s="145">
        <v>7903</v>
      </c>
      <c r="Z66" s="145">
        <v>8736</v>
      </c>
      <c r="AA66" s="145">
        <v>110224</v>
      </c>
      <c r="AB66" s="75">
        <v>394616</v>
      </c>
      <c r="AC66" s="75">
        <v>397311</v>
      </c>
      <c r="AF66"/>
      <c r="AG66"/>
      <c r="AH66" s="75">
        <v>101361</v>
      </c>
      <c r="AI66" s="75">
        <v>102280</v>
      </c>
      <c r="AJ66" s="75">
        <v>103217</v>
      </c>
      <c r="AK66" s="75">
        <v>103808</v>
      </c>
      <c r="AL66" s="75">
        <v>103581</v>
      </c>
      <c r="AM66" s="75">
        <v>104533</v>
      </c>
      <c r="AN66" s="75">
        <v>106086</v>
      </c>
      <c r="AO66" s="75">
        <v>275458</v>
      </c>
      <c r="AP66" s="75">
        <v>231822</v>
      </c>
      <c r="AQ66" s="75">
        <v>348200000</v>
      </c>
      <c r="AR66" s="75">
        <v>390002</v>
      </c>
      <c r="AS66" s="75">
        <v>393714</v>
      </c>
      <c r="AT66" s="75">
        <v>390848</v>
      </c>
      <c r="AU66" s="75">
        <v>394616</v>
      </c>
      <c r="AV66" s="75">
        <v>397311</v>
      </c>
    </row>
    <row r="67" spans="1:48" ht="12.5" x14ac:dyDescent="0.25">
      <c r="A67" s="75" t="s">
        <v>514</v>
      </c>
      <c r="B67" s="75" t="s">
        <v>245</v>
      </c>
      <c r="C67" s="145">
        <f t="shared" ref="C67:C130" si="3">SUM(G67,I67,K67,M67,O67,Q67,S67,U67,W67,Y67)/10</f>
        <v>5870.3</v>
      </c>
      <c r="D67" s="145">
        <f t="shared" ref="D67:D130" si="4">SUM(H67,J67,L67,N67,P67,R67,T67,V67,X67,Z67)/10</f>
        <v>5073.8</v>
      </c>
      <c r="E67" s="145">
        <v>9595000</v>
      </c>
      <c r="F67" s="145">
        <f t="shared" ref="F67:F130" si="5">AM67*$AF$15</f>
        <v>20951827.090621818</v>
      </c>
      <c r="G67" s="145">
        <v>3633</v>
      </c>
      <c r="H67" s="145">
        <v>3537</v>
      </c>
      <c r="I67" s="145">
        <v>8771</v>
      </c>
      <c r="J67" s="145">
        <v>9233</v>
      </c>
      <c r="K67" s="145">
        <v>2909</v>
      </c>
      <c r="L67" s="145">
        <v>2808</v>
      </c>
      <c r="M67" s="145">
        <v>5953</v>
      </c>
      <c r="N67" s="145">
        <v>3308</v>
      </c>
      <c r="O67" s="145">
        <v>6462</v>
      </c>
      <c r="P67" s="145">
        <v>4580</v>
      </c>
      <c r="Q67" s="145">
        <v>4526</v>
      </c>
      <c r="R67" s="145">
        <v>2010</v>
      </c>
      <c r="S67" s="145">
        <v>3850</v>
      </c>
      <c r="T67" s="145">
        <v>3828</v>
      </c>
      <c r="U67" s="145">
        <v>10044</v>
      </c>
      <c r="V67" s="145">
        <v>8712</v>
      </c>
      <c r="W67" s="145">
        <v>6275</v>
      </c>
      <c r="X67" s="145">
        <v>6633</v>
      </c>
      <c r="Y67" s="145">
        <v>6280</v>
      </c>
      <c r="Z67" s="145">
        <v>6089</v>
      </c>
      <c r="AA67" s="145">
        <v>56655</v>
      </c>
      <c r="AB67" s="75">
        <v>109325</v>
      </c>
      <c r="AC67" s="75">
        <v>138600</v>
      </c>
      <c r="AF67"/>
      <c r="AG67"/>
      <c r="AH67" s="75">
        <v>56030</v>
      </c>
      <c r="AI67" s="75">
        <v>55762</v>
      </c>
      <c r="AJ67" s="75">
        <v>55600</v>
      </c>
      <c r="AK67" s="75">
        <v>56218</v>
      </c>
      <c r="AL67" s="75">
        <v>56582</v>
      </c>
      <c r="AM67" s="75">
        <v>56338</v>
      </c>
      <c r="AN67" s="75">
        <v>56539</v>
      </c>
      <c r="AO67" s="75">
        <v>89536</v>
      </c>
      <c r="AP67" s="75">
        <v>82979</v>
      </c>
      <c r="AQ67" s="75">
        <v>86682000</v>
      </c>
      <c r="AR67" s="75">
        <v>84311</v>
      </c>
      <c r="AS67" s="75">
        <v>97091</v>
      </c>
      <c r="AT67" s="75">
        <v>105067</v>
      </c>
      <c r="AU67" s="75">
        <v>109325</v>
      </c>
      <c r="AV67" s="75">
        <v>138600</v>
      </c>
    </row>
    <row r="68" spans="1:48" ht="12.5" x14ac:dyDescent="0.25">
      <c r="A68" s="75" t="s">
        <v>513</v>
      </c>
      <c r="B68" s="75" t="s">
        <v>355</v>
      </c>
      <c r="C68" s="145">
        <f t="shared" si="3"/>
        <v>9809.6</v>
      </c>
      <c r="D68" s="145">
        <f t="shared" si="4"/>
        <v>8510.7000000000007</v>
      </c>
      <c r="E68" s="145">
        <v>4630000</v>
      </c>
      <c r="F68" s="145">
        <f t="shared" si="5"/>
        <v>12124524.59811233</v>
      </c>
      <c r="G68" s="145">
        <v>10725</v>
      </c>
      <c r="H68" s="145">
        <v>9708</v>
      </c>
      <c r="I68" s="145">
        <v>21343</v>
      </c>
      <c r="J68" s="145">
        <v>23879</v>
      </c>
      <c r="K68" s="145">
        <v>15977</v>
      </c>
      <c r="L68" s="145">
        <v>15272</v>
      </c>
      <c r="M68" s="145">
        <v>10445</v>
      </c>
      <c r="N68" s="145">
        <v>9156</v>
      </c>
      <c r="O68" s="145">
        <v>15925</v>
      </c>
      <c r="P68" s="145">
        <v>5492</v>
      </c>
      <c r="Q68" s="145">
        <v>3116</v>
      </c>
      <c r="R68" s="145">
        <v>2591</v>
      </c>
      <c r="S68" s="145">
        <v>7626</v>
      </c>
      <c r="T68" s="145">
        <v>6810</v>
      </c>
      <c r="U68" s="145">
        <v>2876</v>
      </c>
      <c r="V68" s="145">
        <v>2322</v>
      </c>
      <c r="W68" s="145">
        <v>2124</v>
      </c>
      <c r="X68" s="145">
        <v>2492</v>
      </c>
      <c r="Y68" s="145">
        <v>7939</v>
      </c>
      <c r="Z68" s="145">
        <v>7385</v>
      </c>
      <c r="AA68" s="145">
        <v>33388</v>
      </c>
      <c r="AB68" s="75">
        <v>94894</v>
      </c>
      <c r="AC68" s="75">
        <v>93447</v>
      </c>
      <c r="AF68"/>
      <c r="AG68"/>
      <c r="AH68" s="75">
        <v>31928</v>
      </c>
      <c r="AI68" s="75">
        <v>32140</v>
      </c>
      <c r="AJ68" s="75">
        <v>32354</v>
      </c>
      <c r="AK68" s="75">
        <v>32457</v>
      </c>
      <c r="AL68" s="75">
        <v>32437</v>
      </c>
      <c r="AM68" s="75">
        <v>32602</v>
      </c>
      <c r="AN68" s="75">
        <v>32977</v>
      </c>
      <c r="AO68" s="75">
        <v>100250</v>
      </c>
      <c r="AP68" s="75">
        <v>95419</v>
      </c>
      <c r="AQ68" s="75">
        <v>88658000</v>
      </c>
      <c r="AR68" s="75">
        <v>80970</v>
      </c>
      <c r="AS68" s="75">
        <v>98177</v>
      </c>
      <c r="AT68" s="75">
        <v>97282</v>
      </c>
      <c r="AU68" s="75">
        <v>94894</v>
      </c>
      <c r="AV68" s="75">
        <v>93447</v>
      </c>
    </row>
    <row r="69" spans="1:48" ht="12.5" x14ac:dyDescent="0.25">
      <c r="A69" s="75" t="s">
        <v>518</v>
      </c>
      <c r="B69" s="75" t="s">
        <v>142</v>
      </c>
      <c r="C69" s="145">
        <f t="shared" si="3"/>
        <v>14198.1</v>
      </c>
      <c r="D69" s="145">
        <f t="shared" si="4"/>
        <v>13439.9</v>
      </c>
      <c r="E69" s="145">
        <v>15423000</v>
      </c>
      <c r="F69" s="145">
        <f t="shared" si="5"/>
        <v>37715743.270890191</v>
      </c>
      <c r="G69" s="145">
        <v>15111</v>
      </c>
      <c r="H69" s="145">
        <v>13550</v>
      </c>
      <c r="I69" s="145">
        <v>29906</v>
      </c>
      <c r="J69" s="145">
        <v>32553</v>
      </c>
      <c r="K69" s="145">
        <v>38328</v>
      </c>
      <c r="L69" s="145">
        <v>40984</v>
      </c>
      <c r="M69" s="145">
        <v>5311</v>
      </c>
      <c r="N69" s="145">
        <v>4878</v>
      </c>
      <c r="O69" s="145">
        <v>6750</v>
      </c>
      <c r="P69" s="145">
        <v>6058</v>
      </c>
      <c r="Q69" s="145">
        <v>6050</v>
      </c>
      <c r="R69" s="145">
        <v>3598</v>
      </c>
      <c r="S69" s="145">
        <v>4580</v>
      </c>
      <c r="T69" s="145">
        <v>4308</v>
      </c>
      <c r="U69" s="145">
        <v>14439</v>
      </c>
      <c r="V69" s="145">
        <v>12249</v>
      </c>
      <c r="W69" s="145">
        <v>7086</v>
      </c>
      <c r="X69" s="145">
        <v>5571</v>
      </c>
      <c r="Y69" s="145">
        <v>14420</v>
      </c>
      <c r="Z69" s="145">
        <v>10650</v>
      </c>
      <c r="AA69" s="145">
        <v>104301</v>
      </c>
      <c r="AB69" s="75">
        <v>247908</v>
      </c>
      <c r="AC69" s="75">
        <v>290046</v>
      </c>
      <c r="AF69"/>
      <c r="AG69"/>
      <c r="AH69" s="75">
        <v>99328</v>
      </c>
      <c r="AI69" s="75">
        <v>99605</v>
      </c>
      <c r="AJ69" s="75">
        <v>99941</v>
      </c>
      <c r="AK69" s="75">
        <v>100662</v>
      </c>
      <c r="AL69" s="75">
        <v>101236</v>
      </c>
      <c r="AM69" s="75">
        <v>101415</v>
      </c>
      <c r="AN69" s="75">
        <v>102781</v>
      </c>
      <c r="AO69" s="75">
        <v>236466</v>
      </c>
      <c r="AP69" s="75">
        <v>247819</v>
      </c>
      <c r="AQ69" s="75">
        <v>251097000</v>
      </c>
      <c r="AR69" s="75">
        <v>250289</v>
      </c>
      <c r="AS69" s="75">
        <v>251736</v>
      </c>
      <c r="AT69" s="75">
        <v>250479</v>
      </c>
      <c r="AU69" s="75">
        <v>247908</v>
      </c>
      <c r="AV69" s="75">
        <v>290046</v>
      </c>
    </row>
    <row r="70" spans="1:48" ht="12.5" x14ac:dyDescent="0.25">
      <c r="A70" s="75" t="s">
        <v>514</v>
      </c>
      <c r="B70" s="75" t="s">
        <v>246</v>
      </c>
      <c r="C70" s="145">
        <f t="shared" si="3"/>
        <v>16167.8</v>
      </c>
      <c r="D70" s="145">
        <f t="shared" si="4"/>
        <v>14881.4</v>
      </c>
      <c r="E70" s="145">
        <v>6090000</v>
      </c>
      <c r="F70" s="145">
        <f t="shared" si="5"/>
        <v>11833702.616769964</v>
      </c>
      <c r="G70" s="145">
        <v>1086</v>
      </c>
      <c r="H70" s="145">
        <v>1167</v>
      </c>
      <c r="I70" s="145">
        <v>12709</v>
      </c>
      <c r="J70" s="145">
        <v>12639</v>
      </c>
      <c r="K70" s="145">
        <v>27781</v>
      </c>
      <c r="L70" s="145">
        <v>26703</v>
      </c>
      <c r="M70" s="145">
        <v>19034</v>
      </c>
      <c r="N70" s="145">
        <v>19035</v>
      </c>
      <c r="O70" s="145">
        <v>22058</v>
      </c>
      <c r="P70" s="145">
        <v>22058</v>
      </c>
      <c r="Q70" s="145">
        <v>10257</v>
      </c>
      <c r="R70" s="145">
        <v>10206</v>
      </c>
      <c r="S70" s="145">
        <v>1768</v>
      </c>
      <c r="T70" s="145">
        <v>1610</v>
      </c>
      <c r="U70" s="145">
        <v>56196</v>
      </c>
      <c r="V70" s="145">
        <v>46248</v>
      </c>
      <c r="W70" s="145">
        <v>1914</v>
      </c>
      <c r="X70" s="145">
        <v>2624</v>
      </c>
      <c r="Y70" s="145">
        <v>8875</v>
      </c>
      <c r="Z70" s="145">
        <v>6524</v>
      </c>
      <c r="AA70" s="145">
        <v>33256</v>
      </c>
      <c r="AB70" s="75">
        <v>85323</v>
      </c>
      <c r="AC70" s="75">
        <v>99648</v>
      </c>
      <c r="AF70"/>
      <c r="AG70"/>
      <c r="AH70" s="75">
        <v>27225</v>
      </c>
      <c r="AI70" s="75">
        <v>28152</v>
      </c>
      <c r="AJ70" s="75">
        <v>29205</v>
      </c>
      <c r="AK70" s="75">
        <v>30767</v>
      </c>
      <c r="AL70" s="75">
        <v>31334</v>
      </c>
      <c r="AM70" s="75">
        <v>31820</v>
      </c>
      <c r="AN70" s="75">
        <v>32785</v>
      </c>
      <c r="AO70" s="75">
        <v>71910</v>
      </c>
      <c r="AP70" s="75">
        <v>70152</v>
      </c>
      <c r="AQ70" s="75">
        <v>75820000</v>
      </c>
      <c r="AR70" s="75">
        <v>73216</v>
      </c>
      <c r="AS70" s="75">
        <v>75964</v>
      </c>
      <c r="AT70" s="75">
        <v>77763</v>
      </c>
      <c r="AU70" s="75">
        <v>85323</v>
      </c>
      <c r="AV70" s="75">
        <v>99648</v>
      </c>
    </row>
    <row r="71" spans="1:48" ht="12.5" x14ac:dyDescent="0.25">
      <c r="A71" s="75" t="s">
        <v>514</v>
      </c>
      <c r="B71" s="75" t="s">
        <v>772</v>
      </c>
      <c r="C71" s="145">
        <f t="shared" si="3"/>
        <v>29969.4</v>
      </c>
      <c r="D71" s="145">
        <f t="shared" si="4"/>
        <v>26289.4</v>
      </c>
      <c r="E71" s="145">
        <v>10292000</v>
      </c>
      <c r="F71" s="145">
        <f t="shared" si="5"/>
        <v>32598094.568521507</v>
      </c>
      <c r="G71" s="145">
        <v>9572</v>
      </c>
      <c r="H71" s="145">
        <v>9422</v>
      </c>
      <c r="I71" s="145">
        <v>36193</v>
      </c>
      <c r="J71" s="145">
        <v>27380</v>
      </c>
      <c r="K71" s="145">
        <v>38339</v>
      </c>
      <c r="L71" s="145">
        <v>33209</v>
      </c>
      <c r="M71" s="145">
        <v>14959</v>
      </c>
      <c r="N71" s="145">
        <v>14897</v>
      </c>
      <c r="O71" s="145">
        <v>32330</v>
      </c>
      <c r="P71" s="145">
        <v>21771</v>
      </c>
      <c r="Q71" s="145">
        <v>28328</v>
      </c>
      <c r="R71" s="145">
        <v>25252</v>
      </c>
      <c r="S71" s="145">
        <v>40181</v>
      </c>
      <c r="T71" s="145">
        <v>37725</v>
      </c>
      <c r="U71" s="145">
        <v>45047</v>
      </c>
      <c r="V71" s="145">
        <v>45023</v>
      </c>
      <c r="W71" s="145">
        <v>32119</v>
      </c>
      <c r="X71" s="145">
        <v>26926</v>
      </c>
      <c r="Y71" s="145">
        <v>22626</v>
      </c>
      <c r="Z71" s="145">
        <v>21289</v>
      </c>
      <c r="AA71" s="145">
        <v>90745</v>
      </c>
      <c r="AB71" s="75">
        <v>220457</v>
      </c>
      <c r="AC71" s="75">
        <v>228280</v>
      </c>
      <c r="AF71"/>
      <c r="AG71"/>
      <c r="AH71" s="75">
        <v>82553</v>
      </c>
      <c r="AI71" s="75">
        <v>83709</v>
      </c>
      <c r="AJ71" s="75">
        <v>84735</v>
      </c>
      <c r="AK71" s="75">
        <v>85709</v>
      </c>
      <c r="AL71" s="75">
        <v>86722</v>
      </c>
      <c r="AM71" s="75">
        <v>87654</v>
      </c>
      <c r="AN71" s="75">
        <v>88985</v>
      </c>
      <c r="AO71" s="75">
        <v>213712</v>
      </c>
      <c r="AP71" s="75">
        <v>210967</v>
      </c>
      <c r="AQ71" s="75">
        <v>216650000</v>
      </c>
      <c r="AR71" s="75">
        <v>207765</v>
      </c>
      <c r="AS71" s="75">
        <v>208244</v>
      </c>
      <c r="AT71" s="75">
        <v>223174</v>
      </c>
      <c r="AU71" s="75">
        <v>220457</v>
      </c>
      <c r="AV71" s="75">
        <v>228280</v>
      </c>
    </row>
    <row r="72" spans="1:48" ht="12.5" x14ac:dyDescent="0.25">
      <c r="A72" s="75" t="s">
        <v>518</v>
      </c>
      <c r="B72" s="75" t="s">
        <v>143</v>
      </c>
      <c r="C72" s="145">
        <f t="shared" si="3"/>
        <v>5899.2</v>
      </c>
      <c r="D72" s="145">
        <f t="shared" si="4"/>
        <v>5423.3</v>
      </c>
      <c r="E72" s="145">
        <v>3013000</v>
      </c>
      <c r="F72" s="145">
        <f t="shared" si="5"/>
        <v>9889063.0509908888</v>
      </c>
      <c r="G72" s="145">
        <v>2528</v>
      </c>
      <c r="H72" s="145">
        <v>2354</v>
      </c>
      <c r="I72" s="145">
        <v>5405</v>
      </c>
      <c r="J72" s="145">
        <v>4749</v>
      </c>
      <c r="K72" s="145">
        <v>9427</v>
      </c>
      <c r="L72" s="145">
        <v>8269</v>
      </c>
      <c r="M72" s="145">
        <v>9135</v>
      </c>
      <c r="N72" s="145">
        <v>5507</v>
      </c>
      <c r="O72" s="145">
        <v>4424</v>
      </c>
      <c r="P72" s="145">
        <v>4139</v>
      </c>
      <c r="Q72" s="145">
        <v>7648</v>
      </c>
      <c r="R72" s="145">
        <v>8726</v>
      </c>
      <c r="S72" s="145">
        <v>4184</v>
      </c>
      <c r="T72" s="145">
        <v>3630</v>
      </c>
      <c r="U72" s="145">
        <v>4183</v>
      </c>
      <c r="V72" s="145">
        <v>3354</v>
      </c>
      <c r="W72" s="145">
        <v>5339</v>
      </c>
      <c r="X72" s="145">
        <v>6476</v>
      </c>
      <c r="Y72" s="145">
        <v>6719</v>
      </c>
      <c r="Z72" s="145">
        <v>7029</v>
      </c>
      <c r="AA72" s="145">
        <v>26727</v>
      </c>
      <c r="AB72" s="75">
        <v>57985</v>
      </c>
      <c r="AC72" s="75">
        <v>56435</v>
      </c>
      <c r="AF72"/>
      <c r="AG72"/>
      <c r="AH72" s="75">
        <v>26243</v>
      </c>
      <c r="AI72" s="75">
        <v>26294</v>
      </c>
      <c r="AJ72" s="75">
        <v>26340</v>
      </c>
      <c r="AK72" s="75">
        <v>26473</v>
      </c>
      <c r="AL72" s="75">
        <v>26606</v>
      </c>
      <c r="AM72" s="75">
        <v>26591</v>
      </c>
      <c r="AN72" s="75">
        <v>26743</v>
      </c>
      <c r="AO72" s="75">
        <v>56010</v>
      </c>
      <c r="AP72" s="75">
        <v>52377</v>
      </c>
      <c r="AQ72" s="75">
        <v>51049000</v>
      </c>
      <c r="AR72" s="75">
        <v>49716</v>
      </c>
      <c r="AS72" s="75">
        <v>52143</v>
      </c>
      <c r="AT72" s="75">
        <v>58538</v>
      </c>
      <c r="AU72" s="75">
        <v>57985</v>
      </c>
      <c r="AV72" s="75">
        <v>56435</v>
      </c>
    </row>
    <row r="73" spans="1:48" ht="12.5" x14ac:dyDescent="0.25">
      <c r="A73" s="75" t="s">
        <v>515</v>
      </c>
      <c r="B73" s="75" t="s">
        <v>173</v>
      </c>
      <c r="C73" s="145">
        <f t="shared" si="3"/>
        <v>519.9</v>
      </c>
      <c r="D73" s="145">
        <f t="shared" si="4"/>
        <v>426.2</v>
      </c>
      <c r="E73" s="145">
        <v>1669000</v>
      </c>
      <c r="F73" s="145">
        <f t="shared" si="5"/>
        <v>4103490.7188384593</v>
      </c>
      <c r="G73" s="145">
        <v>4</v>
      </c>
      <c r="H73" s="145">
        <v>13</v>
      </c>
      <c r="I73" s="145">
        <v>522</v>
      </c>
      <c r="J73" s="145">
        <v>502</v>
      </c>
      <c r="K73" s="145">
        <v>268</v>
      </c>
      <c r="L73" s="145">
        <v>87</v>
      </c>
      <c r="M73" s="145">
        <v>70</v>
      </c>
      <c r="N73" s="145">
        <v>70</v>
      </c>
      <c r="O73" s="145">
        <v>312</v>
      </c>
      <c r="P73" s="145">
        <v>312</v>
      </c>
      <c r="Q73" s="145">
        <v>140</v>
      </c>
      <c r="R73" s="145">
        <v>140</v>
      </c>
      <c r="S73" s="145">
        <v>743</v>
      </c>
      <c r="T73" s="145">
        <v>788</v>
      </c>
      <c r="U73" s="145">
        <v>738</v>
      </c>
      <c r="V73" s="145">
        <v>613</v>
      </c>
      <c r="W73" s="145">
        <v>1848</v>
      </c>
      <c r="X73" s="145">
        <v>1458</v>
      </c>
      <c r="Y73" s="145">
        <v>554</v>
      </c>
      <c r="Z73" s="145">
        <v>279</v>
      </c>
      <c r="AA73" s="145">
        <v>11120</v>
      </c>
      <c r="AB73" s="75">
        <v>21478</v>
      </c>
      <c r="AC73" s="75">
        <v>22815</v>
      </c>
      <c r="AF73"/>
      <c r="AG73"/>
      <c r="AH73" s="75">
        <v>11345</v>
      </c>
      <c r="AI73" s="75">
        <v>11326</v>
      </c>
      <c r="AJ73" s="75">
        <v>11142</v>
      </c>
      <c r="AK73" s="75">
        <v>11077</v>
      </c>
      <c r="AL73" s="75">
        <v>11064</v>
      </c>
      <c r="AM73" s="75">
        <v>11034</v>
      </c>
      <c r="AN73" s="75">
        <v>11081</v>
      </c>
      <c r="AO73" s="75">
        <v>16594</v>
      </c>
      <c r="AP73" s="75">
        <v>15137</v>
      </c>
      <c r="AQ73" s="75">
        <v>15664000</v>
      </c>
      <c r="AR73" s="75">
        <v>15924</v>
      </c>
      <c r="AS73" s="75">
        <v>18086</v>
      </c>
      <c r="AT73" s="75">
        <v>19896</v>
      </c>
      <c r="AU73" s="75">
        <v>21478</v>
      </c>
      <c r="AV73" s="75">
        <v>22815</v>
      </c>
    </row>
    <row r="74" spans="1:48" ht="12.5" x14ac:dyDescent="0.25">
      <c r="A74" s="75" t="s">
        <v>515</v>
      </c>
      <c r="B74" s="75" t="s">
        <v>174</v>
      </c>
      <c r="C74" s="145">
        <f t="shared" si="3"/>
        <v>13215.5</v>
      </c>
      <c r="D74" s="145">
        <f t="shared" si="4"/>
        <v>11396.7</v>
      </c>
      <c r="E74" s="145">
        <v>10247000</v>
      </c>
      <c r="F74" s="145">
        <f t="shared" si="5"/>
        <v>21773343.40364648</v>
      </c>
      <c r="G74" s="145">
        <v>10889</v>
      </c>
      <c r="H74" s="145">
        <v>11107</v>
      </c>
      <c r="I74" s="145">
        <v>21206</v>
      </c>
      <c r="J74" s="145">
        <v>20646</v>
      </c>
      <c r="K74" s="145">
        <v>13474</v>
      </c>
      <c r="L74" s="145">
        <v>15374</v>
      </c>
      <c r="M74" s="145">
        <v>24457</v>
      </c>
      <c r="N74" s="145">
        <v>21836</v>
      </c>
      <c r="O74" s="145">
        <v>9921</v>
      </c>
      <c r="P74" s="145">
        <v>8122</v>
      </c>
      <c r="Q74" s="145">
        <v>8102</v>
      </c>
      <c r="R74" s="145">
        <v>5354</v>
      </c>
      <c r="S74" s="145">
        <v>7064</v>
      </c>
      <c r="T74" s="145">
        <v>4022</v>
      </c>
      <c r="U74" s="145">
        <v>11410</v>
      </c>
      <c r="V74" s="145">
        <v>8074</v>
      </c>
      <c r="W74" s="145">
        <v>9954</v>
      </c>
      <c r="X74" s="145">
        <v>6972</v>
      </c>
      <c r="Y74" s="145">
        <v>15678</v>
      </c>
      <c r="Z74" s="145">
        <v>12460</v>
      </c>
      <c r="AA74" s="145">
        <v>60051</v>
      </c>
      <c r="AB74" s="75">
        <v>214705</v>
      </c>
      <c r="AC74" s="75">
        <v>217384</v>
      </c>
      <c r="AF74"/>
      <c r="AG74"/>
      <c r="AH74" s="75">
        <v>57065</v>
      </c>
      <c r="AI74" s="75">
        <v>57377</v>
      </c>
      <c r="AJ74" s="75">
        <v>57543</v>
      </c>
      <c r="AK74" s="75">
        <v>57962</v>
      </c>
      <c r="AL74" s="75">
        <v>58270</v>
      </c>
      <c r="AM74" s="75">
        <v>58547</v>
      </c>
      <c r="AN74" s="75">
        <v>59195</v>
      </c>
      <c r="AO74" s="75">
        <v>182064</v>
      </c>
      <c r="AP74" s="75">
        <v>191246</v>
      </c>
      <c r="AQ74" s="75">
        <v>202872000</v>
      </c>
      <c r="AR74" s="75">
        <v>210871</v>
      </c>
      <c r="AS74" s="75">
        <v>211175</v>
      </c>
      <c r="AT74" s="75">
        <v>217550</v>
      </c>
      <c r="AU74" s="75">
        <v>214705</v>
      </c>
      <c r="AV74" s="75">
        <v>217384</v>
      </c>
    </row>
    <row r="75" spans="1:48" ht="12.5" x14ac:dyDescent="0.25">
      <c r="A75" s="75" t="s">
        <v>513</v>
      </c>
      <c r="B75" s="75" t="s">
        <v>356</v>
      </c>
      <c r="C75" s="145">
        <f t="shared" si="3"/>
        <v>5014.1000000000004</v>
      </c>
      <c r="D75" s="145">
        <f t="shared" si="4"/>
        <v>4928</v>
      </c>
      <c r="E75" s="145">
        <v>3222000</v>
      </c>
      <c r="F75" s="145">
        <f t="shared" si="5"/>
        <v>9845923.2174413819</v>
      </c>
      <c r="G75" s="145">
        <v>5317</v>
      </c>
      <c r="H75" s="145">
        <v>5433</v>
      </c>
      <c r="I75" s="145">
        <v>5622</v>
      </c>
      <c r="J75" s="145">
        <v>6415</v>
      </c>
      <c r="K75" s="145">
        <v>6589</v>
      </c>
      <c r="L75" s="145">
        <v>5809</v>
      </c>
      <c r="M75" s="145">
        <v>7268</v>
      </c>
      <c r="N75" s="145">
        <v>7742</v>
      </c>
      <c r="O75" s="145">
        <v>8579</v>
      </c>
      <c r="P75" s="145">
        <v>8273</v>
      </c>
      <c r="Q75" s="145">
        <v>6858</v>
      </c>
      <c r="R75" s="145">
        <v>6729</v>
      </c>
      <c r="S75" s="145">
        <v>4219</v>
      </c>
      <c r="T75" s="145">
        <v>3578</v>
      </c>
      <c r="U75" s="145">
        <v>3892</v>
      </c>
      <c r="V75" s="145">
        <v>3642</v>
      </c>
      <c r="W75" s="145">
        <v>1380</v>
      </c>
      <c r="X75" s="145">
        <v>1304</v>
      </c>
      <c r="Y75" s="145">
        <v>417</v>
      </c>
      <c r="Z75" s="145">
        <v>355</v>
      </c>
      <c r="AA75" s="145">
        <v>27565</v>
      </c>
      <c r="AB75" s="75">
        <v>67695</v>
      </c>
      <c r="AC75" s="75">
        <v>66881</v>
      </c>
      <c r="AF75"/>
      <c r="AG75"/>
      <c r="AH75" s="75">
        <v>25511</v>
      </c>
      <c r="AI75" s="75">
        <v>25773</v>
      </c>
      <c r="AJ75" s="75">
        <v>26061</v>
      </c>
      <c r="AK75" s="75">
        <v>26175</v>
      </c>
      <c r="AL75" s="75">
        <v>26368</v>
      </c>
      <c r="AM75" s="75">
        <v>26475</v>
      </c>
      <c r="AN75" s="75">
        <v>27200</v>
      </c>
      <c r="AO75" s="75">
        <v>48099</v>
      </c>
      <c r="AP75" s="75">
        <v>48520</v>
      </c>
      <c r="AQ75" s="75">
        <v>51088000</v>
      </c>
      <c r="AR75" s="75">
        <v>56990</v>
      </c>
      <c r="AS75" s="75">
        <v>62538</v>
      </c>
      <c r="AT75" s="75">
        <v>68726</v>
      </c>
      <c r="AU75" s="75">
        <v>67695</v>
      </c>
      <c r="AV75" s="75">
        <v>66881</v>
      </c>
    </row>
    <row r="76" spans="1:48" ht="12.5" x14ac:dyDescent="0.25">
      <c r="A76" s="75" t="s">
        <v>517</v>
      </c>
      <c r="B76" s="75" t="s">
        <v>289</v>
      </c>
      <c r="C76" s="145">
        <f t="shared" si="3"/>
        <v>32496.7</v>
      </c>
      <c r="D76" s="145">
        <f t="shared" si="4"/>
        <v>31759.8</v>
      </c>
      <c r="E76" s="145">
        <v>22421000</v>
      </c>
      <c r="F76" s="145">
        <f t="shared" si="5"/>
        <v>44446301.094846912</v>
      </c>
      <c r="G76" s="145">
        <v>89041</v>
      </c>
      <c r="H76" s="145">
        <v>75626</v>
      </c>
      <c r="I76" s="145">
        <v>18603</v>
      </c>
      <c r="J76" s="145">
        <v>19782</v>
      </c>
      <c r="K76" s="145">
        <v>24559</v>
      </c>
      <c r="L76" s="145">
        <v>14219</v>
      </c>
      <c r="M76" s="145">
        <v>15784</v>
      </c>
      <c r="N76" s="145">
        <v>21978</v>
      </c>
      <c r="O76" s="145">
        <v>18973</v>
      </c>
      <c r="P76" s="145">
        <v>24741</v>
      </c>
      <c r="Q76" s="145">
        <v>16895</v>
      </c>
      <c r="R76" s="145">
        <v>9311</v>
      </c>
      <c r="S76" s="145">
        <v>23619</v>
      </c>
      <c r="T76" s="145">
        <v>10179</v>
      </c>
      <c r="U76" s="145">
        <v>40018</v>
      </c>
      <c r="V76" s="145">
        <v>48062</v>
      </c>
      <c r="W76" s="145">
        <v>40018</v>
      </c>
      <c r="X76" s="145">
        <v>48062</v>
      </c>
      <c r="Y76" s="145">
        <v>37457</v>
      </c>
      <c r="Z76" s="145">
        <v>45638</v>
      </c>
      <c r="AA76" s="145">
        <v>122847</v>
      </c>
      <c r="AB76" s="75">
        <v>607486</v>
      </c>
      <c r="AC76" s="75">
        <v>589992</v>
      </c>
      <c r="AF76"/>
      <c r="AG76"/>
      <c r="AH76" s="75">
        <v>118624</v>
      </c>
      <c r="AI76" s="75">
        <v>118466</v>
      </c>
      <c r="AJ76" s="75">
        <v>118667</v>
      </c>
      <c r="AK76" s="75">
        <v>119232</v>
      </c>
      <c r="AL76" s="75">
        <v>119115</v>
      </c>
      <c r="AM76" s="75">
        <v>119513</v>
      </c>
      <c r="AN76" s="75">
        <v>121434</v>
      </c>
      <c r="AO76" s="75">
        <v>613055</v>
      </c>
      <c r="AP76" s="75">
        <v>609176</v>
      </c>
      <c r="AQ76" s="75">
        <v>626756000</v>
      </c>
      <c r="AR76" s="75">
        <v>612887</v>
      </c>
      <c r="AS76" s="75">
        <v>628633</v>
      </c>
      <c r="AT76" s="75">
        <v>651946</v>
      </c>
      <c r="AU76" s="75">
        <v>607486</v>
      </c>
      <c r="AV76" s="75">
        <v>589992</v>
      </c>
    </row>
    <row r="77" spans="1:48" ht="12.5" x14ac:dyDescent="0.25">
      <c r="A77" s="75" t="s">
        <v>514</v>
      </c>
      <c r="B77" s="75" t="s">
        <v>247</v>
      </c>
      <c r="C77" s="145">
        <f t="shared" si="3"/>
        <v>3952.1</v>
      </c>
      <c r="D77" s="145">
        <f t="shared" si="4"/>
        <v>3209.4</v>
      </c>
      <c r="E77" s="145">
        <v>2028000</v>
      </c>
      <c r="F77" s="145">
        <f t="shared" si="5"/>
        <v>7429720.6435521785</v>
      </c>
      <c r="G77" s="145">
        <v>0</v>
      </c>
      <c r="H77" s="145">
        <v>104</v>
      </c>
      <c r="I77" s="145">
        <v>4120</v>
      </c>
      <c r="J77" s="145">
        <v>3234</v>
      </c>
      <c r="K77" s="145">
        <v>4386</v>
      </c>
      <c r="L77" s="145">
        <v>2305</v>
      </c>
      <c r="M77" s="145">
        <v>4292</v>
      </c>
      <c r="N77" s="145">
        <v>3040</v>
      </c>
      <c r="O77" s="145">
        <v>1820</v>
      </c>
      <c r="P77" s="145">
        <v>1317</v>
      </c>
      <c r="Q77" s="145">
        <v>2975</v>
      </c>
      <c r="R77" s="145">
        <v>2461</v>
      </c>
      <c r="S77" s="145">
        <v>8238</v>
      </c>
      <c r="T77" s="145">
        <v>8191</v>
      </c>
      <c r="U77" s="145">
        <v>13267</v>
      </c>
      <c r="V77" s="145">
        <v>12188</v>
      </c>
      <c r="W77" s="145">
        <v>142</v>
      </c>
      <c r="X77" s="145">
        <v>341</v>
      </c>
      <c r="Y77" s="145">
        <v>281</v>
      </c>
      <c r="Z77" s="145">
        <v>-1087</v>
      </c>
      <c r="AA77" s="145">
        <v>20485</v>
      </c>
      <c r="AB77" s="75">
        <v>32699</v>
      </c>
      <c r="AC77" s="75">
        <v>32949</v>
      </c>
      <c r="AF77"/>
      <c r="AG77"/>
      <c r="AH77" s="75">
        <v>19383</v>
      </c>
      <c r="AI77" s="75">
        <v>19443</v>
      </c>
      <c r="AJ77" s="75">
        <v>19604</v>
      </c>
      <c r="AK77" s="75">
        <v>19724</v>
      </c>
      <c r="AL77" s="75">
        <v>19838</v>
      </c>
      <c r="AM77" s="75">
        <v>19978</v>
      </c>
      <c r="AN77" s="75">
        <v>20385</v>
      </c>
      <c r="AO77" s="75">
        <v>30413</v>
      </c>
      <c r="AP77" s="75">
        <v>25947</v>
      </c>
      <c r="AQ77" s="75">
        <v>26785000</v>
      </c>
      <c r="AR77" s="75">
        <v>26052</v>
      </c>
      <c r="AS77" s="75">
        <v>29242</v>
      </c>
      <c r="AT77" s="75">
        <v>30665</v>
      </c>
      <c r="AU77" s="75">
        <v>32699</v>
      </c>
      <c r="AV77" s="75">
        <v>32949</v>
      </c>
    </row>
    <row r="78" spans="1:48" ht="12.5" x14ac:dyDescent="0.25">
      <c r="A78" s="75" t="s">
        <v>513</v>
      </c>
      <c r="B78" s="75" t="s">
        <v>357</v>
      </c>
      <c r="C78" s="145">
        <f t="shared" si="3"/>
        <v>1320.1</v>
      </c>
      <c r="D78" s="145">
        <f t="shared" si="4"/>
        <v>1310.8</v>
      </c>
      <c r="E78" s="145">
        <v>4877000</v>
      </c>
      <c r="F78" s="145">
        <f t="shared" si="5"/>
        <v>10217074.544013865</v>
      </c>
      <c r="G78" s="145">
        <v>669</v>
      </c>
      <c r="H78" s="145">
        <v>499</v>
      </c>
      <c r="I78" s="145">
        <v>1093</v>
      </c>
      <c r="J78" s="145">
        <v>892</v>
      </c>
      <c r="K78" s="145">
        <v>2286</v>
      </c>
      <c r="L78" s="145">
        <v>2435</v>
      </c>
      <c r="M78" s="145">
        <v>190</v>
      </c>
      <c r="N78" s="145">
        <v>188</v>
      </c>
      <c r="O78" s="145">
        <v>533</v>
      </c>
      <c r="P78" s="145">
        <v>553</v>
      </c>
      <c r="Q78" s="145">
        <v>191</v>
      </c>
      <c r="R78" s="145">
        <v>261</v>
      </c>
      <c r="S78" s="145">
        <v>433</v>
      </c>
      <c r="T78" s="145">
        <v>420</v>
      </c>
      <c r="U78" s="145">
        <v>1688</v>
      </c>
      <c r="V78" s="145">
        <v>1859</v>
      </c>
      <c r="W78" s="145">
        <v>4288</v>
      </c>
      <c r="X78" s="145">
        <v>3336</v>
      </c>
      <c r="Y78" s="145">
        <v>1830</v>
      </c>
      <c r="Z78" s="145">
        <v>2665</v>
      </c>
      <c r="AA78" s="145">
        <v>28294</v>
      </c>
      <c r="AB78" s="75">
        <v>66613</v>
      </c>
      <c r="AC78" s="75">
        <v>67406</v>
      </c>
      <c r="AF78"/>
      <c r="AG78"/>
      <c r="AH78" s="75">
        <v>26863</v>
      </c>
      <c r="AI78" s="75">
        <v>27064</v>
      </c>
      <c r="AJ78" s="75">
        <v>27162</v>
      </c>
      <c r="AK78" s="75">
        <v>27257</v>
      </c>
      <c r="AL78" s="75">
        <v>27325</v>
      </c>
      <c r="AM78" s="75">
        <v>27473</v>
      </c>
      <c r="AN78" s="75">
        <v>27994</v>
      </c>
      <c r="AO78" s="75">
        <v>54380</v>
      </c>
      <c r="AP78" s="75">
        <v>53316</v>
      </c>
      <c r="AQ78" s="75">
        <v>54125000</v>
      </c>
      <c r="AR78" s="75">
        <v>54410</v>
      </c>
      <c r="AS78" s="75">
        <v>57233</v>
      </c>
      <c r="AT78" s="75">
        <v>60315</v>
      </c>
      <c r="AU78" s="75">
        <v>66613</v>
      </c>
      <c r="AV78" s="75">
        <v>67406</v>
      </c>
    </row>
    <row r="79" spans="1:48" ht="12.5" x14ac:dyDescent="0.25">
      <c r="A79" s="75" t="s">
        <v>519</v>
      </c>
      <c r="B79" s="75" t="s">
        <v>428</v>
      </c>
      <c r="C79" s="145">
        <f t="shared" si="3"/>
        <v>6689.4</v>
      </c>
      <c r="D79" s="145">
        <f t="shared" si="4"/>
        <v>4911.3999999999996</v>
      </c>
      <c r="E79" s="145">
        <v>5026000</v>
      </c>
      <c r="F79" s="145">
        <f t="shared" si="5"/>
        <v>15955044.301215116</v>
      </c>
      <c r="G79" s="145">
        <v>1958</v>
      </c>
      <c r="H79" s="145">
        <v>1328</v>
      </c>
      <c r="I79" s="145">
        <v>12942</v>
      </c>
      <c r="J79" s="145">
        <v>10953</v>
      </c>
      <c r="K79" s="145">
        <v>5959</v>
      </c>
      <c r="L79" s="145">
        <v>8724</v>
      </c>
      <c r="M79" s="145">
        <v>22400</v>
      </c>
      <c r="N79" s="145">
        <v>2457</v>
      </c>
      <c r="O79" s="145">
        <v>6144</v>
      </c>
      <c r="P79" s="145">
        <v>1987</v>
      </c>
      <c r="Q79" s="145">
        <v>4504</v>
      </c>
      <c r="R79" s="145">
        <v>5258</v>
      </c>
      <c r="S79" s="145">
        <v>5033</v>
      </c>
      <c r="T79" s="145">
        <v>2668</v>
      </c>
      <c r="U79" s="145">
        <v>2423</v>
      </c>
      <c r="V79" s="145">
        <v>8251</v>
      </c>
      <c r="W79" s="145">
        <v>2610</v>
      </c>
      <c r="X79" s="145">
        <v>5127</v>
      </c>
      <c r="Y79" s="145">
        <v>2921</v>
      </c>
      <c r="Z79" s="145">
        <v>2361</v>
      </c>
      <c r="AA79" s="145">
        <v>44883</v>
      </c>
      <c r="AB79" s="75">
        <v>92508</v>
      </c>
      <c r="AC79" s="75">
        <v>89874</v>
      </c>
      <c r="AF79"/>
      <c r="AG79"/>
      <c r="AH79" s="75">
        <v>40745</v>
      </c>
      <c r="AI79" s="75">
        <v>40767</v>
      </c>
      <c r="AJ79" s="75">
        <v>40797</v>
      </c>
      <c r="AK79" s="75">
        <v>41532</v>
      </c>
      <c r="AL79" s="75">
        <v>42011</v>
      </c>
      <c r="AM79" s="75">
        <v>42902</v>
      </c>
      <c r="AN79" s="75">
        <v>43593</v>
      </c>
      <c r="AO79" s="75">
        <v>56089</v>
      </c>
      <c r="AP79" s="75">
        <v>46597</v>
      </c>
      <c r="AQ79" s="75">
        <v>61029000</v>
      </c>
      <c r="AR79" s="75">
        <v>63098</v>
      </c>
      <c r="AS79" s="75">
        <v>66543</v>
      </c>
      <c r="AT79" s="75">
        <v>74648</v>
      </c>
      <c r="AU79" s="75">
        <v>92508</v>
      </c>
      <c r="AV79" s="75">
        <v>89874</v>
      </c>
    </row>
    <row r="80" spans="1:48" ht="12.5" x14ac:dyDescent="0.25">
      <c r="A80" s="75" t="s">
        <v>515</v>
      </c>
      <c r="B80" s="75" t="s">
        <v>175</v>
      </c>
      <c r="C80" s="145">
        <f t="shared" si="3"/>
        <v>1151.7</v>
      </c>
      <c r="D80" s="145">
        <f t="shared" si="4"/>
        <v>1558.4</v>
      </c>
      <c r="E80" s="145">
        <v>2952000</v>
      </c>
      <c r="F80" s="145">
        <f t="shared" si="5"/>
        <v>7131832.6549904961</v>
      </c>
      <c r="G80" s="145">
        <v>5337</v>
      </c>
      <c r="H80" s="145">
        <v>5329</v>
      </c>
      <c r="I80" s="145">
        <v>2405</v>
      </c>
      <c r="J80" s="145">
        <v>2374</v>
      </c>
      <c r="K80" s="145">
        <v>1438</v>
      </c>
      <c r="L80" s="145">
        <v>1945</v>
      </c>
      <c r="M80" s="145">
        <v>537</v>
      </c>
      <c r="N80" s="145">
        <v>717</v>
      </c>
      <c r="O80" s="145">
        <v>734</v>
      </c>
      <c r="P80" s="145">
        <v>808</v>
      </c>
      <c r="Q80" s="145">
        <v>198</v>
      </c>
      <c r="R80" s="145">
        <v>613</v>
      </c>
      <c r="S80" s="145">
        <v>106</v>
      </c>
      <c r="T80" s="145">
        <v>619</v>
      </c>
      <c r="U80" s="145">
        <v>-1812</v>
      </c>
      <c r="V80" s="145">
        <v>411</v>
      </c>
      <c r="W80" s="145">
        <v>157</v>
      </c>
      <c r="X80" s="145">
        <v>271</v>
      </c>
      <c r="Y80" s="145">
        <v>2417</v>
      </c>
      <c r="Z80" s="145">
        <v>2497</v>
      </c>
      <c r="AA80" s="145">
        <v>19748</v>
      </c>
      <c r="AB80" s="75">
        <v>45872</v>
      </c>
      <c r="AC80" s="75">
        <v>45628</v>
      </c>
      <c r="AF80"/>
      <c r="AG80"/>
      <c r="AH80" s="75">
        <v>18561</v>
      </c>
      <c r="AI80" s="75">
        <v>18706</v>
      </c>
      <c r="AJ80" s="75">
        <v>18790</v>
      </c>
      <c r="AK80" s="75">
        <v>18920</v>
      </c>
      <c r="AL80" s="75">
        <v>18991</v>
      </c>
      <c r="AM80" s="75">
        <v>19177</v>
      </c>
      <c r="AN80" s="75">
        <v>19505</v>
      </c>
      <c r="AO80" s="75">
        <v>45726</v>
      </c>
      <c r="AP80" s="75">
        <v>44308</v>
      </c>
      <c r="AQ80" s="75">
        <v>44560000</v>
      </c>
      <c r="AR80" s="75">
        <v>43936</v>
      </c>
      <c r="AS80" s="75">
        <v>45152</v>
      </c>
      <c r="AT80" s="75">
        <v>46672</v>
      </c>
      <c r="AU80" s="75">
        <v>45872</v>
      </c>
      <c r="AV80" s="75">
        <v>45628</v>
      </c>
    </row>
    <row r="81" spans="1:48" ht="12.5" x14ac:dyDescent="0.25">
      <c r="A81" s="75" t="s">
        <v>515</v>
      </c>
      <c r="B81" s="75" t="s">
        <v>176</v>
      </c>
      <c r="C81" s="145">
        <f t="shared" si="3"/>
        <v>1851.4</v>
      </c>
      <c r="D81" s="145">
        <f t="shared" si="4"/>
        <v>2550.1999999999998</v>
      </c>
      <c r="E81" s="145">
        <v>3188000</v>
      </c>
      <c r="F81" s="145">
        <f t="shared" si="5"/>
        <v>9276551.793611249</v>
      </c>
      <c r="G81" s="145">
        <v>283</v>
      </c>
      <c r="H81" s="145">
        <v>283</v>
      </c>
      <c r="I81" s="145">
        <v>4227</v>
      </c>
      <c r="J81" s="145">
        <v>6768</v>
      </c>
      <c r="K81" s="145">
        <v>6085</v>
      </c>
      <c r="L81" s="145">
        <v>6988</v>
      </c>
      <c r="M81" s="145">
        <v>2797</v>
      </c>
      <c r="N81" s="145">
        <v>2656</v>
      </c>
      <c r="O81" s="145">
        <v>1107</v>
      </c>
      <c r="P81" s="145">
        <v>1628</v>
      </c>
      <c r="Q81" s="145">
        <v>826</v>
      </c>
      <c r="R81" s="145">
        <v>2067</v>
      </c>
      <c r="S81" s="145">
        <v>838</v>
      </c>
      <c r="T81" s="145">
        <v>1188</v>
      </c>
      <c r="U81" s="145">
        <v>558</v>
      </c>
      <c r="V81" s="145">
        <v>948</v>
      </c>
      <c r="W81" s="145">
        <v>931</v>
      </c>
      <c r="X81" s="145">
        <v>1896</v>
      </c>
      <c r="Y81" s="145">
        <v>862</v>
      </c>
      <c r="Z81" s="145">
        <v>1080</v>
      </c>
      <c r="AA81" s="145">
        <v>24937</v>
      </c>
      <c r="AB81" s="75">
        <v>56373</v>
      </c>
      <c r="AC81" s="75">
        <v>58768</v>
      </c>
      <c r="AF81"/>
      <c r="AG81"/>
      <c r="AH81" s="75">
        <v>25399</v>
      </c>
      <c r="AI81" s="75">
        <v>25446</v>
      </c>
      <c r="AJ81" s="75">
        <v>25339</v>
      </c>
      <c r="AK81" s="75">
        <v>25183</v>
      </c>
      <c r="AL81" s="75">
        <v>25066</v>
      </c>
      <c r="AM81" s="75">
        <v>24944</v>
      </c>
      <c r="AN81" s="75">
        <v>24937</v>
      </c>
      <c r="AO81" s="75">
        <v>53754</v>
      </c>
      <c r="AP81" s="75">
        <v>57703</v>
      </c>
      <c r="AQ81" s="75">
        <v>55479000</v>
      </c>
      <c r="AR81" s="75">
        <v>56801</v>
      </c>
      <c r="AS81" s="75">
        <v>55535</v>
      </c>
      <c r="AT81" s="75">
        <v>55654</v>
      </c>
      <c r="AU81" s="75">
        <v>56373</v>
      </c>
      <c r="AV81" s="75">
        <v>58768</v>
      </c>
    </row>
    <row r="82" spans="1:48" ht="12.5" x14ac:dyDescent="0.25">
      <c r="A82" s="75" t="s">
        <v>522</v>
      </c>
      <c r="B82" s="75" t="s">
        <v>401</v>
      </c>
      <c r="C82" s="145">
        <f t="shared" si="3"/>
        <v>1236.3</v>
      </c>
      <c r="D82" s="145">
        <f t="shared" si="4"/>
        <v>1082</v>
      </c>
      <c r="E82" s="145">
        <v>4346000</v>
      </c>
      <c r="F82" s="145">
        <f t="shared" si="5"/>
        <v>11803579.11230867</v>
      </c>
      <c r="G82" s="145">
        <v>97</v>
      </c>
      <c r="H82" s="145">
        <v>63</v>
      </c>
      <c r="I82" s="145">
        <v>4715</v>
      </c>
      <c r="J82" s="145">
        <v>5194</v>
      </c>
      <c r="K82" s="145">
        <v>3552</v>
      </c>
      <c r="L82" s="145">
        <v>2734</v>
      </c>
      <c r="M82" s="145">
        <v>164</v>
      </c>
      <c r="N82" s="145">
        <v>97</v>
      </c>
      <c r="O82" s="145">
        <v>388</v>
      </c>
      <c r="P82" s="145">
        <v>452</v>
      </c>
      <c r="Q82" s="145">
        <v>415</v>
      </c>
      <c r="R82" s="145">
        <v>382</v>
      </c>
      <c r="S82" s="145">
        <v>450</v>
      </c>
      <c r="T82" s="145">
        <v>548</v>
      </c>
      <c r="U82" s="145">
        <v>1972</v>
      </c>
      <c r="V82" s="145">
        <v>1029</v>
      </c>
      <c r="W82" s="145">
        <v>242</v>
      </c>
      <c r="X82" s="145">
        <v>208</v>
      </c>
      <c r="Y82" s="145">
        <v>368</v>
      </c>
      <c r="Z82" s="145">
        <v>113</v>
      </c>
      <c r="AA82" s="145">
        <v>32273</v>
      </c>
      <c r="AB82" s="75">
        <v>98790</v>
      </c>
      <c r="AC82" s="75">
        <v>97367</v>
      </c>
      <c r="AF82"/>
      <c r="AG82"/>
      <c r="AH82" s="75">
        <v>31826</v>
      </c>
      <c r="AI82" s="75">
        <v>31757</v>
      </c>
      <c r="AJ82" s="75">
        <v>31646</v>
      </c>
      <c r="AK82" s="75">
        <v>31692</v>
      </c>
      <c r="AL82" s="75">
        <v>31751</v>
      </c>
      <c r="AM82" s="75">
        <v>31739</v>
      </c>
      <c r="AN82" s="75">
        <v>31967</v>
      </c>
      <c r="AO82" s="75">
        <v>77523</v>
      </c>
      <c r="AP82" s="75">
        <v>84066</v>
      </c>
      <c r="AQ82" s="75">
        <v>86726000</v>
      </c>
      <c r="AR82" s="75">
        <v>90968</v>
      </c>
      <c r="AS82" s="75">
        <v>92088</v>
      </c>
      <c r="AT82" s="75">
        <v>96834</v>
      </c>
      <c r="AU82" s="75">
        <v>98790</v>
      </c>
      <c r="AV82" s="75">
        <v>97367</v>
      </c>
    </row>
    <row r="83" spans="1:48" ht="11.25" customHeight="1" x14ac:dyDescent="0.25">
      <c r="A83" s="75" t="s">
        <v>514</v>
      </c>
      <c r="B83" s="75" t="s">
        <v>248</v>
      </c>
      <c r="C83" s="145">
        <f t="shared" si="3"/>
        <v>7754.4</v>
      </c>
      <c r="D83" s="145">
        <f t="shared" si="4"/>
        <v>6959.8</v>
      </c>
      <c r="E83" s="145">
        <v>8411000</v>
      </c>
      <c r="F83" s="145">
        <f t="shared" si="5"/>
        <v>13561155.434334278</v>
      </c>
      <c r="G83" s="145">
        <v>504</v>
      </c>
      <c r="H83" s="145">
        <v>563</v>
      </c>
      <c r="I83" s="145">
        <v>4803</v>
      </c>
      <c r="J83" s="145">
        <v>7901</v>
      </c>
      <c r="K83" s="145">
        <v>7584</v>
      </c>
      <c r="L83" s="145">
        <v>7621</v>
      </c>
      <c r="M83" s="145">
        <v>15919</v>
      </c>
      <c r="N83" s="145">
        <v>10664</v>
      </c>
      <c r="O83" s="145">
        <v>8379</v>
      </c>
      <c r="P83" s="145">
        <v>7167</v>
      </c>
      <c r="Q83" s="145">
        <v>14284</v>
      </c>
      <c r="R83" s="145">
        <v>13148</v>
      </c>
      <c r="S83" s="145">
        <v>5679</v>
      </c>
      <c r="T83" s="145">
        <v>5328</v>
      </c>
      <c r="U83" s="145">
        <v>7561</v>
      </c>
      <c r="V83" s="145">
        <v>7288</v>
      </c>
      <c r="W83" s="145">
        <v>6045</v>
      </c>
      <c r="X83" s="145">
        <v>5679</v>
      </c>
      <c r="Y83" s="145">
        <v>6786</v>
      </c>
      <c r="Z83" s="145">
        <v>4239</v>
      </c>
      <c r="AA83" s="145">
        <v>37145</v>
      </c>
      <c r="AB83" s="75">
        <v>115026</v>
      </c>
      <c r="AC83" s="75">
        <v>125271</v>
      </c>
      <c r="AF83"/>
      <c r="AG83"/>
      <c r="AH83" s="75">
        <v>35802</v>
      </c>
      <c r="AI83" s="75">
        <v>35956</v>
      </c>
      <c r="AJ83" s="75">
        <v>36094</v>
      </c>
      <c r="AK83" s="75">
        <v>36199</v>
      </c>
      <c r="AL83" s="75">
        <v>36268</v>
      </c>
      <c r="AM83" s="75">
        <v>36465</v>
      </c>
      <c r="AN83" s="75">
        <v>36760</v>
      </c>
      <c r="AO83" s="75">
        <v>75572</v>
      </c>
      <c r="AP83" s="75">
        <v>79587</v>
      </c>
      <c r="AQ83" s="75">
        <v>85079000</v>
      </c>
      <c r="AR83" s="75">
        <v>86975</v>
      </c>
      <c r="AS83" s="75">
        <v>94208</v>
      </c>
      <c r="AT83" s="75">
        <v>106628</v>
      </c>
      <c r="AU83" s="75">
        <v>115026</v>
      </c>
      <c r="AV83" s="75">
        <v>125271</v>
      </c>
    </row>
    <row r="84" spans="1:48" ht="12.5" x14ac:dyDescent="0.25">
      <c r="A84" s="75" t="s">
        <v>515</v>
      </c>
      <c r="B84" s="75" t="s">
        <v>177</v>
      </c>
      <c r="C84" s="145">
        <f t="shared" si="3"/>
        <v>32972.800000000003</v>
      </c>
      <c r="D84" s="145">
        <f t="shared" si="4"/>
        <v>32725.9</v>
      </c>
      <c r="E84" s="145">
        <v>16383000</v>
      </c>
      <c r="F84" s="145">
        <f t="shared" si="5"/>
        <v>44626298.33138106</v>
      </c>
      <c r="G84" s="145">
        <v>11714</v>
      </c>
      <c r="H84" s="145">
        <v>10608</v>
      </c>
      <c r="I84" s="145">
        <v>51574</v>
      </c>
      <c r="J84" s="145">
        <v>52951</v>
      </c>
      <c r="K84" s="145">
        <v>33746</v>
      </c>
      <c r="L84" s="145">
        <v>37721</v>
      </c>
      <c r="M84" s="145">
        <v>66696</v>
      </c>
      <c r="N84" s="145">
        <v>66869</v>
      </c>
      <c r="O84" s="145">
        <v>44267</v>
      </c>
      <c r="P84" s="145">
        <v>46593</v>
      </c>
      <c r="Q84" s="145">
        <v>26668</v>
      </c>
      <c r="R84" s="145">
        <v>21882</v>
      </c>
      <c r="S84" s="145">
        <v>24721</v>
      </c>
      <c r="T84" s="145">
        <v>23983</v>
      </c>
      <c r="U84" s="145">
        <v>34068</v>
      </c>
      <c r="V84" s="145">
        <v>33360</v>
      </c>
      <c r="W84" s="145">
        <v>19672</v>
      </c>
      <c r="X84" s="145">
        <v>17963</v>
      </c>
      <c r="Y84" s="145">
        <v>16602</v>
      </c>
      <c r="Z84" s="145">
        <v>15329</v>
      </c>
      <c r="AA84" s="145">
        <v>124262</v>
      </c>
      <c r="AB84" s="75">
        <v>270639</v>
      </c>
      <c r="AC84" s="75">
        <v>279978</v>
      </c>
      <c r="AF84"/>
      <c r="AG84"/>
      <c r="AH84" s="75">
        <v>113448</v>
      </c>
      <c r="AI84" s="75">
        <v>114620</v>
      </c>
      <c r="AJ84" s="75">
        <v>115732</v>
      </c>
      <c r="AK84" s="75">
        <v>117159</v>
      </c>
      <c r="AL84" s="75">
        <v>118530</v>
      </c>
      <c r="AM84" s="75">
        <v>119997</v>
      </c>
      <c r="AN84" s="75">
        <v>122012</v>
      </c>
      <c r="AO84" s="75">
        <v>230020</v>
      </c>
      <c r="AP84" s="75">
        <v>225842</v>
      </c>
      <c r="AQ84" s="75">
        <v>230101000</v>
      </c>
      <c r="AR84" s="75">
        <v>240065</v>
      </c>
      <c r="AS84" s="75">
        <v>256778</v>
      </c>
      <c r="AT84" s="75">
        <v>261032</v>
      </c>
      <c r="AU84" s="75">
        <v>270639</v>
      </c>
      <c r="AV84" s="75">
        <v>279978</v>
      </c>
    </row>
    <row r="85" spans="1:48" ht="12.5" x14ac:dyDescent="0.25">
      <c r="A85" s="75" t="s">
        <v>520</v>
      </c>
      <c r="B85" s="75" t="s">
        <v>218</v>
      </c>
      <c r="C85" s="145">
        <f t="shared" si="3"/>
        <v>1992.3</v>
      </c>
      <c r="D85" s="145">
        <f t="shared" si="4"/>
        <v>1495.2</v>
      </c>
      <c r="E85" s="145">
        <v>1366000</v>
      </c>
      <c r="F85" s="145">
        <f t="shared" si="5"/>
        <v>3514036.9587007975</v>
      </c>
      <c r="G85" s="145">
        <v>817</v>
      </c>
      <c r="H85" s="145">
        <v>689</v>
      </c>
      <c r="I85" s="145">
        <v>2580</v>
      </c>
      <c r="J85" s="145">
        <v>2527</v>
      </c>
      <c r="K85" s="145">
        <v>1476</v>
      </c>
      <c r="L85" s="145">
        <v>1510</v>
      </c>
      <c r="M85" s="145">
        <v>878</v>
      </c>
      <c r="N85" s="145">
        <v>231</v>
      </c>
      <c r="O85" s="145">
        <v>908</v>
      </c>
      <c r="P85" s="145">
        <v>281</v>
      </c>
      <c r="Q85" s="145">
        <v>190</v>
      </c>
      <c r="R85" s="145">
        <v>240</v>
      </c>
      <c r="S85" s="145">
        <v>877</v>
      </c>
      <c r="T85" s="145">
        <v>555</v>
      </c>
      <c r="U85" s="145">
        <v>4775</v>
      </c>
      <c r="V85" s="145">
        <v>4546</v>
      </c>
      <c r="W85" s="145">
        <v>604</v>
      </c>
      <c r="X85" s="145">
        <v>617</v>
      </c>
      <c r="Y85" s="145">
        <v>6818</v>
      </c>
      <c r="Z85" s="145">
        <v>3756</v>
      </c>
      <c r="AA85" s="145">
        <v>9927</v>
      </c>
      <c r="AB85" s="75">
        <v>46095</v>
      </c>
      <c r="AC85" s="75">
        <v>42899</v>
      </c>
      <c r="AF85"/>
      <c r="AG85"/>
      <c r="AH85" s="75">
        <v>9000</v>
      </c>
      <c r="AI85" s="75">
        <v>9111</v>
      </c>
      <c r="AJ85" s="75">
        <v>9117</v>
      </c>
      <c r="AK85" s="75">
        <v>9231</v>
      </c>
      <c r="AL85" s="75">
        <v>9362</v>
      </c>
      <c r="AM85" s="75">
        <v>9449</v>
      </c>
      <c r="AN85" s="75">
        <v>9598</v>
      </c>
      <c r="AO85" s="75">
        <v>15997</v>
      </c>
      <c r="AP85" s="75">
        <v>17353</v>
      </c>
      <c r="AQ85" s="75">
        <v>19231000</v>
      </c>
      <c r="AR85" s="75">
        <v>20280</v>
      </c>
      <c r="AS85" s="75">
        <v>29503</v>
      </c>
      <c r="AT85" s="75">
        <v>39262</v>
      </c>
      <c r="AU85" s="75">
        <v>46095</v>
      </c>
      <c r="AV85" s="75">
        <v>42899</v>
      </c>
    </row>
    <row r="86" spans="1:48" ht="12.5" x14ac:dyDescent="0.25">
      <c r="A86" s="75" t="s">
        <v>521</v>
      </c>
      <c r="B86" s="75" t="s">
        <v>719</v>
      </c>
      <c r="C86" s="145">
        <f t="shared" si="3"/>
        <v>4768.3</v>
      </c>
      <c r="D86" s="145">
        <f t="shared" si="4"/>
        <v>5263.9</v>
      </c>
      <c r="E86" s="145">
        <v>9456000</v>
      </c>
      <c r="F86" s="145">
        <f t="shared" si="5"/>
        <v>16900029.793019403</v>
      </c>
      <c r="G86" s="145">
        <v>7621</v>
      </c>
      <c r="H86" s="145">
        <v>7637</v>
      </c>
      <c r="I86" s="145">
        <v>4521</v>
      </c>
      <c r="J86" s="145">
        <v>5043</v>
      </c>
      <c r="K86" s="145">
        <v>1926</v>
      </c>
      <c r="L86" s="145">
        <v>2361</v>
      </c>
      <c r="M86" s="145">
        <v>614</v>
      </c>
      <c r="N86" s="145">
        <v>909</v>
      </c>
      <c r="O86" s="145">
        <v>1023</v>
      </c>
      <c r="P86" s="145">
        <v>1103</v>
      </c>
      <c r="Q86" s="145">
        <v>2139</v>
      </c>
      <c r="R86" s="145">
        <v>2058</v>
      </c>
      <c r="S86" s="145">
        <v>5148</v>
      </c>
      <c r="T86" s="145">
        <v>5607</v>
      </c>
      <c r="U86" s="145">
        <v>9991</v>
      </c>
      <c r="V86" s="145">
        <v>10689</v>
      </c>
      <c r="W86" s="145">
        <v>6332</v>
      </c>
      <c r="X86" s="145">
        <v>7623</v>
      </c>
      <c r="Y86" s="145">
        <v>8368</v>
      </c>
      <c r="Z86" s="145">
        <v>9609</v>
      </c>
      <c r="AA86" s="145">
        <v>44813</v>
      </c>
      <c r="AB86" s="75">
        <v>164267</v>
      </c>
      <c r="AC86" s="75">
        <v>183922</v>
      </c>
      <c r="AF86"/>
      <c r="AG86"/>
      <c r="AH86" s="75">
        <v>46843</v>
      </c>
      <c r="AI86" s="75">
        <v>46415</v>
      </c>
      <c r="AJ86" s="75">
        <v>46051</v>
      </c>
      <c r="AK86" s="75">
        <v>45857</v>
      </c>
      <c r="AL86" s="75">
        <v>45587</v>
      </c>
      <c r="AM86" s="75">
        <v>45443</v>
      </c>
      <c r="AN86" s="75">
        <v>45394</v>
      </c>
      <c r="AO86" s="75">
        <v>130227</v>
      </c>
      <c r="AP86" s="75">
        <v>133815</v>
      </c>
      <c r="AQ86" s="75">
        <v>133508000</v>
      </c>
      <c r="AR86" s="75">
        <v>138118</v>
      </c>
      <c r="AS86" s="75">
        <v>142881</v>
      </c>
      <c r="AT86" s="75">
        <v>151913</v>
      </c>
      <c r="AU86" s="75">
        <v>164267</v>
      </c>
      <c r="AV86" s="75">
        <v>183922</v>
      </c>
    </row>
    <row r="87" spans="1:48" ht="12.5" x14ac:dyDescent="0.25">
      <c r="A87" s="75" t="s">
        <v>513</v>
      </c>
      <c r="B87" s="75" t="s">
        <v>358</v>
      </c>
      <c r="C87" s="145">
        <f t="shared" si="3"/>
        <v>4577.5</v>
      </c>
      <c r="D87" s="145">
        <f t="shared" si="4"/>
        <v>3872.1</v>
      </c>
      <c r="E87" s="145">
        <v>3977000</v>
      </c>
      <c r="F87" s="145">
        <f t="shared" si="5"/>
        <v>7371705.0053304275</v>
      </c>
      <c r="G87" s="145">
        <v>1937</v>
      </c>
      <c r="H87" s="145">
        <v>1666</v>
      </c>
      <c r="I87" s="145">
        <v>5614</v>
      </c>
      <c r="J87" s="145">
        <v>5644</v>
      </c>
      <c r="K87" s="145">
        <v>7419</v>
      </c>
      <c r="L87" s="145">
        <v>7535</v>
      </c>
      <c r="M87" s="145">
        <v>9202</v>
      </c>
      <c r="N87" s="145">
        <v>9024</v>
      </c>
      <c r="O87" s="145">
        <v>941</v>
      </c>
      <c r="P87" s="145">
        <v>1021</v>
      </c>
      <c r="Q87" s="145">
        <v>1935</v>
      </c>
      <c r="R87" s="145">
        <v>1798</v>
      </c>
      <c r="S87" s="145">
        <v>2516</v>
      </c>
      <c r="T87" s="145">
        <v>1742</v>
      </c>
      <c r="U87" s="145">
        <v>3024</v>
      </c>
      <c r="V87" s="145">
        <v>2637</v>
      </c>
      <c r="W87" s="145">
        <v>5464</v>
      </c>
      <c r="X87" s="145">
        <v>4412</v>
      </c>
      <c r="Y87" s="145">
        <v>7723</v>
      </c>
      <c r="Z87" s="145">
        <v>3242</v>
      </c>
      <c r="AA87" s="145">
        <v>20389</v>
      </c>
      <c r="AB87" s="75">
        <v>47846</v>
      </c>
      <c r="AC87" s="75">
        <v>51117</v>
      </c>
      <c r="AF87"/>
      <c r="AG87"/>
      <c r="AH87" s="75">
        <v>18554</v>
      </c>
      <c r="AI87" s="75">
        <v>18774</v>
      </c>
      <c r="AJ87" s="75">
        <v>19111</v>
      </c>
      <c r="AK87" s="75">
        <v>19277</v>
      </c>
      <c r="AL87" s="75">
        <v>19528</v>
      </c>
      <c r="AM87" s="75">
        <v>19822</v>
      </c>
      <c r="AN87" s="75">
        <v>20004</v>
      </c>
      <c r="AO87" s="75">
        <v>42810</v>
      </c>
      <c r="AP87" s="75">
        <v>44283</v>
      </c>
      <c r="AQ87" s="75">
        <v>45516000</v>
      </c>
      <c r="AR87" s="75">
        <v>47117</v>
      </c>
      <c r="AS87" s="75">
        <v>47798</v>
      </c>
      <c r="AT87" s="75">
        <v>47996</v>
      </c>
      <c r="AU87" s="75">
        <v>47846</v>
      </c>
      <c r="AV87" s="75">
        <v>51117</v>
      </c>
    </row>
    <row r="88" spans="1:48" ht="12.5" x14ac:dyDescent="0.25">
      <c r="A88" s="75" t="s">
        <v>522</v>
      </c>
      <c r="B88" s="75" t="s">
        <v>402</v>
      </c>
      <c r="C88" s="145">
        <f t="shared" si="3"/>
        <v>1856.6</v>
      </c>
      <c r="D88" s="145">
        <f t="shared" si="4"/>
        <v>1858.1</v>
      </c>
      <c r="E88" s="145">
        <v>4639000</v>
      </c>
      <c r="F88" s="145">
        <f t="shared" si="5"/>
        <v>9615348.2450216021</v>
      </c>
      <c r="G88" s="145">
        <v>751</v>
      </c>
      <c r="H88" s="145">
        <v>689</v>
      </c>
      <c r="I88" s="145">
        <v>2810</v>
      </c>
      <c r="J88" s="145">
        <v>5479</v>
      </c>
      <c r="K88" s="145">
        <v>2600</v>
      </c>
      <c r="L88" s="145">
        <v>2784</v>
      </c>
      <c r="M88" s="145">
        <v>3165</v>
      </c>
      <c r="N88" s="145">
        <v>2346</v>
      </c>
      <c r="O88" s="145">
        <v>1642</v>
      </c>
      <c r="P88" s="145">
        <v>1288</v>
      </c>
      <c r="Q88" s="145">
        <v>1069</v>
      </c>
      <c r="R88" s="145">
        <v>1043</v>
      </c>
      <c r="S88" s="145">
        <v>1362</v>
      </c>
      <c r="T88" s="145">
        <v>286</v>
      </c>
      <c r="U88" s="145">
        <v>1621</v>
      </c>
      <c r="V88" s="145">
        <v>1447</v>
      </c>
      <c r="W88" s="145">
        <v>1618</v>
      </c>
      <c r="X88" s="145">
        <v>1493</v>
      </c>
      <c r="Y88" s="145">
        <v>1928</v>
      </c>
      <c r="Z88" s="145">
        <v>1726</v>
      </c>
      <c r="AA88" s="145">
        <v>26180</v>
      </c>
      <c r="AB88" s="75">
        <v>89439</v>
      </c>
      <c r="AC88" s="75">
        <v>92660</v>
      </c>
      <c r="AF88"/>
      <c r="AG88"/>
      <c r="AH88" s="75">
        <v>25297</v>
      </c>
      <c r="AI88" s="75">
        <v>25563</v>
      </c>
      <c r="AJ88" s="75">
        <v>25654</v>
      </c>
      <c r="AK88" s="75">
        <v>25743</v>
      </c>
      <c r="AL88" s="75">
        <v>25900</v>
      </c>
      <c r="AM88" s="75">
        <v>25855</v>
      </c>
      <c r="AN88" s="75">
        <v>25991</v>
      </c>
      <c r="AO88" s="75">
        <v>62122</v>
      </c>
      <c r="AP88" s="75">
        <v>62464</v>
      </c>
      <c r="AQ88" s="75">
        <v>65445000</v>
      </c>
      <c r="AR88" s="75">
        <v>78407</v>
      </c>
      <c r="AS88" s="75">
        <v>81773</v>
      </c>
      <c r="AT88" s="75">
        <v>84055</v>
      </c>
      <c r="AU88" s="75">
        <v>89439</v>
      </c>
      <c r="AV88" s="75">
        <v>92660</v>
      </c>
    </row>
    <row r="89" spans="1:48" ht="12.5" x14ac:dyDescent="0.25">
      <c r="A89" s="75" t="s">
        <v>513</v>
      </c>
      <c r="B89" s="75" t="s">
        <v>359</v>
      </c>
      <c r="C89" s="145">
        <f t="shared" si="3"/>
        <v>43578</v>
      </c>
      <c r="D89" s="145">
        <f t="shared" si="4"/>
        <v>38761.300000000003</v>
      </c>
      <c r="E89" s="145">
        <v>44873000</v>
      </c>
      <c r="F89" s="145">
        <f t="shared" si="5"/>
        <v>88624465.810476616</v>
      </c>
      <c r="G89" s="145">
        <v>52373</v>
      </c>
      <c r="H89" s="145">
        <v>50171</v>
      </c>
      <c r="I89" s="145">
        <v>59232</v>
      </c>
      <c r="J89" s="145">
        <v>59044</v>
      </c>
      <c r="K89" s="145">
        <v>45103</v>
      </c>
      <c r="L89" s="145">
        <v>47547</v>
      </c>
      <c r="M89" s="145">
        <v>63741</v>
      </c>
      <c r="N89" s="145">
        <v>46363</v>
      </c>
      <c r="O89" s="145">
        <v>48584</v>
      </c>
      <c r="P89" s="145">
        <v>40221</v>
      </c>
      <c r="Q89" s="145">
        <v>31188</v>
      </c>
      <c r="R89" s="145">
        <v>20758</v>
      </c>
      <c r="S89" s="145">
        <v>23958</v>
      </c>
      <c r="T89" s="145">
        <v>19617</v>
      </c>
      <c r="U89" s="145">
        <v>43479</v>
      </c>
      <c r="V89" s="145">
        <v>42924</v>
      </c>
      <c r="W89" s="145">
        <v>43268</v>
      </c>
      <c r="X89" s="145">
        <v>40550</v>
      </c>
      <c r="Y89" s="145">
        <v>24854</v>
      </c>
      <c r="Z89" s="145">
        <v>20418</v>
      </c>
      <c r="AA89" s="145">
        <v>249054</v>
      </c>
      <c r="AB89" s="75">
        <v>695816</v>
      </c>
      <c r="AC89" s="75">
        <v>724242</v>
      </c>
      <c r="AF89"/>
      <c r="AG89"/>
      <c r="AH89" s="75">
        <v>226879</v>
      </c>
      <c r="AI89" s="75">
        <v>229184</v>
      </c>
      <c r="AJ89" s="75">
        <v>231469</v>
      </c>
      <c r="AK89" s="75">
        <v>234525</v>
      </c>
      <c r="AL89" s="75">
        <v>235691</v>
      </c>
      <c r="AM89" s="75">
        <v>238305</v>
      </c>
      <c r="AN89" s="75">
        <v>243730</v>
      </c>
      <c r="AO89" s="75">
        <v>606952</v>
      </c>
      <c r="AP89" s="75">
        <v>602344</v>
      </c>
      <c r="AQ89" s="75">
        <v>643573000</v>
      </c>
      <c r="AR89" s="75">
        <v>648910</v>
      </c>
      <c r="AS89" s="75">
        <v>660931</v>
      </c>
      <c r="AT89" s="75">
        <v>665198</v>
      </c>
      <c r="AU89" s="75">
        <v>695816</v>
      </c>
      <c r="AV89" s="75">
        <v>724242</v>
      </c>
    </row>
    <row r="90" spans="1:48" ht="12.5" x14ac:dyDescent="0.25">
      <c r="A90" s="75" t="s">
        <v>515</v>
      </c>
      <c r="B90" s="75" t="s">
        <v>178</v>
      </c>
      <c r="C90" s="145">
        <f t="shared" si="3"/>
        <v>2606.1999999999998</v>
      </c>
      <c r="D90" s="145">
        <f t="shared" si="4"/>
        <v>2435.1999999999998</v>
      </c>
      <c r="E90" s="145">
        <v>3180000</v>
      </c>
      <c r="F90" s="145">
        <f t="shared" si="5"/>
        <v>8828418.1778599042</v>
      </c>
      <c r="G90" s="145">
        <v>548</v>
      </c>
      <c r="H90" s="145">
        <v>-5</v>
      </c>
      <c r="I90" s="145">
        <v>2882</v>
      </c>
      <c r="J90" s="145">
        <v>2979</v>
      </c>
      <c r="K90" s="145">
        <v>1977</v>
      </c>
      <c r="L90" s="145">
        <v>1648</v>
      </c>
      <c r="M90" s="145">
        <v>3534</v>
      </c>
      <c r="N90" s="145">
        <v>2811</v>
      </c>
      <c r="O90" s="145">
        <v>6378</v>
      </c>
      <c r="P90" s="145">
        <v>6068</v>
      </c>
      <c r="Q90" s="145">
        <v>2600</v>
      </c>
      <c r="R90" s="145">
        <v>3100</v>
      </c>
      <c r="S90" s="145">
        <v>4645</v>
      </c>
      <c r="T90" s="145">
        <v>4172</v>
      </c>
      <c r="U90" s="145">
        <v>3299</v>
      </c>
      <c r="V90" s="145">
        <v>3062</v>
      </c>
      <c r="W90" s="145">
        <v>0</v>
      </c>
      <c r="X90" s="145">
        <v>249</v>
      </c>
      <c r="Y90" s="145">
        <v>199</v>
      </c>
      <c r="Z90" s="145">
        <v>268</v>
      </c>
      <c r="AA90" s="145">
        <v>23903</v>
      </c>
      <c r="AB90" s="75">
        <v>55719</v>
      </c>
      <c r="AC90" s="75">
        <v>57810</v>
      </c>
      <c r="AF90"/>
      <c r="AG90"/>
      <c r="AH90" s="75">
        <v>23029</v>
      </c>
      <c r="AI90" s="75">
        <v>23111</v>
      </c>
      <c r="AJ90" s="75">
        <v>23087</v>
      </c>
      <c r="AK90" s="75">
        <v>23154</v>
      </c>
      <c r="AL90" s="75">
        <v>23429</v>
      </c>
      <c r="AM90" s="75">
        <v>23739</v>
      </c>
      <c r="AN90" s="75">
        <v>24037</v>
      </c>
      <c r="AO90" s="75">
        <v>56727</v>
      </c>
      <c r="AP90" s="75">
        <v>57389</v>
      </c>
      <c r="AQ90" s="75">
        <v>56694000</v>
      </c>
      <c r="AR90" s="75">
        <v>56425</v>
      </c>
      <c r="AS90" s="75">
        <v>58860</v>
      </c>
      <c r="AT90" s="75">
        <v>58742</v>
      </c>
      <c r="AU90" s="75">
        <v>55719</v>
      </c>
      <c r="AV90" s="75">
        <v>57810</v>
      </c>
    </row>
    <row r="91" spans="1:48" ht="12.5" x14ac:dyDescent="0.25">
      <c r="A91" s="75" t="s">
        <v>512</v>
      </c>
      <c r="B91" s="75" t="s">
        <v>108</v>
      </c>
      <c r="C91" s="145">
        <f t="shared" si="3"/>
        <v>19539.3</v>
      </c>
      <c r="D91" s="145">
        <f t="shared" si="4"/>
        <v>18672.099999999999</v>
      </c>
      <c r="E91" s="145">
        <v>20651000</v>
      </c>
      <c r="F91" s="145">
        <f t="shared" si="5"/>
        <v>40112607.298705474</v>
      </c>
      <c r="G91" s="145">
        <v>6010</v>
      </c>
      <c r="H91" s="145">
        <v>4768</v>
      </c>
      <c r="I91" s="145">
        <v>23825</v>
      </c>
      <c r="J91" s="145">
        <v>26922</v>
      </c>
      <c r="K91" s="145">
        <v>10150</v>
      </c>
      <c r="L91" s="145">
        <v>15371</v>
      </c>
      <c r="M91" s="145">
        <v>26426</v>
      </c>
      <c r="N91" s="145">
        <v>24354</v>
      </c>
      <c r="O91" s="145">
        <v>14598</v>
      </c>
      <c r="P91" s="145">
        <v>15496</v>
      </c>
      <c r="Q91" s="145">
        <v>22934</v>
      </c>
      <c r="R91" s="145">
        <v>16682</v>
      </c>
      <c r="S91" s="145">
        <v>20825</v>
      </c>
      <c r="T91" s="145">
        <v>20222</v>
      </c>
      <c r="U91" s="145">
        <v>24464</v>
      </c>
      <c r="V91" s="145">
        <v>26530</v>
      </c>
      <c r="W91" s="145">
        <v>18229</v>
      </c>
      <c r="X91" s="145">
        <v>11946</v>
      </c>
      <c r="Y91" s="145">
        <v>27932</v>
      </c>
      <c r="Z91" s="145">
        <v>24430</v>
      </c>
      <c r="AA91" s="145">
        <v>109698</v>
      </c>
      <c r="AB91" s="75">
        <v>507308</v>
      </c>
      <c r="AC91" s="75">
        <v>506218</v>
      </c>
      <c r="AF91"/>
      <c r="AG91"/>
      <c r="AH91" s="75">
        <v>107508</v>
      </c>
      <c r="AI91" s="75">
        <v>107216</v>
      </c>
      <c r="AJ91" s="75">
        <v>107111</v>
      </c>
      <c r="AK91" s="75">
        <v>107056</v>
      </c>
      <c r="AL91" s="75">
        <v>107024</v>
      </c>
      <c r="AM91" s="75">
        <v>107860</v>
      </c>
      <c r="AN91" s="75">
        <v>108765</v>
      </c>
      <c r="AO91" s="75">
        <v>417881</v>
      </c>
      <c r="AP91" s="75">
        <v>388490</v>
      </c>
      <c r="AQ91" s="75">
        <v>431828000</v>
      </c>
      <c r="AR91" s="75">
        <v>454354</v>
      </c>
      <c r="AS91" s="75">
        <v>466511</v>
      </c>
      <c r="AT91" s="75">
        <v>484989</v>
      </c>
      <c r="AU91" s="75">
        <v>507308</v>
      </c>
      <c r="AV91" s="75">
        <v>506218</v>
      </c>
    </row>
    <row r="92" spans="1:48" ht="12.5" x14ac:dyDescent="0.25">
      <c r="A92" s="75" t="s">
        <v>514</v>
      </c>
      <c r="B92" s="75" t="s">
        <v>249</v>
      </c>
      <c r="C92" s="145">
        <f t="shared" si="3"/>
        <v>94.8</v>
      </c>
      <c r="D92" s="145">
        <f t="shared" si="4"/>
        <v>125.3</v>
      </c>
      <c r="E92" s="145">
        <v>1726000</v>
      </c>
      <c r="F92" s="145">
        <f t="shared" si="5"/>
        <v>6924687.0749295009</v>
      </c>
      <c r="G92" s="145">
        <v>60</v>
      </c>
      <c r="H92" s="145">
        <v>-22</v>
      </c>
      <c r="I92" s="145">
        <v>447</v>
      </c>
      <c r="J92" s="145">
        <v>410</v>
      </c>
      <c r="K92" s="145">
        <v>251</v>
      </c>
      <c r="L92" s="145">
        <v>251</v>
      </c>
      <c r="M92" s="145">
        <v>16</v>
      </c>
      <c r="N92" s="145">
        <v>21</v>
      </c>
      <c r="O92" s="145">
        <v>174</v>
      </c>
      <c r="P92" s="145">
        <v>18</v>
      </c>
      <c r="Q92" s="145">
        <v>0</v>
      </c>
      <c r="R92" s="145">
        <v>43</v>
      </c>
      <c r="S92" s="145">
        <v>0</v>
      </c>
      <c r="T92" s="145">
        <v>64</v>
      </c>
      <c r="U92" s="145">
        <v>0</v>
      </c>
      <c r="V92" s="145">
        <v>370</v>
      </c>
      <c r="W92" s="145">
        <v>0</v>
      </c>
      <c r="X92" s="145">
        <v>40</v>
      </c>
      <c r="Y92" s="145">
        <v>0</v>
      </c>
      <c r="Z92" s="145">
        <v>58</v>
      </c>
      <c r="AA92" s="145">
        <v>18843</v>
      </c>
      <c r="AB92" s="75">
        <v>47346</v>
      </c>
      <c r="AC92" s="75">
        <v>51723</v>
      </c>
      <c r="AF92"/>
      <c r="AG92"/>
      <c r="AH92" s="75">
        <v>18474</v>
      </c>
      <c r="AI92" s="75">
        <v>18475</v>
      </c>
      <c r="AJ92" s="75">
        <v>18510</v>
      </c>
      <c r="AK92" s="75">
        <v>18611</v>
      </c>
      <c r="AL92" s="75">
        <v>18637</v>
      </c>
      <c r="AM92" s="75">
        <v>18620</v>
      </c>
      <c r="AN92" s="75">
        <v>18885</v>
      </c>
      <c r="AO92" s="75">
        <v>42984</v>
      </c>
      <c r="AP92" s="75">
        <v>41950</v>
      </c>
      <c r="AQ92" s="75">
        <v>41305000</v>
      </c>
      <c r="AR92" s="75">
        <v>40581</v>
      </c>
      <c r="AS92" s="75">
        <v>43284</v>
      </c>
      <c r="AT92" s="75">
        <v>44774</v>
      </c>
      <c r="AU92" s="75">
        <v>47346</v>
      </c>
      <c r="AV92" s="75">
        <v>51723</v>
      </c>
    </row>
    <row r="93" spans="1:48" ht="12.5" x14ac:dyDescent="0.25">
      <c r="A93" s="75" t="s">
        <v>518</v>
      </c>
      <c r="B93" s="75" t="s">
        <v>144</v>
      </c>
      <c r="C93" s="145">
        <f t="shared" si="3"/>
        <v>34360.199999999997</v>
      </c>
      <c r="D93" s="145">
        <f t="shared" si="4"/>
        <v>37095.1</v>
      </c>
      <c r="E93" s="145">
        <v>22803000</v>
      </c>
      <c r="F93" s="145">
        <f t="shared" si="5"/>
        <v>59710736.164153107</v>
      </c>
      <c r="G93" s="145">
        <v>29765</v>
      </c>
      <c r="H93" s="145">
        <v>29536</v>
      </c>
      <c r="I93" s="145">
        <v>136626</v>
      </c>
      <c r="J93" s="145">
        <v>144096</v>
      </c>
      <c r="K93" s="145">
        <v>29100</v>
      </c>
      <c r="L93" s="145">
        <v>53145</v>
      </c>
      <c r="M93" s="145">
        <v>28729</v>
      </c>
      <c r="N93" s="145">
        <v>28793</v>
      </c>
      <c r="O93" s="145">
        <v>25864</v>
      </c>
      <c r="P93" s="145">
        <v>26176</v>
      </c>
      <c r="Q93" s="145">
        <v>23007</v>
      </c>
      <c r="R93" s="145">
        <v>20305</v>
      </c>
      <c r="S93" s="145">
        <v>25968</v>
      </c>
      <c r="T93" s="145">
        <v>25979</v>
      </c>
      <c r="U93" s="145">
        <v>12875</v>
      </c>
      <c r="V93" s="145">
        <v>12917</v>
      </c>
      <c r="W93" s="145">
        <v>11935</v>
      </c>
      <c r="X93" s="145">
        <v>11016</v>
      </c>
      <c r="Y93" s="145">
        <v>19733</v>
      </c>
      <c r="Z93" s="145">
        <v>18988</v>
      </c>
      <c r="AA93" s="145">
        <v>162337</v>
      </c>
      <c r="AB93" s="75">
        <v>436044</v>
      </c>
      <c r="AC93" s="75">
        <v>438848</v>
      </c>
      <c r="AF93"/>
      <c r="AG93"/>
      <c r="AH93" s="75">
        <v>158142</v>
      </c>
      <c r="AI93" s="75">
        <v>158276</v>
      </c>
      <c r="AJ93" s="75">
        <v>158961</v>
      </c>
      <c r="AK93" s="75">
        <v>159939</v>
      </c>
      <c r="AL93" s="75">
        <v>159732</v>
      </c>
      <c r="AM93" s="75">
        <v>160558</v>
      </c>
      <c r="AN93" s="75">
        <v>161235</v>
      </c>
      <c r="AO93" s="75">
        <v>558443</v>
      </c>
      <c r="AP93" s="75">
        <v>514799</v>
      </c>
      <c r="AQ93" s="75">
        <v>531403000</v>
      </c>
      <c r="AR93" s="75">
        <v>514759</v>
      </c>
      <c r="AS93" s="75">
        <v>495548</v>
      </c>
      <c r="AT93" s="75">
        <v>463902</v>
      </c>
      <c r="AU93" s="75">
        <v>436044</v>
      </c>
      <c r="AV93" s="75">
        <v>438848</v>
      </c>
    </row>
    <row r="94" spans="1:48" ht="12.5" x14ac:dyDescent="0.25">
      <c r="A94" s="75" t="s">
        <v>515</v>
      </c>
      <c r="B94" s="75" t="s">
        <v>179</v>
      </c>
      <c r="C94" s="145">
        <f t="shared" si="3"/>
        <v>1885.2</v>
      </c>
      <c r="D94" s="145">
        <f t="shared" si="4"/>
        <v>1192.5999999999999</v>
      </c>
      <c r="E94" s="145">
        <v>4519000</v>
      </c>
      <c r="F94" s="145">
        <f t="shared" si="5"/>
        <v>12369231.584970741</v>
      </c>
      <c r="G94" s="145">
        <v>283</v>
      </c>
      <c r="H94" s="145">
        <v>250</v>
      </c>
      <c r="I94" s="145">
        <v>4315</v>
      </c>
      <c r="J94" s="145">
        <v>1409</v>
      </c>
      <c r="K94" s="145">
        <v>2264</v>
      </c>
      <c r="L94" s="145">
        <v>2425</v>
      </c>
      <c r="M94" s="145">
        <v>3303</v>
      </c>
      <c r="N94" s="145">
        <v>1609</v>
      </c>
      <c r="O94" s="145">
        <v>2938</v>
      </c>
      <c r="P94" s="145">
        <v>1539</v>
      </c>
      <c r="Q94" s="145">
        <v>1355</v>
      </c>
      <c r="R94" s="145">
        <v>1017</v>
      </c>
      <c r="S94" s="145">
        <v>721</v>
      </c>
      <c r="T94" s="145">
        <v>717</v>
      </c>
      <c r="U94" s="145">
        <v>665</v>
      </c>
      <c r="V94" s="145">
        <v>359</v>
      </c>
      <c r="W94" s="145">
        <v>2299</v>
      </c>
      <c r="X94" s="145">
        <v>1961</v>
      </c>
      <c r="Y94" s="145">
        <v>709</v>
      </c>
      <c r="Z94" s="145">
        <v>640</v>
      </c>
      <c r="AA94" s="145">
        <v>33469</v>
      </c>
      <c r="AB94" s="75">
        <v>59827</v>
      </c>
      <c r="AC94" s="75">
        <v>63165</v>
      </c>
      <c r="AF94"/>
      <c r="AG94"/>
      <c r="AH94" s="75">
        <v>32543</v>
      </c>
      <c r="AI94" s="75">
        <v>32852</v>
      </c>
      <c r="AJ94" s="75">
        <v>33151</v>
      </c>
      <c r="AK94" s="75">
        <v>33183</v>
      </c>
      <c r="AL94" s="75">
        <v>33198</v>
      </c>
      <c r="AM94" s="75">
        <v>33260</v>
      </c>
      <c r="AN94" s="75">
        <v>33283</v>
      </c>
      <c r="AO94" s="75">
        <v>51468</v>
      </c>
      <c r="AP94" s="75">
        <v>51599</v>
      </c>
      <c r="AQ94" s="75">
        <v>49153000</v>
      </c>
      <c r="AR94" s="75">
        <v>51276</v>
      </c>
      <c r="AS94" s="75">
        <v>53977</v>
      </c>
      <c r="AT94" s="75">
        <v>55803</v>
      </c>
      <c r="AU94" s="75">
        <v>59827</v>
      </c>
      <c r="AV94" s="75">
        <v>63165</v>
      </c>
    </row>
    <row r="95" spans="1:48" ht="12.5" x14ac:dyDescent="0.25">
      <c r="A95" s="75" t="s">
        <v>515</v>
      </c>
      <c r="B95" s="75" t="s">
        <v>180</v>
      </c>
      <c r="C95" s="145">
        <f t="shared" si="3"/>
        <v>1545</v>
      </c>
      <c r="D95" s="145">
        <f t="shared" si="4"/>
        <v>912.9</v>
      </c>
      <c r="E95" s="145">
        <v>5258000</v>
      </c>
      <c r="F95" s="145">
        <f t="shared" si="5"/>
        <v>10137860.884134168</v>
      </c>
      <c r="G95" s="145">
        <v>88</v>
      </c>
      <c r="H95" s="145">
        <v>93</v>
      </c>
      <c r="I95" s="145">
        <v>1723</v>
      </c>
      <c r="J95" s="145">
        <v>1350</v>
      </c>
      <c r="K95" s="145">
        <v>2237</v>
      </c>
      <c r="L95" s="145">
        <v>2183</v>
      </c>
      <c r="M95" s="145">
        <v>862</v>
      </c>
      <c r="N95" s="145">
        <v>724</v>
      </c>
      <c r="O95" s="145">
        <v>2047</v>
      </c>
      <c r="P95" s="145">
        <v>1530</v>
      </c>
      <c r="Q95" s="145">
        <v>2264</v>
      </c>
      <c r="R95" s="145">
        <v>1309</v>
      </c>
      <c r="S95" s="145">
        <v>1418</v>
      </c>
      <c r="T95" s="145">
        <v>902</v>
      </c>
      <c r="U95" s="145">
        <v>2200</v>
      </c>
      <c r="V95" s="145">
        <v>708</v>
      </c>
      <c r="W95" s="145">
        <v>-68</v>
      </c>
      <c r="X95" s="145">
        <v>21</v>
      </c>
      <c r="Y95" s="145">
        <v>2679</v>
      </c>
      <c r="Z95" s="145">
        <v>309</v>
      </c>
      <c r="AA95" s="145">
        <v>28127</v>
      </c>
      <c r="AB95" s="75">
        <v>58289</v>
      </c>
      <c r="AC95" s="75">
        <v>64420</v>
      </c>
      <c r="AF95"/>
      <c r="AG95"/>
      <c r="AH95" s="75">
        <v>26596</v>
      </c>
      <c r="AI95" s="75">
        <v>26798</v>
      </c>
      <c r="AJ95" s="75">
        <v>26855</v>
      </c>
      <c r="AK95" s="75">
        <v>26983</v>
      </c>
      <c r="AL95" s="75">
        <v>27016</v>
      </c>
      <c r="AM95" s="75">
        <v>27260</v>
      </c>
      <c r="AN95" s="75">
        <v>27496</v>
      </c>
      <c r="AO95" s="75">
        <v>34876</v>
      </c>
      <c r="AP95" s="75">
        <v>33645</v>
      </c>
      <c r="AQ95" s="75">
        <v>33640000</v>
      </c>
      <c r="AR95" s="75">
        <v>36347</v>
      </c>
      <c r="AS95" s="75">
        <v>41257</v>
      </c>
      <c r="AT95" s="75">
        <v>51388</v>
      </c>
      <c r="AU95" s="75">
        <v>58289</v>
      </c>
      <c r="AV95" s="75">
        <v>64420</v>
      </c>
    </row>
    <row r="96" spans="1:48" ht="12.5" x14ac:dyDescent="0.25">
      <c r="A96" s="75" t="s">
        <v>513</v>
      </c>
      <c r="B96" s="75" t="s">
        <v>360</v>
      </c>
      <c r="C96" s="145">
        <f t="shared" si="3"/>
        <v>10566</v>
      </c>
      <c r="D96" s="145">
        <f t="shared" si="4"/>
        <v>10167.5</v>
      </c>
      <c r="E96" s="145">
        <v>6832000</v>
      </c>
      <c r="F96" s="145">
        <f t="shared" si="5"/>
        <v>16419169.406989122</v>
      </c>
      <c r="G96" s="145">
        <v>2640</v>
      </c>
      <c r="H96" s="145">
        <v>1547</v>
      </c>
      <c r="I96" s="145">
        <v>16322</v>
      </c>
      <c r="J96" s="145">
        <v>17000</v>
      </c>
      <c r="K96" s="145">
        <v>19614</v>
      </c>
      <c r="L96" s="145">
        <v>20345</v>
      </c>
      <c r="M96" s="145">
        <v>15045</v>
      </c>
      <c r="N96" s="145">
        <v>16234</v>
      </c>
      <c r="O96" s="145">
        <v>17315</v>
      </c>
      <c r="P96" s="145">
        <v>15026</v>
      </c>
      <c r="Q96" s="145">
        <v>12140</v>
      </c>
      <c r="R96" s="145">
        <v>12576</v>
      </c>
      <c r="S96" s="145">
        <v>4404</v>
      </c>
      <c r="T96" s="145">
        <v>4352</v>
      </c>
      <c r="U96" s="145">
        <v>8909</v>
      </c>
      <c r="V96" s="145">
        <v>8382</v>
      </c>
      <c r="W96" s="145">
        <v>3052</v>
      </c>
      <c r="X96" s="145">
        <v>511</v>
      </c>
      <c r="Y96" s="145">
        <v>6219</v>
      </c>
      <c r="Z96" s="145">
        <v>5702</v>
      </c>
      <c r="AA96" s="145">
        <v>45475</v>
      </c>
      <c r="AB96" s="75">
        <v>128739</v>
      </c>
      <c r="AC96" s="75">
        <v>141456</v>
      </c>
      <c r="AF96"/>
      <c r="AG96"/>
      <c r="AH96" s="75">
        <v>43032</v>
      </c>
      <c r="AI96" s="75">
        <v>43528</v>
      </c>
      <c r="AJ96" s="75">
        <v>43786</v>
      </c>
      <c r="AK96" s="75">
        <v>43888</v>
      </c>
      <c r="AL96" s="75">
        <v>43869</v>
      </c>
      <c r="AM96" s="75">
        <v>44150</v>
      </c>
      <c r="AN96" s="75">
        <v>44578</v>
      </c>
      <c r="AO96" s="75">
        <v>105010</v>
      </c>
      <c r="AP96" s="75">
        <v>98746</v>
      </c>
      <c r="AQ96" s="75">
        <v>100223000</v>
      </c>
      <c r="AR96" s="75">
        <v>109373</v>
      </c>
      <c r="AS96" s="75">
        <v>119284</v>
      </c>
      <c r="AT96" s="75">
        <v>124917</v>
      </c>
      <c r="AU96" s="75">
        <v>128739</v>
      </c>
      <c r="AV96" s="75">
        <v>141456</v>
      </c>
    </row>
    <row r="97" spans="1:48" ht="12.5" x14ac:dyDescent="0.25">
      <c r="A97" s="75" t="s">
        <v>513</v>
      </c>
      <c r="B97" s="75" t="s">
        <v>361</v>
      </c>
      <c r="C97" s="145">
        <f t="shared" si="3"/>
        <v>2805.7</v>
      </c>
      <c r="D97" s="145">
        <f t="shared" si="4"/>
        <v>2612.9</v>
      </c>
      <c r="E97" s="145">
        <v>2772000</v>
      </c>
      <c r="F97" s="145">
        <f t="shared" si="5"/>
        <v>8163097.8138937997</v>
      </c>
      <c r="G97" s="145">
        <v>3451</v>
      </c>
      <c r="H97" s="145">
        <v>3415</v>
      </c>
      <c r="I97" s="145">
        <v>3781</v>
      </c>
      <c r="J97" s="145">
        <v>3460</v>
      </c>
      <c r="K97" s="145">
        <v>885</v>
      </c>
      <c r="L97" s="145">
        <v>827</v>
      </c>
      <c r="M97" s="145">
        <v>280</v>
      </c>
      <c r="N97" s="145">
        <v>430</v>
      </c>
      <c r="O97" s="145">
        <v>4048</v>
      </c>
      <c r="P97" s="145">
        <v>4109</v>
      </c>
      <c r="Q97" s="145">
        <v>6695</v>
      </c>
      <c r="R97" s="145">
        <v>5849</v>
      </c>
      <c r="S97" s="145">
        <v>2917</v>
      </c>
      <c r="T97" s="145">
        <v>2703</v>
      </c>
      <c r="U97" s="145">
        <v>990</v>
      </c>
      <c r="V97" s="145">
        <v>503</v>
      </c>
      <c r="W97" s="145">
        <v>3781</v>
      </c>
      <c r="X97" s="145">
        <v>3957</v>
      </c>
      <c r="Y97" s="145">
        <v>1229</v>
      </c>
      <c r="Z97" s="145">
        <v>876</v>
      </c>
      <c r="AA97" s="145">
        <v>21948</v>
      </c>
      <c r="AB97" s="75">
        <v>50956</v>
      </c>
      <c r="AC97" s="75">
        <v>51040</v>
      </c>
      <c r="AF97"/>
      <c r="AG97"/>
      <c r="AH97" s="75">
        <v>21502</v>
      </c>
      <c r="AI97" s="75">
        <v>21529</v>
      </c>
      <c r="AJ97" s="75">
        <v>21515</v>
      </c>
      <c r="AK97" s="75">
        <v>21553</v>
      </c>
      <c r="AL97" s="75">
        <v>21770</v>
      </c>
      <c r="AM97" s="75">
        <v>21950</v>
      </c>
      <c r="AN97" s="75">
        <v>22099</v>
      </c>
      <c r="AO97" s="75">
        <v>40395</v>
      </c>
      <c r="AP97" s="75">
        <v>39272</v>
      </c>
      <c r="AQ97" s="75">
        <v>39141000</v>
      </c>
      <c r="AR97" s="75">
        <v>41265</v>
      </c>
      <c r="AS97" s="75">
        <v>43340</v>
      </c>
      <c r="AT97" s="75">
        <v>43931</v>
      </c>
      <c r="AU97" s="75">
        <v>50956</v>
      </c>
      <c r="AV97" s="75">
        <v>51040</v>
      </c>
    </row>
    <row r="98" spans="1:48" ht="12.5" x14ac:dyDescent="0.25">
      <c r="A98" s="75" t="s">
        <v>513</v>
      </c>
      <c r="B98" s="75" t="s">
        <v>362</v>
      </c>
      <c r="C98" s="145">
        <f t="shared" si="3"/>
        <v>10250.200000000001</v>
      </c>
      <c r="D98" s="145">
        <f t="shared" si="4"/>
        <v>9078.2999999999993</v>
      </c>
      <c r="E98" s="145">
        <v>6361000</v>
      </c>
      <c r="F98" s="145">
        <f t="shared" si="5"/>
        <v>14918944.505793333</v>
      </c>
      <c r="G98" s="145">
        <v>25076</v>
      </c>
      <c r="H98" s="145">
        <v>24947</v>
      </c>
      <c r="I98" s="145">
        <v>18224</v>
      </c>
      <c r="J98" s="145">
        <v>7342</v>
      </c>
      <c r="K98" s="145">
        <v>14652</v>
      </c>
      <c r="L98" s="145">
        <v>14025</v>
      </c>
      <c r="M98" s="145">
        <v>21846</v>
      </c>
      <c r="N98" s="145">
        <v>13505</v>
      </c>
      <c r="O98" s="145">
        <v>7067</v>
      </c>
      <c r="P98" s="145">
        <v>8230</v>
      </c>
      <c r="Q98" s="145">
        <v>6385</v>
      </c>
      <c r="R98" s="145">
        <v>7938</v>
      </c>
      <c r="S98" s="145">
        <v>1586</v>
      </c>
      <c r="T98" s="145">
        <v>1080</v>
      </c>
      <c r="U98" s="145">
        <v>4204</v>
      </c>
      <c r="V98" s="145">
        <v>4049</v>
      </c>
      <c r="W98" s="145">
        <v>1782</v>
      </c>
      <c r="X98" s="145">
        <v>7101</v>
      </c>
      <c r="Y98" s="145">
        <v>1680</v>
      </c>
      <c r="Z98" s="145">
        <v>2566</v>
      </c>
      <c r="AA98" s="145">
        <v>40765</v>
      </c>
      <c r="AB98" s="75">
        <v>118425</v>
      </c>
      <c r="AC98" s="75">
        <v>120025</v>
      </c>
      <c r="AF98"/>
      <c r="AG98"/>
      <c r="AH98" s="75">
        <v>39070</v>
      </c>
      <c r="AI98" s="75">
        <v>39258</v>
      </c>
      <c r="AJ98" s="75">
        <v>39588</v>
      </c>
      <c r="AK98" s="75">
        <v>39743</v>
      </c>
      <c r="AL98" s="75">
        <v>40066</v>
      </c>
      <c r="AM98" s="75">
        <v>40116</v>
      </c>
      <c r="AN98" s="75">
        <v>40441</v>
      </c>
      <c r="AO98" s="75">
        <v>77945</v>
      </c>
      <c r="AP98" s="75">
        <v>79812</v>
      </c>
      <c r="AQ98" s="75">
        <v>75549000</v>
      </c>
      <c r="AR98" s="75">
        <v>75895</v>
      </c>
      <c r="AS98" s="75">
        <v>81424</v>
      </c>
      <c r="AT98" s="75">
        <v>93961</v>
      </c>
      <c r="AU98" s="75">
        <v>118425</v>
      </c>
      <c r="AV98" s="75">
        <v>120025</v>
      </c>
    </row>
    <row r="99" spans="1:48" ht="12.5" x14ac:dyDescent="0.25">
      <c r="A99" s="75" t="s">
        <v>513</v>
      </c>
      <c r="B99" s="75" t="s">
        <v>363</v>
      </c>
      <c r="C99" s="145">
        <f t="shared" si="3"/>
        <v>4890.2</v>
      </c>
      <c r="D99" s="145">
        <f t="shared" si="4"/>
        <v>4607.8999999999996</v>
      </c>
      <c r="E99" s="145">
        <v>4135000</v>
      </c>
      <c r="F99" s="145">
        <f t="shared" si="5"/>
        <v>11542508.74031079</v>
      </c>
      <c r="G99" s="145">
        <v>2601</v>
      </c>
      <c r="H99" s="145">
        <v>1816</v>
      </c>
      <c r="I99" s="145">
        <v>6134</v>
      </c>
      <c r="J99" s="145">
        <v>6994</v>
      </c>
      <c r="K99" s="145">
        <v>7546</v>
      </c>
      <c r="L99" s="145">
        <v>8640</v>
      </c>
      <c r="M99" s="145">
        <v>7842</v>
      </c>
      <c r="N99" s="145">
        <v>5851</v>
      </c>
      <c r="O99" s="145">
        <v>8196</v>
      </c>
      <c r="P99" s="145">
        <v>6895</v>
      </c>
      <c r="Q99" s="145">
        <v>5219</v>
      </c>
      <c r="R99" s="145">
        <v>2824</v>
      </c>
      <c r="S99" s="145">
        <v>7268</v>
      </c>
      <c r="T99" s="145">
        <v>7846</v>
      </c>
      <c r="U99" s="145">
        <v>2588</v>
      </c>
      <c r="V99" s="145">
        <v>1505</v>
      </c>
      <c r="W99" s="145">
        <v>494</v>
      </c>
      <c r="X99" s="145">
        <v>2498</v>
      </c>
      <c r="Y99" s="145">
        <v>1014</v>
      </c>
      <c r="Z99" s="145">
        <v>1210</v>
      </c>
      <c r="AA99" s="145">
        <v>31534</v>
      </c>
      <c r="AB99" s="75">
        <v>84036</v>
      </c>
      <c r="AC99" s="75">
        <v>84544</v>
      </c>
      <c r="AF99"/>
      <c r="AG99"/>
      <c r="AH99" s="75">
        <v>30032</v>
      </c>
      <c r="AI99" s="75">
        <v>30352</v>
      </c>
      <c r="AJ99" s="75">
        <v>30458</v>
      </c>
      <c r="AK99" s="75">
        <v>30706</v>
      </c>
      <c r="AL99" s="75">
        <v>30760</v>
      </c>
      <c r="AM99" s="75">
        <v>31037</v>
      </c>
      <c r="AN99" s="75">
        <v>31383</v>
      </c>
      <c r="AO99" s="75">
        <v>87861</v>
      </c>
      <c r="AP99" s="75">
        <v>85919</v>
      </c>
      <c r="AQ99" s="75">
        <v>83473000</v>
      </c>
      <c r="AR99" s="75">
        <v>83602</v>
      </c>
      <c r="AS99" s="75">
        <v>83183</v>
      </c>
      <c r="AT99" s="75">
        <v>81439</v>
      </c>
      <c r="AU99" s="75">
        <v>84036</v>
      </c>
      <c r="AV99" s="75">
        <v>84544</v>
      </c>
    </row>
    <row r="100" spans="1:48" ht="12.5" x14ac:dyDescent="0.25">
      <c r="A100" s="75" t="s">
        <v>522</v>
      </c>
      <c r="B100" s="75" t="s">
        <v>403</v>
      </c>
      <c r="C100" s="145">
        <f t="shared" si="3"/>
        <v>2632.9</v>
      </c>
      <c r="D100" s="145">
        <f t="shared" si="4"/>
        <v>2488.4</v>
      </c>
      <c r="E100" s="145">
        <v>3065000</v>
      </c>
      <c r="F100" s="145">
        <f t="shared" si="5"/>
        <v>6413331.289321119</v>
      </c>
      <c r="G100" s="145">
        <v>829</v>
      </c>
      <c r="H100" s="145">
        <v>779</v>
      </c>
      <c r="I100" s="145">
        <v>19228</v>
      </c>
      <c r="J100" s="145">
        <v>18172</v>
      </c>
      <c r="K100" s="145">
        <v>1343</v>
      </c>
      <c r="L100" s="145">
        <v>607</v>
      </c>
      <c r="M100" s="145">
        <v>482</v>
      </c>
      <c r="N100" s="145">
        <v>796</v>
      </c>
      <c r="O100" s="145">
        <v>536</v>
      </c>
      <c r="P100" s="145">
        <v>514</v>
      </c>
      <c r="Q100" s="145">
        <v>863</v>
      </c>
      <c r="R100" s="145">
        <v>1173</v>
      </c>
      <c r="S100" s="145">
        <v>579</v>
      </c>
      <c r="T100" s="145">
        <v>678</v>
      </c>
      <c r="U100" s="145">
        <v>1102</v>
      </c>
      <c r="V100" s="145">
        <v>937</v>
      </c>
      <c r="W100" s="145">
        <v>647</v>
      </c>
      <c r="X100" s="145">
        <v>730</v>
      </c>
      <c r="Y100" s="145">
        <v>720</v>
      </c>
      <c r="Z100" s="145">
        <v>498</v>
      </c>
      <c r="AA100" s="145">
        <v>17783</v>
      </c>
      <c r="AB100" s="75">
        <v>42449</v>
      </c>
      <c r="AC100" s="75">
        <v>50358</v>
      </c>
      <c r="AF100"/>
      <c r="AG100"/>
      <c r="AH100" s="75">
        <v>17129</v>
      </c>
      <c r="AI100" s="75">
        <v>17048</v>
      </c>
      <c r="AJ100" s="75">
        <v>17072</v>
      </c>
      <c r="AK100" s="75">
        <v>16945</v>
      </c>
      <c r="AL100" s="75">
        <v>17035</v>
      </c>
      <c r="AM100" s="75">
        <v>17245</v>
      </c>
      <c r="AN100" s="75">
        <v>17764</v>
      </c>
      <c r="AO100" s="75">
        <v>33764</v>
      </c>
      <c r="AP100" s="75">
        <v>33269</v>
      </c>
      <c r="AQ100" s="75">
        <v>32664000</v>
      </c>
      <c r="AR100" s="75">
        <v>33026</v>
      </c>
      <c r="AS100" s="75">
        <v>33313</v>
      </c>
      <c r="AT100" s="75">
        <v>36295</v>
      </c>
      <c r="AU100" s="75">
        <v>42449</v>
      </c>
      <c r="AV100" s="75">
        <v>50358</v>
      </c>
    </row>
    <row r="101" spans="1:48" ht="12.5" x14ac:dyDescent="0.25">
      <c r="A101" s="75" t="s">
        <v>513</v>
      </c>
      <c r="B101" s="75" t="s">
        <v>364</v>
      </c>
      <c r="C101" s="145">
        <f t="shared" si="3"/>
        <v>4839</v>
      </c>
      <c r="D101" s="145">
        <f t="shared" si="4"/>
        <v>4750.3999999999996</v>
      </c>
      <c r="E101" s="145">
        <v>2999000</v>
      </c>
      <c r="F101" s="145">
        <f t="shared" si="5"/>
        <v>9889434.9461076949</v>
      </c>
      <c r="G101" s="145">
        <v>13243</v>
      </c>
      <c r="H101" s="145">
        <v>11211</v>
      </c>
      <c r="I101" s="145">
        <v>6255</v>
      </c>
      <c r="J101" s="145">
        <v>5391</v>
      </c>
      <c r="K101" s="145">
        <v>7042</v>
      </c>
      <c r="L101" s="145">
        <v>11924</v>
      </c>
      <c r="M101" s="145">
        <v>2434</v>
      </c>
      <c r="N101" s="145">
        <v>4415</v>
      </c>
      <c r="O101" s="145">
        <v>2542</v>
      </c>
      <c r="P101" s="145">
        <v>2157</v>
      </c>
      <c r="Q101" s="145">
        <v>2306</v>
      </c>
      <c r="R101" s="145">
        <v>1106</v>
      </c>
      <c r="S101" s="145">
        <v>904</v>
      </c>
      <c r="T101" s="145">
        <v>429</v>
      </c>
      <c r="U101" s="145">
        <v>3363</v>
      </c>
      <c r="V101" s="145">
        <v>3100</v>
      </c>
      <c r="W101" s="145">
        <v>10012</v>
      </c>
      <c r="X101" s="145">
        <v>7930</v>
      </c>
      <c r="Y101" s="145">
        <v>289</v>
      </c>
      <c r="Z101" s="145">
        <v>-159</v>
      </c>
      <c r="AA101" s="145">
        <v>28611</v>
      </c>
      <c r="AB101" s="75">
        <v>52509</v>
      </c>
      <c r="AC101" s="75">
        <v>53357</v>
      </c>
      <c r="AF101"/>
      <c r="AG101"/>
      <c r="AH101" s="75">
        <v>26241</v>
      </c>
      <c r="AI101" s="75">
        <v>26327</v>
      </c>
      <c r="AJ101" s="75">
        <v>26451</v>
      </c>
      <c r="AK101" s="75">
        <v>26453</v>
      </c>
      <c r="AL101" s="75">
        <v>26723</v>
      </c>
      <c r="AM101" s="75">
        <v>26592</v>
      </c>
      <c r="AN101" s="75">
        <v>26815</v>
      </c>
      <c r="AO101" s="75">
        <v>51599</v>
      </c>
      <c r="AP101" s="75">
        <v>39000</v>
      </c>
      <c r="AQ101" s="75">
        <v>35865000</v>
      </c>
      <c r="AR101" s="75">
        <v>44725</v>
      </c>
      <c r="AS101" s="75">
        <v>48698</v>
      </c>
      <c r="AT101" s="75">
        <v>50555</v>
      </c>
      <c r="AU101" s="75">
        <v>52509</v>
      </c>
      <c r="AV101" s="75">
        <v>53357</v>
      </c>
    </row>
    <row r="102" spans="1:48" ht="12.5" x14ac:dyDescent="0.25">
      <c r="A102" s="75" t="s">
        <v>517</v>
      </c>
      <c r="B102" s="75" t="s">
        <v>290</v>
      </c>
      <c r="C102" s="145">
        <f t="shared" si="3"/>
        <v>3611.2</v>
      </c>
      <c r="D102" s="145">
        <f t="shared" si="4"/>
        <v>3467.5</v>
      </c>
      <c r="E102" s="145">
        <v>8257000</v>
      </c>
      <c r="F102" s="145">
        <f t="shared" si="5"/>
        <v>18983014.342250347</v>
      </c>
      <c r="G102" s="145">
        <v>139</v>
      </c>
      <c r="H102" s="145">
        <v>379</v>
      </c>
      <c r="I102" s="145">
        <v>4773</v>
      </c>
      <c r="J102" s="145">
        <v>4443</v>
      </c>
      <c r="K102" s="145">
        <v>8145</v>
      </c>
      <c r="L102" s="145">
        <v>7313</v>
      </c>
      <c r="M102" s="145">
        <v>5760</v>
      </c>
      <c r="N102" s="145">
        <v>6166</v>
      </c>
      <c r="O102" s="145">
        <v>4287</v>
      </c>
      <c r="P102" s="145">
        <v>3727</v>
      </c>
      <c r="Q102" s="145">
        <v>3671</v>
      </c>
      <c r="R102" s="145">
        <v>3770</v>
      </c>
      <c r="S102" s="145">
        <v>2896</v>
      </c>
      <c r="T102" s="145">
        <v>2948</v>
      </c>
      <c r="U102" s="145">
        <v>797</v>
      </c>
      <c r="V102" s="145">
        <v>1110</v>
      </c>
      <c r="W102" s="145">
        <v>3401</v>
      </c>
      <c r="X102" s="145">
        <v>3007</v>
      </c>
      <c r="Y102" s="145">
        <v>2243</v>
      </c>
      <c r="Z102" s="145">
        <v>1812</v>
      </c>
      <c r="AA102" s="145">
        <v>52208</v>
      </c>
      <c r="AB102" s="75">
        <v>149260</v>
      </c>
      <c r="AC102" s="75">
        <v>145495</v>
      </c>
      <c r="AF102"/>
      <c r="AG102"/>
      <c r="AH102" s="75">
        <v>48661</v>
      </c>
      <c r="AI102" s="75">
        <v>49136</v>
      </c>
      <c r="AJ102" s="75">
        <v>49610</v>
      </c>
      <c r="AK102" s="75">
        <v>50044</v>
      </c>
      <c r="AL102" s="75">
        <v>50589</v>
      </c>
      <c r="AM102" s="75">
        <v>51044</v>
      </c>
      <c r="AN102" s="75">
        <v>51590</v>
      </c>
      <c r="AO102" s="75">
        <v>128391</v>
      </c>
      <c r="AP102" s="75">
        <v>126489</v>
      </c>
      <c r="AQ102" s="75">
        <v>124638000</v>
      </c>
      <c r="AR102" s="75">
        <v>122014</v>
      </c>
      <c r="AS102" s="75">
        <v>133841</v>
      </c>
      <c r="AT102" s="75">
        <v>133231</v>
      </c>
      <c r="AU102" s="75">
        <v>149260</v>
      </c>
      <c r="AV102" s="75">
        <v>145495</v>
      </c>
    </row>
    <row r="103" spans="1:48" ht="12.5" x14ac:dyDescent="0.25">
      <c r="A103" s="75" t="s">
        <v>524</v>
      </c>
      <c r="B103" s="75" t="s">
        <v>329</v>
      </c>
      <c r="C103" s="145">
        <f t="shared" si="3"/>
        <v>12817.7</v>
      </c>
      <c r="D103" s="145">
        <f t="shared" si="4"/>
        <v>10084.9</v>
      </c>
      <c r="E103" s="145">
        <v>8491000</v>
      </c>
      <c r="F103" s="145">
        <f t="shared" si="5"/>
        <v>14484571.009363813</v>
      </c>
      <c r="G103" s="145">
        <v>3150</v>
      </c>
      <c r="H103" s="145">
        <v>3150</v>
      </c>
      <c r="I103" s="145">
        <v>10910</v>
      </c>
      <c r="J103" s="145">
        <v>7350</v>
      </c>
      <c r="K103" s="145">
        <v>9710</v>
      </c>
      <c r="L103" s="145">
        <v>9015</v>
      </c>
      <c r="M103" s="145">
        <v>18053</v>
      </c>
      <c r="N103" s="145">
        <v>9507</v>
      </c>
      <c r="O103" s="145">
        <v>22937</v>
      </c>
      <c r="P103" s="145">
        <v>18203</v>
      </c>
      <c r="Q103" s="145">
        <v>20526</v>
      </c>
      <c r="R103" s="145">
        <v>16855</v>
      </c>
      <c r="S103" s="145">
        <v>15583</v>
      </c>
      <c r="T103" s="145">
        <v>14493</v>
      </c>
      <c r="U103" s="145">
        <v>12819</v>
      </c>
      <c r="V103" s="145">
        <v>9821</v>
      </c>
      <c r="W103" s="145">
        <v>9911</v>
      </c>
      <c r="X103" s="145">
        <v>8969</v>
      </c>
      <c r="Y103" s="145">
        <v>4578</v>
      </c>
      <c r="Z103" s="145">
        <v>3486</v>
      </c>
      <c r="AA103" s="145">
        <v>40125</v>
      </c>
      <c r="AB103" s="75">
        <v>180037</v>
      </c>
      <c r="AC103" s="75">
        <v>197242</v>
      </c>
      <c r="AF103"/>
      <c r="AG103"/>
      <c r="AH103" s="75">
        <v>37256</v>
      </c>
      <c r="AI103" s="75">
        <v>37653</v>
      </c>
      <c r="AJ103" s="75">
        <v>37654</v>
      </c>
      <c r="AK103" s="75">
        <v>38079</v>
      </c>
      <c r="AL103" s="75">
        <v>38594</v>
      </c>
      <c r="AM103" s="75">
        <v>38948</v>
      </c>
      <c r="AN103" s="75">
        <v>39433</v>
      </c>
      <c r="AO103" s="75">
        <v>161785</v>
      </c>
      <c r="AP103" s="75">
        <v>159124</v>
      </c>
      <c r="AQ103" s="75">
        <v>153092000</v>
      </c>
      <c r="AR103" s="75">
        <v>151921</v>
      </c>
      <c r="AS103" s="75">
        <v>152478</v>
      </c>
      <c r="AT103" s="75">
        <v>178726</v>
      </c>
      <c r="AU103" s="75">
        <v>180037</v>
      </c>
      <c r="AV103" s="75">
        <v>197242</v>
      </c>
    </row>
    <row r="104" spans="1:48" ht="12.5" x14ac:dyDescent="0.25">
      <c r="A104" s="75" t="s">
        <v>513</v>
      </c>
      <c r="B104" s="75" t="s">
        <v>365</v>
      </c>
      <c r="C104" s="145">
        <f t="shared" si="3"/>
        <v>5732.1</v>
      </c>
      <c r="D104" s="145">
        <f t="shared" si="4"/>
        <v>4963.8999999999996</v>
      </c>
      <c r="E104" s="145">
        <v>4027000</v>
      </c>
      <c r="F104" s="145">
        <f t="shared" si="5"/>
        <v>8920276.2717110105</v>
      </c>
      <c r="G104" s="145">
        <v>1423</v>
      </c>
      <c r="H104" s="145">
        <v>1423</v>
      </c>
      <c r="I104" s="145">
        <v>17947</v>
      </c>
      <c r="J104" s="145">
        <v>17774</v>
      </c>
      <c r="K104" s="145">
        <v>11009</v>
      </c>
      <c r="L104" s="145">
        <v>11176</v>
      </c>
      <c r="M104" s="145">
        <v>10732</v>
      </c>
      <c r="N104" s="145">
        <v>6817</v>
      </c>
      <c r="O104" s="145">
        <v>4112</v>
      </c>
      <c r="P104" s="145">
        <v>4028</v>
      </c>
      <c r="Q104" s="145">
        <v>5146</v>
      </c>
      <c r="R104" s="145">
        <v>4823</v>
      </c>
      <c r="S104" s="145">
        <v>2372</v>
      </c>
      <c r="T104" s="145">
        <v>1363</v>
      </c>
      <c r="U104" s="145">
        <v>1384</v>
      </c>
      <c r="V104" s="145">
        <v>1345</v>
      </c>
      <c r="W104" s="145">
        <v>683</v>
      </c>
      <c r="X104" s="145">
        <v>401</v>
      </c>
      <c r="Y104" s="145">
        <v>2513</v>
      </c>
      <c r="Z104" s="145">
        <v>489</v>
      </c>
      <c r="AA104" s="145">
        <v>24461</v>
      </c>
      <c r="AB104" s="75">
        <v>59561</v>
      </c>
      <c r="AC104" s="75">
        <v>57120</v>
      </c>
      <c r="AF104"/>
      <c r="AG104"/>
      <c r="AH104" s="75">
        <v>23316</v>
      </c>
      <c r="AI104" s="75">
        <v>23554</v>
      </c>
      <c r="AJ104" s="75">
        <v>23780</v>
      </c>
      <c r="AK104" s="75">
        <v>23889</v>
      </c>
      <c r="AL104" s="75">
        <v>23952</v>
      </c>
      <c r="AM104" s="75">
        <v>23986</v>
      </c>
      <c r="AN104" s="75">
        <v>24177</v>
      </c>
      <c r="AO104" s="75">
        <v>59079</v>
      </c>
      <c r="AP104" s="75">
        <v>58647</v>
      </c>
      <c r="AQ104" s="75">
        <v>56538000</v>
      </c>
      <c r="AR104" s="75">
        <v>60492</v>
      </c>
      <c r="AS104" s="75">
        <v>61961</v>
      </c>
      <c r="AT104" s="75">
        <v>62277</v>
      </c>
      <c r="AU104" s="75">
        <v>59561</v>
      </c>
      <c r="AV104" s="75">
        <v>57120</v>
      </c>
    </row>
    <row r="105" spans="1:48" ht="12.5" x14ac:dyDescent="0.25">
      <c r="A105" s="75" t="s">
        <v>514</v>
      </c>
      <c r="B105" s="75" t="s">
        <v>486</v>
      </c>
      <c r="C105" s="145">
        <f t="shared" si="3"/>
        <v>3366.4</v>
      </c>
      <c r="D105" s="145">
        <f t="shared" si="4"/>
        <v>4060.7</v>
      </c>
      <c r="E105" s="145">
        <v>14475000</v>
      </c>
      <c r="F105" s="145">
        <f t="shared" si="5"/>
        <v>21884540.043571506</v>
      </c>
      <c r="G105" s="145">
        <v>430</v>
      </c>
      <c r="H105" s="145">
        <v>927</v>
      </c>
      <c r="I105" s="145">
        <v>8635</v>
      </c>
      <c r="J105" s="145">
        <v>6966</v>
      </c>
      <c r="K105" s="145">
        <v>7291</v>
      </c>
      <c r="L105" s="145">
        <v>7944</v>
      </c>
      <c r="M105" s="145">
        <v>3066</v>
      </c>
      <c r="N105" s="145">
        <v>3843</v>
      </c>
      <c r="O105" s="145">
        <v>1877</v>
      </c>
      <c r="P105" s="145">
        <v>1867</v>
      </c>
      <c r="Q105" s="145">
        <v>2220</v>
      </c>
      <c r="R105" s="145">
        <v>10107</v>
      </c>
      <c r="S105" s="145">
        <v>4197</v>
      </c>
      <c r="T105" s="145">
        <v>3235</v>
      </c>
      <c r="U105" s="145">
        <v>2645</v>
      </c>
      <c r="V105" s="145">
        <v>663</v>
      </c>
      <c r="W105" s="145">
        <v>2766</v>
      </c>
      <c r="X105" s="145">
        <v>1597</v>
      </c>
      <c r="Y105" s="145">
        <v>537</v>
      </c>
      <c r="Z105" s="145">
        <v>3458</v>
      </c>
      <c r="AA105" s="145">
        <v>61015</v>
      </c>
      <c r="AB105" s="75">
        <v>161085</v>
      </c>
      <c r="AC105" s="75">
        <v>177948</v>
      </c>
      <c r="AF105"/>
      <c r="AG105"/>
      <c r="AH105" s="75">
        <v>56973</v>
      </c>
      <c r="AI105" s="75">
        <v>57350</v>
      </c>
      <c r="AJ105" s="75">
        <v>57709</v>
      </c>
      <c r="AK105" s="75">
        <v>58078</v>
      </c>
      <c r="AL105" s="75">
        <v>58524</v>
      </c>
      <c r="AM105" s="75">
        <v>58846</v>
      </c>
      <c r="AN105" s="75">
        <v>60341</v>
      </c>
      <c r="AO105" s="75">
        <v>158055</v>
      </c>
      <c r="AP105" s="75">
        <v>158594</v>
      </c>
      <c r="AQ105" s="75">
        <v>162014000</v>
      </c>
      <c r="AR105" s="75">
        <v>161502</v>
      </c>
      <c r="AS105" s="75">
        <v>169878</v>
      </c>
      <c r="AT105" s="75">
        <v>164455</v>
      </c>
      <c r="AU105" s="75">
        <v>161085</v>
      </c>
      <c r="AV105" s="75">
        <v>177948</v>
      </c>
    </row>
    <row r="106" spans="1:48" ht="12.5" x14ac:dyDescent="0.25">
      <c r="A106" s="75" t="s">
        <v>517</v>
      </c>
      <c r="B106" s="75" t="s">
        <v>291</v>
      </c>
      <c r="C106" s="145">
        <f t="shared" si="3"/>
        <v>12364.7</v>
      </c>
      <c r="D106" s="145">
        <f t="shared" si="4"/>
        <v>10275.1</v>
      </c>
      <c r="E106" s="145">
        <v>6845000</v>
      </c>
      <c r="F106" s="145">
        <f t="shared" si="5"/>
        <v>13991438.08447893</v>
      </c>
      <c r="G106" s="145">
        <v>436</v>
      </c>
      <c r="H106" s="145">
        <v>125</v>
      </c>
      <c r="I106" s="145">
        <v>16886</v>
      </c>
      <c r="J106" s="145">
        <v>19488</v>
      </c>
      <c r="K106" s="145">
        <v>28236</v>
      </c>
      <c r="L106" s="145">
        <v>20481</v>
      </c>
      <c r="M106" s="145">
        <v>20234</v>
      </c>
      <c r="N106" s="145">
        <v>16355</v>
      </c>
      <c r="O106" s="145">
        <v>24387</v>
      </c>
      <c r="P106" s="145">
        <v>22301</v>
      </c>
      <c r="Q106" s="145">
        <v>4781</v>
      </c>
      <c r="R106" s="145">
        <v>3021</v>
      </c>
      <c r="S106" s="145">
        <v>6623</v>
      </c>
      <c r="T106" s="145">
        <v>4043</v>
      </c>
      <c r="U106" s="145">
        <v>13488</v>
      </c>
      <c r="V106" s="145">
        <v>10433</v>
      </c>
      <c r="W106" s="145">
        <v>6021</v>
      </c>
      <c r="X106" s="145">
        <v>4513</v>
      </c>
      <c r="Y106" s="145">
        <v>2555</v>
      </c>
      <c r="Z106" s="145">
        <v>1991</v>
      </c>
      <c r="AA106" s="145">
        <v>38852</v>
      </c>
      <c r="AB106" s="75">
        <v>165786</v>
      </c>
      <c r="AC106" s="75">
        <v>170667</v>
      </c>
      <c r="AF106"/>
      <c r="AG106"/>
      <c r="AH106" s="75">
        <v>35745</v>
      </c>
      <c r="AI106" s="75">
        <v>36296</v>
      </c>
      <c r="AJ106" s="75">
        <v>36679</v>
      </c>
      <c r="AK106" s="75">
        <v>36961</v>
      </c>
      <c r="AL106" s="75">
        <v>37410</v>
      </c>
      <c r="AM106" s="75">
        <v>37622</v>
      </c>
      <c r="AN106" s="75">
        <v>38461</v>
      </c>
      <c r="AO106" s="75">
        <v>220701</v>
      </c>
      <c r="AP106" s="75">
        <v>223656</v>
      </c>
      <c r="AQ106" s="75">
        <v>162993000</v>
      </c>
      <c r="AR106" s="75">
        <v>164863</v>
      </c>
      <c r="AS106" s="75">
        <v>162133</v>
      </c>
      <c r="AT106" s="75">
        <v>161264</v>
      </c>
      <c r="AU106" s="75">
        <v>165786</v>
      </c>
      <c r="AV106" s="75">
        <v>170667</v>
      </c>
    </row>
    <row r="107" spans="1:48" ht="12.5" x14ac:dyDescent="0.25">
      <c r="A107" s="75" t="s">
        <v>517</v>
      </c>
      <c r="B107" s="75" t="s">
        <v>292</v>
      </c>
      <c r="C107" s="145">
        <f t="shared" si="3"/>
        <v>16480</v>
      </c>
      <c r="D107" s="145">
        <f t="shared" si="4"/>
        <v>14985.5</v>
      </c>
      <c r="E107" s="145">
        <v>19288000</v>
      </c>
      <c r="F107" s="145">
        <f t="shared" si="5"/>
        <v>27570072.589303095</v>
      </c>
      <c r="G107" s="145">
        <v>9881</v>
      </c>
      <c r="H107" s="145">
        <v>9516</v>
      </c>
      <c r="I107" s="145">
        <v>33908</v>
      </c>
      <c r="J107" s="145">
        <v>29961</v>
      </c>
      <c r="K107" s="145">
        <v>21056</v>
      </c>
      <c r="L107" s="145">
        <v>17627</v>
      </c>
      <c r="M107" s="145">
        <v>11135</v>
      </c>
      <c r="N107" s="145">
        <v>7670</v>
      </c>
      <c r="O107" s="145">
        <v>14523</v>
      </c>
      <c r="P107" s="145">
        <v>12434</v>
      </c>
      <c r="Q107" s="145">
        <v>14457</v>
      </c>
      <c r="R107" s="145">
        <v>12481</v>
      </c>
      <c r="S107" s="145">
        <v>9844</v>
      </c>
      <c r="T107" s="145">
        <v>10151</v>
      </c>
      <c r="U107" s="145">
        <v>12914</v>
      </c>
      <c r="V107" s="145">
        <v>10507</v>
      </c>
      <c r="W107" s="145">
        <v>9993</v>
      </c>
      <c r="X107" s="145">
        <v>12433</v>
      </c>
      <c r="Y107" s="145">
        <v>27089</v>
      </c>
      <c r="Z107" s="145">
        <v>27075</v>
      </c>
      <c r="AA107" s="145">
        <v>76536</v>
      </c>
      <c r="AB107" s="75">
        <v>348505</v>
      </c>
      <c r="AC107" s="75">
        <v>357087</v>
      </c>
      <c r="AF107"/>
      <c r="AG107"/>
      <c r="AH107" s="75">
        <v>71757</v>
      </c>
      <c r="AI107" s="75">
        <v>72690</v>
      </c>
      <c r="AJ107" s="75">
        <v>73161</v>
      </c>
      <c r="AK107" s="75">
        <v>73456</v>
      </c>
      <c r="AL107" s="75">
        <v>73681</v>
      </c>
      <c r="AM107" s="75">
        <v>74134</v>
      </c>
      <c r="AN107" s="75">
        <v>75316</v>
      </c>
      <c r="AO107" s="75">
        <v>366388</v>
      </c>
      <c r="AP107" s="75">
        <v>345918</v>
      </c>
      <c r="AQ107" s="75">
        <v>358827000</v>
      </c>
      <c r="AR107" s="75">
        <v>363225</v>
      </c>
      <c r="AS107" s="75">
        <v>358741</v>
      </c>
      <c r="AT107" s="75">
        <v>355994</v>
      </c>
      <c r="AU107" s="75">
        <v>348505</v>
      </c>
      <c r="AV107" s="75">
        <v>357087</v>
      </c>
    </row>
    <row r="108" spans="1:48" ht="12.5" x14ac:dyDescent="0.25">
      <c r="A108" s="75" t="s">
        <v>521</v>
      </c>
      <c r="B108" s="75" t="s">
        <v>721</v>
      </c>
      <c r="C108" s="145">
        <f t="shared" si="3"/>
        <v>8763.9</v>
      </c>
      <c r="D108" s="145">
        <f t="shared" si="4"/>
        <v>8124.3</v>
      </c>
      <c r="E108" s="145">
        <v>50254000</v>
      </c>
      <c r="F108" s="145">
        <f t="shared" si="5"/>
        <v>87386798.861745939</v>
      </c>
      <c r="G108" s="145">
        <v>746</v>
      </c>
      <c r="H108" s="145">
        <v>3824</v>
      </c>
      <c r="I108" s="145">
        <v>48782</v>
      </c>
      <c r="J108" s="145">
        <v>27801</v>
      </c>
      <c r="K108" s="145">
        <v>12289</v>
      </c>
      <c r="L108" s="145">
        <v>17811</v>
      </c>
      <c r="M108" s="145">
        <v>14961</v>
      </c>
      <c r="N108" s="145">
        <v>5623</v>
      </c>
      <c r="O108" s="145">
        <v>6697</v>
      </c>
      <c r="P108" s="145">
        <v>9500</v>
      </c>
      <c r="Q108" s="145">
        <v>4237</v>
      </c>
      <c r="R108" s="145">
        <v>2772</v>
      </c>
      <c r="S108" s="145">
        <v>2445</v>
      </c>
      <c r="T108" s="145">
        <v>2912</v>
      </c>
      <c r="U108" s="145">
        <v>-671</v>
      </c>
      <c r="V108" s="145">
        <v>4086</v>
      </c>
      <c r="W108" s="145">
        <v>-886</v>
      </c>
      <c r="X108" s="145">
        <v>3747</v>
      </c>
      <c r="Y108" s="145">
        <v>-961</v>
      </c>
      <c r="Z108" s="145">
        <v>3167</v>
      </c>
      <c r="AA108" s="145">
        <v>244807</v>
      </c>
      <c r="AB108" s="75">
        <v>1374880</v>
      </c>
      <c r="AC108" s="75">
        <v>1402769</v>
      </c>
      <c r="AF108"/>
      <c r="AG108"/>
      <c r="AH108" s="75">
        <v>228399</v>
      </c>
      <c r="AI108" s="75">
        <v>230061</v>
      </c>
      <c r="AJ108" s="75">
        <v>231354</v>
      </c>
      <c r="AK108" s="75">
        <v>233053</v>
      </c>
      <c r="AL108" s="75">
        <v>233273</v>
      </c>
      <c r="AM108" s="75">
        <v>234977</v>
      </c>
      <c r="AN108" s="75">
        <v>238147</v>
      </c>
      <c r="AO108" s="75">
        <v>961869</v>
      </c>
      <c r="AP108" s="75">
        <v>996931</v>
      </c>
      <c r="AQ108" s="75">
        <v>1160500000</v>
      </c>
      <c r="AR108" s="75">
        <v>1224301</v>
      </c>
      <c r="AS108" s="75">
        <v>1282435</v>
      </c>
      <c r="AT108" s="75">
        <v>1329237</v>
      </c>
      <c r="AU108" s="75">
        <v>1374880</v>
      </c>
      <c r="AV108" s="75">
        <v>1402769</v>
      </c>
    </row>
    <row r="109" spans="1:48" ht="12.5" x14ac:dyDescent="0.25">
      <c r="A109" s="75" t="s">
        <v>522</v>
      </c>
      <c r="B109" s="75" t="s">
        <v>404</v>
      </c>
      <c r="C109" s="145">
        <f t="shared" si="3"/>
        <v>162.4</v>
      </c>
      <c r="D109" s="145">
        <f t="shared" si="4"/>
        <v>91</v>
      </c>
      <c r="E109" s="145">
        <v>2777000</v>
      </c>
      <c r="F109" s="145">
        <f t="shared" si="5"/>
        <v>5275332.231894467</v>
      </c>
      <c r="G109" s="145">
        <v>0</v>
      </c>
      <c r="H109" s="145">
        <v>0</v>
      </c>
      <c r="I109" s="145">
        <v>899</v>
      </c>
      <c r="J109" s="145">
        <v>372</v>
      </c>
      <c r="K109" s="145">
        <v>377</v>
      </c>
      <c r="L109" s="145">
        <v>252</v>
      </c>
      <c r="M109" s="145">
        <v>150</v>
      </c>
      <c r="N109" s="145">
        <v>1</v>
      </c>
      <c r="O109" s="145">
        <v>140</v>
      </c>
      <c r="P109" s="145">
        <v>81</v>
      </c>
      <c r="Q109" s="145">
        <v>27</v>
      </c>
      <c r="R109" s="145">
        <v>65</v>
      </c>
      <c r="S109" s="145">
        <v>31</v>
      </c>
      <c r="T109" s="145">
        <v>85</v>
      </c>
      <c r="U109" s="145">
        <v>0</v>
      </c>
      <c r="V109" s="145">
        <v>54</v>
      </c>
      <c r="W109" s="145">
        <v>0</v>
      </c>
      <c r="X109" s="145">
        <v>0</v>
      </c>
      <c r="Y109" s="145">
        <v>0</v>
      </c>
      <c r="Z109" s="145">
        <v>0</v>
      </c>
      <c r="AA109" s="145">
        <v>14016</v>
      </c>
      <c r="AB109" s="75">
        <v>40595</v>
      </c>
      <c r="AC109" s="75">
        <v>43787</v>
      </c>
      <c r="AF109"/>
      <c r="AG109"/>
      <c r="AH109" s="75">
        <v>14329</v>
      </c>
      <c r="AI109" s="75">
        <v>14216</v>
      </c>
      <c r="AJ109" s="75">
        <v>14258</v>
      </c>
      <c r="AK109" s="75">
        <v>14183</v>
      </c>
      <c r="AL109" s="75">
        <v>14206</v>
      </c>
      <c r="AM109" s="75">
        <v>14185</v>
      </c>
      <c r="AN109" s="75">
        <v>14210</v>
      </c>
      <c r="AO109" s="75">
        <v>31774</v>
      </c>
      <c r="AP109" s="75">
        <v>32371</v>
      </c>
      <c r="AQ109" s="75">
        <v>31479000</v>
      </c>
      <c r="AR109" s="75">
        <v>35601</v>
      </c>
      <c r="AS109" s="75">
        <v>35378</v>
      </c>
      <c r="AT109" s="75">
        <v>36988</v>
      </c>
      <c r="AU109" s="75">
        <v>40595</v>
      </c>
      <c r="AV109" s="75">
        <v>43787</v>
      </c>
    </row>
    <row r="110" spans="1:48" ht="12.5" x14ac:dyDescent="0.25">
      <c r="A110" s="75" t="s">
        <v>518</v>
      </c>
      <c r="B110" s="75" t="s">
        <v>145</v>
      </c>
      <c r="C110" s="145">
        <f t="shared" si="3"/>
        <v>1237.2</v>
      </c>
      <c r="D110" s="145">
        <f t="shared" si="4"/>
        <v>1334.6</v>
      </c>
      <c r="E110" s="145">
        <v>4402000</v>
      </c>
      <c r="F110" s="145">
        <f t="shared" si="5"/>
        <v>9024778.7995335236</v>
      </c>
      <c r="G110" s="145">
        <v>15</v>
      </c>
      <c r="H110" s="145">
        <v>26</v>
      </c>
      <c r="I110" s="145">
        <v>2711</v>
      </c>
      <c r="J110" s="145">
        <v>3450</v>
      </c>
      <c r="K110" s="145">
        <v>3105</v>
      </c>
      <c r="L110" s="145">
        <v>3338</v>
      </c>
      <c r="M110" s="145">
        <v>670</v>
      </c>
      <c r="N110" s="145">
        <v>705</v>
      </c>
      <c r="O110" s="145">
        <v>3267</v>
      </c>
      <c r="P110" s="145">
        <v>2864</v>
      </c>
      <c r="Q110" s="145">
        <v>1088</v>
      </c>
      <c r="R110" s="145">
        <v>891</v>
      </c>
      <c r="S110" s="145">
        <v>510</v>
      </c>
      <c r="T110" s="145">
        <v>538</v>
      </c>
      <c r="U110" s="145">
        <v>446</v>
      </c>
      <c r="V110" s="145">
        <v>553</v>
      </c>
      <c r="W110" s="145">
        <v>223</v>
      </c>
      <c r="X110" s="145">
        <v>339</v>
      </c>
      <c r="Y110" s="145">
        <v>337</v>
      </c>
      <c r="Z110" s="145">
        <v>642</v>
      </c>
      <c r="AA110" s="145">
        <v>24223</v>
      </c>
      <c r="AB110" s="75">
        <v>48786</v>
      </c>
      <c r="AC110" s="75">
        <v>46822</v>
      </c>
      <c r="AF110"/>
      <c r="AG110"/>
      <c r="AH110" s="75">
        <v>24271</v>
      </c>
      <c r="AI110" s="75">
        <v>24295</v>
      </c>
      <c r="AJ110" s="75">
        <v>24270</v>
      </c>
      <c r="AK110" s="75">
        <v>24326</v>
      </c>
      <c r="AL110" s="75">
        <v>24229</v>
      </c>
      <c r="AM110" s="75">
        <v>24267</v>
      </c>
      <c r="AN110" s="75">
        <v>24502</v>
      </c>
      <c r="AO110" s="75">
        <v>63990</v>
      </c>
      <c r="AP110" s="75">
        <v>57510</v>
      </c>
      <c r="AQ110" s="75">
        <v>55925000</v>
      </c>
      <c r="AR110" s="75">
        <v>52221</v>
      </c>
      <c r="AS110" s="75">
        <v>53563</v>
      </c>
      <c r="AT110" s="75">
        <v>51014</v>
      </c>
      <c r="AU110" s="75">
        <v>48786</v>
      </c>
      <c r="AV110" s="75">
        <v>46822</v>
      </c>
    </row>
    <row r="111" spans="1:48" ht="12.5" x14ac:dyDescent="0.25">
      <c r="A111" s="75" t="s">
        <v>514</v>
      </c>
      <c r="B111" s="75" t="s">
        <v>250</v>
      </c>
      <c r="C111" s="145">
        <f t="shared" si="3"/>
        <v>10348</v>
      </c>
      <c r="D111" s="145">
        <f t="shared" si="4"/>
        <v>6127.9</v>
      </c>
      <c r="E111" s="145">
        <v>38761000</v>
      </c>
      <c r="F111" s="145">
        <f t="shared" si="5"/>
        <v>60577623.681428112</v>
      </c>
      <c r="G111" s="145">
        <v>5404</v>
      </c>
      <c r="H111" s="145">
        <v>5650</v>
      </c>
      <c r="I111" s="145">
        <v>9861</v>
      </c>
      <c r="J111" s="145">
        <v>8258</v>
      </c>
      <c r="K111" s="145">
        <v>9475</v>
      </c>
      <c r="L111" s="145">
        <v>6477</v>
      </c>
      <c r="M111" s="145">
        <v>25922</v>
      </c>
      <c r="N111" s="145">
        <v>4950</v>
      </c>
      <c r="O111" s="145">
        <v>11103</v>
      </c>
      <c r="P111" s="145">
        <v>8170</v>
      </c>
      <c r="Q111" s="145">
        <v>8842</v>
      </c>
      <c r="R111" s="145">
        <v>5831</v>
      </c>
      <c r="S111" s="145">
        <v>8241</v>
      </c>
      <c r="T111" s="145">
        <v>5397</v>
      </c>
      <c r="U111" s="145">
        <v>9610</v>
      </c>
      <c r="V111" s="145">
        <v>6388</v>
      </c>
      <c r="W111" s="145">
        <v>10097</v>
      </c>
      <c r="X111" s="145">
        <v>5295</v>
      </c>
      <c r="Y111" s="145">
        <v>4925</v>
      </c>
      <c r="Z111" s="145">
        <v>4863</v>
      </c>
      <c r="AA111" s="145">
        <v>168655</v>
      </c>
      <c r="AB111" s="75">
        <v>636740</v>
      </c>
      <c r="AC111" s="75">
        <v>646838</v>
      </c>
      <c r="AF111"/>
      <c r="AG111"/>
      <c r="AH111" s="75">
        <v>159234</v>
      </c>
      <c r="AI111" s="75">
        <v>159819</v>
      </c>
      <c r="AJ111" s="75">
        <v>161213</v>
      </c>
      <c r="AK111" s="75">
        <v>162994</v>
      </c>
      <c r="AL111" s="75">
        <v>162543</v>
      </c>
      <c r="AM111" s="75">
        <v>162889</v>
      </c>
      <c r="AN111" s="75">
        <v>165396</v>
      </c>
      <c r="AO111" s="75">
        <v>614587</v>
      </c>
      <c r="AP111" s="75">
        <v>595166</v>
      </c>
      <c r="AQ111" s="75">
        <v>595980595</v>
      </c>
      <c r="AR111" s="75">
        <v>606898</v>
      </c>
      <c r="AS111" s="75">
        <v>618798</v>
      </c>
      <c r="AT111" s="75">
        <v>628307</v>
      </c>
      <c r="AU111" s="75">
        <v>636740</v>
      </c>
      <c r="AV111" s="75">
        <v>646838</v>
      </c>
    </row>
    <row r="112" spans="1:48" ht="12.5" x14ac:dyDescent="0.25">
      <c r="A112" s="75" t="s">
        <v>514</v>
      </c>
      <c r="B112" s="75" t="s">
        <v>251</v>
      </c>
      <c r="C112" s="145">
        <f t="shared" si="3"/>
        <v>45974.1</v>
      </c>
      <c r="D112" s="145">
        <f t="shared" si="4"/>
        <v>40019</v>
      </c>
      <c r="E112" s="145">
        <v>28999000</v>
      </c>
      <c r="F112" s="145">
        <f t="shared" si="5"/>
        <v>59255536.541182443</v>
      </c>
      <c r="G112" s="145">
        <v>8855</v>
      </c>
      <c r="H112" s="145">
        <v>9801</v>
      </c>
      <c r="I112" s="145">
        <v>50333</v>
      </c>
      <c r="J112" s="145">
        <v>43417</v>
      </c>
      <c r="K112" s="145">
        <v>43566</v>
      </c>
      <c r="L112" s="145">
        <v>35761</v>
      </c>
      <c r="M112" s="145">
        <v>92267</v>
      </c>
      <c r="N112" s="145">
        <v>70069</v>
      </c>
      <c r="O112" s="145">
        <v>82377</v>
      </c>
      <c r="P112" s="145">
        <v>72303</v>
      </c>
      <c r="Q112" s="145">
        <v>53204</v>
      </c>
      <c r="R112" s="145">
        <v>48888</v>
      </c>
      <c r="S112" s="145">
        <v>67124</v>
      </c>
      <c r="T112" s="145">
        <v>68902</v>
      </c>
      <c r="U112" s="145">
        <v>43098</v>
      </c>
      <c r="V112" s="145">
        <v>37459</v>
      </c>
      <c r="W112" s="145">
        <v>4904</v>
      </c>
      <c r="X112" s="145">
        <v>3682</v>
      </c>
      <c r="Y112" s="145">
        <v>14013</v>
      </c>
      <c r="Z112" s="145">
        <v>9908</v>
      </c>
      <c r="AA112" s="145">
        <v>165220</v>
      </c>
      <c r="AB112" s="75">
        <v>626903</v>
      </c>
      <c r="AC112" s="75">
        <v>634710</v>
      </c>
      <c r="AF112"/>
      <c r="AH112" s="75">
        <v>151655</v>
      </c>
      <c r="AI112" s="75">
        <v>153170</v>
      </c>
      <c r="AJ112" s="75">
        <v>154223</v>
      </c>
      <c r="AK112" s="75">
        <v>155884</v>
      </c>
      <c r="AL112" s="75">
        <v>157789</v>
      </c>
      <c r="AM112" s="75">
        <v>159334</v>
      </c>
      <c r="AN112" s="75">
        <v>162300</v>
      </c>
      <c r="AO112" s="75">
        <v>491856</v>
      </c>
      <c r="AP112" s="75">
        <v>496696</v>
      </c>
      <c r="AQ112" s="75">
        <v>554924000</v>
      </c>
      <c r="AR112" s="75">
        <v>580101</v>
      </c>
      <c r="AS112" s="75">
        <v>598808</v>
      </c>
      <c r="AT112" s="75">
        <v>623784</v>
      </c>
      <c r="AU112" s="75">
        <v>626903</v>
      </c>
      <c r="AV112" s="75">
        <v>634710</v>
      </c>
    </row>
    <row r="113" spans="1:48" ht="12.5" x14ac:dyDescent="0.25">
      <c r="A113" s="75" t="s">
        <v>513</v>
      </c>
      <c r="B113" s="75" t="s">
        <v>368</v>
      </c>
      <c r="C113" s="145">
        <f t="shared" si="3"/>
        <v>5324.3</v>
      </c>
      <c r="D113" s="145">
        <f t="shared" si="4"/>
        <v>5188.5</v>
      </c>
      <c r="E113" s="145">
        <v>3879000</v>
      </c>
      <c r="F113" s="145">
        <f t="shared" si="5"/>
        <v>11441353.268539533</v>
      </c>
      <c r="G113" s="145">
        <v>11493</v>
      </c>
      <c r="H113" s="145">
        <v>11426</v>
      </c>
      <c r="I113" s="145">
        <v>8317</v>
      </c>
      <c r="J113" s="145">
        <v>8688</v>
      </c>
      <c r="K113" s="145">
        <v>3867</v>
      </c>
      <c r="L113" s="145">
        <v>3492</v>
      </c>
      <c r="M113" s="145">
        <v>5313</v>
      </c>
      <c r="N113" s="145">
        <v>2983</v>
      </c>
      <c r="O113" s="145">
        <v>6757</v>
      </c>
      <c r="P113" s="145">
        <v>7504</v>
      </c>
      <c r="Q113" s="145">
        <v>2361</v>
      </c>
      <c r="R113" s="145">
        <v>1760</v>
      </c>
      <c r="S113" s="145">
        <v>4356</v>
      </c>
      <c r="T113" s="145">
        <v>3996</v>
      </c>
      <c r="U113" s="145">
        <v>2955</v>
      </c>
      <c r="V113" s="145">
        <v>3633</v>
      </c>
      <c r="W113" s="145">
        <v>384</v>
      </c>
      <c r="X113" s="145">
        <v>905</v>
      </c>
      <c r="Y113" s="145">
        <v>7440</v>
      </c>
      <c r="Z113" s="145">
        <v>7498</v>
      </c>
      <c r="AA113" s="145">
        <v>31351</v>
      </c>
      <c r="AB113" s="75">
        <v>69164</v>
      </c>
      <c r="AC113" s="75">
        <v>77264</v>
      </c>
      <c r="AF113"/>
      <c r="AG113"/>
      <c r="AH113" s="75">
        <v>29581</v>
      </c>
      <c r="AI113" s="75">
        <v>29888</v>
      </c>
      <c r="AJ113" s="75">
        <v>30191</v>
      </c>
      <c r="AK113" s="75">
        <v>30262</v>
      </c>
      <c r="AL113" s="75">
        <v>30430</v>
      </c>
      <c r="AM113" s="75">
        <v>30765</v>
      </c>
      <c r="AN113" s="75">
        <v>31041</v>
      </c>
      <c r="AO113" s="75">
        <v>54727</v>
      </c>
      <c r="AP113" s="75">
        <v>45915</v>
      </c>
      <c r="AQ113" s="75">
        <v>52354000</v>
      </c>
      <c r="AR113" s="75">
        <v>67130</v>
      </c>
      <c r="AS113" s="75">
        <v>69136</v>
      </c>
      <c r="AT113" s="75">
        <v>69637</v>
      </c>
      <c r="AU113" s="75">
        <v>69164</v>
      </c>
      <c r="AV113" s="75">
        <v>77264</v>
      </c>
    </row>
    <row r="114" spans="1:48" ht="12.5" x14ac:dyDescent="0.25">
      <c r="A114" s="75" t="s">
        <v>518</v>
      </c>
      <c r="B114" s="75" t="s">
        <v>146</v>
      </c>
      <c r="C114" s="145">
        <f t="shared" si="3"/>
        <v>12264</v>
      </c>
      <c r="D114" s="145">
        <f t="shared" si="4"/>
        <v>10895.9</v>
      </c>
      <c r="E114" s="145">
        <v>13094000</v>
      </c>
      <c r="F114" s="145">
        <f t="shared" si="5"/>
        <v>22981258.743032679</v>
      </c>
      <c r="G114" s="145">
        <v>12469</v>
      </c>
      <c r="H114" s="145">
        <v>13369</v>
      </c>
      <c r="I114" s="145">
        <v>6995</v>
      </c>
      <c r="J114" s="145">
        <v>7228</v>
      </c>
      <c r="K114" s="145">
        <v>9221</v>
      </c>
      <c r="L114" s="145">
        <v>8659</v>
      </c>
      <c r="M114" s="145">
        <v>16790</v>
      </c>
      <c r="N114" s="145">
        <v>14245</v>
      </c>
      <c r="O114" s="145">
        <v>12314</v>
      </c>
      <c r="P114" s="145">
        <v>10775</v>
      </c>
      <c r="Q114" s="145">
        <v>19400</v>
      </c>
      <c r="R114" s="145">
        <v>16619</v>
      </c>
      <c r="S114" s="145">
        <v>12124</v>
      </c>
      <c r="T114" s="145">
        <v>10829</v>
      </c>
      <c r="U114" s="145">
        <v>16992</v>
      </c>
      <c r="V114" s="145">
        <v>16355</v>
      </c>
      <c r="W114" s="145">
        <v>9666</v>
      </c>
      <c r="X114" s="145">
        <v>4889</v>
      </c>
      <c r="Y114" s="145">
        <v>6669</v>
      </c>
      <c r="Z114" s="145">
        <v>5991</v>
      </c>
      <c r="AA114" s="145">
        <v>63423</v>
      </c>
      <c r="AB114" s="75">
        <v>183597</v>
      </c>
      <c r="AC114" s="75">
        <v>191970</v>
      </c>
      <c r="AG114"/>
      <c r="AH114" s="75">
        <v>60196</v>
      </c>
      <c r="AI114" s="75">
        <v>60553</v>
      </c>
      <c r="AJ114" s="75">
        <v>60575</v>
      </c>
      <c r="AK114" s="75">
        <v>60922</v>
      </c>
      <c r="AL114" s="75">
        <v>61357</v>
      </c>
      <c r="AM114" s="75">
        <v>61795</v>
      </c>
      <c r="AN114" s="75">
        <v>62509</v>
      </c>
      <c r="AO114" s="75">
        <v>203932</v>
      </c>
      <c r="AP114" s="75">
        <v>196470</v>
      </c>
      <c r="AQ114" s="75">
        <v>184795000</v>
      </c>
      <c r="AR114" s="75">
        <v>181502</v>
      </c>
      <c r="AS114" s="75">
        <v>183548</v>
      </c>
      <c r="AT114" s="75">
        <v>184655</v>
      </c>
      <c r="AU114" s="75">
        <v>183597</v>
      </c>
      <c r="AV114" s="75">
        <v>191970</v>
      </c>
    </row>
    <row r="115" spans="1:48" ht="12.5" x14ac:dyDescent="0.25">
      <c r="A115" s="75" t="s">
        <v>515</v>
      </c>
      <c r="B115" s="75" t="s">
        <v>181</v>
      </c>
      <c r="C115" s="145">
        <f t="shared" si="3"/>
        <v>11607.4</v>
      </c>
      <c r="D115" s="145">
        <f t="shared" si="4"/>
        <v>10698</v>
      </c>
      <c r="E115" s="145">
        <v>7391000</v>
      </c>
      <c r="F115" s="145">
        <f t="shared" si="5"/>
        <v>18170423.512029026</v>
      </c>
      <c r="G115" s="145">
        <v>17703</v>
      </c>
      <c r="H115" s="145">
        <v>17137</v>
      </c>
      <c r="I115" s="145">
        <v>52097</v>
      </c>
      <c r="J115" s="145">
        <v>41272</v>
      </c>
      <c r="K115" s="145">
        <v>24587</v>
      </c>
      <c r="L115" s="145">
        <v>20079</v>
      </c>
      <c r="M115" s="145">
        <v>0</v>
      </c>
      <c r="N115" s="145">
        <v>0</v>
      </c>
      <c r="O115" s="145">
        <v>0</v>
      </c>
      <c r="P115" s="145">
        <v>0</v>
      </c>
      <c r="Q115" s="145">
        <v>0</v>
      </c>
      <c r="R115" s="145">
        <v>0</v>
      </c>
      <c r="S115" s="145">
        <v>0</v>
      </c>
      <c r="T115" s="145">
        <v>0</v>
      </c>
      <c r="U115" s="145">
        <v>6652</v>
      </c>
      <c r="V115" s="145">
        <v>5994</v>
      </c>
      <c r="W115" s="145">
        <v>5335</v>
      </c>
      <c r="X115" s="145">
        <v>6416</v>
      </c>
      <c r="Y115" s="145">
        <v>9700</v>
      </c>
      <c r="Z115" s="145">
        <v>16082</v>
      </c>
      <c r="AA115" s="145">
        <v>50070</v>
      </c>
      <c r="AB115" s="75">
        <v>251518</v>
      </c>
      <c r="AC115" s="75">
        <v>117644</v>
      </c>
      <c r="AF115"/>
      <c r="AG115"/>
      <c r="AH115" s="75">
        <v>46358</v>
      </c>
      <c r="AI115" s="75">
        <v>46834</v>
      </c>
      <c r="AJ115" s="75">
        <v>47572</v>
      </c>
      <c r="AK115" s="75">
        <v>48349</v>
      </c>
      <c r="AL115" s="75">
        <v>48726</v>
      </c>
      <c r="AM115" s="75">
        <v>48859</v>
      </c>
      <c r="AN115" s="75">
        <v>48906</v>
      </c>
      <c r="AO115" s="75">
        <v>194928</v>
      </c>
      <c r="AP115" s="75">
        <v>206546</v>
      </c>
      <c r="AQ115" s="75">
        <v>88120000</v>
      </c>
      <c r="AR115" s="75">
        <v>214728</v>
      </c>
      <c r="AS115" s="75">
        <v>221193</v>
      </c>
      <c r="AT115" s="75">
        <v>234783</v>
      </c>
      <c r="AU115" s="75">
        <v>251518</v>
      </c>
      <c r="AV115" s="75">
        <v>117644</v>
      </c>
    </row>
    <row r="116" spans="1:48" ht="12.5" x14ac:dyDescent="0.25">
      <c r="A116" s="75" t="s">
        <v>517</v>
      </c>
      <c r="B116" s="75" t="s">
        <v>293</v>
      </c>
      <c r="C116" s="145">
        <f t="shared" si="3"/>
        <v>5009.6000000000004</v>
      </c>
      <c r="D116" s="145">
        <f t="shared" si="4"/>
        <v>4664.3</v>
      </c>
      <c r="E116" s="145">
        <v>1810000</v>
      </c>
      <c r="F116" s="145">
        <f t="shared" si="5"/>
        <v>6884150.5071976362</v>
      </c>
      <c r="G116" s="145">
        <v>4691</v>
      </c>
      <c r="H116" s="145">
        <v>4553</v>
      </c>
      <c r="I116" s="145">
        <v>7472</v>
      </c>
      <c r="J116" s="145">
        <v>5472</v>
      </c>
      <c r="K116" s="145">
        <v>7006</v>
      </c>
      <c r="L116" s="145">
        <v>6923</v>
      </c>
      <c r="M116" s="145">
        <v>8579</v>
      </c>
      <c r="N116" s="145">
        <v>8104</v>
      </c>
      <c r="O116" s="145">
        <v>3890</v>
      </c>
      <c r="P116" s="145">
        <v>3260</v>
      </c>
      <c r="Q116" s="145">
        <v>2893</v>
      </c>
      <c r="R116" s="145">
        <v>2632</v>
      </c>
      <c r="S116" s="145">
        <v>3824</v>
      </c>
      <c r="T116" s="145">
        <v>4377</v>
      </c>
      <c r="U116" s="145">
        <v>4911</v>
      </c>
      <c r="V116" s="145">
        <v>4297</v>
      </c>
      <c r="W116" s="145">
        <v>3954</v>
      </c>
      <c r="X116" s="145">
        <v>4461</v>
      </c>
      <c r="Y116" s="145">
        <v>2876</v>
      </c>
      <c r="Z116" s="145">
        <v>2564</v>
      </c>
      <c r="AA116" s="145">
        <v>19126</v>
      </c>
      <c r="AB116" s="75">
        <v>47039</v>
      </c>
      <c r="AC116" s="75">
        <v>47716</v>
      </c>
      <c r="AF116"/>
      <c r="AG116"/>
      <c r="AH116" s="75">
        <v>17866</v>
      </c>
      <c r="AI116" s="75">
        <v>17957</v>
      </c>
      <c r="AJ116" s="75">
        <v>18053</v>
      </c>
      <c r="AK116" s="75">
        <v>18275</v>
      </c>
      <c r="AL116" s="75">
        <v>18413</v>
      </c>
      <c r="AM116" s="75">
        <v>18511</v>
      </c>
      <c r="AN116" s="75">
        <v>18681</v>
      </c>
      <c r="AO116" s="75">
        <v>46291</v>
      </c>
      <c r="AP116" s="75">
        <v>44946</v>
      </c>
      <c r="AQ116" s="75">
        <v>47408000</v>
      </c>
      <c r="AR116" s="75">
        <v>48812</v>
      </c>
      <c r="AS116" s="75">
        <v>50636</v>
      </c>
      <c r="AT116" s="75">
        <v>46114</v>
      </c>
      <c r="AU116" s="75">
        <v>47039</v>
      </c>
      <c r="AV116" s="75">
        <v>47716</v>
      </c>
    </row>
    <row r="117" spans="1:48" ht="12.5" x14ac:dyDescent="0.25">
      <c r="A117" s="75" t="s">
        <v>516</v>
      </c>
      <c r="B117" s="75" t="s">
        <v>128</v>
      </c>
      <c r="C117" s="145">
        <f t="shared" si="3"/>
        <v>218</v>
      </c>
      <c r="D117" s="145">
        <f t="shared" si="4"/>
        <v>237.4</v>
      </c>
      <c r="E117" s="145">
        <v>3333000</v>
      </c>
      <c r="F117" s="145">
        <f t="shared" si="5"/>
        <v>5915363.7279177569</v>
      </c>
      <c r="G117" s="145">
        <v>0</v>
      </c>
      <c r="H117" s="145">
        <v>0</v>
      </c>
      <c r="I117" s="145">
        <v>1041</v>
      </c>
      <c r="J117" s="145">
        <v>830</v>
      </c>
      <c r="K117" s="145">
        <v>1139</v>
      </c>
      <c r="L117" s="145">
        <v>1544</v>
      </c>
      <c r="M117" s="145">
        <v>0</v>
      </c>
      <c r="N117" s="145">
        <v>0</v>
      </c>
      <c r="O117" s="145">
        <v>0</v>
      </c>
      <c r="P117" s="145">
        <v>0</v>
      </c>
      <c r="Q117" s="145">
        <v>0</v>
      </c>
      <c r="R117" s="145">
        <v>0</v>
      </c>
      <c r="S117" s="145">
        <v>0</v>
      </c>
      <c r="T117" s="145">
        <v>0</v>
      </c>
      <c r="U117" s="145">
        <v>0</v>
      </c>
      <c r="V117" s="145">
        <v>0</v>
      </c>
      <c r="W117" s="145">
        <v>0</v>
      </c>
      <c r="X117" s="145">
        <v>0</v>
      </c>
      <c r="Y117" s="145">
        <v>0</v>
      </c>
      <c r="Z117" s="145">
        <v>0</v>
      </c>
      <c r="AA117" s="145">
        <v>16210</v>
      </c>
      <c r="AB117" s="75">
        <v>82715</v>
      </c>
      <c r="AC117" s="75">
        <v>88069</v>
      </c>
      <c r="AF117"/>
      <c r="AG117"/>
      <c r="AH117" s="75">
        <v>15864</v>
      </c>
      <c r="AI117" s="75">
        <v>15789</v>
      </c>
      <c r="AJ117" s="75">
        <v>15758</v>
      </c>
      <c r="AK117" s="75">
        <v>15708</v>
      </c>
      <c r="AL117" s="75">
        <v>15807</v>
      </c>
      <c r="AM117" s="75">
        <v>15906</v>
      </c>
      <c r="AN117" s="75">
        <v>16188</v>
      </c>
      <c r="AO117" s="75">
        <v>69228</v>
      </c>
      <c r="AP117" s="75">
        <v>69207</v>
      </c>
      <c r="AQ117" s="75">
        <v>66271000</v>
      </c>
      <c r="AR117" s="75">
        <v>69060</v>
      </c>
      <c r="AS117" s="75">
        <v>77802</v>
      </c>
      <c r="AT117" s="75">
        <v>78512</v>
      </c>
      <c r="AU117" s="75">
        <v>82715</v>
      </c>
      <c r="AV117" s="75">
        <v>88069</v>
      </c>
    </row>
    <row r="118" spans="1:48" ht="12.5" x14ac:dyDescent="0.25">
      <c r="A118" s="75" t="s">
        <v>518</v>
      </c>
      <c r="B118" s="75" t="s">
        <v>182</v>
      </c>
      <c r="C118" s="145">
        <f t="shared" si="3"/>
        <v>3436.2</v>
      </c>
      <c r="D118" s="145">
        <f t="shared" si="4"/>
        <v>3438.7</v>
      </c>
      <c r="E118" s="145">
        <v>1685000</v>
      </c>
      <c r="F118" s="145">
        <f t="shared" si="5"/>
        <v>4576169.4122990072</v>
      </c>
      <c r="G118" s="145">
        <v>0</v>
      </c>
      <c r="H118" s="145">
        <v>0</v>
      </c>
      <c r="I118" s="145">
        <v>6083</v>
      </c>
      <c r="J118" s="145">
        <v>6112</v>
      </c>
      <c r="K118" s="145">
        <v>3936</v>
      </c>
      <c r="L118" s="145">
        <v>3954</v>
      </c>
      <c r="M118" s="145">
        <v>7849</v>
      </c>
      <c r="N118" s="145">
        <v>7424</v>
      </c>
      <c r="O118" s="145">
        <v>5188</v>
      </c>
      <c r="P118" s="145">
        <v>4911</v>
      </c>
      <c r="Q118" s="145">
        <v>3815</v>
      </c>
      <c r="R118" s="145">
        <v>3790</v>
      </c>
      <c r="S118" s="145">
        <v>2924</v>
      </c>
      <c r="T118" s="145">
        <v>2926</v>
      </c>
      <c r="U118" s="145">
        <v>3052</v>
      </c>
      <c r="V118" s="145">
        <v>3051</v>
      </c>
      <c r="W118" s="145">
        <v>1028</v>
      </c>
      <c r="X118" s="145">
        <v>1583</v>
      </c>
      <c r="Y118" s="145">
        <v>487</v>
      </c>
      <c r="Z118" s="145">
        <v>636</v>
      </c>
      <c r="AA118" s="145">
        <v>12744</v>
      </c>
      <c r="AB118" s="75">
        <v>27255</v>
      </c>
      <c r="AC118" s="75">
        <v>29892</v>
      </c>
      <c r="AF118"/>
      <c r="AG118"/>
      <c r="AH118" s="75">
        <v>12036</v>
      </c>
      <c r="AI118" s="75">
        <v>12157</v>
      </c>
      <c r="AJ118" s="75">
        <v>12170</v>
      </c>
      <c r="AK118" s="75">
        <v>12211</v>
      </c>
      <c r="AL118" s="75">
        <v>12228</v>
      </c>
      <c r="AM118" s="75">
        <v>12305</v>
      </c>
      <c r="AN118" s="75">
        <v>12563</v>
      </c>
      <c r="AO118" s="75">
        <v>21499</v>
      </c>
      <c r="AP118" s="75">
        <v>23201</v>
      </c>
      <c r="AQ118" s="75">
        <v>24804000</v>
      </c>
      <c r="AR118" s="75">
        <v>24842</v>
      </c>
      <c r="AS118" s="75">
        <v>25372</v>
      </c>
      <c r="AT118" s="75">
        <v>28468</v>
      </c>
      <c r="AU118" s="75">
        <v>27255</v>
      </c>
      <c r="AV118" s="75">
        <v>29892</v>
      </c>
    </row>
    <row r="119" spans="1:48" ht="12.5" x14ac:dyDescent="0.25">
      <c r="A119" s="75" t="s">
        <v>514</v>
      </c>
      <c r="B119" s="75" t="s">
        <v>252</v>
      </c>
      <c r="C119" s="145">
        <f t="shared" si="3"/>
        <v>2193.6</v>
      </c>
      <c r="D119" s="145">
        <f t="shared" si="4"/>
        <v>1474.8</v>
      </c>
      <c r="E119" s="145">
        <v>4446000</v>
      </c>
      <c r="F119" s="145">
        <f t="shared" si="5"/>
        <v>14571594.466696439</v>
      </c>
      <c r="G119" s="145">
        <v>0</v>
      </c>
      <c r="H119" s="145">
        <v>232</v>
      </c>
      <c r="I119" s="145">
        <v>5064</v>
      </c>
      <c r="J119" s="145">
        <v>2191</v>
      </c>
      <c r="K119" s="145">
        <v>803</v>
      </c>
      <c r="L119" s="145">
        <v>822</v>
      </c>
      <c r="M119" s="145">
        <v>2560</v>
      </c>
      <c r="N119" s="145">
        <v>2316</v>
      </c>
      <c r="O119" s="145">
        <v>2230</v>
      </c>
      <c r="P119" s="145">
        <v>2366</v>
      </c>
      <c r="Q119" s="145">
        <v>1771</v>
      </c>
      <c r="R119" s="145">
        <v>410</v>
      </c>
      <c r="S119" s="145">
        <v>2005</v>
      </c>
      <c r="T119" s="145">
        <v>1277</v>
      </c>
      <c r="U119" s="145">
        <v>4968</v>
      </c>
      <c r="V119" s="145">
        <v>3415</v>
      </c>
      <c r="W119" s="145">
        <v>1043</v>
      </c>
      <c r="X119" s="145">
        <v>982</v>
      </c>
      <c r="Y119" s="145">
        <v>1492</v>
      </c>
      <c r="Z119" s="145">
        <v>737</v>
      </c>
      <c r="AA119" s="145">
        <v>39387</v>
      </c>
      <c r="AB119" s="75">
        <v>79583</v>
      </c>
      <c r="AC119" s="75">
        <v>80054</v>
      </c>
      <c r="AF119"/>
      <c r="AG119"/>
      <c r="AH119" s="75">
        <v>39171</v>
      </c>
      <c r="AI119" s="75">
        <v>39149</v>
      </c>
      <c r="AJ119" s="75">
        <v>39159</v>
      </c>
      <c r="AK119" s="75">
        <v>39178</v>
      </c>
      <c r="AL119" s="75">
        <v>39191</v>
      </c>
      <c r="AM119" s="75">
        <v>39182</v>
      </c>
      <c r="AN119" s="75">
        <v>39431</v>
      </c>
      <c r="AO119" s="75">
        <v>87013</v>
      </c>
      <c r="AP119" s="75">
        <v>84453</v>
      </c>
      <c r="AQ119" s="75">
        <v>84945000</v>
      </c>
      <c r="AR119" s="75">
        <v>82685</v>
      </c>
      <c r="AS119" s="75">
        <v>80275</v>
      </c>
      <c r="AT119" s="75">
        <v>80751</v>
      </c>
      <c r="AU119" s="75">
        <v>79583</v>
      </c>
      <c r="AV119" s="75">
        <v>80054</v>
      </c>
    </row>
    <row r="120" spans="1:48" ht="12.5" x14ac:dyDescent="0.25">
      <c r="A120" s="75" t="s">
        <v>514</v>
      </c>
      <c r="B120" s="75" t="s">
        <v>253</v>
      </c>
      <c r="C120" s="145">
        <f t="shared" si="3"/>
        <v>0</v>
      </c>
      <c r="D120" s="145">
        <f t="shared" si="4"/>
        <v>0</v>
      </c>
      <c r="E120" s="145">
        <v>4717000</v>
      </c>
      <c r="F120" s="145">
        <f t="shared" si="5"/>
        <v>10249429.419175996</v>
      </c>
      <c r="G120" s="145">
        <v>0</v>
      </c>
      <c r="H120" s="145">
        <v>0</v>
      </c>
      <c r="I120" s="145">
        <v>0</v>
      </c>
      <c r="J120" s="145">
        <v>0</v>
      </c>
      <c r="K120" s="145">
        <v>0</v>
      </c>
      <c r="L120" s="145">
        <v>0</v>
      </c>
      <c r="M120" s="145">
        <v>0</v>
      </c>
      <c r="N120" s="145">
        <v>0</v>
      </c>
      <c r="O120" s="145">
        <v>0</v>
      </c>
      <c r="P120" s="145">
        <v>0</v>
      </c>
      <c r="Q120" s="145">
        <v>0</v>
      </c>
      <c r="R120" s="145">
        <v>0</v>
      </c>
      <c r="S120" s="145">
        <v>0</v>
      </c>
      <c r="T120" s="145">
        <v>0</v>
      </c>
      <c r="U120" s="145">
        <v>0</v>
      </c>
      <c r="V120" s="145">
        <v>0</v>
      </c>
      <c r="W120" s="145">
        <v>0</v>
      </c>
      <c r="X120" s="145">
        <v>0</v>
      </c>
      <c r="Y120" s="145">
        <v>0</v>
      </c>
      <c r="Z120" s="145">
        <v>0</v>
      </c>
      <c r="AA120" s="145">
        <v>27639</v>
      </c>
      <c r="AB120" s="75">
        <v>55822</v>
      </c>
      <c r="AC120" s="75">
        <v>59511</v>
      </c>
      <c r="AF120"/>
      <c r="AG120"/>
      <c r="AH120" s="75">
        <v>26920</v>
      </c>
      <c r="AI120" s="75">
        <v>27080</v>
      </c>
      <c r="AJ120" s="75">
        <v>27278</v>
      </c>
      <c r="AK120" s="75">
        <v>27245</v>
      </c>
      <c r="AL120" s="75">
        <v>27545</v>
      </c>
      <c r="AM120" s="75">
        <v>27560</v>
      </c>
      <c r="AN120" s="75">
        <v>27778</v>
      </c>
      <c r="AO120" s="75">
        <v>53837</v>
      </c>
      <c r="AP120" s="75">
        <v>54105</v>
      </c>
      <c r="AQ120" s="75">
        <v>54363000</v>
      </c>
      <c r="AR120" s="75">
        <v>56085</v>
      </c>
      <c r="AS120" s="75">
        <v>58344</v>
      </c>
      <c r="AT120" s="75">
        <v>57556</v>
      </c>
      <c r="AU120" s="75">
        <v>55822</v>
      </c>
      <c r="AV120" s="75">
        <v>59511</v>
      </c>
    </row>
    <row r="121" spans="1:48" ht="12.5" x14ac:dyDescent="0.25">
      <c r="A121" s="75" t="s">
        <v>515</v>
      </c>
      <c r="B121" s="75" t="s">
        <v>183</v>
      </c>
      <c r="C121" s="145">
        <f t="shared" si="3"/>
        <v>1612.2</v>
      </c>
      <c r="D121" s="145">
        <f t="shared" si="4"/>
        <v>1555.6</v>
      </c>
      <c r="E121" s="145">
        <v>2350000</v>
      </c>
      <c r="F121" s="145">
        <f t="shared" si="5"/>
        <v>7058197.4218628891</v>
      </c>
      <c r="G121" s="145">
        <v>299</v>
      </c>
      <c r="H121" s="145">
        <v>44</v>
      </c>
      <c r="I121" s="145">
        <v>2125</v>
      </c>
      <c r="J121" s="145">
        <v>2429</v>
      </c>
      <c r="K121" s="145">
        <v>861</v>
      </c>
      <c r="L121" s="145">
        <v>964</v>
      </c>
      <c r="M121" s="145">
        <v>2041</v>
      </c>
      <c r="N121" s="145">
        <v>1929</v>
      </c>
      <c r="O121" s="145">
        <v>2215</v>
      </c>
      <c r="P121" s="145">
        <v>1398</v>
      </c>
      <c r="Q121" s="145">
        <v>2686</v>
      </c>
      <c r="R121" s="145">
        <v>2555</v>
      </c>
      <c r="S121" s="145">
        <v>2576</v>
      </c>
      <c r="T121" s="145">
        <v>2354</v>
      </c>
      <c r="U121" s="145">
        <v>917</v>
      </c>
      <c r="V121" s="145">
        <v>754</v>
      </c>
      <c r="W121" s="145">
        <v>873</v>
      </c>
      <c r="X121" s="145">
        <v>815</v>
      </c>
      <c r="Y121" s="145">
        <v>1529</v>
      </c>
      <c r="Z121" s="145">
        <v>2314</v>
      </c>
      <c r="AA121" s="145">
        <v>19305</v>
      </c>
      <c r="AB121" s="75">
        <v>61290</v>
      </c>
      <c r="AC121" s="75">
        <v>62832</v>
      </c>
      <c r="AF121"/>
      <c r="AG121"/>
      <c r="AH121" s="75">
        <v>18563</v>
      </c>
      <c r="AI121" s="75">
        <v>18608</v>
      </c>
      <c r="AJ121" s="75">
        <v>18549</v>
      </c>
      <c r="AK121" s="75">
        <v>18573</v>
      </c>
      <c r="AL121" s="75">
        <v>18776</v>
      </c>
      <c r="AM121" s="75">
        <v>18979</v>
      </c>
      <c r="AN121" s="75">
        <v>19214</v>
      </c>
      <c r="AO121" s="75">
        <v>54452</v>
      </c>
      <c r="AP121" s="75">
        <v>54310</v>
      </c>
      <c r="AQ121" s="75">
        <v>58342000</v>
      </c>
      <c r="AR121" s="75">
        <v>59010</v>
      </c>
      <c r="AS121" s="75">
        <v>60865</v>
      </c>
      <c r="AT121" s="75">
        <v>59330</v>
      </c>
      <c r="AU121" s="75">
        <v>61290</v>
      </c>
      <c r="AV121" s="75">
        <v>62832</v>
      </c>
    </row>
    <row r="122" spans="1:48" ht="12.5" x14ac:dyDescent="0.25">
      <c r="A122" s="75" t="s">
        <v>516</v>
      </c>
      <c r="B122" s="75" t="s">
        <v>129</v>
      </c>
      <c r="C122" s="145">
        <f t="shared" si="3"/>
        <v>9359.4</v>
      </c>
      <c r="D122" s="145">
        <f t="shared" si="4"/>
        <v>8655.2999999999993</v>
      </c>
      <c r="E122" s="145">
        <v>10261000</v>
      </c>
      <c r="F122" s="145">
        <f t="shared" si="5"/>
        <v>19012394.056478027</v>
      </c>
      <c r="G122" s="145">
        <v>14171</v>
      </c>
      <c r="H122" s="145">
        <v>14246</v>
      </c>
      <c r="I122" s="145">
        <v>13638</v>
      </c>
      <c r="J122" s="145">
        <v>16901</v>
      </c>
      <c r="K122" s="145">
        <v>5860</v>
      </c>
      <c r="L122" s="145">
        <v>6601</v>
      </c>
      <c r="M122" s="145">
        <v>8891</v>
      </c>
      <c r="N122" s="145">
        <v>8732</v>
      </c>
      <c r="O122" s="145">
        <v>7521</v>
      </c>
      <c r="P122" s="145">
        <v>7744</v>
      </c>
      <c r="Q122" s="145">
        <v>7242</v>
      </c>
      <c r="R122" s="145">
        <v>7647</v>
      </c>
      <c r="S122" s="145">
        <v>6491</v>
      </c>
      <c r="T122" s="145">
        <v>5394</v>
      </c>
      <c r="U122" s="145">
        <v>8796</v>
      </c>
      <c r="V122" s="145">
        <v>6364</v>
      </c>
      <c r="W122" s="145">
        <v>7197</v>
      </c>
      <c r="X122" s="145">
        <v>8424</v>
      </c>
      <c r="Y122" s="145">
        <v>13787</v>
      </c>
      <c r="Z122" s="145">
        <v>4500</v>
      </c>
      <c r="AA122" s="145">
        <v>51859</v>
      </c>
      <c r="AB122" s="75">
        <v>128643</v>
      </c>
      <c r="AC122" s="75">
        <v>132602</v>
      </c>
      <c r="AF122"/>
      <c r="AG122"/>
      <c r="AH122" s="75">
        <v>50201</v>
      </c>
      <c r="AI122" s="75">
        <v>50200</v>
      </c>
      <c r="AJ122" s="75">
        <v>50252</v>
      </c>
      <c r="AK122" s="75">
        <v>50432</v>
      </c>
      <c r="AL122" s="75">
        <v>50650</v>
      </c>
      <c r="AM122" s="75">
        <v>51123</v>
      </c>
      <c r="AN122" s="75">
        <v>51637</v>
      </c>
      <c r="AO122" s="75">
        <v>129041</v>
      </c>
      <c r="AP122" s="75">
        <v>108886</v>
      </c>
      <c r="AQ122" s="75">
        <v>128345000</v>
      </c>
      <c r="AR122" s="75">
        <v>127223</v>
      </c>
      <c r="AS122" s="75">
        <v>128102</v>
      </c>
      <c r="AT122" s="75">
        <v>131109</v>
      </c>
      <c r="AU122" s="75">
        <v>128643</v>
      </c>
      <c r="AV122" s="75">
        <v>132602</v>
      </c>
    </row>
    <row r="123" spans="1:48" ht="12.5" x14ac:dyDescent="0.25">
      <c r="A123" s="75" t="s">
        <v>522</v>
      </c>
      <c r="B123" s="75" t="s">
        <v>405</v>
      </c>
      <c r="C123" s="145">
        <f t="shared" si="3"/>
        <v>6995.2</v>
      </c>
      <c r="D123" s="145">
        <f t="shared" si="4"/>
        <v>5890.6</v>
      </c>
      <c r="E123" s="145">
        <v>17483000</v>
      </c>
      <c r="F123" s="145">
        <f t="shared" si="5"/>
        <v>32302066.055543855</v>
      </c>
      <c r="G123" s="145">
        <v>37</v>
      </c>
      <c r="H123" s="145">
        <v>148</v>
      </c>
      <c r="I123" s="145">
        <v>5290</v>
      </c>
      <c r="J123" s="145">
        <v>5463</v>
      </c>
      <c r="K123" s="145">
        <v>8183</v>
      </c>
      <c r="L123" s="145">
        <v>6553</v>
      </c>
      <c r="M123" s="145">
        <v>11256</v>
      </c>
      <c r="N123" s="145">
        <v>9749</v>
      </c>
      <c r="O123" s="145">
        <v>11453</v>
      </c>
      <c r="P123" s="145">
        <v>7062</v>
      </c>
      <c r="Q123" s="145">
        <v>13257</v>
      </c>
      <c r="R123" s="145">
        <v>12376</v>
      </c>
      <c r="S123" s="145">
        <v>7640</v>
      </c>
      <c r="T123" s="145">
        <v>3460</v>
      </c>
      <c r="U123" s="145">
        <v>5789</v>
      </c>
      <c r="V123" s="145">
        <v>5859</v>
      </c>
      <c r="W123" s="145">
        <v>1580</v>
      </c>
      <c r="X123" s="145">
        <v>1735</v>
      </c>
      <c r="Y123" s="145">
        <v>5467</v>
      </c>
      <c r="Z123" s="145">
        <v>6501</v>
      </c>
      <c r="AA123" s="145">
        <v>87514</v>
      </c>
      <c r="AB123" s="75">
        <v>369166</v>
      </c>
      <c r="AC123" s="75">
        <v>407295</v>
      </c>
      <c r="AF123"/>
      <c r="AG123"/>
      <c r="AH123" s="75">
        <v>87202</v>
      </c>
      <c r="AI123" s="75">
        <v>86819</v>
      </c>
      <c r="AJ123" s="75">
        <v>86826</v>
      </c>
      <c r="AK123" s="75">
        <v>87101</v>
      </c>
      <c r="AL123" s="75">
        <v>86936</v>
      </c>
      <c r="AM123" s="75">
        <v>86858</v>
      </c>
      <c r="AN123" s="75">
        <v>87122</v>
      </c>
      <c r="AO123" s="75">
        <v>256964</v>
      </c>
      <c r="AP123" s="75">
        <v>255513</v>
      </c>
      <c r="AQ123" s="75">
        <v>286707000</v>
      </c>
      <c r="AR123" s="75">
        <v>305101</v>
      </c>
      <c r="AS123" s="75">
        <v>336984</v>
      </c>
      <c r="AT123" s="75">
        <v>354725</v>
      </c>
      <c r="AU123" s="75">
        <v>369166</v>
      </c>
      <c r="AV123" s="75">
        <v>407295</v>
      </c>
    </row>
    <row r="124" spans="1:48" ht="12.5" x14ac:dyDescent="0.25">
      <c r="A124" s="75" t="s">
        <v>513</v>
      </c>
      <c r="B124" s="75" t="s">
        <v>369</v>
      </c>
      <c r="C124" s="145">
        <f t="shared" si="3"/>
        <v>1423.9</v>
      </c>
      <c r="D124" s="145">
        <f t="shared" si="4"/>
        <v>1510.2</v>
      </c>
      <c r="E124" s="145">
        <v>2513000</v>
      </c>
      <c r="F124" s="145">
        <f t="shared" si="5"/>
        <v>6128087.7347308444</v>
      </c>
      <c r="G124" s="145">
        <v>85</v>
      </c>
      <c r="H124" s="145">
        <v>31</v>
      </c>
      <c r="I124" s="145">
        <v>1544</v>
      </c>
      <c r="J124" s="145">
        <v>1613</v>
      </c>
      <c r="K124" s="145">
        <v>2416</v>
      </c>
      <c r="L124" s="145">
        <v>2415</v>
      </c>
      <c r="M124" s="145">
        <v>1403</v>
      </c>
      <c r="N124" s="145">
        <v>1404</v>
      </c>
      <c r="O124" s="145">
        <v>109</v>
      </c>
      <c r="P124" s="145">
        <v>109</v>
      </c>
      <c r="Q124" s="145">
        <v>4316</v>
      </c>
      <c r="R124" s="145">
        <v>4226</v>
      </c>
      <c r="S124" s="145">
        <v>570</v>
      </c>
      <c r="T124" s="145">
        <v>437</v>
      </c>
      <c r="U124" s="145">
        <v>2475</v>
      </c>
      <c r="V124" s="145">
        <v>2930</v>
      </c>
      <c r="W124" s="145">
        <v>902</v>
      </c>
      <c r="X124" s="145">
        <v>1742</v>
      </c>
      <c r="Y124" s="145">
        <v>419</v>
      </c>
      <c r="Z124" s="145">
        <v>195</v>
      </c>
      <c r="AA124" s="145">
        <v>17079</v>
      </c>
      <c r="AB124" s="75">
        <v>30256</v>
      </c>
      <c r="AC124" s="75">
        <v>31319</v>
      </c>
      <c r="AF124"/>
      <c r="AG124"/>
      <c r="AH124" s="75">
        <v>15713</v>
      </c>
      <c r="AI124" s="75">
        <v>15891</v>
      </c>
      <c r="AJ124" s="75">
        <v>15965</v>
      </c>
      <c r="AK124" s="75">
        <v>16125</v>
      </c>
      <c r="AL124" s="75">
        <v>16243</v>
      </c>
      <c r="AM124" s="75">
        <v>16478</v>
      </c>
      <c r="AN124" s="75">
        <v>16627</v>
      </c>
      <c r="AO124" s="75">
        <v>25110</v>
      </c>
      <c r="AP124" s="75">
        <v>24614</v>
      </c>
      <c r="AQ124" s="75">
        <v>17986000</v>
      </c>
      <c r="AR124" s="75">
        <v>18510</v>
      </c>
      <c r="AS124" s="75">
        <v>18210</v>
      </c>
      <c r="AT124" s="75">
        <v>23188</v>
      </c>
      <c r="AU124" s="75">
        <v>30256</v>
      </c>
      <c r="AV124" s="75">
        <v>31319</v>
      </c>
    </row>
    <row r="125" spans="1:48" ht="12.5" x14ac:dyDescent="0.25">
      <c r="A125" s="75" t="s">
        <v>514</v>
      </c>
      <c r="B125" s="75" t="s">
        <v>255</v>
      </c>
      <c r="C125" s="145">
        <f t="shared" si="3"/>
        <v>7132.3</v>
      </c>
      <c r="D125" s="145">
        <f t="shared" si="4"/>
        <v>6315.7</v>
      </c>
      <c r="E125" s="145">
        <v>3048000</v>
      </c>
      <c r="F125" s="145">
        <f t="shared" si="5"/>
        <v>9080563.0670544375</v>
      </c>
      <c r="G125" s="145">
        <v>2994</v>
      </c>
      <c r="H125" s="145">
        <v>2843</v>
      </c>
      <c r="I125" s="145">
        <v>10731</v>
      </c>
      <c r="J125" s="145">
        <v>10400</v>
      </c>
      <c r="K125" s="145">
        <v>11282</v>
      </c>
      <c r="L125" s="145">
        <v>4790</v>
      </c>
      <c r="M125" s="145">
        <v>7494</v>
      </c>
      <c r="N125" s="145">
        <v>7741</v>
      </c>
      <c r="O125" s="145">
        <v>22823</v>
      </c>
      <c r="P125" s="145">
        <v>22819</v>
      </c>
      <c r="Q125" s="145">
        <v>4173</v>
      </c>
      <c r="R125" s="145">
        <v>3850</v>
      </c>
      <c r="S125" s="145">
        <v>2083</v>
      </c>
      <c r="T125" s="145">
        <v>2184</v>
      </c>
      <c r="U125" s="145">
        <v>1477</v>
      </c>
      <c r="V125" s="145">
        <v>1296</v>
      </c>
      <c r="W125" s="145">
        <v>6266</v>
      </c>
      <c r="X125" s="145">
        <v>4269</v>
      </c>
      <c r="Y125" s="145">
        <v>2000</v>
      </c>
      <c r="Z125" s="145">
        <v>2965</v>
      </c>
      <c r="AA125" s="145">
        <v>24342</v>
      </c>
      <c r="AB125" s="75">
        <v>46974</v>
      </c>
      <c r="AC125" s="75">
        <v>48239</v>
      </c>
      <c r="AF125"/>
      <c r="AG125"/>
      <c r="AH125" s="75">
        <v>22851</v>
      </c>
      <c r="AI125" s="75">
        <v>23102</v>
      </c>
      <c r="AJ125" s="75">
        <v>23459</v>
      </c>
      <c r="AK125" s="75">
        <v>23955</v>
      </c>
      <c r="AL125" s="75">
        <v>24144</v>
      </c>
      <c r="AM125" s="75">
        <v>24417</v>
      </c>
      <c r="AN125" s="75">
        <v>24319</v>
      </c>
      <c r="AO125" s="75">
        <v>57387</v>
      </c>
      <c r="AP125" s="75">
        <v>55914</v>
      </c>
      <c r="AQ125" s="75">
        <v>56008000</v>
      </c>
      <c r="AR125" s="75">
        <v>54481</v>
      </c>
      <c r="AS125" s="75">
        <v>54704</v>
      </c>
      <c r="AT125" s="75">
        <v>51977</v>
      </c>
      <c r="AU125" s="75">
        <v>46974</v>
      </c>
      <c r="AV125" s="75">
        <v>48239</v>
      </c>
    </row>
    <row r="126" spans="1:48" ht="12.5" x14ac:dyDescent="0.25">
      <c r="A126" s="75" t="s">
        <v>518</v>
      </c>
      <c r="B126" s="75" t="s">
        <v>147</v>
      </c>
      <c r="C126" s="145">
        <f t="shared" si="3"/>
        <v>3515.1</v>
      </c>
      <c r="D126" s="145">
        <f t="shared" si="4"/>
        <v>3457</v>
      </c>
      <c r="E126" s="145">
        <v>7194000</v>
      </c>
      <c r="F126" s="145">
        <f t="shared" si="5"/>
        <v>13366654.288244689</v>
      </c>
      <c r="G126" s="145">
        <v>2506</v>
      </c>
      <c r="H126" s="145">
        <v>2510</v>
      </c>
      <c r="I126" s="145">
        <v>1477</v>
      </c>
      <c r="J126" s="145">
        <v>1957</v>
      </c>
      <c r="K126" s="145">
        <v>3862</v>
      </c>
      <c r="L126" s="145">
        <v>3518</v>
      </c>
      <c r="M126" s="145">
        <v>6578</v>
      </c>
      <c r="N126" s="145">
        <v>7389</v>
      </c>
      <c r="O126" s="145">
        <v>5139</v>
      </c>
      <c r="P126" s="145">
        <v>4943</v>
      </c>
      <c r="Q126" s="145">
        <v>3593</v>
      </c>
      <c r="R126" s="145">
        <v>3362</v>
      </c>
      <c r="S126" s="145">
        <v>4503</v>
      </c>
      <c r="T126" s="145">
        <v>4123</v>
      </c>
      <c r="U126" s="145">
        <v>2042</v>
      </c>
      <c r="V126" s="145">
        <v>1259</v>
      </c>
      <c r="W126" s="145">
        <v>1794</v>
      </c>
      <c r="X126" s="145">
        <v>2294</v>
      </c>
      <c r="Y126" s="145">
        <v>3657</v>
      </c>
      <c r="Z126" s="145">
        <v>3215</v>
      </c>
      <c r="AA126" s="145">
        <v>36211</v>
      </c>
      <c r="AB126" s="75">
        <v>123124</v>
      </c>
      <c r="AC126" s="75">
        <v>119150</v>
      </c>
      <c r="AF126"/>
      <c r="AG126"/>
      <c r="AH126" s="75">
        <v>35774</v>
      </c>
      <c r="AI126" s="75">
        <v>35808</v>
      </c>
      <c r="AJ126" s="75">
        <v>35812</v>
      </c>
      <c r="AK126" s="75">
        <v>35933</v>
      </c>
      <c r="AL126" s="75">
        <v>35932</v>
      </c>
      <c r="AM126" s="75">
        <v>35942</v>
      </c>
      <c r="AN126" s="75">
        <v>36261</v>
      </c>
      <c r="AO126" s="75">
        <v>128951</v>
      </c>
      <c r="AP126" s="75">
        <v>124309</v>
      </c>
      <c r="AQ126" s="75">
        <v>122691000</v>
      </c>
      <c r="AR126" s="75">
        <v>122308</v>
      </c>
      <c r="AS126" s="75">
        <v>123840</v>
      </c>
      <c r="AT126" s="75">
        <v>127500</v>
      </c>
      <c r="AU126" s="75">
        <v>123124</v>
      </c>
      <c r="AV126" s="75">
        <v>119150</v>
      </c>
    </row>
    <row r="127" spans="1:48" ht="12.5" x14ac:dyDescent="0.25">
      <c r="A127" s="75" t="s">
        <v>513</v>
      </c>
      <c r="B127" s="75" t="s">
        <v>370</v>
      </c>
      <c r="C127" s="145">
        <f t="shared" si="3"/>
        <v>28050.1</v>
      </c>
      <c r="D127" s="145">
        <f t="shared" si="4"/>
        <v>21833.5</v>
      </c>
      <c r="E127" s="145">
        <v>16173000</v>
      </c>
      <c r="F127" s="145">
        <f t="shared" si="5"/>
        <v>34761036.567865759</v>
      </c>
      <c r="G127" s="145">
        <v>29306</v>
      </c>
      <c r="H127" s="145">
        <v>25754</v>
      </c>
      <c r="I127" s="145">
        <v>74398</v>
      </c>
      <c r="J127" s="145">
        <v>45298</v>
      </c>
      <c r="K127" s="145">
        <v>26708</v>
      </c>
      <c r="L127" s="145">
        <v>16445</v>
      </c>
      <c r="M127" s="145">
        <v>14125</v>
      </c>
      <c r="N127" s="145">
        <v>15381</v>
      </c>
      <c r="O127" s="145">
        <v>18828</v>
      </c>
      <c r="P127" s="145">
        <v>22503</v>
      </c>
      <c r="Q127" s="145">
        <v>17099</v>
      </c>
      <c r="R127" s="145">
        <v>11148</v>
      </c>
      <c r="S127" s="145">
        <v>29155</v>
      </c>
      <c r="T127" s="145">
        <v>20555</v>
      </c>
      <c r="U127" s="145">
        <v>47013</v>
      </c>
      <c r="V127" s="145">
        <v>31916</v>
      </c>
      <c r="W127" s="145">
        <v>7689</v>
      </c>
      <c r="X127" s="145">
        <v>18567</v>
      </c>
      <c r="Y127" s="145">
        <v>16180</v>
      </c>
      <c r="Z127" s="145">
        <v>10768</v>
      </c>
      <c r="AA127" s="145">
        <v>96540</v>
      </c>
      <c r="AB127" s="75">
        <v>239481</v>
      </c>
      <c r="AC127" s="75">
        <v>245058</v>
      </c>
      <c r="AF127"/>
      <c r="AG127"/>
      <c r="AH127" s="75">
        <v>90619</v>
      </c>
      <c r="AI127" s="75">
        <v>90872</v>
      </c>
      <c r="AJ127" s="75">
        <v>91535</v>
      </c>
      <c r="AK127" s="75">
        <v>92418</v>
      </c>
      <c r="AL127" s="75">
        <v>92627</v>
      </c>
      <c r="AM127" s="75">
        <v>93470</v>
      </c>
      <c r="AN127" s="75">
        <v>94898</v>
      </c>
      <c r="AO127" s="75">
        <v>233398</v>
      </c>
      <c r="AP127" s="75">
        <v>226074</v>
      </c>
      <c r="AQ127" s="75">
        <v>238485000</v>
      </c>
      <c r="AR127" s="75">
        <v>239798</v>
      </c>
      <c r="AS127" s="75">
        <v>239366</v>
      </c>
      <c r="AT127" s="75">
        <v>238265</v>
      </c>
      <c r="AU127" s="75">
        <v>239481</v>
      </c>
      <c r="AV127" s="75">
        <v>245058</v>
      </c>
    </row>
    <row r="128" spans="1:48" ht="12.5" x14ac:dyDescent="0.25">
      <c r="A128" s="75" t="s">
        <v>517</v>
      </c>
      <c r="B128" s="75" t="s">
        <v>295</v>
      </c>
      <c r="C128" s="145">
        <f t="shared" si="3"/>
        <v>14043.3</v>
      </c>
      <c r="D128" s="145">
        <f t="shared" si="4"/>
        <v>14213.3</v>
      </c>
      <c r="E128" s="145">
        <v>2907000</v>
      </c>
      <c r="F128" s="145">
        <f t="shared" si="5"/>
        <v>11774943.1883146</v>
      </c>
      <c r="G128" s="145">
        <v>14650</v>
      </c>
      <c r="H128" s="145">
        <v>14086</v>
      </c>
      <c r="I128" s="145">
        <v>17477</v>
      </c>
      <c r="J128" s="145">
        <v>15333</v>
      </c>
      <c r="K128" s="145">
        <v>18797</v>
      </c>
      <c r="L128" s="145">
        <v>16916</v>
      </c>
      <c r="M128" s="145">
        <v>9827</v>
      </c>
      <c r="N128" s="145">
        <v>10026</v>
      </c>
      <c r="O128" s="145">
        <v>9848</v>
      </c>
      <c r="P128" s="145">
        <v>9173</v>
      </c>
      <c r="Q128" s="145">
        <v>10119</v>
      </c>
      <c r="R128" s="145">
        <v>9827</v>
      </c>
      <c r="S128" s="145">
        <v>30120</v>
      </c>
      <c r="T128" s="145">
        <v>30329</v>
      </c>
      <c r="U128" s="145">
        <v>10664</v>
      </c>
      <c r="V128" s="145">
        <v>10230</v>
      </c>
      <c r="W128" s="145">
        <v>11802</v>
      </c>
      <c r="X128" s="145">
        <v>18938</v>
      </c>
      <c r="Y128" s="145">
        <v>7129</v>
      </c>
      <c r="Z128" s="145">
        <v>7275</v>
      </c>
      <c r="AA128" s="145">
        <v>32852</v>
      </c>
      <c r="AB128" s="75">
        <v>84686</v>
      </c>
      <c r="AC128" s="75">
        <v>83530</v>
      </c>
      <c r="AF128"/>
      <c r="AG128"/>
      <c r="AH128" s="75">
        <v>29724</v>
      </c>
      <c r="AI128" s="75">
        <v>30681</v>
      </c>
      <c r="AJ128" s="75">
        <v>30962</v>
      </c>
      <c r="AK128" s="75">
        <v>31236</v>
      </c>
      <c r="AL128" s="75">
        <v>31258</v>
      </c>
      <c r="AM128" s="75">
        <v>31662</v>
      </c>
      <c r="AN128" s="75">
        <v>32183</v>
      </c>
      <c r="AO128" s="75">
        <v>67971</v>
      </c>
      <c r="AP128" s="75">
        <v>64258</v>
      </c>
      <c r="AQ128" s="75">
        <v>68603000</v>
      </c>
      <c r="AR128" s="75">
        <v>73214</v>
      </c>
      <c r="AS128" s="75">
        <v>77801</v>
      </c>
      <c r="AT128" s="75">
        <v>80902</v>
      </c>
      <c r="AU128" s="75">
        <v>84686</v>
      </c>
      <c r="AV128" s="75">
        <v>83530</v>
      </c>
    </row>
    <row r="129" spans="1:48" ht="12.5" x14ac:dyDescent="0.25">
      <c r="A129" s="75" t="s">
        <v>518</v>
      </c>
      <c r="B129" s="75" t="s">
        <v>722</v>
      </c>
      <c r="C129" s="145">
        <f t="shared" si="3"/>
        <v>25269.599999999999</v>
      </c>
      <c r="D129" s="145">
        <f t="shared" si="4"/>
        <v>23392.1</v>
      </c>
      <c r="E129" s="145">
        <v>14437000</v>
      </c>
      <c r="F129" s="145">
        <f t="shared" si="5"/>
        <v>30283047.466403563</v>
      </c>
      <c r="G129" s="145">
        <v>23780</v>
      </c>
      <c r="H129" s="145">
        <v>19599</v>
      </c>
      <c r="I129" s="145">
        <v>37778</v>
      </c>
      <c r="J129" s="145">
        <v>40893</v>
      </c>
      <c r="K129" s="145">
        <v>38132</v>
      </c>
      <c r="L129" s="145">
        <v>40613</v>
      </c>
      <c r="M129" s="145">
        <v>33835</v>
      </c>
      <c r="N129" s="145">
        <v>38331</v>
      </c>
      <c r="O129" s="145">
        <v>33041</v>
      </c>
      <c r="P129" s="145">
        <v>34274</v>
      </c>
      <c r="Q129" s="145">
        <v>22911</v>
      </c>
      <c r="R129" s="145">
        <v>22454</v>
      </c>
      <c r="S129" s="145">
        <v>14252</v>
      </c>
      <c r="T129" s="145">
        <v>5482</v>
      </c>
      <c r="U129" s="145">
        <v>20284</v>
      </c>
      <c r="V129" s="145">
        <v>6134</v>
      </c>
      <c r="W129" s="145">
        <v>21687</v>
      </c>
      <c r="X129" s="145">
        <v>19677</v>
      </c>
      <c r="Y129" s="145">
        <v>6996</v>
      </c>
      <c r="Z129" s="145">
        <v>6464</v>
      </c>
      <c r="AA129" s="145">
        <v>83644</v>
      </c>
      <c r="AB129" s="75">
        <v>280537</v>
      </c>
      <c r="AC129" s="75">
        <v>286308</v>
      </c>
      <c r="AF129"/>
      <c r="AG129"/>
      <c r="AH129" s="75">
        <v>80813</v>
      </c>
      <c r="AI129" s="75">
        <v>80608</v>
      </c>
      <c r="AJ129" s="75">
        <v>80660</v>
      </c>
      <c r="AK129" s="75">
        <v>81208</v>
      </c>
      <c r="AL129" s="75">
        <v>81049</v>
      </c>
      <c r="AM129" s="75">
        <v>81429</v>
      </c>
      <c r="AN129" s="75">
        <v>82311</v>
      </c>
      <c r="AO129" s="75">
        <v>214922</v>
      </c>
      <c r="AP129" s="75">
        <v>203045</v>
      </c>
      <c r="AQ129" s="75">
        <v>220947000</v>
      </c>
      <c r="AR129" s="75">
        <v>233133</v>
      </c>
      <c r="AS129" s="75">
        <v>250837</v>
      </c>
      <c r="AT129" s="75">
        <v>289811</v>
      </c>
      <c r="AU129" s="75">
        <v>280537</v>
      </c>
      <c r="AV129" s="75">
        <v>286308</v>
      </c>
    </row>
    <row r="130" spans="1:48" ht="12.5" x14ac:dyDescent="0.25">
      <c r="A130" s="75" t="s">
        <v>521</v>
      </c>
      <c r="B130" s="75" t="s">
        <v>593</v>
      </c>
      <c r="C130" s="145">
        <f t="shared" si="3"/>
        <v>3919.4</v>
      </c>
      <c r="D130" s="145">
        <f t="shared" si="4"/>
        <v>4158.5</v>
      </c>
      <c r="E130" s="145">
        <v>9834000</v>
      </c>
      <c r="F130" s="145">
        <f t="shared" si="5"/>
        <v>17853568.872510232</v>
      </c>
      <c r="G130" s="145">
        <v>182</v>
      </c>
      <c r="H130" s="145">
        <v>0</v>
      </c>
      <c r="I130" s="145">
        <v>1295</v>
      </c>
      <c r="J130" s="145">
        <v>2439</v>
      </c>
      <c r="K130" s="145">
        <v>1432</v>
      </c>
      <c r="L130" s="145">
        <v>1813</v>
      </c>
      <c r="M130" s="145">
        <v>1021</v>
      </c>
      <c r="N130" s="145">
        <v>1309</v>
      </c>
      <c r="O130" s="145">
        <v>2135</v>
      </c>
      <c r="P130" s="145">
        <v>2106</v>
      </c>
      <c r="Q130" s="145">
        <v>5120</v>
      </c>
      <c r="R130" s="145">
        <v>6253</v>
      </c>
      <c r="S130" s="145">
        <v>15016</v>
      </c>
      <c r="T130" s="145">
        <v>15242</v>
      </c>
      <c r="U130" s="145">
        <v>4578</v>
      </c>
      <c r="V130" s="145">
        <v>4414</v>
      </c>
      <c r="W130" s="145">
        <v>3145</v>
      </c>
      <c r="X130" s="145">
        <v>2794</v>
      </c>
      <c r="Y130" s="145">
        <v>5270</v>
      </c>
      <c r="Z130" s="145">
        <v>5215</v>
      </c>
      <c r="AA130" s="145">
        <v>48190</v>
      </c>
      <c r="AB130" s="75">
        <v>139940</v>
      </c>
      <c r="AC130" s="75">
        <v>135511</v>
      </c>
      <c r="AF130"/>
      <c r="AG130"/>
      <c r="AH130" s="75">
        <v>49815</v>
      </c>
      <c r="AI130" s="75">
        <v>49656</v>
      </c>
      <c r="AJ130" s="75">
        <v>49434</v>
      </c>
      <c r="AK130" s="75">
        <v>47821</v>
      </c>
      <c r="AL130" s="75">
        <v>47834</v>
      </c>
      <c r="AM130" s="75">
        <v>48007</v>
      </c>
      <c r="AN130" s="75">
        <v>48298</v>
      </c>
      <c r="AO130" s="75">
        <v>142039</v>
      </c>
      <c r="AP130" s="75">
        <v>142570</v>
      </c>
      <c r="AQ130" s="75">
        <v>140512000</v>
      </c>
      <c r="AR130" s="75">
        <v>139018</v>
      </c>
      <c r="AS130" s="75">
        <v>148823</v>
      </c>
      <c r="AT130" s="75">
        <v>148563</v>
      </c>
      <c r="AU130" s="75">
        <v>139940</v>
      </c>
      <c r="AV130" s="75">
        <v>135511</v>
      </c>
    </row>
    <row r="131" spans="1:48" ht="12.5" x14ac:dyDescent="0.25">
      <c r="A131" s="75" t="s">
        <v>515</v>
      </c>
      <c r="B131" s="75" t="s">
        <v>184</v>
      </c>
      <c r="C131" s="145">
        <f t="shared" ref="C131:C194" si="6">SUM(G131,I131,K131,M131,O131,Q131,S131,U131,W131,Y131)/10</f>
        <v>1362.6</v>
      </c>
      <c r="D131" s="145">
        <f t="shared" ref="D131:D194" si="7">SUM(H131,J131,L131,N131,P131,R131,T131,V131,X131,Z131)/10</f>
        <v>1447.9</v>
      </c>
      <c r="E131" s="145">
        <v>1403000</v>
      </c>
      <c r="F131" s="145">
        <f t="shared" ref="F131:F194" si="8">AM131*$AF$15</f>
        <v>6395480.3237144267</v>
      </c>
      <c r="G131" s="145">
        <v>310</v>
      </c>
      <c r="H131" s="145">
        <v>310</v>
      </c>
      <c r="I131" s="145">
        <v>674</v>
      </c>
      <c r="J131" s="145">
        <v>514</v>
      </c>
      <c r="K131" s="145">
        <v>1064</v>
      </c>
      <c r="L131" s="145">
        <v>1053</v>
      </c>
      <c r="M131" s="145">
        <v>2715</v>
      </c>
      <c r="N131" s="145">
        <v>3453</v>
      </c>
      <c r="O131" s="145">
        <v>2559</v>
      </c>
      <c r="P131" s="145">
        <v>2361</v>
      </c>
      <c r="Q131" s="145">
        <v>2117</v>
      </c>
      <c r="R131" s="145">
        <v>2329</v>
      </c>
      <c r="S131" s="145">
        <v>1147</v>
      </c>
      <c r="T131" s="145">
        <v>1067</v>
      </c>
      <c r="U131" s="145">
        <v>2026</v>
      </c>
      <c r="V131" s="145">
        <v>2014</v>
      </c>
      <c r="W131" s="145">
        <v>1014</v>
      </c>
      <c r="X131" s="145">
        <v>1012</v>
      </c>
      <c r="Y131" s="145">
        <v>0</v>
      </c>
      <c r="Z131" s="145">
        <v>366</v>
      </c>
      <c r="AA131" s="145">
        <v>16866</v>
      </c>
      <c r="AB131" s="75">
        <v>31191</v>
      </c>
      <c r="AC131" s="75">
        <v>32045</v>
      </c>
      <c r="AF131"/>
      <c r="AG131"/>
      <c r="AH131" s="75">
        <v>16468</v>
      </c>
      <c r="AI131" s="75">
        <v>16452</v>
      </c>
      <c r="AJ131" s="75">
        <v>16483</v>
      </c>
      <c r="AK131" s="75">
        <v>16431</v>
      </c>
      <c r="AL131" s="75">
        <v>16569</v>
      </c>
      <c r="AM131" s="75">
        <v>17197</v>
      </c>
      <c r="AN131" s="75">
        <v>16824</v>
      </c>
      <c r="AO131" s="75">
        <v>12266</v>
      </c>
      <c r="AP131" s="75">
        <v>10012</v>
      </c>
      <c r="AQ131" s="75">
        <v>10986000</v>
      </c>
      <c r="AR131" s="75">
        <v>14020</v>
      </c>
      <c r="AS131" s="75">
        <v>20334</v>
      </c>
      <c r="AT131" s="75">
        <v>27219</v>
      </c>
      <c r="AU131" s="75">
        <v>31191</v>
      </c>
      <c r="AV131" s="75">
        <v>32045</v>
      </c>
    </row>
    <row r="132" spans="1:48" ht="12.5" x14ac:dyDescent="0.25">
      <c r="A132" s="75" t="s">
        <v>513</v>
      </c>
      <c r="B132" s="75" t="s">
        <v>371</v>
      </c>
      <c r="C132" s="145">
        <f t="shared" si="6"/>
        <v>13063.5</v>
      </c>
      <c r="D132" s="145">
        <f t="shared" si="7"/>
        <v>11711.4</v>
      </c>
      <c r="E132" s="145">
        <v>4192000</v>
      </c>
      <c r="F132" s="145">
        <f t="shared" si="8"/>
        <v>16945772.892386556</v>
      </c>
      <c r="G132" s="145">
        <v>7150</v>
      </c>
      <c r="H132" s="145">
        <v>6746</v>
      </c>
      <c r="I132" s="145">
        <v>8497</v>
      </c>
      <c r="J132" s="145">
        <v>8219</v>
      </c>
      <c r="K132" s="145">
        <v>24698</v>
      </c>
      <c r="L132" s="145">
        <v>20517</v>
      </c>
      <c r="M132" s="145">
        <v>15284</v>
      </c>
      <c r="N132" s="145">
        <v>15713</v>
      </c>
      <c r="O132" s="145">
        <v>14771</v>
      </c>
      <c r="P132" s="145">
        <v>15753</v>
      </c>
      <c r="Q132" s="145">
        <v>13112</v>
      </c>
      <c r="R132" s="145">
        <v>11592</v>
      </c>
      <c r="S132" s="145">
        <v>7191</v>
      </c>
      <c r="T132" s="145">
        <v>5284</v>
      </c>
      <c r="U132" s="145">
        <v>6428</v>
      </c>
      <c r="V132" s="145">
        <v>2337</v>
      </c>
      <c r="W132" s="145">
        <v>19252</v>
      </c>
      <c r="X132" s="145">
        <v>18905</v>
      </c>
      <c r="Y132" s="145">
        <v>14252</v>
      </c>
      <c r="Z132" s="145">
        <v>12048</v>
      </c>
      <c r="AA132" s="145">
        <v>46345</v>
      </c>
      <c r="AB132" s="75">
        <v>88301</v>
      </c>
      <c r="AC132" s="75">
        <v>97132</v>
      </c>
      <c r="AF132"/>
      <c r="AG132"/>
      <c r="AH132" s="75">
        <v>43516</v>
      </c>
      <c r="AI132" s="75">
        <v>43747</v>
      </c>
      <c r="AJ132" s="75">
        <v>44107</v>
      </c>
      <c r="AK132" s="75">
        <v>44666</v>
      </c>
      <c r="AL132" s="75">
        <v>45005</v>
      </c>
      <c r="AM132" s="75">
        <v>45566</v>
      </c>
      <c r="AN132" s="75">
        <v>45830</v>
      </c>
      <c r="AO132" s="75">
        <v>185160</v>
      </c>
      <c r="AP132" s="75">
        <v>183628</v>
      </c>
      <c r="AQ132" s="75">
        <v>74359000</v>
      </c>
      <c r="AR132" s="75">
        <v>83800</v>
      </c>
      <c r="AS132" s="75">
        <v>87466</v>
      </c>
      <c r="AT132" s="75">
        <v>87325</v>
      </c>
      <c r="AU132" s="75">
        <v>88301</v>
      </c>
      <c r="AV132" s="75">
        <v>97132</v>
      </c>
    </row>
    <row r="133" spans="1:48" ht="12.5" x14ac:dyDescent="0.25">
      <c r="A133" s="75" t="s">
        <v>517</v>
      </c>
      <c r="B133" s="75" t="s">
        <v>296</v>
      </c>
      <c r="C133" s="145">
        <f t="shared" si="6"/>
        <v>2731.4</v>
      </c>
      <c r="D133" s="145">
        <f t="shared" si="7"/>
        <v>2423.9</v>
      </c>
      <c r="E133" s="145">
        <v>3004000</v>
      </c>
      <c r="F133" s="145">
        <f t="shared" si="8"/>
        <v>8299955.216878443</v>
      </c>
      <c r="G133" s="145">
        <v>553</v>
      </c>
      <c r="H133" s="145">
        <v>561</v>
      </c>
      <c r="I133" s="145">
        <v>30</v>
      </c>
      <c r="J133" s="145">
        <v>106</v>
      </c>
      <c r="K133" s="145">
        <v>2256</v>
      </c>
      <c r="L133" s="145">
        <v>2317</v>
      </c>
      <c r="M133" s="145">
        <v>2365</v>
      </c>
      <c r="N133" s="145">
        <v>2263</v>
      </c>
      <c r="O133" s="145">
        <v>445</v>
      </c>
      <c r="P133" s="145">
        <v>352</v>
      </c>
      <c r="Q133" s="145">
        <v>1554</v>
      </c>
      <c r="R133" s="145">
        <v>1480</v>
      </c>
      <c r="S133" s="145">
        <v>2678</v>
      </c>
      <c r="T133" s="145">
        <v>2040</v>
      </c>
      <c r="U133" s="145">
        <v>3960</v>
      </c>
      <c r="V133" s="145">
        <v>3832</v>
      </c>
      <c r="W133" s="145">
        <v>11382</v>
      </c>
      <c r="X133" s="145">
        <v>9751</v>
      </c>
      <c r="Y133" s="145">
        <v>2091</v>
      </c>
      <c r="Z133" s="145">
        <v>1537</v>
      </c>
      <c r="AA133" s="145">
        <v>22788</v>
      </c>
      <c r="AB133" s="75">
        <v>59818</v>
      </c>
      <c r="AC133" s="75">
        <v>63357</v>
      </c>
      <c r="AF133"/>
      <c r="AG133"/>
      <c r="AH133" s="75">
        <v>21313</v>
      </c>
      <c r="AI133" s="75">
        <v>21821</v>
      </c>
      <c r="AJ133" s="75">
        <v>21963</v>
      </c>
      <c r="AK133" s="75">
        <v>22209</v>
      </c>
      <c r="AL133" s="75">
        <v>22197</v>
      </c>
      <c r="AM133" s="75">
        <v>22318</v>
      </c>
      <c r="AN133" s="75">
        <v>22453</v>
      </c>
      <c r="AO133" s="75">
        <v>48406</v>
      </c>
      <c r="AP133" s="75">
        <v>47759</v>
      </c>
      <c r="AQ133" s="75">
        <v>50389000</v>
      </c>
      <c r="AR133" s="75">
        <v>53877</v>
      </c>
      <c r="AS133" s="75">
        <v>53454</v>
      </c>
      <c r="AT133" s="75">
        <v>57921</v>
      </c>
      <c r="AU133" s="75">
        <v>59818</v>
      </c>
      <c r="AV133" s="75">
        <v>63357</v>
      </c>
    </row>
    <row r="134" spans="1:48" ht="12.5" x14ac:dyDescent="0.25">
      <c r="A134" s="75" t="s">
        <v>513</v>
      </c>
      <c r="B134" s="75" t="s">
        <v>372</v>
      </c>
      <c r="C134" s="145">
        <f t="shared" si="6"/>
        <v>3358.5</v>
      </c>
      <c r="D134" s="145">
        <f t="shared" si="7"/>
        <v>2728</v>
      </c>
      <c r="E134" s="145">
        <v>1583000</v>
      </c>
      <c r="F134" s="145">
        <f t="shared" si="8"/>
        <v>5878546.1113539543</v>
      </c>
      <c r="G134" s="145">
        <v>5051</v>
      </c>
      <c r="H134" s="145">
        <v>4700</v>
      </c>
      <c r="I134" s="145">
        <v>4435</v>
      </c>
      <c r="J134" s="145">
        <v>2740</v>
      </c>
      <c r="K134" s="145">
        <v>2517</v>
      </c>
      <c r="L134" s="145">
        <v>2450</v>
      </c>
      <c r="M134" s="145">
        <v>3357</v>
      </c>
      <c r="N134" s="145">
        <v>2450</v>
      </c>
      <c r="O134" s="145">
        <v>4274</v>
      </c>
      <c r="P134" s="145">
        <v>3792</v>
      </c>
      <c r="Q134" s="145">
        <v>3944</v>
      </c>
      <c r="R134" s="145">
        <v>2948</v>
      </c>
      <c r="S134" s="145">
        <v>2483</v>
      </c>
      <c r="T134" s="145">
        <v>1756</v>
      </c>
      <c r="U134" s="145">
        <v>3305</v>
      </c>
      <c r="V134" s="145">
        <v>2106</v>
      </c>
      <c r="W134" s="145">
        <v>2957</v>
      </c>
      <c r="X134" s="145">
        <v>2903</v>
      </c>
      <c r="Y134" s="145">
        <v>1262</v>
      </c>
      <c r="Z134" s="145">
        <v>1435</v>
      </c>
      <c r="AA134" s="145">
        <v>16147</v>
      </c>
      <c r="AB134" s="75">
        <v>42047</v>
      </c>
      <c r="AC134" s="75">
        <v>42241</v>
      </c>
      <c r="AF134"/>
      <c r="AG134"/>
      <c r="AH134" s="75">
        <v>15282</v>
      </c>
      <c r="AI134" s="75">
        <v>15366</v>
      </c>
      <c r="AJ134" s="75">
        <v>15330</v>
      </c>
      <c r="AK134" s="75">
        <v>15521</v>
      </c>
      <c r="AL134" s="75">
        <v>15698</v>
      </c>
      <c r="AM134" s="75">
        <v>15807</v>
      </c>
      <c r="AN134" s="75">
        <v>15949</v>
      </c>
      <c r="AO134" s="75">
        <v>27517</v>
      </c>
      <c r="AP134" s="75">
        <v>29595</v>
      </c>
      <c r="AQ134" s="75">
        <v>27893000</v>
      </c>
      <c r="AR134" s="75">
        <v>30304</v>
      </c>
      <c r="AS134" s="75">
        <v>40968</v>
      </c>
      <c r="AT134" s="75">
        <v>42712</v>
      </c>
      <c r="AU134" s="75">
        <v>42047</v>
      </c>
      <c r="AV134" s="75">
        <v>42241</v>
      </c>
    </row>
    <row r="135" spans="1:48" ht="12.5" x14ac:dyDescent="0.25">
      <c r="A135" s="75" t="s">
        <v>514</v>
      </c>
      <c r="B135" s="75" t="s">
        <v>256</v>
      </c>
      <c r="C135" s="145">
        <f t="shared" si="6"/>
        <v>8323.5</v>
      </c>
      <c r="D135" s="145">
        <f t="shared" si="7"/>
        <v>7247.6</v>
      </c>
      <c r="E135" s="145">
        <v>10583000</v>
      </c>
      <c r="F135" s="145">
        <f t="shared" si="8"/>
        <v>34110592.0085719</v>
      </c>
      <c r="G135" s="145">
        <v>1817</v>
      </c>
      <c r="H135" s="145">
        <v>1743</v>
      </c>
      <c r="I135" s="145">
        <v>23379</v>
      </c>
      <c r="J135" s="145">
        <v>17601</v>
      </c>
      <c r="K135" s="145">
        <v>18726</v>
      </c>
      <c r="L135" s="145">
        <v>20819</v>
      </c>
      <c r="M135" s="145">
        <v>12368</v>
      </c>
      <c r="N135" s="145">
        <v>6983</v>
      </c>
      <c r="O135" s="145">
        <v>6188</v>
      </c>
      <c r="P135" s="145">
        <v>6203</v>
      </c>
      <c r="Q135" s="145">
        <v>3277</v>
      </c>
      <c r="R135" s="145">
        <v>4544</v>
      </c>
      <c r="S135" s="145">
        <v>6261</v>
      </c>
      <c r="T135" s="145">
        <v>2015</v>
      </c>
      <c r="U135" s="145">
        <v>2749</v>
      </c>
      <c r="V135" s="145">
        <v>3296</v>
      </c>
      <c r="W135" s="145">
        <v>4564</v>
      </c>
      <c r="X135" s="145">
        <v>6008</v>
      </c>
      <c r="Y135" s="145">
        <v>3906</v>
      </c>
      <c r="Z135" s="145">
        <v>3264</v>
      </c>
      <c r="AA135" s="145">
        <v>94351</v>
      </c>
      <c r="AB135" s="75">
        <v>271219</v>
      </c>
      <c r="AC135" s="75">
        <v>273051</v>
      </c>
      <c r="AF135"/>
      <c r="AG135"/>
      <c r="AH135" s="75">
        <v>88915</v>
      </c>
      <c r="AI135" s="75">
        <v>89552</v>
      </c>
      <c r="AJ135" s="75">
        <v>90198</v>
      </c>
      <c r="AK135" s="75">
        <v>91004</v>
      </c>
      <c r="AL135" s="75">
        <v>91235</v>
      </c>
      <c r="AM135" s="75">
        <v>91721</v>
      </c>
      <c r="AN135" s="75">
        <v>93345</v>
      </c>
      <c r="AO135" s="75">
        <v>298865</v>
      </c>
      <c r="AP135" s="75">
        <v>303504</v>
      </c>
      <c r="AQ135" s="75">
        <v>274175000</v>
      </c>
      <c r="AR135" s="75">
        <v>310150</v>
      </c>
      <c r="AS135" s="75">
        <v>325531</v>
      </c>
      <c r="AT135" s="75">
        <v>286542</v>
      </c>
      <c r="AU135" s="75">
        <v>271219</v>
      </c>
      <c r="AV135" s="75">
        <v>273051</v>
      </c>
    </row>
    <row r="136" spans="1:48" ht="12.5" x14ac:dyDescent="0.25">
      <c r="A136" s="75" t="s">
        <v>517</v>
      </c>
      <c r="B136" s="75" t="s">
        <v>594</v>
      </c>
      <c r="C136" s="145">
        <f t="shared" si="6"/>
        <v>4772.8</v>
      </c>
      <c r="D136" s="145">
        <f t="shared" si="7"/>
        <v>4283.2</v>
      </c>
      <c r="E136" s="145">
        <v>11263000</v>
      </c>
      <c r="F136" s="145">
        <f t="shared" si="8"/>
        <v>32996022.34350403</v>
      </c>
      <c r="G136" s="145">
        <v>1338</v>
      </c>
      <c r="H136" s="145">
        <v>1570</v>
      </c>
      <c r="I136" s="145">
        <v>12382</v>
      </c>
      <c r="J136" s="145">
        <v>11538</v>
      </c>
      <c r="K136" s="145">
        <v>10572</v>
      </c>
      <c r="L136" s="145">
        <v>9933</v>
      </c>
      <c r="M136" s="145">
        <v>6014</v>
      </c>
      <c r="N136" s="145">
        <v>5315</v>
      </c>
      <c r="O136" s="145">
        <v>4247</v>
      </c>
      <c r="P136" s="145">
        <v>4418</v>
      </c>
      <c r="Q136" s="145">
        <v>2905</v>
      </c>
      <c r="R136" s="145">
        <v>2447</v>
      </c>
      <c r="S136" s="145">
        <v>3256</v>
      </c>
      <c r="T136" s="145">
        <v>2708</v>
      </c>
      <c r="U136" s="145">
        <v>5475</v>
      </c>
      <c r="V136" s="145">
        <v>3526</v>
      </c>
      <c r="W136" s="145">
        <v>917</v>
      </c>
      <c r="X136" s="145">
        <v>619</v>
      </c>
      <c r="Y136" s="145">
        <v>622</v>
      </c>
      <c r="Z136" s="145">
        <v>758</v>
      </c>
      <c r="AA136" s="145">
        <v>90768</v>
      </c>
      <c r="AB136" s="75">
        <v>204153</v>
      </c>
      <c r="AC136" s="75">
        <v>212229</v>
      </c>
      <c r="AF136"/>
      <c r="AG136"/>
      <c r="AH136" s="75">
        <v>85677</v>
      </c>
      <c r="AI136" s="75">
        <v>86129</v>
      </c>
      <c r="AJ136" s="75">
        <v>86642</v>
      </c>
      <c r="AK136" s="75">
        <v>87454</v>
      </c>
      <c r="AL136" s="75">
        <v>88047</v>
      </c>
      <c r="AM136" s="75">
        <v>88724</v>
      </c>
      <c r="AN136" s="75">
        <v>89760</v>
      </c>
      <c r="AO136" s="75">
        <v>154525</v>
      </c>
      <c r="AP136" s="75">
        <v>144787</v>
      </c>
      <c r="AQ136" s="75">
        <v>147949000</v>
      </c>
      <c r="AR136" s="75">
        <v>153498</v>
      </c>
      <c r="AS136" s="75">
        <v>157674</v>
      </c>
      <c r="AT136" s="75">
        <v>189918</v>
      </c>
      <c r="AU136" s="75">
        <v>204153</v>
      </c>
      <c r="AV136" s="75">
        <v>212229</v>
      </c>
    </row>
    <row r="137" spans="1:48" ht="12.5" x14ac:dyDescent="0.25">
      <c r="A137" s="75" t="s">
        <v>518</v>
      </c>
      <c r="B137" s="75" t="s">
        <v>148</v>
      </c>
      <c r="C137" s="145">
        <f t="shared" si="6"/>
        <v>1366</v>
      </c>
      <c r="D137" s="145">
        <f t="shared" si="7"/>
        <v>1122.7</v>
      </c>
      <c r="E137" s="145">
        <v>4838000</v>
      </c>
      <c r="F137" s="145">
        <f t="shared" si="8"/>
        <v>13037899.0049881</v>
      </c>
      <c r="G137" s="145">
        <v>127</v>
      </c>
      <c r="H137" s="145">
        <v>179</v>
      </c>
      <c r="I137" s="145">
        <v>2697</v>
      </c>
      <c r="J137" s="145">
        <v>2913</v>
      </c>
      <c r="K137" s="145">
        <v>1898</v>
      </c>
      <c r="L137" s="145">
        <v>1581</v>
      </c>
      <c r="M137" s="145">
        <v>1967</v>
      </c>
      <c r="N137" s="145">
        <v>1235</v>
      </c>
      <c r="O137" s="145">
        <v>1280</v>
      </c>
      <c r="P137" s="145">
        <v>898</v>
      </c>
      <c r="Q137" s="145">
        <v>1640</v>
      </c>
      <c r="R137" s="145">
        <v>965</v>
      </c>
      <c r="S137" s="145">
        <v>0</v>
      </c>
      <c r="T137" s="145">
        <v>0</v>
      </c>
      <c r="U137" s="145">
        <v>1063</v>
      </c>
      <c r="V137" s="145">
        <v>835</v>
      </c>
      <c r="W137" s="145">
        <v>2649</v>
      </c>
      <c r="X137" s="145">
        <v>1993</v>
      </c>
      <c r="Y137" s="145">
        <v>339</v>
      </c>
      <c r="Z137" s="145">
        <v>628</v>
      </c>
      <c r="AA137" s="145">
        <v>35669</v>
      </c>
      <c r="AB137" s="75">
        <v>115060</v>
      </c>
      <c r="AC137" s="214">
        <v>122203</v>
      </c>
      <c r="AF137"/>
      <c r="AG137"/>
      <c r="AH137" s="75">
        <v>35008</v>
      </c>
      <c r="AI137" s="75">
        <v>34934</v>
      </c>
      <c r="AJ137" s="75">
        <v>34946</v>
      </c>
      <c r="AK137" s="75">
        <v>34993</v>
      </c>
      <c r="AL137" s="75">
        <v>35040</v>
      </c>
      <c r="AM137" s="75">
        <v>35058</v>
      </c>
      <c r="AN137" s="75">
        <v>35455</v>
      </c>
      <c r="AO137" s="75">
        <v>105456</v>
      </c>
      <c r="AP137" s="75">
        <v>91707</v>
      </c>
      <c r="AQ137" s="75">
        <v>109832000</v>
      </c>
      <c r="AR137" s="75">
        <v>109651</v>
      </c>
      <c r="AS137" s="75">
        <v>110024</v>
      </c>
      <c r="AT137" s="75">
        <v>115060</v>
      </c>
      <c r="AU137" s="75">
        <v>115060</v>
      </c>
      <c r="AV137" s="75">
        <v>122203</v>
      </c>
    </row>
    <row r="138" spans="1:48" ht="12.5" x14ac:dyDescent="0.25">
      <c r="A138" s="75" t="s">
        <v>514</v>
      </c>
      <c r="B138" s="75" t="s">
        <v>257</v>
      </c>
      <c r="C138" s="145">
        <f t="shared" si="6"/>
        <v>1274.9000000000001</v>
      </c>
      <c r="D138" s="145">
        <f t="shared" si="7"/>
        <v>1006.1</v>
      </c>
      <c r="E138" s="145">
        <v>8785000</v>
      </c>
      <c r="F138" s="145">
        <f t="shared" si="8"/>
        <v>18144390.8538526</v>
      </c>
      <c r="G138" s="145">
        <v>234</v>
      </c>
      <c r="H138" s="145">
        <v>479</v>
      </c>
      <c r="I138" s="145">
        <v>1249</v>
      </c>
      <c r="J138" s="145">
        <v>213</v>
      </c>
      <c r="K138" s="145">
        <v>1378</v>
      </c>
      <c r="L138" s="145">
        <v>1138</v>
      </c>
      <c r="M138" s="145">
        <v>1186</v>
      </c>
      <c r="N138" s="145">
        <v>858</v>
      </c>
      <c r="O138" s="145">
        <v>1458</v>
      </c>
      <c r="P138" s="145">
        <v>963</v>
      </c>
      <c r="Q138" s="145">
        <v>3120</v>
      </c>
      <c r="R138" s="145">
        <v>189</v>
      </c>
      <c r="S138" s="145">
        <v>1139</v>
      </c>
      <c r="T138" s="145">
        <v>897</v>
      </c>
      <c r="U138" s="145">
        <v>2690</v>
      </c>
      <c r="V138" s="145">
        <v>2849</v>
      </c>
      <c r="W138" s="145">
        <v>160</v>
      </c>
      <c r="X138" s="145">
        <v>486</v>
      </c>
      <c r="Y138" s="145">
        <v>135</v>
      </c>
      <c r="Z138" s="145">
        <v>1989</v>
      </c>
      <c r="AA138" s="145">
        <v>49984</v>
      </c>
      <c r="AB138" s="75">
        <v>118264</v>
      </c>
      <c r="AC138" s="75">
        <v>141086</v>
      </c>
      <c r="AF138"/>
      <c r="AG138"/>
      <c r="AH138" s="75">
        <v>47595</v>
      </c>
      <c r="AI138" s="75">
        <v>47686</v>
      </c>
      <c r="AJ138" s="75">
        <v>47802</v>
      </c>
      <c r="AK138" s="75">
        <v>48426</v>
      </c>
      <c r="AL138" s="75">
        <v>48583</v>
      </c>
      <c r="AM138" s="75">
        <v>48789</v>
      </c>
      <c r="AN138" s="75">
        <v>49431</v>
      </c>
      <c r="AO138" s="75">
        <v>88819</v>
      </c>
      <c r="AP138" s="75">
        <v>89417</v>
      </c>
      <c r="AQ138" s="75">
        <v>90225000</v>
      </c>
      <c r="AR138" s="75">
        <v>98026</v>
      </c>
      <c r="AS138" s="75">
        <v>100852</v>
      </c>
      <c r="AT138" s="75">
        <v>106983</v>
      </c>
      <c r="AU138" s="75">
        <v>118264</v>
      </c>
      <c r="AV138" s="75">
        <v>141086</v>
      </c>
    </row>
    <row r="139" spans="1:48" ht="12.5" x14ac:dyDescent="0.25">
      <c r="A139" s="75" t="s">
        <v>512</v>
      </c>
      <c r="B139" s="75" t="s">
        <v>109</v>
      </c>
      <c r="C139" s="145">
        <f t="shared" si="6"/>
        <v>5299.8</v>
      </c>
      <c r="D139" s="145">
        <f t="shared" si="7"/>
        <v>6043.7</v>
      </c>
      <c r="E139" s="145">
        <v>8228000</v>
      </c>
      <c r="F139" s="145">
        <f t="shared" si="8"/>
        <v>20778523.966190174</v>
      </c>
      <c r="G139" s="145">
        <v>3057</v>
      </c>
      <c r="H139" s="145">
        <v>2081</v>
      </c>
      <c r="I139" s="145">
        <v>6094</v>
      </c>
      <c r="J139" s="145">
        <v>3553</v>
      </c>
      <c r="K139" s="145">
        <v>15710</v>
      </c>
      <c r="L139" s="145">
        <v>27235</v>
      </c>
      <c r="M139" s="145">
        <v>3431</v>
      </c>
      <c r="N139" s="145">
        <v>3983</v>
      </c>
      <c r="O139" s="145">
        <v>4268</v>
      </c>
      <c r="P139" s="145">
        <v>3892</v>
      </c>
      <c r="Q139" s="145">
        <v>2654</v>
      </c>
      <c r="R139" s="145">
        <v>2526</v>
      </c>
      <c r="S139" s="145">
        <v>4516</v>
      </c>
      <c r="T139" s="145">
        <v>4194</v>
      </c>
      <c r="U139" s="145">
        <v>6074</v>
      </c>
      <c r="V139" s="145">
        <v>5578</v>
      </c>
      <c r="W139" s="145">
        <v>5132</v>
      </c>
      <c r="X139" s="145">
        <v>5306</v>
      </c>
      <c r="Y139" s="145">
        <v>2062</v>
      </c>
      <c r="Z139" s="145">
        <v>2089</v>
      </c>
      <c r="AA139" s="145">
        <v>56917</v>
      </c>
      <c r="AB139" s="75">
        <v>144840</v>
      </c>
      <c r="AC139" s="75">
        <v>133351</v>
      </c>
      <c r="AF139"/>
      <c r="AG139"/>
      <c r="AH139" s="75">
        <v>55320</v>
      </c>
      <c r="AI139" s="75">
        <v>55685</v>
      </c>
      <c r="AJ139" s="75">
        <v>55678</v>
      </c>
      <c r="AK139" s="75">
        <v>55722</v>
      </c>
      <c r="AL139" s="75">
        <v>55603</v>
      </c>
      <c r="AM139" s="75">
        <v>55872</v>
      </c>
      <c r="AN139" s="75">
        <v>56433</v>
      </c>
      <c r="AO139" s="75">
        <v>110175</v>
      </c>
      <c r="AP139" s="75">
        <v>104668</v>
      </c>
      <c r="AQ139" s="75">
        <v>130524000</v>
      </c>
      <c r="AR139" s="75">
        <v>137279</v>
      </c>
      <c r="AS139" s="75">
        <v>139399</v>
      </c>
      <c r="AT139" s="75">
        <v>139968</v>
      </c>
      <c r="AU139" s="75">
        <v>144840</v>
      </c>
      <c r="AV139" s="75">
        <v>133351</v>
      </c>
    </row>
    <row r="140" spans="1:48" ht="12.5" x14ac:dyDescent="0.25">
      <c r="A140" s="75" t="s">
        <v>514</v>
      </c>
      <c r="B140" s="75" t="s">
        <v>258</v>
      </c>
      <c r="C140" s="145">
        <f t="shared" si="6"/>
        <v>11232.9</v>
      </c>
      <c r="D140" s="145">
        <f t="shared" si="7"/>
        <v>10751</v>
      </c>
      <c r="E140" s="145">
        <v>15572000</v>
      </c>
      <c r="F140" s="145">
        <f t="shared" si="8"/>
        <v>27634782.339627355</v>
      </c>
      <c r="G140" s="145">
        <v>19129</v>
      </c>
      <c r="H140" s="145">
        <v>18991</v>
      </c>
      <c r="I140" s="145">
        <v>6331</v>
      </c>
      <c r="J140" s="145">
        <v>4707</v>
      </c>
      <c r="K140" s="145">
        <v>4648</v>
      </c>
      <c r="L140" s="145">
        <v>3918</v>
      </c>
      <c r="M140" s="145">
        <v>3961</v>
      </c>
      <c r="N140" s="145">
        <v>3812</v>
      </c>
      <c r="O140" s="145">
        <v>16362</v>
      </c>
      <c r="P140" s="145">
        <v>13359</v>
      </c>
      <c r="Q140" s="145">
        <v>12026</v>
      </c>
      <c r="R140" s="145">
        <v>8980</v>
      </c>
      <c r="S140" s="145">
        <v>13857</v>
      </c>
      <c r="T140" s="145">
        <v>12941</v>
      </c>
      <c r="U140" s="145">
        <v>15619</v>
      </c>
      <c r="V140" s="145">
        <v>11511</v>
      </c>
      <c r="W140" s="145">
        <v>8108</v>
      </c>
      <c r="X140" s="145">
        <v>5342</v>
      </c>
      <c r="Y140" s="145">
        <v>12288</v>
      </c>
      <c r="Z140" s="145">
        <v>23949</v>
      </c>
      <c r="AA140" s="145">
        <v>76050</v>
      </c>
      <c r="AB140" s="75">
        <v>193543</v>
      </c>
      <c r="AC140" s="75">
        <v>199008</v>
      </c>
      <c r="AF140"/>
      <c r="AG140"/>
      <c r="AH140" s="75">
        <v>72519</v>
      </c>
      <c r="AI140" s="75">
        <v>72808</v>
      </c>
      <c r="AJ140" s="75">
        <v>73037</v>
      </c>
      <c r="AK140" s="75">
        <v>73262</v>
      </c>
      <c r="AL140" s="75">
        <v>73619</v>
      </c>
      <c r="AM140" s="75">
        <v>74308</v>
      </c>
      <c r="AN140" s="75">
        <v>75216</v>
      </c>
      <c r="AO140" s="75">
        <v>179073</v>
      </c>
      <c r="AP140" s="75">
        <v>180961</v>
      </c>
      <c r="AQ140" s="75">
        <v>180406000</v>
      </c>
      <c r="AR140" s="75">
        <v>179988</v>
      </c>
      <c r="AS140" s="75">
        <v>182362</v>
      </c>
      <c r="AT140" s="75">
        <v>184656</v>
      </c>
      <c r="AU140" s="75">
        <v>193543</v>
      </c>
      <c r="AV140" s="75">
        <v>199008</v>
      </c>
    </row>
    <row r="141" spans="1:48" ht="12.5" x14ac:dyDescent="0.25">
      <c r="A141" s="75" t="s">
        <v>522</v>
      </c>
      <c r="B141" s="75" t="s">
        <v>406</v>
      </c>
      <c r="C141" s="145">
        <f t="shared" si="6"/>
        <v>7263.9</v>
      </c>
      <c r="D141" s="145">
        <f t="shared" si="7"/>
        <v>7354</v>
      </c>
      <c r="E141" s="145">
        <v>6981000</v>
      </c>
      <c r="F141" s="145">
        <f t="shared" si="8"/>
        <v>16006737.722451163</v>
      </c>
      <c r="G141" s="145">
        <v>9789</v>
      </c>
      <c r="H141" s="145">
        <v>10590</v>
      </c>
      <c r="I141" s="145">
        <v>7230</v>
      </c>
      <c r="J141" s="145">
        <v>8186</v>
      </c>
      <c r="K141" s="145">
        <v>12408</v>
      </c>
      <c r="L141" s="145">
        <v>13349</v>
      </c>
      <c r="M141" s="145">
        <v>15842</v>
      </c>
      <c r="N141" s="145">
        <v>13443</v>
      </c>
      <c r="O141" s="145">
        <v>3643</v>
      </c>
      <c r="P141" s="145">
        <v>4352</v>
      </c>
      <c r="Q141" s="145">
        <v>4726</v>
      </c>
      <c r="R141" s="145">
        <v>4260</v>
      </c>
      <c r="S141" s="145">
        <v>6472</v>
      </c>
      <c r="T141" s="145">
        <v>6336</v>
      </c>
      <c r="U141" s="145">
        <v>4842</v>
      </c>
      <c r="V141" s="145">
        <v>3697</v>
      </c>
      <c r="W141" s="145">
        <v>1924</v>
      </c>
      <c r="X141" s="145">
        <v>3522</v>
      </c>
      <c r="Y141" s="145">
        <v>5763</v>
      </c>
      <c r="Z141" s="145">
        <v>5805</v>
      </c>
      <c r="AA141" s="145">
        <v>44276</v>
      </c>
      <c r="AB141" s="75">
        <v>107621</v>
      </c>
      <c r="AC141" s="75">
        <v>116666</v>
      </c>
      <c r="AF141"/>
      <c r="AG141"/>
      <c r="AH141" s="75">
        <v>42135</v>
      </c>
      <c r="AI141" s="75">
        <v>42266</v>
      </c>
      <c r="AJ141" s="75">
        <v>42293</v>
      </c>
      <c r="AK141" s="75">
        <v>42470</v>
      </c>
      <c r="AL141" s="75">
        <v>42487</v>
      </c>
      <c r="AM141" s="75">
        <v>43041</v>
      </c>
      <c r="AN141" s="75">
        <v>43641</v>
      </c>
      <c r="AO141" s="75">
        <v>97609</v>
      </c>
      <c r="AP141" s="75">
        <v>93987</v>
      </c>
      <c r="AQ141" s="75">
        <v>96213000</v>
      </c>
      <c r="AR141" s="75">
        <v>95387</v>
      </c>
      <c r="AS141" s="75">
        <v>102216</v>
      </c>
      <c r="AT141" s="75">
        <v>101666</v>
      </c>
      <c r="AU141" s="75">
        <v>107621</v>
      </c>
      <c r="AV141" s="75">
        <v>116666</v>
      </c>
    </row>
    <row r="142" spans="1:48" ht="12.5" x14ac:dyDescent="0.25">
      <c r="A142" s="75" t="s">
        <v>520</v>
      </c>
      <c r="B142" s="75" t="s">
        <v>219</v>
      </c>
      <c r="C142" s="145">
        <f t="shared" si="6"/>
        <v>9479.4</v>
      </c>
      <c r="D142" s="145">
        <f t="shared" si="7"/>
        <v>7891.9</v>
      </c>
      <c r="E142" s="145">
        <v>5890000</v>
      </c>
      <c r="F142" s="145">
        <f t="shared" si="8"/>
        <v>18717481.228850793</v>
      </c>
      <c r="G142" s="145">
        <v>20182</v>
      </c>
      <c r="H142" s="145">
        <v>1671</v>
      </c>
      <c r="I142" s="145">
        <v>20067</v>
      </c>
      <c r="J142" s="145">
        <v>20073</v>
      </c>
      <c r="K142" s="145">
        <v>14419</v>
      </c>
      <c r="L142" s="145">
        <v>14566</v>
      </c>
      <c r="M142" s="145">
        <v>2999</v>
      </c>
      <c r="N142" s="145">
        <v>2909</v>
      </c>
      <c r="O142" s="145">
        <v>5966</v>
      </c>
      <c r="P142" s="145">
        <v>10400</v>
      </c>
      <c r="Q142" s="145">
        <v>6478</v>
      </c>
      <c r="R142" s="145">
        <v>6477</v>
      </c>
      <c r="S142" s="145">
        <v>7916</v>
      </c>
      <c r="T142" s="145">
        <v>7386</v>
      </c>
      <c r="U142" s="145">
        <v>8631</v>
      </c>
      <c r="V142" s="145">
        <v>8101</v>
      </c>
      <c r="W142" s="145">
        <v>6755</v>
      </c>
      <c r="X142" s="145">
        <v>6939</v>
      </c>
      <c r="Y142" s="145">
        <v>1381</v>
      </c>
      <c r="Z142" s="145">
        <v>397</v>
      </c>
      <c r="AA142" s="145">
        <v>50943</v>
      </c>
      <c r="AB142" s="75">
        <v>118102</v>
      </c>
      <c r="AC142" s="75">
        <v>115199</v>
      </c>
      <c r="AF142"/>
      <c r="AG142"/>
      <c r="AH142" s="75">
        <v>49294</v>
      </c>
      <c r="AI142" s="75">
        <v>49586</v>
      </c>
      <c r="AJ142" s="75">
        <v>49902</v>
      </c>
      <c r="AK142" s="75">
        <v>50164</v>
      </c>
      <c r="AL142" s="75">
        <v>50223</v>
      </c>
      <c r="AM142" s="75">
        <v>50330</v>
      </c>
      <c r="AN142" s="75">
        <v>50581</v>
      </c>
      <c r="AO142" s="75">
        <v>128292</v>
      </c>
      <c r="AP142" s="75">
        <v>129247</v>
      </c>
      <c r="AQ142" s="75">
        <v>129561000</v>
      </c>
      <c r="AR142" s="75">
        <v>127287</v>
      </c>
      <c r="AS142" s="75">
        <v>125444</v>
      </c>
      <c r="AT142" s="75">
        <v>122714</v>
      </c>
      <c r="AU142" s="75">
        <v>118102</v>
      </c>
      <c r="AV142" s="75">
        <v>115199</v>
      </c>
    </row>
    <row r="143" spans="1:48" ht="12.5" x14ac:dyDescent="0.25">
      <c r="A143" s="75" t="s">
        <v>514</v>
      </c>
      <c r="B143" s="75" t="s">
        <v>259</v>
      </c>
      <c r="C143" s="145">
        <f t="shared" si="6"/>
        <v>1109.3</v>
      </c>
      <c r="D143" s="145">
        <f t="shared" si="7"/>
        <v>1296.9000000000001</v>
      </c>
      <c r="E143" s="145">
        <v>9009000</v>
      </c>
      <c r="F143" s="145">
        <f t="shared" si="8"/>
        <v>15225757.977158362</v>
      </c>
      <c r="G143" s="145">
        <v>570</v>
      </c>
      <c r="H143" s="145">
        <v>433</v>
      </c>
      <c r="I143" s="145">
        <v>3235</v>
      </c>
      <c r="J143" s="145">
        <v>2965</v>
      </c>
      <c r="K143" s="145">
        <v>82</v>
      </c>
      <c r="L143" s="145">
        <v>-542</v>
      </c>
      <c r="M143" s="145">
        <v>80</v>
      </c>
      <c r="N143" s="145">
        <v>87</v>
      </c>
      <c r="O143" s="145">
        <v>2378</v>
      </c>
      <c r="P143" s="145">
        <v>4989</v>
      </c>
      <c r="Q143" s="145">
        <v>483</v>
      </c>
      <c r="R143" s="145">
        <v>481</v>
      </c>
      <c r="S143" s="145">
        <v>1704</v>
      </c>
      <c r="T143" s="145">
        <v>2499</v>
      </c>
      <c r="U143" s="145">
        <v>1887</v>
      </c>
      <c r="V143" s="145">
        <v>1565</v>
      </c>
      <c r="W143" s="145">
        <v>353</v>
      </c>
      <c r="X143" s="145">
        <v>220</v>
      </c>
      <c r="Y143" s="145">
        <v>321</v>
      </c>
      <c r="Z143" s="145">
        <v>272</v>
      </c>
      <c r="AA143" s="145">
        <v>41197</v>
      </c>
      <c r="AB143" s="75">
        <v>61589</v>
      </c>
      <c r="AC143" s="75">
        <v>58862</v>
      </c>
      <c r="AF143"/>
      <c r="AG143"/>
      <c r="AH143" s="75">
        <v>41378</v>
      </c>
      <c r="AI143" s="75">
        <v>41364</v>
      </c>
      <c r="AJ143" s="75">
        <v>41280</v>
      </c>
      <c r="AK143" s="75">
        <v>41263</v>
      </c>
      <c r="AL143" s="75">
        <v>41090</v>
      </c>
      <c r="AM143" s="75">
        <v>40941</v>
      </c>
      <c r="AN143" s="75">
        <v>41252</v>
      </c>
      <c r="AO143" s="75">
        <v>60996</v>
      </c>
      <c r="AP143" s="75">
        <v>65087</v>
      </c>
      <c r="AQ143" s="75">
        <v>56937000</v>
      </c>
      <c r="AR143" s="75">
        <v>58179</v>
      </c>
      <c r="AS143" s="75">
        <v>52211</v>
      </c>
      <c r="AT143" s="75">
        <v>53426</v>
      </c>
      <c r="AU143" s="75">
        <v>61589</v>
      </c>
      <c r="AV143" s="75">
        <v>58862</v>
      </c>
    </row>
    <row r="144" spans="1:48" ht="12.5" x14ac:dyDescent="0.25">
      <c r="A144" s="75" t="s">
        <v>524</v>
      </c>
      <c r="B144" s="75" t="s">
        <v>330</v>
      </c>
      <c r="C144" s="145">
        <f t="shared" si="6"/>
        <v>1374.4</v>
      </c>
      <c r="D144" s="145">
        <f t="shared" si="7"/>
        <v>1618.7</v>
      </c>
      <c r="E144" s="145">
        <v>3861000</v>
      </c>
      <c r="F144" s="145">
        <f t="shared" si="8"/>
        <v>10239016.355905425</v>
      </c>
      <c r="G144" s="145">
        <v>2156</v>
      </c>
      <c r="H144" s="145">
        <v>2127</v>
      </c>
      <c r="I144" s="145">
        <v>652</v>
      </c>
      <c r="J144" s="145">
        <v>761</v>
      </c>
      <c r="K144" s="145">
        <v>262</v>
      </c>
      <c r="L144" s="145">
        <v>3262</v>
      </c>
      <c r="M144" s="145">
        <v>1408</v>
      </c>
      <c r="N144" s="145">
        <v>1268</v>
      </c>
      <c r="O144" s="145">
        <v>1839</v>
      </c>
      <c r="P144" s="145">
        <v>1257</v>
      </c>
      <c r="Q144" s="145">
        <v>620</v>
      </c>
      <c r="R144" s="145">
        <v>233</v>
      </c>
      <c r="S144" s="145">
        <v>1067</v>
      </c>
      <c r="T144" s="145">
        <v>912</v>
      </c>
      <c r="U144" s="145">
        <v>1566</v>
      </c>
      <c r="V144" s="145">
        <v>2016</v>
      </c>
      <c r="W144" s="145">
        <v>3020</v>
      </c>
      <c r="X144" s="145">
        <v>3108</v>
      </c>
      <c r="Y144" s="145">
        <v>1154</v>
      </c>
      <c r="Z144" s="145">
        <v>1243</v>
      </c>
      <c r="AA144" s="145">
        <v>27385</v>
      </c>
      <c r="AB144" s="75">
        <v>64606</v>
      </c>
      <c r="AC144" s="75">
        <v>66559</v>
      </c>
      <c r="AF144"/>
      <c r="AG144"/>
      <c r="AH144" s="75">
        <v>27400</v>
      </c>
      <c r="AI144" s="75">
        <v>27469</v>
      </c>
      <c r="AJ144" s="75">
        <v>27523</v>
      </c>
      <c r="AK144" s="75">
        <v>27533</v>
      </c>
      <c r="AL144" s="75">
        <v>27575</v>
      </c>
      <c r="AM144" s="75">
        <v>27532</v>
      </c>
      <c r="AN144" s="75">
        <v>27596</v>
      </c>
      <c r="AO144" s="75">
        <v>59912</v>
      </c>
      <c r="AP144" s="75">
        <v>54721</v>
      </c>
      <c r="AQ144" s="75">
        <v>52051000</v>
      </c>
      <c r="AR144" s="75">
        <v>55139</v>
      </c>
      <c r="AS144" s="75">
        <v>60075</v>
      </c>
      <c r="AT144" s="75">
        <v>60037</v>
      </c>
      <c r="AU144" s="75">
        <v>64606</v>
      </c>
      <c r="AV144" s="75">
        <v>66559</v>
      </c>
    </row>
    <row r="145" spans="1:48" ht="12.5" x14ac:dyDescent="0.25">
      <c r="A145" s="75" t="s">
        <v>520</v>
      </c>
      <c r="B145" s="75" t="s">
        <v>220</v>
      </c>
      <c r="C145" s="145">
        <f t="shared" si="6"/>
        <v>2613.4</v>
      </c>
      <c r="D145" s="145">
        <f t="shared" si="7"/>
        <v>2065.4</v>
      </c>
      <c r="E145" s="145">
        <v>3635000</v>
      </c>
      <c r="F145" s="145">
        <f t="shared" si="8"/>
        <v>12435057.020645419</v>
      </c>
      <c r="G145" s="145">
        <v>721</v>
      </c>
      <c r="H145" s="145">
        <v>702</v>
      </c>
      <c r="I145" s="145">
        <v>5186</v>
      </c>
      <c r="J145" s="145">
        <v>5217</v>
      </c>
      <c r="K145" s="145">
        <v>7285</v>
      </c>
      <c r="L145" s="145">
        <v>6407</v>
      </c>
      <c r="M145" s="145">
        <v>9015</v>
      </c>
      <c r="N145" s="145">
        <v>5448</v>
      </c>
      <c r="O145" s="145">
        <v>488</v>
      </c>
      <c r="P145" s="145">
        <v>523</v>
      </c>
      <c r="Q145" s="145">
        <v>232</v>
      </c>
      <c r="R145" s="145">
        <v>759</v>
      </c>
      <c r="S145" s="145">
        <v>209</v>
      </c>
      <c r="T145" s="145">
        <v>174</v>
      </c>
      <c r="U145" s="145">
        <v>234</v>
      </c>
      <c r="V145" s="145">
        <v>264</v>
      </c>
      <c r="W145" s="145">
        <v>342</v>
      </c>
      <c r="X145" s="145">
        <v>355</v>
      </c>
      <c r="Y145" s="145">
        <v>2422</v>
      </c>
      <c r="Z145" s="145">
        <v>805</v>
      </c>
      <c r="AA145" s="145">
        <v>33349</v>
      </c>
      <c r="AB145" s="75">
        <v>69521</v>
      </c>
      <c r="AC145" s="75">
        <v>68760</v>
      </c>
      <c r="AF145"/>
      <c r="AG145"/>
      <c r="AH145" s="75">
        <v>34206</v>
      </c>
      <c r="AI145" s="75">
        <v>34299</v>
      </c>
      <c r="AJ145" s="75">
        <v>34162</v>
      </c>
      <c r="AK145" s="75">
        <v>34116</v>
      </c>
      <c r="AL145" s="75">
        <v>33819</v>
      </c>
      <c r="AM145" s="75">
        <v>33437</v>
      </c>
      <c r="AN145" s="75">
        <v>33492</v>
      </c>
      <c r="AO145" s="75">
        <v>62013</v>
      </c>
      <c r="AP145" s="75">
        <v>59251</v>
      </c>
      <c r="AQ145" s="75">
        <v>60232000</v>
      </c>
      <c r="AR145" s="75">
        <v>62218</v>
      </c>
      <c r="AS145" s="75">
        <v>65634</v>
      </c>
      <c r="AT145" s="75">
        <v>68171</v>
      </c>
      <c r="AU145" s="75">
        <v>69521</v>
      </c>
      <c r="AV145" s="75">
        <v>68760</v>
      </c>
    </row>
    <row r="146" spans="1:48" ht="12.5" x14ac:dyDescent="0.25">
      <c r="A146" s="75" t="s">
        <v>517</v>
      </c>
      <c r="B146" s="75" t="s">
        <v>297</v>
      </c>
      <c r="C146" s="145">
        <f t="shared" si="6"/>
        <v>3433.9</v>
      </c>
      <c r="D146" s="145">
        <f t="shared" si="7"/>
        <v>2508.1</v>
      </c>
      <c r="E146" s="145">
        <v>2752000</v>
      </c>
      <c r="F146" s="145">
        <f t="shared" si="8"/>
        <v>10374386.178422844</v>
      </c>
      <c r="G146" s="145">
        <v>2382</v>
      </c>
      <c r="H146" s="145">
        <v>2255</v>
      </c>
      <c r="I146" s="145">
        <v>6423</v>
      </c>
      <c r="J146" s="145">
        <v>4043</v>
      </c>
      <c r="K146" s="145">
        <v>1550</v>
      </c>
      <c r="L146" s="145">
        <v>2860</v>
      </c>
      <c r="M146" s="145">
        <v>4192</v>
      </c>
      <c r="N146" s="145">
        <v>1056</v>
      </c>
      <c r="O146" s="145">
        <v>6311</v>
      </c>
      <c r="P146" s="145">
        <v>6486</v>
      </c>
      <c r="Q146" s="145">
        <v>3377</v>
      </c>
      <c r="R146" s="145">
        <v>724</v>
      </c>
      <c r="S146" s="145">
        <v>3918</v>
      </c>
      <c r="T146" s="145">
        <v>2759</v>
      </c>
      <c r="U146" s="145">
        <v>2813</v>
      </c>
      <c r="V146" s="145">
        <v>2190</v>
      </c>
      <c r="W146" s="145">
        <v>1780</v>
      </c>
      <c r="X146" s="145">
        <v>1723</v>
      </c>
      <c r="Y146" s="145">
        <v>1593</v>
      </c>
      <c r="Z146" s="145">
        <v>985</v>
      </c>
      <c r="AA146" s="145">
        <v>29305</v>
      </c>
      <c r="AB146" s="75">
        <v>69944</v>
      </c>
      <c r="AC146" s="75">
        <v>72600</v>
      </c>
      <c r="AF146"/>
      <c r="AG146"/>
      <c r="AH146" s="75">
        <v>26377</v>
      </c>
      <c r="AI146" s="75">
        <v>26632</v>
      </c>
      <c r="AJ146" s="75">
        <v>26861</v>
      </c>
      <c r="AK146" s="75">
        <v>27285</v>
      </c>
      <c r="AL146" s="75">
        <v>27541</v>
      </c>
      <c r="AM146" s="75">
        <v>27896</v>
      </c>
      <c r="AN146" s="75">
        <v>28573</v>
      </c>
      <c r="AO146" s="75">
        <v>51573</v>
      </c>
      <c r="AP146" s="75">
        <v>112006</v>
      </c>
      <c r="AQ146" s="75">
        <v>54907000</v>
      </c>
      <c r="AR146" s="75">
        <v>72555</v>
      </c>
      <c r="AS146" s="75">
        <v>61100</v>
      </c>
      <c r="AT146" s="75">
        <v>64992</v>
      </c>
      <c r="AU146" s="75">
        <v>69944</v>
      </c>
      <c r="AV146" s="75">
        <v>72600</v>
      </c>
    </row>
    <row r="147" spans="1:48" ht="12.5" x14ac:dyDescent="0.25">
      <c r="A147" s="75" t="s">
        <v>518</v>
      </c>
      <c r="B147" s="75" t="s">
        <v>149</v>
      </c>
      <c r="C147" s="145">
        <f t="shared" si="6"/>
        <v>16893</v>
      </c>
      <c r="D147" s="145">
        <f t="shared" si="7"/>
        <v>15878.7</v>
      </c>
      <c r="E147" s="145">
        <v>7709000</v>
      </c>
      <c r="F147" s="145">
        <f t="shared" si="8"/>
        <v>20372414.498637918</v>
      </c>
      <c r="G147" s="145">
        <v>3252</v>
      </c>
      <c r="H147" s="145">
        <v>2474</v>
      </c>
      <c r="I147" s="145">
        <v>28517</v>
      </c>
      <c r="J147" s="145">
        <v>35315</v>
      </c>
      <c r="K147" s="145">
        <v>40467</v>
      </c>
      <c r="L147" s="145">
        <v>38848</v>
      </c>
      <c r="M147" s="145">
        <v>22898</v>
      </c>
      <c r="N147" s="145">
        <v>18316</v>
      </c>
      <c r="O147" s="145">
        <v>18761</v>
      </c>
      <c r="P147" s="145">
        <v>17855</v>
      </c>
      <c r="Q147" s="145">
        <v>19916</v>
      </c>
      <c r="R147" s="145">
        <v>15757</v>
      </c>
      <c r="S147" s="145">
        <v>29015</v>
      </c>
      <c r="T147" s="145">
        <v>28268</v>
      </c>
      <c r="U147" s="145">
        <v>2423</v>
      </c>
      <c r="V147" s="145">
        <v>-529</v>
      </c>
      <c r="W147" s="145">
        <v>979</v>
      </c>
      <c r="X147" s="145">
        <v>1611</v>
      </c>
      <c r="Y147" s="145">
        <v>2702</v>
      </c>
      <c r="Z147" s="145">
        <v>872</v>
      </c>
      <c r="AA147" s="145">
        <v>56541</v>
      </c>
      <c r="AB147" s="75">
        <v>157624</v>
      </c>
      <c r="AC147" s="75">
        <v>155805</v>
      </c>
      <c r="AF147"/>
      <c r="AG147"/>
      <c r="AH147" s="75">
        <v>52514</v>
      </c>
      <c r="AI147" s="75">
        <v>53258</v>
      </c>
      <c r="AJ147" s="75">
        <v>53787</v>
      </c>
      <c r="AK147" s="75">
        <v>54324</v>
      </c>
      <c r="AL147" s="75">
        <v>54474</v>
      </c>
      <c r="AM147" s="75">
        <v>54780</v>
      </c>
      <c r="AN147" s="75">
        <v>55614</v>
      </c>
      <c r="AO147" s="75">
        <v>114320</v>
      </c>
      <c r="AP147" s="75">
        <v>114730</v>
      </c>
      <c r="AQ147" s="75">
        <v>147397000</v>
      </c>
      <c r="AR147" s="75">
        <v>145461</v>
      </c>
      <c r="AS147" s="75">
        <v>146551</v>
      </c>
      <c r="AT147" s="75">
        <v>144116</v>
      </c>
      <c r="AU147" s="75">
        <v>157624</v>
      </c>
      <c r="AV147" s="75">
        <v>155805</v>
      </c>
    </row>
    <row r="148" spans="1:48" ht="12.5" x14ac:dyDescent="0.25">
      <c r="A148" s="75" t="s">
        <v>524</v>
      </c>
      <c r="B148" s="75" t="s">
        <v>331</v>
      </c>
      <c r="C148" s="145">
        <f t="shared" si="6"/>
        <v>2791.3</v>
      </c>
      <c r="D148" s="145">
        <f t="shared" si="7"/>
        <v>2417</v>
      </c>
      <c r="E148" s="145">
        <v>2598000</v>
      </c>
      <c r="F148" s="145">
        <f t="shared" si="8"/>
        <v>4843190.1061657835</v>
      </c>
      <c r="G148" s="145">
        <v>2644</v>
      </c>
      <c r="H148" s="145">
        <v>2660</v>
      </c>
      <c r="I148" s="145">
        <v>1685</v>
      </c>
      <c r="J148" s="145">
        <v>1627</v>
      </c>
      <c r="K148" s="145">
        <v>3918</v>
      </c>
      <c r="L148" s="145">
        <v>3936</v>
      </c>
      <c r="M148" s="145">
        <v>2725</v>
      </c>
      <c r="N148" s="145">
        <v>1410</v>
      </c>
      <c r="O148" s="145">
        <v>3128</v>
      </c>
      <c r="P148" s="145">
        <v>2669</v>
      </c>
      <c r="Q148" s="145">
        <v>2970</v>
      </c>
      <c r="R148" s="145">
        <v>2442</v>
      </c>
      <c r="S148" s="145">
        <v>4661</v>
      </c>
      <c r="T148" s="145">
        <v>4000</v>
      </c>
      <c r="U148" s="145">
        <v>2576</v>
      </c>
      <c r="V148" s="145">
        <v>2434</v>
      </c>
      <c r="W148" s="145">
        <v>1316</v>
      </c>
      <c r="X148" s="145">
        <v>1192</v>
      </c>
      <c r="Y148" s="145">
        <v>2290</v>
      </c>
      <c r="Z148" s="145">
        <v>1800</v>
      </c>
      <c r="AA148" s="145">
        <v>13024</v>
      </c>
      <c r="AB148" s="75">
        <v>51000</v>
      </c>
      <c r="AC148" s="75">
        <v>60596</v>
      </c>
      <c r="AF148"/>
      <c r="AG148"/>
      <c r="AH148" s="75">
        <v>12620</v>
      </c>
      <c r="AI148" s="75">
        <v>12710</v>
      </c>
      <c r="AJ148" s="75">
        <v>12804</v>
      </c>
      <c r="AK148" s="75">
        <v>12667</v>
      </c>
      <c r="AL148" s="75">
        <v>12882</v>
      </c>
      <c r="AM148" s="75">
        <v>13023</v>
      </c>
      <c r="AN148" s="75">
        <v>13051</v>
      </c>
      <c r="AO148" s="75">
        <v>37420</v>
      </c>
      <c r="AP148" s="75">
        <v>36212</v>
      </c>
      <c r="AQ148" s="75">
        <v>42567000</v>
      </c>
      <c r="AR148" s="75">
        <v>42663</v>
      </c>
      <c r="AS148" s="75">
        <v>49325</v>
      </c>
      <c r="AT148" s="75">
        <v>49144</v>
      </c>
      <c r="AU148" s="75">
        <v>51000</v>
      </c>
      <c r="AV148" s="75">
        <v>60596</v>
      </c>
    </row>
    <row r="149" spans="1:48" ht="12.5" x14ac:dyDescent="0.25">
      <c r="A149" s="75" t="s">
        <v>517</v>
      </c>
      <c r="B149" s="75" t="s">
        <v>298</v>
      </c>
      <c r="C149" s="145">
        <f t="shared" si="6"/>
        <v>14032</v>
      </c>
      <c r="D149" s="145">
        <f t="shared" si="7"/>
        <v>12931.9</v>
      </c>
      <c r="E149" s="145">
        <v>13165000</v>
      </c>
      <c r="F149" s="145">
        <f t="shared" si="8"/>
        <v>24559953.513874557</v>
      </c>
      <c r="G149" s="145">
        <v>17633</v>
      </c>
      <c r="H149" s="145">
        <v>16678</v>
      </c>
      <c r="I149" s="145">
        <v>21892</v>
      </c>
      <c r="J149" s="145">
        <v>23118</v>
      </c>
      <c r="K149" s="145">
        <v>20005</v>
      </c>
      <c r="L149" s="145">
        <v>19681</v>
      </c>
      <c r="M149" s="145">
        <v>21987</v>
      </c>
      <c r="N149" s="145">
        <v>18503</v>
      </c>
      <c r="O149" s="145">
        <v>18554</v>
      </c>
      <c r="P149" s="145">
        <v>15755</v>
      </c>
      <c r="Q149" s="145">
        <v>8280</v>
      </c>
      <c r="R149" s="145">
        <v>7701</v>
      </c>
      <c r="S149" s="145">
        <v>16213</v>
      </c>
      <c r="T149" s="145">
        <v>13170</v>
      </c>
      <c r="U149" s="145">
        <v>9651</v>
      </c>
      <c r="V149" s="145">
        <v>8058</v>
      </c>
      <c r="W149" s="145">
        <v>1668</v>
      </c>
      <c r="X149" s="145">
        <v>1461</v>
      </c>
      <c r="Y149" s="145">
        <v>4437</v>
      </c>
      <c r="Z149" s="145">
        <v>5194</v>
      </c>
      <c r="AA149" s="145">
        <v>67085</v>
      </c>
      <c r="AB149" s="75">
        <v>219268</v>
      </c>
      <c r="AC149" s="75">
        <v>224679</v>
      </c>
      <c r="AF149"/>
      <c r="AG149"/>
      <c r="AH149" s="75">
        <v>64546</v>
      </c>
      <c r="AI149" s="75">
        <v>64940</v>
      </c>
      <c r="AJ149" s="75">
        <v>65312</v>
      </c>
      <c r="AK149" s="75">
        <v>65712</v>
      </c>
      <c r="AL149" s="75">
        <v>65995</v>
      </c>
      <c r="AM149" s="75">
        <v>66040</v>
      </c>
      <c r="AN149" s="75">
        <v>66607</v>
      </c>
      <c r="AO149" s="75">
        <v>171153</v>
      </c>
      <c r="AP149" s="75">
        <v>168461</v>
      </c>
      <c r="AQ149" s="75">
        <v>174211000</v>
      </c>
      <c r="AR149" s="75">
        <v>188312</v>
      </c>
      <c r="AS149" s="75">
        <v>194301</v>
      </c>
      <c r="AT149" s="75">
        <v>202925</v>
      </c>
      <c r="AU149" s="75">
        <v>219268</v>
      </c>
      <c r="AV149" s="75">
        <v>224679</v>
      </c>
    </row>
    <row r="150" spans="1:48" ht="12.5" x14ac:dyDescent="0.25">
      <c r="A150" s="75" t="s">
        <v>522</v>
      </c>
      <c r="B150" s="75" t="s">
        <v>407</v>
      </c>
      <c r="C150" s="145">
        <f t="shared" si="6"/>
        <v>1971.6</v>
      </c>
      <c r="D150" s="145">
        <f t="shared" si="7"/>
        <v>1919.8</v>
      </c>
      <c r="E150" s="145">
        <v>10772000</v>
      </c>
      <c r="F150" s="145">
        <f t="shared" si="8"/>
        <v>16843129.840148073</v>
      </c>
      <c r="G150" s="145">
        <v>374</v>
      </c>
      <c r="H150" s="145">
        <v>2368</v>
      </c>
      <c r="I150" s="145">
        <v>3442</v>
      </c>
      <c r="J150" s="145">
        <v>3333</v>
      </c>
      <c r="K150" s="145">
        <v>3222</v>
      </c>
      <c r="L150" s="145">
        <v>2980</v>
      </c>
      <c r="M150" s="145">
        <v>2438</v>
      </c>
      <c r="N150" s="145">
        <v>2502</v>
      </c>
      <c r="O150" s="145">
        <v>3334</v>
      </c>
      <c r="P150" s="145">
        <v>2898</v>
      </c>
      <c r="Q150" s="145">
        <v>1855</v>
      </c>
      <c r="R150" s="145">
        <v>1415</v>
      </c>
      <c r="S150" s="145">
        <v>1250</v>
      </c>
      <c r="T150" s="145">
        <v>1129</v>
      </c>
      <c r="U150" s="145">
        <v>1106</v>
      </c>
      <c r="V150" s="145">
        <v>503</v>
      </c>
      <c r="W150" s="145">
        <v>1065</v>
      </c>
      <c r="X150" s="145">
        <v>684</v>
      </c>
      <c r="Y150" s="145">
        <v>1630</v>
      </c>
      <c r="Z150" s="145">
        <v>1386</v>
      </c>
      <c r="AA150" s="145">
        <v>45485</v>
      </c>
      <c r="AB150" s="75">
        <v>140790</v>
      </c>
      <c r="AC150" s="75">
        <v>157322</v>
      </c>
      <c r="AF150"/>
      <c r="AG150"/>
      <c r="AH150" s="75">
        <v>45954</v>
      </c>
      <c r="AI150" s="75">
        <v>45789</v>
      </c>
      <c r="AJ150" s="75">
        <v>45643</v>
      </c>
      <c r="AK150" s="75">
        <v>45746</v>
      </c>
      <c r="AL150" s="75">
        <v>45442</v>
      </c>
      <c r="AM150" s="75">
        <v>45290</v>
      </c>
      <c r="AN150" s="75">
        <v>45620</v>
      </c>
      <c r="AO150" s="75">
        <v>118336</v>
      </c>
      <c r="AP150" s="75">
        <v>102449</v>
      </c>
      <c r="AQ150" s="75">
        <v>107231000</v>
      </c>
      <c r="AR150" s="75">
        <v>126326</v>
      </c>
      <c r="AS150" s="75">
        <v>134780</v>
      </c>
      <c r="AT150" s="75">
        <v>137634</v>
      </c>
      <c r="AU150" s="75">
        <v>140790</v>
      </c>
      <c r="AV150" s="75">
        <v>157322</v>
      </c>
    </row>
    <row r="151" spans="1:48" ht="12.5" x14ac:dyDescent="0.25">
      <c r="A151" s="75" t="s">
        <v>514</v>
      </c>
      <c r="B151" s="75" t="s">
        <v>260</v>
      </c>
      <c r="C151" s="145">
        <f t="shared" si="6"/>
        <v>3724.4</v>
      </c>
      <c r="D151" s="145">
        <f t="shared" si="7"/>
        <v>3231.8</v>
      </c>
      <c r="E151" s="145">
        <v>4317000</v>
      </c>
      <c r="F151" s="145">
        <f t="shared" si="8"/>
        <v>8568835.3863292504</v>
      </c>
      <c r="G151" s="145">
        <v>3755</v>
      </c>
      <c r="H151" s="145">
        <v>3963</v>
      </c>
      <c r="I151" s="145">
        <v>2169</v>
      </c>
      <c r="J151" s="145">
        <v>904</v>
      </c>
      <c r="K151" s="145">
        <v>1725</v>
      </c>
      <c r="L151" s="145">
        <v>1753</v>
      </c>
      <c r="M151" s="145">
        <v>180</v>
      </c>
      <c r="N151" s="145">
        <v>439</v>
      </c>
      <c r="O151" s="145">
        <v>2074</v>
      </c>
      <c r="P151" s="145">
        <v>2218</v>
      </c>
      <c r="Q151" s="145">
        <v>5191</v>
      </c>
      <c r="R151" s="145">
        <v>4629</v>
      </c>
      <c r="S151" s="145">
        <v>4249</v>
      </c>
      <c r="T151" s="145">
        <v>3425</v>
      </c>
      <c r="U151" s="145">
        <v>5284</v>
      </c>
      <c r="V151" s="145">
        <v>4881</v>
      </c>
      <c r="W151" s="145">
        <v>4909</v>
      </c>
      <c r="X151" s="145">
        <v>3675</v>
      </c>
      <c r="Y151" s="145">
        <v>7708</v>
      </c>
      <c r="Z151" s="145">
        <v>6431</v>
      </c>
      <c r="AA151" s="145">
        <v>23826</v>
      </c>
      <c r="AB151" s="75">
        <v>58997</v>
      </c>
      <c r="AC151" s="75">
        <v>60167</v>
      </c>
      <c r="AF151"/>
      <c r="AG151"/>
      <c r="AH151" s="75">
        <v>22524</v>
      </c>
      <c r="AI151" s="75">
        <v>22671</v>
      </c>
      <c r="AJ151" s="75">
        <v>22736</v>
      </c>
      <c r="AK151" s="75">
        <v>22811</v>
      </c>
      <c r="AL151" s="75">
        <v>22940</v>
      </c>
      <c r="AM151" s="75">
        <v>23041</v>
      </c>
      <c r="AN151" s="75">
        <v>23509</v>
      </c>
      <c r="AO151" s="75">
        <v>66786</v>
      </c>
      <c r="AP151" s="75">
        <v>63834</v>
      </c>
      <c r="AQ151" s="75">
        <v>64682000</v>
      </c>
      <c r="AR151" s="75">
        <v>61554</v>
      </c>
      <c r="AS151" s="75">
        <v>58991</v>
      </c>
      <c r="AT151" s="75">
        <v>58410</v>
      </c>
      <c r="AU151" s="75">
        <v>58997</v>
      </c>
      <c r="AV151" s="75">
        <v>60167</v>
      </c>
    </row>
    <row r="152" spans="1:48" ht="12.5" x14ac:dyDescent="0.25">
      <c r="A152" s="75" t="s">
        <v>517</v>
      </c>
      <c r="B152" s="75" t="s">
        <v>299</v>
      </c>
      <c r="C152" s="145">
        <f t="shared" si="6"/>
        <v>1909.9</v>
      </c>
      <c r="D152" s="145">
        <f t="shared" si="7"/>
        <v>2283.8000000000002</v>
      </c>
      <c r="E152" s="145">
        <v>3925000</v>
      </c>
      <c r="F152" s="145">
        <f t="shared" si="8"/>
        <v>10939666.755968109</v>
      </c>
      <c r="G152" s="145">
        <v>4750</v>
      </c>
      <c r="H152" s="145">
        <v>5056</v>
      </c>
      <c r="I152" s="145">
        <v>3272</v>
      </c>
      <c r="J152" s="145">
        <v>4192</v>
      </c>
      <c r="K152" s="145">
        <v>4039</v>
      </c>
      <c r="L152" s="145">
        <v>4030</v>
      </c>
      <c r="M152" s="145">
        <v>1318</v>
      </c>
      <c r="N152" s="145">
        <v>769</v>
      </c>
      <c r="O152" s="145">
        <v>605</v>
      </c>
      <c r="P152" s="145">
        <v>774</v>
      </c>
      <c r="Q152" s="145">
        <v>2019</v>
      </c>
      <c r="R152" s="145">
        <v>2614</v>
      </c>
      <c r="S152" s="145">
        <v>735</v>
      </c>
      <c r="T152" s="145">
        <v>557</v>
      </c>
      <c r="U152" s="145">
        <v>677</v>
      </c>
      <c r="V152" s="145">
        <v>1920</v>
      </c>
      <c r="W152" s="145">
        <v>164</v>
      </c>
      <c r="X152" s="145">
        <v>-475</v>
      </c>
      <c r="Y152" s="145">
        <v>1520</v>
      </c>
      <c r="Z152" s="145">
        <v>3401</v>
      </c>
      <c r="AA152" s="145">
        <v>29782</v>
      </c>
      <c r="AB152" s="75">
        <v>68382</v>
      </c>
      <c r="AC152" s="75">
        <v>77149</v>
      </c>
      <c r="AF152"/>
      <c r="AG152"/>
      <c r="AH152" s="75">
        <v>29139</v>
      </c>
      <c r="AI152" s="75">
        <v>29290</v>
      </c>
      <c r="AJ152" s="75">
        <v>29353</v>
      </c>
      <c r="AK152" s="75">
        <v>29484</v>
      </c>
      <c r="AL152" s="75">
        <v>29410</v>
      </c>
      <c r="AM152" s="75">
        <v>29416</v>
      </c>
      <c r="AN152" s="75">
        <v>29504</v>
      </c>
      <c r="AO152" s="75">
        <v>49815</v>
      </c>
      <c r="AP152" s="75">
        <v>54210</v>
      </c>
      <c r="AQ152" s="75">
        <v>56420000</v>
      </c>
      <c r="AR152" s="75">
        <v>58609</v>
      </c>
      <c r="AS152" s="75">
        <v>59863</v>
      </c>
      <c r="AT152" s="75">
        <v>59126</v>
      </c>
      <c r="AU152" s="75">
        <v>68382</v>
      </c>
      <c r="AV152" s="75">
        <v>77149</v>
      </c>
    </row>
    <row r="153" spans="1:48" ht="12.5" x14ac:dyDescent="0.25">
      <c r="A153" s="75" t="s">
        <v>517</v>
      </c>
      <c r="B153" s="75" t="s">
        <v>474</v>
      </c>
      <c r="C153" s="145">
        <f t="shared" si="6"/>
        <v>6025.6</v>
      </c>
      <c r="D153" s="145">
        <f t="shared" si="7"/>
        <v>5554.6</v>
      </c>
      <c r="E153" s="145">
        <v>6979000</v>
      </c>
      <c r="F153" s="145">
        <f t="shared" si="8"/>
        <v>21222194.840539847</v>
      </c>
      <c r="G153" s="145">
        <v>412</v>
      </c>
      <c r="H153" s="145">
        <v>439</v>
      </c>
      <c r="I153" s="145">
        <v>6278</v>
      </c>
      <c r="J153" s="145">
        <v>6271</v>
      </c>
      <c r="K153" s="145">
        <v>6827</v>
      </c>
      <c r="L153" s="145">
        <v>8737</v>
      </c>
      <c r="M153" s="145">
        <v>8139</v>
      </c>
      <c r="N153" s="145">
        <v>5783</v>
      </c>
      <c r="O153" s="145">
        <v>11542</v>
      </c>
      <c r="P153" s="145">
        <v>10614</v>
      </c>
      <c r="Q153" s="145">
        <v>3391</v>
      </c>
      <c r="R153" s="145">
        <v>2759</v>
      </c>
      <c r="S153" s="145">
        <v>9409</v>
      </c>
      <c r="T153" s="145">
        <v>7506</v>
      </c>
      <c r="U153" s="145">
        <v>5138</v>
      </c>
      <c r="V153" s="145">
        <v>4513</v>
      </c>
      <c r="W153" s="145">
        <v>1819</v>
      </c>
      <c r="X153" s="145">
        <v>1740</v>
      </c>
      <c r="Y153" s="145">
        <v>7301</v>
      </c>
      <c r="Z153" s="145">
        <v>7184</v>
      </c>
      <c r="AA153" s="145">
        <v>57800</v>
      </c>
      <c r="AB153" s="75">
        <v>133318</v>
      </c>
      <c r="AC153" s="75">
        <v>135755</v>
      </c>
      <c r="AF153"/>
      <c r="AG153"/>
      <c r="AH153" s="75">
        <v>55218</v>
      </c>
      <c r="AI153" s="75">
        <v>55656</v>
      </c>
      <c r="AJ153" s="75">
        <v>56043</v>
      </c>
      <c r="AK153" s="75">
        <v>56271</v>
      </c>
      <c r="AL153" s="75">
        <v>56622</v>
      </c>
      <c r="AM153" s="75">
        <v>57065</v>
      </c>
      <c r="AN153" s="75">
        <v>57700</v>
      </c>
      <c r="AO153" s="75">
        <v>135261</v>
      </c>
      <c r="AP153" s="75">
        <v>116478</v>
      </c>
      <c r="AQ153" s="75">
        <v>123496000</v>
      </c>
      <c r="AR153" s="75">
        <v>128012</v>
      </c>
      <c r="AS153" s="75">
        <v>125650</v>
      </c>
      <c r="AT153" s="75">
        <v>128777</v>
      </c>
      <c r="AU153" s="75">
        <v>133318</v>
      </c>
      <c r="AV153" s="75">
        <v>135755</v>
      </c>
    </row>
    <row r="154" spans="1:48" ht="12.5" x14ac:dyDescent="0.25">
      <c r="A154" s="75" t="s">
        <v>513</v>
      </c>
      <c r="B154" s="75" t="s">
        <v>373</v>
      </c>
      <c r="C154" s="145">
        <f t="shared" si="6"/>
        <v>5179.1000000000004</v>
      </c>
      <c r="D154" s="145">
        <f t="shared" si="7"/>
        <v>4552.3999999999996</v>
      </c>
      <c r="E154" s="145">
        <v>1907000</v>
      </c>
      <c r="F154" s="145">
        <f t="shared" si="8"/>
        <v>8533133.4551158641</v>
      </c>
      <c r="G154" s="145">
        <v>3020</v>
      </c>
      <c r="H154" s="145">
        <v>2035</v>
      </c>
      <c r="I154" s="145">
        <v>5525</v>
      </c>
      <c r="J154" s="145">
        <v>6229</v>
      </c>
      <c r="K154" s="145">
        <v>6146</v>
      </c>
      <c r="L154" s="145">
        <v>5262</v>
      </c>
      <c r="M154" s="145">
        <v>6598</v>
      </c>
      <c r="N154" s="145">
        <v>4787</v>
      </c>
      <c r="O154" s="145">
        <v>8962</v>
      </c>
      <c r="P154" s="145">
        <v>7844</v>
      </c>
      <c r="Q154" s="145">
        <v>5314</v>
      </c>
      <c r="R154" s="145">
        <v>5060</v>
      </c>
      <c r="S154" s="145">
        <v>6224</v>
      </c>
      <c r="T154" s="145">
        <v>5466</v>
      </c>
      <c r="U154" s="145">
        <v>4422</v>
      </c>
      <c r="V154" s="145">
        <v>3773</v>
      </c>
      <c r="W154" s="145">
        <v>2802</v>
      </c>
      <c r="X154" s="145">
        <v>1526</v>
      </c>
      <c r="Y154" s="145">
        <v>2778</v>
      </c>
      <c r="Z154" s="145">
        <v>3542</v>
      </c>
      <c r="AA154" s="145">
        <v>23324</v>
      </c>
      <c r="AB154" s="75">
        <v>52315</v>
      </c>
      <c r="AC154" s="75">
        <v>50685</v>
      </c>
      <c r="AF154"/>
      <c r="AG154"/>
      <c r="AH154" s="75">
        <v>21945</v>
      </c>
      <c r="AI154" s="75">
        <v>22159</v>
      </c>
      <c r="AJ154" s="75">
        <v>22334</v>
      </c>
      <c r="AK154" s="75">
        <v>22498</v>
      </c>
      <c r="AL154" s="75">
        <v>22805</v>
      </c>
      <c r="AM154" s="75">
        <v>22945</v>
      </c>
      <c r="AN154" s="75">
        <v>23260</v>
      </c>
      <c r="AO154" s="75">
        <v>45756</v>
      </c>
      <c r="AP154" s="75">
        <v>48412</v>
      </c>
      <c r="AQ154" s="75">
        <v>48439000</v>
      </c>
      <c r="AR154" s="75">
        <v>46787</v>
      </c>
      <c r="AS154" s="75">
        <v>50369</v>
      </c>
      <c r="AT154" s="75">
        <v>51271</v>
      </c>
      <c r="AU154" s="75">
        <v>52315</v>
      </c>
      <c r="AV154" s="75">
        <v>50685</v>
      </c>
    </row>
    <row r="155" spans="1:48" ht="12.5" x14ac:dyDescent="0.25">
      <c r="A155" s="75" t="s">
        <v>522</v>
      </c>
      <c r="B155" s="75" t="s">
        <v>408</v>
      </c>
      <c r="C155" s="145">
        <f t="shared" si="6"/>
        <v>636.20000000000005</v>
      </c>
      <c r="D155" s="145">
        <f t="shared" si="7"/>
        <v>840.9</v>
      </c>
      <c r="E155" s="145">
        <v>6685000</v>
      </c>
      <c r="F155" s="145">
        <f t="shared" si="8"/>
        <v>13766069.643694436</v>
      </c>
      <c r="G155" s="145">
        <v>145</v>
      </c>
      <c r="H155" s="145">
        <v>389</v>
      </c>
      <c r="I155" s="145">
        <v>2454</v>
      </c>
      <c r="J155" s="145">
        <v>2611</v>
      </c>
      <c r="K155" s="145">
        <v>2295</v>
      </c>
      <c r="L155" s="145">
        <v>2491</v>
      </c>
      <c r="M155" s="145">
        <v>294</v>
      </c>
      <c r="N155" s="145">
        <v>314</v>
      </c>
      <c r="O155" s="145">
        <v>179</v>
      </c>
      <c r="P155" s="145">
        <v>242</v>
      </c>
      <c r="Q155" s="145">
        <v>267</v>
      </c>
      <c r="R155" s="145">
        <v>615</v>
      </c>
      <c r="S155" s="145">
        <v>176</v>
      </c>
      <c r="T155" s="145">
        <v>379</v>
      </c>
      <c r="U155" s="145">
        <v>238</v>
      </c>
      <c r="V155" s="145">
        <v>353</v>
      </c>
      <c r="W155" s="145">
        <v>118</v>
      </c>
      <c r="X155" s="145">
        <v>343</v>
      </c>
      <c r="Y155" s="145">
        <v>196</v>
      </c>
      <c r="Z155" s="145">
        <v>672</v>
      </c>
      <c r="AA155" s="145">
        <v>36850</v>
      </c>
      <c r="AB155" s="75">
        <v>87736</v>
      </c>
      <c r="AC155" s="75">
        <v>98198</v>
      </c>
      <c r="AF155"/>
      <c r="AG155"/>
      <c r="AH155" s="75">
        <v>37479</v>
      </c>
      <c r="AI155" s="75">
        <v>37591</v>
      </c>
      <c r="AJ155" s="75">
        <v>37596</v>
      </c>
      <c r="AK155" s="75">
        <v>37460</v>
      </c>
      <c r="AL155" s="75">
        <v>37262</v>
      </c>
      <c r="AM155" s="75">
        <v>37016</v>
      </c>
      <c r="AN155" s="75">
        <v>37175</v>
      </c>
      <c r="AO155" s="75">
        <v>58967</v>
      </c>
      <c r="AP155" s="75">
        <v>66829</v>
      </c>
      <c r="AQ155" s="75">
        <v>74221000</v>
      </c>
      <c r="AR155" s="75">
        <v>75574</v>
      </c>
      <c r="AS155" s="75">
        <v>78149</v>
      </c>
      <c r="AT155" s="75">
        <v>81956</v>
      </c>
      <c r="AU155" s="75">
        <v>87736</v>
      </c>
      <c r="AV155" s="75">
        <v>98198</v>
      </c>
    </row>
    <row r="156" spans="1:48" ht="12.5" x14ac:dyDescent="0.25">
      <c r="A156" s="75" t="s">
        <v>514</v>
      </c>
      <c r="B156" s="214" t="s">
        <v>261</v>
      </c>
      <c r="C156" s="145">
        <f t="shared" si="6"/>
        <v>2159.5</v>
      </c>
      <c r="D156" s="145">
        <f t="shared" si="7"/>
        <v>1710.6</v>
      </c>
      <c r="E156" s="216">
        <v>1654000</v>
      </c>
      <c r="F156" s="145">
        <f t="shared" si="8"/>
        <v>4299107.5502784653</v>
      </c>
      <c r="G156" s="216">
        <v>1555</v>
      </c>
      <c r="H156" s="216">
        <v>1555</v>
      </c>
      <c r="I156" s="145">
        <v>10850</v>
      </c>
      <c r="J156" s="145">
        <v>9209</v>
      </c>
      <c r="K156" s="145">
        <v>4842</v>
      </c>
      <c r="L156" s="145">
        <v>4841</v>
      </c>
      <c r="M156" s="145">
        <v>3035</v>
      </c>
      <c r="N156" s="145">
        <v>1087</v>
      </c>
      <c r="O156" s="145">
        <v>433</v>
      </c>
      <c r="P156" s="145">
        <v>192</v>
      </c>
      <c r="Q156" s="145">
        <v>69</v>
      </c>
      <c r="R156" s="145">
        <v>33</v>
      </c>
      <c r="S156" s="145">
        <v>219</v>
      </c>
      <c r="T156" s="145">
        <v>42</v>
      </c>
      <c r="U156" s="145">
        <v>319</v>
      </c>
      <c r="V156" s="145">
        <v>87</v>
      </c>
      <c r="W156" s="145">
        <v>258</v>
      </c>
      <c r="X156" s="145">
        <v>30</v>
      </c>
      <c r="Y156" s="145">
        <v>15</v>
      </c>
      <c r="Z156" s="145">
        <v>30</v>
      </c>
      <c r="AA156" s="145">
        <v>11748</v>
      </c>
      <c r="AB156" s="75">
        <v>22395</v>
      </c>
      <c r="AC156" s="75">
        <v>22890</v>
      </c>
      <c r="AF156"/>
      <c r="AG156"/>
      <c r="AH156" s="75">
        <v>11270</v>
      </c>
      <c r="AI156" s="75">
        <v>11439</v>
      </c>
      <c r="AJ156" s="75">
        <v>11498</v>
      </c>
      <c r="AK156" s="75">
        <v>11482</v>
      </c>
      <c r="AL156" s="75">
        <v>11565</v>
      </c>
      <c r="AM156" s="75">
        <v>11560</v>
      </c>
      <c r="AN156" s="75">
        <v>11705</v>
      </c>
      <c r="AO156" s="75">
        <v>18819</v>
      </c>
      <c r="AP156" s="75">
        <v>18769</v>
      </c>
      <c r="AQ156" s="75">
        <v>19152000</v>
      </c>
      <c r="AR156" s="75">
        <v>20191</v>
      </c>
      <c r="AS156" s="75">
        <v>20429</v>
      </c>
      <c r="AT156" s="75">
        <v>20828</v>
      </c>
      <c r="AU156" s="75">
        <v>22395</v>
      </c>
      <c r="AV156" s="75">
        <v>22890</v>
      </c>
    </row>
    <row r="157" spans="1:48" ht="12.5" x14ac:dyDescent="0.25">
      <c r="A157" s="75" t="s">
        <v>513</v>
      </c>
      <c r="B157" s="75" t="s">
        <v>975</v>
      </c>
      <c r="C157" s="145">
        <f>SUM(G157,I157,K157,M157,O157,Q157,S157,U157,W157,Y157)/10</f>
        <v>15498.1</v>
      </c>
      <c r="D157" s="145">
        <f>SUM(H157,J157,L157,N157,P157,R157,T157,V157,X157,Z157)/10</f>
        <v>14587.1</v>
      </c>
      <c r="E157" s="145">
        <v>13521000</v>
      </c>
      <c r="F157" s="145">
        <f>AM157*$AF$15</f>
        <v>33743531.528284281</v>
      </c>
      <c r="G157" s="145">
        <v>16487</v>
      </c>
      <c r="H157" s="145">
        <v>17319</v>
      </c>
      <c r="I157" s="145">
        <v>3344</v>
      </c>
      <c r="J157" s="145">
        <v>4025</v>
      </c>
      <c r="K157" s="145">
        <v>6444</v>
      </c>
      <c r="L157" s="145">
        <v>5397</v>
      </c>
      <c r="M157" s="145">
        <v>14142</v>
      </c>
      <c r="N157" s="145">
        <v>11270</v>
      </c>
      <c r="O157" s="145">
        <v>10256</v>
      </c>
      <c r="P157" s="145">
        <v>10765</v>
      </c>
      <c r="Q157" s="145">
        <v>17294</v>
      </c>
      <c r="R157" s="145">
        <v>17128</v>
      </c>
      <c r="S157" s="145">
        <v>20951</v>
      </c>
      <c r="T157" s="145">
        <v>13327</v>
      </c>
      <c r="U157" s="145">
        <v>18033</v>
      </c>
      <c r="V157" s="145">
        <v>18217</v>
      </c>
      <c r="W157" s="145">
        <v>25662</v>
      </c>
      <c r="X157" s="145">
        <v>26580</v>
      </c>
      <c r="Y157" s="145">
        <v>22368</v>
      </c>
      <c r="Z157" s="145">
        <v>21843</v>
      </c>
      <c r="AA157" s="145">
        <v>92774</v>
      </c>
      <c r="AB157" s="75">
        <v>282116</v>
      </c>
      <c r="AC157" s="75">
        <v>297240</v>
      </c>
      <c r="AF157"/>
      <c r="AG157"/>
      <c r="AH157" s="75">
        <v>88209</v>
      </c>
      <c r="AI157" s="75">
        <v>88621</v>
      </c>
      <c r="AJ157" s="75">
        <v>88969</v>
      </c>
      <c r="AK157" s="75">
        <v>89523</v>
      </c>
      <c r="AL157" s="75">
        <v>90194</v>
      </c>
      <c r="AM157" s="75">
        <v>90734</v>
      </c>
      <c r="AN157" s="75">
        <v>91423</v>
      </c>
      <c r="AO157" s="75">
        <v>275994</v>
      </c>
      <c r="AP157" s="75">
        <v>281885</v>
      </c>
      <c r="AQ157" s="75">
        <v>254238000</v>
      </c>
      <c r="AR157" s="75">
        <v>257684</v>
      </c>
      <c r="AS157" s="75">
        <v>266652</v>
      </c>
      <c r="AT157" s="75">
        <v>269598</v>
      </c>
      <c r="AU157" s="75">
        <v>282116</v>
      </c>
      <c r="AV157" s="75">
        <v>297240</v>
      </c>
    </row>
    <row r="158" spans="1:48" ht="12.5" x14ac:dyDescent="0.25">
      <c r="A158" s="75" t="s">
        <v>517</v>
      </c>
      <c r="B158" s="75" t="s">
        <v>300</v>
      </c>
      <c r="C158" s="145">
        <f t="shared" si="6"/>
        <v>46687.6</v>
      </c>
      <c r="D158" s="145">
        <f t="shared" si="7"/>
        <v>39328.800000000003</v>
      </c>
      <c r="E158" s="145">
        <v>11590000</v>
      </c>
      <c r="F158" s="145">
        <f t="shared" si="8"/>
        <v>23845171.09937324</v>
      </c>
      <c r="G158" s="145">
        <v>38197</v>
      </c>
      <c r="H158" s="145">
        <v>38079</v>
      </c>
      <c r="I158" s="145">
        <v>71067</v>
      </c>
      <c r="J158" s="145">
        <v>37357</v>
      </c>
      <c r="K158" s="145">
        <v>83006</v>
      </c>
      <c r="L158" s="145">
        <v>65990</v>
      </c>
      <c r="M158" s="145">
        <v>25675</v>
      </c>
      <c r="N158" s="145">
        <v>25679</v>
      </c>
      <c r="O158" s="145">
        <v>48351</v>
      </c>
      <c r="P158" s="145">
        <v>45277</v>
      </c>
      <c r="Q158" s="145">
        <v>29901</v>
      </c>
      <c r="R158" s="145">
        <v>30583</v>
      </c>
      <c r="S158" s="145">
        <v>42388</v>
      </c>
      <c r="T158" s="145">
        <v>35395</v>
      </c>
      <c r="U158" s="145">
        <v>55545</v>
      </c>
      <c r="V158" s="145">
        <v>51971</v>
      </c>
      <c r="W158" s="145">
        <v>42821</v>
      </c>
      <c r="X158" s="145">
        <v>39067</v>
      </c>
      <c r="Y158" s="145">
        <v>29925</v>
      </c>
      <c r="Z158" s="145">
        <v>23890</v>
      </c>
      <c r="AA158" s="145">
        <v>66093</v>
      </c>
      <c r="AB158" s="75">
        <v>225739</v>
      </c>
      <c r="AC158" s="214">
        <v>205339</v>
      </c>
      <c r="AF158"/>
      <c r="AG158"/>
      <c r="AH158" s="75">
        <v>60098</v>
      </c>
      <c r="AI158" s="75">
        <v>61174</v>
      </c>
      <c r="AJ158" s="75">
        <v>61617</v>
      </c>
      <c r="AK158" s="75">
        <v>62306</v>
      </c>
      <c r="AL158" s="75">
        <v>63363</v>
      </c>
      <c r="AM158" s="75">
        <v>64118</v>
      </c>
      <c r="AN158" s="75">
        <v>64754</v>
      </c>
      <c r="AO158" s="75">
        <v>223629</v>
      </c>
      <c r="AP158" s="75">
        <v>210943</v>
      </c>
      <c r="AQ158" s="75">
        <v>215453000</v>
      </c>
      <c r="AR158" s="75">
        <v>208094</v>
      </c>
      <c r="AS158" s="75">
        <v>208413</v>
      </c>
      <c r="AT158" s="75">
        <v>0</v>
      </c>
      <c r="AU158" s="75">
        <v>225739</v>
      </c>
      <c r="AV158" s="75">
        <v>205339</v>
      </c>
    </row>
    <row r="159" spans="1:48" ht="12.5" x14ac:dyDescent="0.25">
      <c r="A159" s="75" t="s">
        <v>514</v>
      </c>
      <c r="B159" s="75" t="s">
        <v>724</v>
      </c>
      <c r="C159" s="145">
        <f t="shared" si="6"/>
        <v>1566.3</v>
      </c>
      <c r="D159" s="145">
        <f t="shared" si="7"/>
        <v>1482.3</v>
      </c>
      <c r="E159" s="145">
        <v>1378000</v>
      </c>
      <c r="F159" s="145">
        <f t="shared" si="8"/>
        <v>4286463.1163070584</v>
      </c>
      <c r="G159" s="145">
        <v>1908</v>
      </c>
      <c r="H159" s="145">
        <v>1908</v>
      </c>
      <c r="I159" s="145">
        <v>1268</v>
      </c>
      <c r="J159" s="145">
        <v>1199</v>
      </c>
      <c r="K159" s="145">
        <v>1331</v>
      </c>
      <c r="L159" s="145">
        <v>1355</v>
      </c>
      <c r="M159" s="145">
        <v>228</v>
      </c>
      <c r="N159" s="145">
        <v>222</v>
      </c>
      <c r="O159" s="145">
        <v>10173</v>
      </c>
      <c r="P159" s="145">
        <v>9332</v>
      </c>
      <c r="Q159" s="145">
        <v>0</v>
      </c>
      <c r="R159" s="145">
        <v>16</v>
      </c>
      <c r="S159" s="145">
        <v>282</v>
      </c>
      <c r="T159" s="145">
        <v>318</v>
      </c>
      <c r="U159" s="145">
        <v>52</v>
      </c>
      <c r="V159" s="145">
        <v>52</v>
      </c>
      <c r="W159" s="145">
        <v>46</v>
      </c>
      <c r="X159" s="145">
        <v>46</v>
      </c>
      <c r="Y159" s="145">
        <v>375</v>
      </c>
      <c r="Z159" s="145">
        <v>375</v>
      </c>
      <c r="AA159" s="145">
        <v>11474</v>
      </c>
      <c r="AB159" s="75">
        <v>22643</v>
      </c>
      <c r="AC159" s="75">
        <v>24673</v>
      </c>
      <c r="AF159"/>
      <c r="AG159"/>
      <c r="AH159" s="75">
        <v>11089</v>
      </c>
      <c r="AI159" s="75">
        <v>11136</v>
      </c>
      <c r="AJ159" s="75">
        <v>11198</v>
      </c>
      <c r="AK159" s="75">
        <v>11271</v>
      </c>
      <c r="AL159" s="75">
        <v>11398</v>
      </c>
      <c r="AM159" s="75">
        <v>11526</v>
      </c>
      <c r="AN159" s="75">
        <v>11712</v>
      </c>
      <c r="AO159" s="75">
        <v>24775</v>
      </c>
      <c r="AP159" s="75">
        <v>23002</v>
      </c>
      <c r="AQ159" s="75">
        <v>22566000</v>
      </c>
      <c r="AR159" s="75">
        <v>23105</v>
      </c>
      <c r="AS159" s="75">
        <v>22188</v>
      </c>
      <c r="AT159" s="75">
        <v>30733</v>
      </c>
      <c r="AU159" s="75">
        <v>22643</v>
      </c>
      <c r="AV159" s="75">
        <v>24673</v>
      </c>
    </row>
    <row r="160" spans="1:48" ht="12.5" x14ac:dyDescent="0.25">
      <c r="A160" s="75" t="s">
        <v>516</v>
      </c>
      <c r="B160" s="75" t="s">
        <v>130</v>
      </c>
      <c r="C160" s="145">
        <f t="shared" si="6"/>
        <v>31113.4</v>
      </c>
      <c r="D160" s="145">
        <f t="shared" si="7"/>
        <v>27357.3</v>
      </c>
      <c r="E160" s="145">
        <v>26967000</v>
      </c>
      <c r="F160" s="145">
        <f t="shared" si="8"/>
        <v>46676556.110333063</v>
      </c>
      <c r="G160" s="145">
        <v>37949</v>
      </c>
      <c r="H160" s="145">
        <v>35029</v>
      </c>
      <c r="I160" s="145">
        <v>48746</v>
      </c>
      <c r="J160" s="145">
        <v>48945</v>
      </c>
      <c r="K160" s="145">
        <v>36548</v>
      </c>
      <c r="L160" s="145">
        <v>35608</v>
      </c>
      <c r="M160" s="145">
        <v>21552</v>
      </c>
      <c r="N160" s="145">
        <v>21185</v>
      </c>
      <c r="O160" s="145">
        <v>19252</v>
      </c>
      <c r="P160" s="145">
        <v>17281</v>
      </c>
      <c r="Q160" s="145">
        <v>39139</v>
      </c>
      <c r="R160" s="145">
        <v>25331</v>
      </c>
      <c r="S160" s="145">
        <v>27121</v>
      </c>
      <c r="T160" s="145">
        <v>21279</v>
      </c>
      <c r="U160" s="145">
        <v>22973</v>
      </c>
      <c r="V160" s="145">
        <v>20229</v>
      </c>
      <c r="W160" s="145">
        <v>30056</v>
      </c>
      <c r="X160" s="145">
        <v>24064</v>
      </c>
      <c r="Y160" s="145">
        <v>27798</v>
      </c>
      <c r="Z160" s="145">
        <v>24622</v>
      </c>
      <c r="AA160" s="145">
        <v>129970</v>
      </c>
      <c r="AB160" s="75">
        <v>440222</v>
      </c>
      <c r="AC160" s="75">
        <v>438294</v>
      </c>
      <c r="AF160"/>
      <c r="AG160"/>
      <c r="AH160" s="75">
        <v>122012</v>
      </c>
      <c r="AI160" s="75">
        <v>122206.3</v>
      </c>
      <c r="AJ160" s="75">
        <v>123114</v>
      </c>
      <c r="AK160" s="75">
        <v>124137</v>
      </c>
      <c r="AL160" s="75">
        <v>124481</v>
      </c>
      <c r="AM160" s="75">
        <v>125510</v>
      </c>
      <c r="AN160" s="75">
        <v>127073</v>
      </c>
      <c r="AO160" s="75">
        <v>366833.6</v>
      </c>
      <c r="AP160" s="75">
        <v>396947</v>
      </c>
      <c r="AQ160" s="75">
        <v>406098800</v>
      </c>
      <c r="AR160" s="75">
        <v>427712.21952564811</v>
      </c>
      <c r="AS160" s="75">
        <v>426185</v>
      </c>
      <c r="AT160" s="75">
        <v>434695</v>
      </c>
      <c r="AU160" s="75">
        <v>440222</v>
      </c>
      <c r="AV160" s="75">
        <v>438294</v>
      </c>
    </row>
    <row r="161" spans="1:48" ht="12.5" x14ac:dyDescent="0.25">
      <c r="A161" s="75" t="s">
        <v>517</v>
      </c>
      <c r="B161" s="75" t="s">
        <v>301</v>
      </c>
      <c r="C161" s="145">
        <f t="shared" si="6"/>
        <v>24529.4</v>
      </c>
      <c r="D161" s="145">
        <f t="shared" si="7"/>
        <v>27460</v>
      </c>
      <c r="E161" s="145">
        <v>31201000</v>
      </c>
      <c r="F161" s="145">
        <f t="shared" si="8"/>
        <v>46524079.112442568</v>
      </c>
      <c r="G161" s="145">
        <v>19630</v>
      </c>
      <c r="H161" s="145">
        <v>18659</v>
      </c>
      <c r="I161" s="145">
        <v>35369</v>
      </c>
      <c r="J161" s="145">
        <v>44820</v>
      </c>
      <c r="K161" s="145">
        <v>40711</v>
      </c>
      <c r="L161" s="145">
        <v>40263</v>
      </c>
      <c r="M161" s="145">
        <v>26112</v>
      </c>
      <c r="N161" s="145">
        <v>26603</v>
      </c>
      <c r="O161" s="145">
        <v>24354</v>
      </c>
      <c r="P161" s="145">
        <v>29363</v>
      </c>
      <c r="Q161" s="145">
        <v>18991</v>
      </c>
      <c r="R161" s="145">
        <v>24392</v>
      </c>
      <c r="S161" s="145">
        <v>19704</v>
      </c>
      <c r="T161" s="145">
        <v>18730</v>
      </c>
      <c r="U161" s="145">
        <v>20581</v>
      </c>
      <c r="V161" s="145">
        <v>24593</v>
      </c>
      <c r="W161" s="145">
        <v>16939</v>
      </c>
      <c r="X161" s="145">
        <v>19645</v>
      </c>
      <c r="Y161" s="145">
        <v>22903</v>
      </c>
      <c r="Z161" s="145">
        <v>27532</v>
      </c>
      <c r="AA161" s="145">
        <v>130613</v>
      </c>
      <c r="AB161" s="75">
        <v>826101</v>
      </c>
      <c r="AC161" s="75">
        <v>859335</v>
      </c>
      <c r="AF161"/>
      <c r="AG161"/>
      <c r="AH161" s="75">
        <v>123752</v>
      </c>
      <c r="AI161" s="75">
        <v>124320</v>
      </c>
      <c r="AJ161" s="75">
        <v>124797</v>
      </c>
      <c r="AK161" s="75">
        <v>125409</v>
      </c>
      <c r="AL161" s="75">
        <v>124093</v>
      </c>
      <c r="AM161" s="75">
        <v>125100</v>
      </c>
      <c r="AN161" s="75">
        <v>127089</v>
      </c>
      <c r="AO161" s="75">
        <v>565117</v>
      </c>
      <c r="AP161" s="75">
        <v>377194</v>
      </c>
      <c r="AQ161" s="75">
        <v>644579000</v>
      </c>
      <c r="AR161" s="75">
        <v>684255</v>
      </c>
      <c r="AS161" s="75">
        <v>725680</v>
      </c>
      <c r="AT161" s="75">
        <v>761260</v>
      </c>
      <c r="AU161" s="75">
        <v>826101</v>
      </c>
      <c r="AV161" s="75">
        <v>859335</v>
      </c>
    </row>
    <row r="162" spans="1:48" ht="12.5" x14ac:dyDescent="0.25">
      <c r="A162" s="75" t="s">
        <v>517</v>
      </c>
      <c r="B162" s="75" t="s">
        <v>302</v>
      </c>
      <c r="C162" s="145">
        <f t="shared" si="6"/>
        <v>2515.9</v>
      </c>
      <c r="D162" s="145">
        <f t="shared" si="7"/>
        <v>2576</v>
      </c>
      <c r="E162" s="145">
        <v>3896000</v>
      </c>
      <c r="F162" s="145">
        <f t="shared" si="8"/>
        <v>10212611.802612193</v>
      </c>
      <c r="G162" s="145">
        <v>0</v>
      </c>
      <c r="H162" s="145">
        <v>299</v>
      </c>
      <c r="I162" s="145">
        <v>13763</v>
      </c>
      <c r="J162" s="145">
        <v>11395</v>
      </c>
      <c r="K162" s="145">
        <v>3910</v>
      </c>
      <c r="L162" s="145">
        <v>8162</v>
      </c>
      <c r="M162" s="145">
        <v>-176</v>
      </c>
      <c r="N162" s="145">
        <v>-1932</v>
      </c>
      <c r="O162" s="145">
        <v>309</v>
      </c>
      <c r="P162" s="145">
        <v>578</v>
      </c>
      <c r="Q162" s="145">
        <v>6044</v>
      </c>
      <c r="R162" s="145">
        <v>6242</v>
      </c>
      <c r="S162" s="145">
        <v>1128</v>
      </c>
      <c r="T162" s="145">
        <v>1206</v>
      </c>
      <c r="U162" s="145">
        <v>53</v>
      </c>
      <c r="V162" s="145">
        <v>-41</v>
      </c>
      <c r="W162" s="145">
        <v>124</v>
      </c>
      <c r="X162" s="145">
        <v>-191</v>
      </c>
      <c r="Y162" s="145">
        <v>4</v>
      </c>
      <c r="Z162" s="145">
        <v>42</v>
      </c>
      <c r="AA162" s="145">
        <v>27774</v>
      </c>
      <c r="AB162" s="75">
        <v>83517</v>
      </c>
      <c r="AC162" s="75">
        <v>85289</v>
      </c>
      <c r="AF162"/>
      <c r="AG162"/>
      <c r="AH162" s="75">
        <v>27129</v>
      </c>
      <c r="AI162" s="75">
        <v>27214</v>
      </c>
      <c r="AJ162" s="75">
        <v>27122</v>
      </c>
      <c r="AK162" s="75">
        <v>27084</v>
      </c>
      <c r="AL162" s="75">
        <v>27377</v>
      </c>
      <c r="AM162" s="75">
        <v>27461</v>
      </c>
      <c r="AN162" s="75">
        <v>27657</v>
      </c>
      <c r="AO162" s="75">
        <v>80248</v>
      </c>
      <c r="AP162" s="75">
        <v>67877</v>
      </c>
      <c r="AQ162" s="75">
        <v>72958000</v>
      </c>
      <c r="AR162" s="75">
        <v>75846</v>
      </c>
      <c r="AS162" s="75">
        <v>75459</v>
      </c>
      <c r="AT162" s="75">
        <v>78964</v>
      </c>
      <c r="AU162" s="75">
        <v>83517</v>
      </c>
      <c r="AV162" s="75">
        <v>85289</v>
      </c>
    </row>
    <row r="163" spans="1:48" ht="12.5" x14ac:dyDescent="0.25">
      <c r="A163" s="75" t="s">
        <v>517</v>
      </c>
      <c r="B163" s="75" t="s">
        <v>303</v>
      </c>
      <c r="C163" s="145">
        <f t="shared" si="6"/>
        <v>8546.1</v>
      </c>
      <c r="D163" s="145">
        <f t="shared" si="7"/>
        <v>7617.6</v>
      </c>
      <c r="E163" s="145">
        <v>13554000</v>
      </c>
      <c r="F163" s="145">
        <f t="shared" si="8"/>
        <v>28505016.912953619</v>
      </c>
      <c r="G163" s="145">
        <v>32827</v>
      </c>
      <c r="H163" s="145">
        <v>29050</v>
      </c>
      <c r="I163" s="145">
        <v>1615</v>
      </c>
      <c r="J163" s="145">
        <v>1747</v>
      </c>
      <c r="K163" s="145">
        <v>11965</v>
      </c>
      <c r="L163" s="145">
        <v>4293</v>
      </c>
      <c r="M163" s="145">
        <v>6888</v>
      </c>
      <c r="N163" s="145">
        <v>11238</v>
      </c>
      <c r="O163" s="145">
        <v>8875</v>
      </c>
      <c r="P163" s="145">
        <v>4373</v>
      </c>
      <c r="Q163" s="145">
        <v>3168</v>
      </c>
      <c r="R163" s="145">
        <v>3306</v>
      </c>
      <c r="S163" s="145">
        <v>2812</v>
      </c>
      <c r="T163" s="145">
        <v>2921</v>
      </c>
      <c r="U163" s="145">
        <v>6235</v>
      </c>
      <c r="V163" s="145">
        <v>6905</v>
      </c>
      <c r="W163" s="145">
        <v>7266</v>
      </c>
      <c r="X163" s="145">
        <v>9394</v>
      </c>
      <c r="Y163" s="145">
        <v>3810</v>
      </c>
      <c r="Z163" s="145">
        <v>2949</v>
      </c>
      <c r="AA163" s="145">
        <v>78309</v>
      </c>
      <c r="AB163" s="75">
        <v>223601</v>
      </c>
      <c r="AC163" s="75">
        <v>231486</v>
      </c>
      <c r="AF163"/>
      <c r="AG163"/>
      <c r="AH163" s="75">
        <v>74608</v>
      </c>
      <c r="AI163" s="75">
        <v>74947</v>
      </c>
      <c r="AJ163" s="75">
        <v>75405</v>
      </c>
      <c r="AK163" s="75">
        <v>76541</v>
      </c>
      <c r="AL163" s="75">
        <v>76433</v>
      </c>
      <c r="AM163" s="75">
        <v>76648</v>
      </c>
      <c r="AN163" s="75">
        <v>77753</v>
      </c>
      <c r="AO163" s="75">
        <v>156222</v>
      </c>
      <c r="AP163" s="75">
        <v>167230</v>
      </c>
      <c r="AQ163" s="75">
        <v>174777000</v>
      </c>
      <c r="AR163" s="75">
        <v>190181</v>
      </c>
      <c r="AS163" s="75">
        <v>205137</v>
      </c>
      <c r="AT163" s="75">
        <v>212127</v>
      </c>
      <c r="AU163" s="75">
        <v>223601</v>
      </c>
      <c r="AV163" s="75">
        <v>231486</v>
      </c>
    </row>
    <row r="164" spans="1:48" ht="12.5" x14ac:dyDescent="0.25">
      <c r="A164" s="75" t="s">
        <v>519</v>
      </c>
      <c r="B164" s="75" t="s">
        <v>429</v>
      </c>
      <c r="C164" s="145">
        <f t="shared" si="6"/>
        <v>19499.099999999999</v>
      </c>
      <c r="D164" s="145">
        <f t="shared" si="7"/>
        <v>18604.599999999999</v>
      </c>
      <c r="E164" s="145">
        <v>11498000</v>
      </c>
      <c r="F164" s="145">
        <f t="shared" si="8"/>
        <v>30197139.694421355</v>
      </c>
      <c r="G164" s="145">
        <v>30232</v>
      </c>
      <c r="H164" s="145">
        <v>30522</v>
      </c>
      <c r="I164" s="145">
        <v>29748</v>
      </c>
      <c r="J164" s="145">
        <v>26316</v>
      </c>
      <c r="K164" s="145">
        <v>10956</v>
      </c>
      <c r="L164" s="145">
        <v>9661</v>
      </c>
      <c r="M164" s="145">
        <v>7319</v>
      </c>
      <c r="N164" s="145">
        <v>7720</v>
      </c>
      <c r="O164" s="145">
        <v>17955</v>
      </c>
      <c r="P164" s="145">
        <v>15337</v>
      </c>
      <c r="Q164" s="145">
        <v>17165</v>
      </c>
      <c r="R164" s="145">
        <v>14454</v>
      </c>
      <c r="S164" s="145">
        <v>20350</v>
      </c>
      <c r="T164" s="145">
        <v>18034</v>
      </c>
      <c r="U164" s="145">
        <v>25457</v>
      </c>
      <c r="V164" s="145">
        <v>24720</v>
      </c>
      <c r="W164" s="145">
        <v>21235</v>
      </c>
      <c r="X164" s="145">
        <v>21110</v>
      </c>
      <c r="Y164" s="145">
        <v>14574</v>
      </c>
      <c r="Z164" s="145">
        <v>18172</v>
      </c>
      <c r="AA164" s="145">
        <v>84722</v>
      </c>
      <c r="AB164" s="75">
        <v>263299</v>
      </c>
      <c r="AC164" s="75">
        <v>279117</v>
      </c>
      <c r="AF164"/>
      <c r="AG164"/>
      <c r="AH164" s="75">
        <v>76970</v>
      </c>
      <c r="AI164" s="75">
        <v>77378</v>
      </c>
      <c r="AJ164" s="75">
        <v>77872</v>
      </c>
      <c r="AK164" s="75">
        <v>78570</v>
      </c>
      <c r="AL164" s="75">
        <v>79811</v>
      </c>
      <c r="AM164" s="75">
        <v>81198</v>
      </c>
      <c r="AN164" s="75">
        <v>83033</v>
      </c>
      <c r="AO164" s="75">
        <v>251918</v>
      </c>
      <c r="AP164" s="75">
        <v>238408</v>
      </c>
      <c r="AQ164" s="75">
        <v>233104000</v>
      </c>
      <c r="AR164" s="75">
        <v>233551</v>
      </c>
      <c r="AS164" s="75">
        <v>234058</v>
      </c>
      <c r="AT164" s="75">
        <v>234860</v>
      </c>
      <c r="AU164" s="75">
        <v>263299</v>
      </c>
      <c r="AV164" s="75">
        <v>279117</v>
      </c>
    </row>
    <row r="165" spans="1:48" ht="12.5" x14ac:dyDescent="0.25">
      <c r="A165" s="75" t="s">
        <v>522</v>
      </c>
      <c r="B165" s="75" t="s">
        <v>409</v>
      </c>
      <c r="C165" s="145">
        <f t="shared" si="6"/>
        <v>626.29999999999995</v>
      </c>
      <c r="D165" s="145">
        <f t="shared" si="7"/>
        <v>795</v>
      </c>
      <c r="E165" s="145">
        <v>4955000</v>
      </c>
      <c r="F165" s="145">
        <f t="shared" si="8"/>
        <v>13366282.393127883</v>
      </c>
      <c r="G165" s="145">
        <v>1377</v>
      </c>
      <c r="H165" s="145">
        <v>1459</v>
      </c>
      <c r="I165" s="145">
        <v>307</v>
      </c>
      <c r="J165" s="145">
        <v>609</v>
      </c>
      <c r="K165" s="145">
        <v>644</v>
      </c>
      <c r="L165" s="145">
        <v>677</v>
      </c>
      <c r="M165" s="145">
        <v>1002</v>
      </c>
      <c r="N165" s="145">
        <v>2980</v>
      </c>
      <c r="O165" s="145">
        <v>96</v>
      </c>
      <c r="P165" s="145">
        <v>95</v>
      </c>
      <c r="Q165" s="145">
        <v>367</v>
      </c>
      <c r="R165" s="145">
        <v>411</v>
      </c>
      <c r="S165" s="145">
        <v>941</v>
      </c>
      <c r="T165" s="145">
        <v>548</v>
      </c>
      <c r="U165" s="145">
        <v>460</v>
      </c>
      <c r="V165" s="145">
        <v>1009</v>
      </c>
      <c r="W165" s="145">
        <v>917</v>
      </c>
      <c r="X165" s="145">
        <v>905</v>
      </c>
      <c r="Y165" s="145">
        <v>152</v>
      </c>
      <c r="Z165" s="145">
        <v>-743</v>
      </c>
      <c r="AA165" s="145">
        <v>36108</v>
      </c>
      <c r="AB165" s="75">
        <v>104815</v>
      </c>
      <c r="AC165" s="75">
        <v>107645</v>
      </c>
      <c r="AF165"/>
      <c r="AG165"/>
      <c r="AH165" s="75">
        <v>35907</v>
      </c>
      <c r="AI165" s="75">
        <v>35843</v>
      </c>
      <c r="AJ165" s="75">
        <v>35671</v>
      </c>
      <c r="AK165" s="75">
        <v>35869</v>
      </c>
      <c r="AL165" s="75">
        <v>36045</v>
      </c>
      <c r="AM165" s="75">
        <v>35941</v>
      </c>
      <c r="AN165" s="75">
        <v>36141</v>
      </c>
      <c r="AO165" s="75">
        <v>95808</v>
      </c>
      <c r="AP165" s="75">
        <v>95564</v>
      </c>
      <c r="AQ165" s="75">
        <v>94771000</v>
      </c>
      <c r="AR165" s="75">
        <v>95316</v>
      </c>
      <c r="AS165" s="75">
        <v>96996</v>
      </c>
      <c r="AT165" s="75">
        <v>98093</v>
      </c>
      <c r="AU165" s="75">
        <v>104815</v>
      </c>
      <c r="AV165" s="75">
        <v>107645</v>
      </c>
    </row>
    <row r="166" spans="1:48" ht="12.5" x14ac:dyDescent="0.25">
      <c r="A166" s="75" t="s">
        <v>520</v>
      </c>
      <c r="B166" s="75" t="s">
        <v>221</v>
      </c>
      <c r="C166" s="145">
        <f t="shared" si="6"/>
        <v>4767.5</v>
      </c>
      <c r="D166" s="145">
        <f t="shared" si="7"/>
        <v>5471.8</v>
      </c>
      <c r="E166" s="145">
        <v>3480000</v>
      </c>
      <c r="F166" s="145">
        <f t="shared" si="8"/>
        <v>11419411.456647974</v>
      </c>
      <c r="G166" s="145">
        <v>3608</v>
      </c>
      <c r="H166" s="145">
        <v>3627</v>
      </c>
      <c r="I166" s="145">
        <v>9727</v>
      </c>
      <c r="J166" s="145">
        <v>11036</v>
      </c>
      <c r="K166" s="145">
        <v>5984</v>
      </c>
      <c r="L166" s="145">
        <v>6788</v>
      </c>
      <c r="M166" s="145">
        <v>11212</v>
      </c>
      <c r="N166" s="145">
        <v>8042</v>
      </c>
      <c r="O166" s="145">
        <v>2229</v>
      </c>
      <c r="P166" s="145">
        <v>3473</v>
      </c>
      <c r="Q166" s="145">
        <v>8250</v>
      </c>
      <c r="R166" s="145">
        <v>9096</v>
      </c>
      <c r="S166" s="145">
        <v>3530</v>
      </c>
      <c r="T166" s="145">
        <v>7975</v>
      </c>
      <c r="U166" s="145">
        <v>-945</v>
      </c>
      <c r="V166" s="145">
        <v>563</v>
      </c>
      <c r="W166" s="145">
        <v>2471</v>
      </c>
      <c r="X166" s="145">
        <v>2428</v>
      </c>
      <c r="Y166" s="145">
        <v>1609</v>
      </c>
      <c r="Z166" s="145">
        <v>1690</v>
      </c>
      <c r="AA166" s="145">
        <v>31911</v>
      </c>
      <c r="AB166" s="75">
        <v>62910</v>
      </c>
      <c r="AC166" s="75">
        <v>65937</v>
      </c>
      <c r="AF166"/>
      <c r="AG166"/>
      <c r="AH166" s="75">
        <v>29674</v>
      </c>
      <c r="AI166" s="75">
        <v>29762</v>
      </c>
      <c r="AJ166" s="75">
        <v>30028</v>
      </c>
      <c r="AK166" s="75">
        <v>30352</v>
      </c>
      <c r="AL166" s="75">
        <v>30544</v>
      </c>
      <c r="AM166" s="75">
        <v>30706</v>
      </c>
      <c r="AN166" s="75">
        <v>31467</v>
      </c>
      <c r="AO166" s="75">
        <v>26452</v>
      </c>
      <c r="AP166" s="75">
        <v>23726</v>
      </c>
      <c r="AQ166" s="75">
        <v>29182000</v>
      </c>
      <c r="AR166" s="75">
        <v>48461</v>
      </c>
      <c r="AS166" s="75">
        <v>56783</v>
      </c>
      <c r="AT166" s="75">
        <v>58989</v>
      </c>
      <c r="AU166" s="75">
        <v>62910</v>
      </c>
      <c r="AV166" s="75">
        <v>65937</v>
      </c>
    </row>
    <row r="167" spans="1:48" ht="12.5" x14ac:dyDescent="0.25">
      <c r="A167" s="75" t="s">
        <v>515</v>
      </c>
      <c r="B167" s="75" t="s">
        <v>185</v>
      </c>
      <c r="C167" s="145">
        <f t="shared" si="6"/>
        <v>1418.1</v>
      </c>
      <c r="D167" s="145">
        <f t="shared" si="7"/>
        <v>1709</v>
      </c>
      <c r="E167" s="145">
        <v>5576000</v>
      </c>
      <c r="F167" s="145">
        <f t="shared" si="8"/>
        <v>17467541.741265506</v>
      </c>
      <c r="G167" s="145">
        <v>2355</v>
      </c>
      <c r="H167" s="145">
        <v>2282</v>
      </c>
      <c r="I167" s="145">
        <v>2415</v>
      </c>
      <c r="J167" s="145">
        <v>2999</v>
      </c>
      <c r="K167" s="145">
        <v>2573</v>
      </c>
      <c r="L167" s="145">
        <v>1505</v>
      </c>
      <c r="M167" s="145">
        <v>36</v>
      </c>
      <c r="N167" s="145">
        <v>0</v>
      </c>
      <c r="O167" s="145">
        <v>1824</v>
      </c>
      <c r="P167" s="145">
        <v>2908</v>
      </c>
      <c r="Q167" s="145">
        <v>722</v>
      </c>
      <c r="R167" s="145">
        <v>820</v>
      </c>
      <c r="S167" s="145">
        <v>1256</v>
      </c>
      <c r="T167" s="145">
        <v>1180</v>
      </c>
      <c r="U167" s="145">
        <v>1176</v>
      </c>
      <c r="V167" s="145">
        <v>2559</v>
      </c>
      <c r="W167" s="145">
        <v>1315</v>
      </c>
      <c r="X167" s="145">
        <v>1961</v>
      </c>
      <c r="Y167" s="145">
        <v>509</v>
      </c>
      <c r="Z167" s="145">
        <v>876</v>
      </c>
      <c r="AA167" s="145">
        <v>47655</v>
      </c>
      <c r="AB167" s="75">
        <v>111551</v>
      </c>
      <c r="AC167" s="75">
        <v>116798</v>
      </c>
      <c r="AF167"/>
      <c r="AG167"/>
      <c r="AH167" s="75">
        <v>46173</v>
      </c>
      <c r="AI167" s="75">
        <v>46383</v>
      </c>
      <c r="AJ167" s="75">
        <v>46466</v>
      </c>
      <c r="AK167" s="75">
        <v>46613</v>
      </c>
      <c r="AL167" s="75">
        <v>46822</v>
      </c>
      <c r="AM167" s="75">
        <v>46969</v>
      </c>
      <c r="AN167" s="75">
        <v>47220</v>
      </c>
      <c r="AO167" s="75">
        <v>107688</v>
      </c>
      <c r="AP167" s="75">
        <v>100061</v>
      </c>
      <c r="AQ167" s="75">
        <v>101236000</v>
      </c>
      <c r="AR167" s="75">
        <v>97246</v>
      </c>
      <c r="AS167" s="75">
        <v>95476</v>
      </c>
      <c r="AT167" s="75">
        <v>100901</v>
      </c>
      <c r="AU167" s="75">
        <v>111551</v>
      </c>
      <c r="AV167" s="75">
        <v>116798</v>
      </c>
    </row>
    <row r="168" spans="1:48" ht="12.5" x14ac:dyDescent="0.25">
      <c r="A168" s="75" t="s">
        <v>514</v>
      </c>
      <c r="B168" s="75" t="s">
        <v>304</v>
      </c>
      <c r="C168" s="145">
        <f t="shared" si="6"/>
        <v>1096.5</v>
      </c>
      <c r="D168" s="145">
        <f t="shared" si="7"/>
        <v>1089.0999999999999</v>
      </c>
      <c r="E168" s="145">
        <v>4048000</v>
      </c>
      <c r="F168" s="145">
        <f t="shared" si="8"/>
        <v>8558050.4279418737</v>
      </c>
      <c r="G168" s="145">
        <v>0</v>
      </c>
      <c r="H168" s="145">
        <v>0</v>
      </c>
      <c r="I168" s="145">
        <v>1989</v>
      </c>
      <c r="J168" s="145">
        <v>2143</v>
      </c>
      <c r="K168" s="145">
        <v>5244</v>
      </c>
      <c r="L168" s="145">
        <v>5516</v>
      </c>
      <c r="M168" s="145">
        <v>934</v>
      </c>
      <c r="N168" s="145">
        <v>1168</v>
      </c>
      <c r="O168" s="145">
        <v>2798</v>
      </c>
      <c r="P168" s="145">
        <v>2064</v>
      </c>
      <c r="Q168" s="145">
        <v>0</v>
      </c>
      <c r="R168" s="145">
        <v>0</v>
      </c>
      <c r="S168" s="145">
        <v>0</v>
      </c>
      <c r="T168" s="145">
        <v>0</v>
      </c>
      <c r="U168" s="145">
        <v>0</v>
      </c>
      <c r="V168" s="145">
        <v>0</v>
      </c>
      <c r="W168" s="145">
        <v>0</v>
      </c>
      <c r="X168" s="145">
        <v>0</v>
      </c>
      <c r="Y168" s="145">
        <v>0</v>
      </c>
      <c r="Z168" s="145">
        <v>0</v>
      </c>
      <c r="AA168" s="145">
        <v>23583</v>
      </c>
      <c r="AB168" s="75">
        <v>92159</v>
      </c>
      <c r="AC168" s="75">
        <v>94175</v>
      </c>
      <c r="AF168"/>
      <c r="AG168"/>
      <c r="AH168" s="75">
        <v>22713</v>
      </c>
      <c r="AI168" s="75">
        <v>22754</v>
      </c>
      <c r="AJ168" s="75">
        <v>22807</v>
      </c>
      <c r="AK168" s="75">
        <v>22891</v>
      </c>
      <c r="AL168" s="75">
        <v>22982</v>
      </c>
      <c r="AM168" s="75">
        <v>23012</v>
      </c>
      <c r="AN168" s="75">
        <v>23390</v>
      </c>
      <c r="AO168" s="75">
        <v>87098</v>
      </c>
      <c r="AP168" s="75">
        <v>89907</v>
      </c>
      <c r="AQ168" s="75">
        <v>88744000</v>
      </c>
      <c r="AR168" s="75">
        <v>89276</v>
      </c>
      <c r="AS168" s="75">
        <v>93008</v>
      </c>
      <c r="AT168" s="75">
        <v>93121</v>
      </c>
      <c r="AU168" s="75">
        <v>92159</v>
      </c>
      <c r="AV168" s="75">
        <v>94175</v>
      </c>
    </row>
    <row r="169" spans="1:48" ht="12.5" x14ac:dyDescent="0.25">
      <c r="A169" s="75" t="s">
        <v>515</v>
      </c>
      <c r="B169" s="75" t="s">
        <v>186</v>
      </c>
      <c r="C169" s="145">
        <f t="shared" si="6"/>
        <v>5557.3</v>
      </c>
      <c r="D169" s="145">
        <f t="shared" si="7"/>
        <v>5809.3</v>
      </c>
      <c r="E169" s="145">
        <v>4357000</v>
      </c>
      <c r="F169" s="145">
        <f t="shared" si="8"/>
        <v>12670838.524700485</v>
      </c>
      <c r="G169" s="145">
        <v>1403</v>
      </c>
      <c r="H169" s="145">
        <v>1559</v>
      </c>
      <c r="I169" s="145">
        <v>5577</v>
      </c>
      <c r="J169" s="145">
        <v>5740</v>
      </c>
      <c r="K169" s="145">
        <v>3586</v>
      </c>
      <c r="L169" s="145">
        <v>3759</v>
      </c>
      <c r="M169" s="145">
        <v>6336</v>
      </c>
      <c r="N169" s="145">
        <v>8882</v>
      </c>
      <c r="O169" s="145">
        <v>4878</v>
      </c>
      <c r="P169" s="145">
        <v>4542</v>
      </c>
      <c r="Q169" s="145">
        <v>5082</v>
      </c>
      <c r="R169" s="145">
        <v>4590</v>
      </c>
      <c r="S169" s="145">
        <v>7316</v>
      </c>
      <c r="T169" s="145">
        <v>7176</v>
      </c>
      <c r="U169" s="145">
        <v>12203</v>
      </c>
      <c r="V169" s="145">
        <v>12518</v>
      </c>
      <c r="W169" s="145">
        <v>5892</v>
      </c>
      <c r="X169" s="145">
        <v>5883</v>
      </c>
      <c r="Y169" s="145">
        <v>3300</v>
      </c>
      <c r="Z169" s="145">
        <v>3444</v>
      </c>
      <c r="AA169" s="145">
        <v>34314</v>
      </c>
      <c r="AB169" s="75">
        <v>77895</v>
      </c>
      <c r="AC169" s="75">
        <v>74522</v>
      </c>
      <c r="AF169"/>
      <c r="AG169"/>
      <c r="AH169" s="75">
        <v>33543</v>
      </c>
      <c r="AI169" s="75">
        <v>33562</v>
      </c>
      <c r="AJ169" s="75">
        <v>33600</v>
      </c>
      <c r="AK169" s="75">
        <v>33691</v>
      </c>
      <c r="AL169" s="75">
        <v>33948</v>
      </c>
      <c r="AM169" s="75">
        <v>34071</v>
      </c>
      <c r="AN169" s="75">
        <v>34314</v>
      </c>
      <c r="AO169" s="75">
        <v>79331</v>
      </c>
      <c r="AP169" s="75">
        <v>79010</v>
      </c>
      <c r="AQ169" s="75">
        <v>79976000</v>
      </c>
      <c r="AR169" s="75">
        <v>83052</v>
      </c>
      <c r="AS169" s="75">
        <v>85237</v>
      </c>
      <c r="AT169" s="75">
        <v>81440</v>
      </c>
      <c r="AU169" s="75">
        <v>77895</v>
      </c>
      <c r="AV169" s="75">
        <v>74522</v>
      </c>
    </row>
    <row r="170" spans="1:48" ht="12.5" x14ac:dyDescent="0.25">
      <c r="A170" s="75" t="s">
        <v>513</v>
      </c>
      <c r="B170" s="75" t="s">
        <v>375</v>
      </c>
      <c r="C170" s="145">
        <f t="shared" si="6"/>
        <v>3781.2</v>
      </c>
      <c r="D170" s="145">
        <f t="shared" si="7"/>
        <v>3664.7</v>
      </c>
      <c r="E170" s="145">
        <v>3334000</v>
      </c>
      <c r="F170" s="145">
        <f t="shared" si="8"/>
        <v>8840318.8215976991</v>
      </c>
      <c r="G170" s="145">
        <v>20</v>
      </c>
      <c r="H170" s="145">
        <v>5</v>
      </c>
      <c r="I170" s="145">
        <v>21877</v>
      </c>
      <c r="J170" s="145">
        <v>20424</v>
      </c>
      <c r="K170" s="145">
        <v>3606</v>
      </c>
      <c r="L170" s="145">
        <v>3698</v>
      </c>
      <c r="M170" s="145">
        <v>2724</v>
      </c>
      <c r="N170" s="145">
        <v>2797</v>
      </c>
      <c r="O170" s="145">
        <v>1300</v>
      </c>
      <c r="P170" s="145">
        <v>1240</v>
      </c>
      <c r="Q170" s="145">
        <v>749</v>
      </c>
      <c r="R170" s="145">
        <v>683</v>
      </c>
      <c r="S170" s="145">
        <v>1396</v>
      </c>
      <c r="T170" s="145">
        <v>1288</v>
      </c>
      <c r="U170" s="145">
        <v>1669</v>
      </c>
      <c r="V170" s="145">
        <v>1800</v>
      </c>
      <c r="W170" s="145">
        <v>2851</v>
      </c>
      <c r="X170" s="145">
        <v>2833</v>
      </c>
      <c r="Y170" s="145">
        <v>1620</v>
      </c>
      <c r="Z170" s="145">
        <v>1879</v>
      </c>
      <c r="AA170" s="145">
        <v>24148</v>
      </c>
      <c r="AB170" s="75">
        <v>47908</v>
      </c>
      <c r="AC170" s="75">
        <v>54461</v>
      </c>
      <c r="AF170"/>
      <c r="AG170"/>
      <c r="AH170" s="75">
        <v>23095</v>
      </c>
      <c r="AI170" s="75">
        <v>23126</v>
      </c>
      <c r="AJ170" s="75">
        <v>23333</v>
      </c>
      <c r="AK170" s="75">
        <v>23400</v>
      </c>
      <c r="AL170" s="75">
        <v>23504</v>
      </c>
      <c r="AM170" s="75">
        <v>23771</v>
      </c>
      <c r="AN170" s="75">
        <v>23797</v>
      </c>
      <c r="AO170" s="75">
        <v>33760</v>
      </c>
      <c r="AP170" s="75">
        <v>42106</v>
      </c>
      <c r="AQ170" s="75">
        <v>43112000</v>
      </c>
      <c r="AR170" s="75">
        <v>44500</v>
      </c>
      <c r="AS170" s="75">
        <v>48970</v>
      </c>
      <c r="AT170" s="75">
        <v>48783</v>
      </c>
      <c r="AU170" s="75">
        <v>47908</v>
      </c>
      <c r="AV170" s="75">
        <v>54461</v>
      </c>
    </row>
    <row r="171" spans="1:48" ht="12.5" x14ac:dyDescent="0.25">
      <c r="A171" s="75" t="s">
        <v>515</v>
      </c>
      <c r="B171" s="75" t="s">
        <v>222</v>
      </c>
      <c r="C171" s="145">
        <f t="shared" si="6"/>
        <v>0</v>
      </c>
      <c r="D171" s="145">
        <f t="shared" si="7"/>
        <v>0</v>
      </c>
      <c r="E171" s="145">
        <v>1371000</v>
      </c>
      <c r="F171" s="145">
        <f t="shared" si="8"/>
        <v>5396941.9350900603</v>
      </c>
      <c r="G171" s="145">
        <v>0</v>
      </c>
      <c r="H171" s="145">
        <v>0</v>
      </c>
      <c r="I171" s="145">
        <v>0</v>
      </c>
      <c r="J171" s="145">
        <v>0</v>
      </c>
      <c r="K171" s="145">
        <v>0</v>
      </c>
      <c r="L171" s="145">
        <v>0</v>
      </c>
      <c r="M171" s="145">
        <v>0</v>
      </c>
      <c r="N171" s="145">
        <v>0</v>
      </c>
      <c r="O171" s="145">
        <v>0</v>
      </c>
      <c r="P171" s="145">
        <v>0</v>
      </c>
      <c r="Q171" s="145">
        <v>0</v>
      </c>
      <c r="R171" s="145">
        <v>0</v>
      </c>
      <c r="S171" s="145">
        <v>0</v>
      </c>
      <c r="T171" s="145">
        <v>0</v>
      </c>
      <c r="U171" s="145">
        <v>0</v>
      </c>
      <c r="V171" s="145">
        <v>0</v>
      </c>
      <c r="W171" s="145">
        <v>0</v>
      </c>
      <c r="X171" s="145">
        <v>0</v>
      </c>
      <c r="Y171" s="145">
        <v>0</v>
      </c>
      <c r="Z171" s="145">
        <v>0</v>
      </c>
      <c r="AA171" s="145">
        <v>14805</v>
      </c>
      <c r="AB171" s="75">
        <v>20676</v>
      </c>
      <c r="AC171" s="75">
        <v>23084</v>
      </c>
      <c r="AF171"/>
      <c r="AG171"/>
      <c r="AH171" s="75">
        <v>14207</v>
      </c>
      <c r="AI171" s="75">
        <v>14386</v>
      </c>
      <c r="AJ171" s="75">
        <v>14477</v>
      </c>
      <c r="AK171" s="75">
        <v>14447</v>
      </c>
      <c r="AL171" s="75">
        <v>14456</v>
      </c>
      <c r="AM171" s="75">
        <v>14512</v>
      </c>
      <c r="AN171" s="75">
        <v>14704</v>
      </c>
      <c r="AO171" s="75">
        <v>16091</v>
      </c>
      <c r="AP171" s="75">
        <v>15461</v>
      </c>
      <c r="AQ171" s="75">
        <v>14722000</v>
      </c>
      <c r="AR171" s="75">
        <v>16274</v>
      </c>
      <c r="AS171" s="75">
        <v>16303</v>
      </c>
      <c r="AT171" s="75">
        <v>17475</v>
      </c>
      <c r="AU171" s="75">
        <v>20676</v>
      </c>
      <c r="AV171" s="75">
        <v>23084</v>
      </c>
    </row>
    <row r="172" spans="1:48" ht="12.5" x14ac:dyDescent="0.25">
      <c r="A172" s="75" t="s">
        <v>518</v>
      </c>
      <c r="B172" s="75" t="s">
        <v>150</v>
      </c>
      <c r="C172" s="145">
        <f t="shared" si="6"/>
        <v>3089.6</v>
      </c>
      <c r="D172" s="145">
        <f t="shared" si="7"/>
        <v>2336.4</v>
      </c>
      <c r="E172" s="145">
        <v>5114000</v>
      </c>
      <c r="F172" s="145">
        <f t="shared" si="8"/>
        <v>8581479.8203006573</v>
      </c>
      <c r="G172" s="145">
        <v>2021</v>
      </c>
      <c r="H172" s="145">
        <v>1463</v>
      </c>
      <c r="I172" s="145">
        <v>4360</v>
      </c>
      <c r="J172" s="145">
        <v>4325</v>
      </c>
      <c r="K172" s="145">
        <v>1993</v>
      </c>
      <c r="L172" s="145">
        <v>1988</v>
      </c>
      <c r="M172" s="145">
        <v>3435</v>
      </c>
      <c r="N172" s="145">
        <v>835</v>
      </c>
      <c r="O172" s="145">
        <v>2976</v>
      </c>
      <c r="P172" s="145">
        <v>2804</v>
      </c>
      <c r="Q172" s="145">
        <v>4806</v>
      </c>
      <c r="R172" s="145">
        <v>2522</v>
      </c>
      <c r="S172" s="145">
        <v>3570</v>
      </c>
      <c r="T172" s="145">
        <v>2790</v>
      </c>
      <c r="U172" s="145">
        <v>2068</v>
      </c>
      <c r="V172" s="145">
        <v>1543</v>
      </c>
      <c r="W172" s="145">
        <v>3190</v>
      </c>
      <c r="X172" s="145">
        <v>3019</v>
      </c>
      <c r="Y172" s="145">
        <v>2477</v>
      </c>
      <c r="Z172" s="145">
        <v>2075</v>
      </c>
      <c r="AA172" s="145">
        <v>23467</v>
      </c>
      <c r="AB172" s="75">
        <v>61961</v>
      </c>
      <c r="AC172" s="75">
        <v>63997</v>
      </c>
      <c r="AF172"/>
      <c r="AG172"/>
      <c r="AH172" s="75">
        <v>22480</v>
      </c>
      <c r="AI172" s="75">
        <v>22548</v>
      </c>
      <c r="AJ172" s="75">
        <v>22614</v>
      </c>
      <c r="AK172" s="75">
        <v>22666</v>
      </c>
      <c r="AL172" s="75">
        <v>22888</v>
      </c>
      <c r="AM172" s="75">
        <v>23075</v>
      </c>
      <c r="AN172" s="75">
        <v>23362</v>
      </c>
      <c r="AO172" s="75">
        <v>41607</v>
      </c>
      <c r="AP172" s="75">
        <v>39420</v>
      </c>
      <c r="AQ172" s="75">
        <v>44288000</v>
      </c>
      <c r="AR172" s="75">
        <v>47248</v>
      </c>
      <c r="AS172" s="75">
        <v>49337</v>
      </c>
      <c r="AT172" s="75">
        <v>54440</v>
      </c>
      <c r="AU172" s="75">
        <v>61961</v>
      </c>
      <c r="AV172" s="75">
        <v>63997</v>
      </c>
    </row>
    <row r="173" spans="1:48" ht="12.5" x14ac:dyDescent="0.25">
      <c r="A173" s="75" t="s">
        <v>515</v>
      </c>
      <c r="B173" s="75" t="s">
        <v>187</v>
      </c>
      <c r="C173" s="145">
        <f t="shared" si="6"/>
        <v>3334.7</v>
      </c>
      <c r="D173" s="145">
        <f t="shared" si="7"/>
        <v>3096.8</v>
      </c>
      <c r="E173" s="145">
        <v>3443000</v>
      </c>
      <c r="F173" s="145">
        <f t="shared" si="8"/>
        <v>9487416.3248403054</v>
      </c>
      <c r="G173" s="145">
        <v>4219</v>
      </c>
      <c r="H173" s="145">
        <v>3966</v>
      </c>
      <c r="I173" s="145">
        <v>2346</v>
      </c>
      <c r="J173" s="145">
        <v>2573</v>
      </c>
      <c r="K173" s="145">
        <v>2878</v>
      </c>
      <c r="L173" s="145">
        <v>1957</v>
      </c>
      <c r="M173" s="145">
        <v>2754</v>
      </c>
      <c r="N173" s="145">
        <v>2745</v>
      </c>
      <c r="O173" s="145">
        <v>12922</v>
      </c>
      <c r="P173" s="145">
        <v>10705</v>
      </c>
      <c r="Q173" s="145">
        <v>1149</v>
      </c>
      <c r="R173" s="145">
        <v>1391</v>
      </c>
      <c r="S173" s="145">
        <v>2366</v>
      </c>
      <c r="T173" s="145">
        <v>2267</v>
      </c>
      <c r="U173" s="145">
        <v>1316</v>
      </c>
      <c r="V173" s="145">
        <v>1273</v>
      </c>
      <c r="W173" s="145">
        <v>1569</v>
      </c>
      <c r="X173" s="145">
        <v>3201</v>
      </c>
      <c r="Y173" s="145">
        <v>1828</v>
      </c>
      <c r="Z173" s="145">
        <v>890</v>
      </c>
      <c r="AA173" s="145">
        <v>26288</v>
      </c>
      <c r="AB173" s="75">
        <v>57591</v>
      </c>
      <c r="AC173" s="75">
        <v>62151</v>
      </c>
      <c r="AF173"/>
      <c r="AG173"/>
      <c r="AH173" s="75">
        <v>24254</v>
      </c>
      <c r="AI173" s="75">
        <v>24327</v>
      </c>
      <c r="AJ173" s="75">
        <v>24703</v>
      </c>
      <c r="AK173" s="75">
        <v>24911</v>
      </c>
      <c r="AL173" s="75">
        <v>25452</v>
      </c>
      <c r="AM173" s="75">
        <v>25511</v>
      </c>
      <c r="AN173" s="75">
        <v>26020</v>
      </c>
      <c r="AO173" s="75">
        <v>45769</v>
      </c>
      <c r="AP173" s="75">
        <v>41207</v>
      </c>
      <c r="AQ173" s="75">
        <v>47308000</v>
      </c>
      <c r="AR173" s="75">
        <v>50234</v>
      </c>
      <c r="AS173" s="75">
        <v>62765</v>
      </c>
      <c r="AT173" s="75">
        <v>53917</v>
      </c>
      <c r="AU173" s="75">
        <v>57591</v>
      </c>
      <c r="AV173" s="75">
        <v>62151</v>
      </c>
    </row>
    <row r="174" spans="1:48" ht="12.5" x14ac:dyDescent="0.25">
      <c r="A174" s="75" t="s">
        <v>522</v>
      </c>
      <c r="B174" s="75" t="s">
        <v>410</v>
      </c>
      <c r="C174" s="145">
        <f t="shared" si="6"/>
        <v>2337</v>
      </c>
      <c r="D174" s="145">
        <f t="shared" si="7"/>
        <v>2375.4</v>
      </c>
      <c r="E174" s="145">
        <v>4557000</v>
      </c>
      <c r="F174" s="145">
        <f t="shared" si="8"/>
        <v>8935895.8666168656</v>
      </c>
      <c r="G174" s="145">
        <v>0</v>
      </c>
      <c r="H174" s="145">
        <v>-39</v>
      </c>
      <c r="I174" s="145">
        <v>1773</v>
      </c>
      <c r="J174" s="145">
        <v>3138</v>
      </c>
      <c r="K174" s="145">
        <v>4533</v>
      </c>
      <c r="L174" s="145">
        <v>4683</v>
      </c>
      <c r="M174" s="145">
        <v>1766</v>
      </c>
      <c r="N174" s="145">
        <v>1577</v>
      </c>
      <c r="O174" s="145">
        <v>769</v>
      </c>
      <c r="P174" s="145">
        <v>221</v>
      </c>
      <c r="Q174" s="145">
        <v>2092</v>
      </c>
      <c r="R174" s="145">
        <v>2652</v>
      </c>
      <c r="S174" s="145">
        <v>802</v>
      </c>
      <c r="T174" s="145">
        <v>686</v>
      </c>
      <c r="U174" s="145">
        <v>3888</v>
      </c>
      <c r="V174" s="145">
        <v>3155</v>
      </c>
      <c r="W174" s="145">
        <v>4136</v>
      </c>
      <c r="X174" s="145">
        <v>4131</v>
      </c>
      <c r="Y174" s="145">
        <v>3611</v>
      </c>
      <c r="Z174" s="145">
        <v>3550</v>
      </c>
      <c r="AA174" s="145">
        <v>24501</v>
      </c>
      <c r="AB174" s="75">
        <v>84427</v>
      </c>
      <c r="AC174" s="75">
        <v>85743</v>
      </c>
      <c r="AF174"/>
      <c r="AG174"/>
      <c r="AH174" s="75">
        <v>23773</v>
      </c>
      <c r="AI174" s="75">
        <v>23706</v>
      </c>
      <c r="AJ174" s="75">
        <v>23718</v>
      </c>
      <c r="AK174" s="75">
        <v>23937</v>
      </c>
      <c r="AL174" s="75">
        <v>23947</v>
      </c>
      <c r="AM174" s="75">
        <v>24028</v>
      </c>
      <c r="AN174" s="75">
        <v>24305</v>
      </c>
      <c r="AO174" s="75">
        <v>57037</v>
      </c>
      <c r="AP174" s="75">
        <v>58909</v>
      </c>
      <c r="AQ174" s="75">
        <v>64187000</v>
      </c>
      <c r="AR174" s="75">
        <v>68196</v>
      </c>
      <c r="AS174" s="75">
        <v>77256</v>
      </c>
      <c r="AT174" s="75">
        <v>80863</v>
      </c>
      <c r="AU174" s="75">
        <v>84427</v>
      </c>
      <c r="AV174" s="75">
        <v>85743</v>
      </c>
    </row>
    <row r="175" spans="1:48" ht="12.5" x14ac:dyDescent="0.25">
      <c r="A175" s="75" t="s">
        <v>513</v>
      </c>
      <c r="B175" s="75" t="s">
        <v>774</v>
      </c>
      <c r="C175" s="145">
        <f t="shared" si="6"/>
        <v>5931.2</v>
      </c>
      <c r="D175" s="145">
        <f t="shared" si="7"/>
        <v>2422.1999999999998</v>
      </c>
      <c r="E175" s="145">
        <v>9439000</v>
      </c>
      <c r="F175" s="145">
        <f t="shared" si="8"/>
        <v>21712352.60449028</v>
      </c>
      <c r="G175" s="145">
        <v>-572</v>
      </c>
      <c r="H175" s="145">
        <v>-397</v>
      </c>
      <c r="I175" s="145">
        <v>18148</v>
      </c>
      <c r="J175" s="145">
        <v>9859</v>
      </c>
      <c r="K175" s="145">
        <v>16861</v>
      </c>
      <c r="L175" s="145">
        <v>9469</v>
      </c>
      <c r="M175" s="145">
        <v>5163</v>
      </c>
      <c r="N175" s="145">
        <v>-330</v>
      </c>
      <c r="O175" s="145">
        <v>8885</v>
      </c>
      <c r="P175" s="145">
        <v>2832</v>
      </c>
      <c r="Q175" s="145">
        <v>5513</v>
      </c>
      <c r="R175" s="145">
        <v>-203</v>
      </c>
      <c r="S175" s="145">
        <v>1303</v>
      </c>
      <c r="T175" s="145">
        <v>407</v>
      </c>
      <c r="U175" s="145">
        <v>3377</v>
      </c>
      <c r="V175" s="145">
        <v>2507</v>
      </c>
      <c r="W175" s="145">
        <v>574</v>
      </c>
      <c r="X175" s="145">
        <v>985</v>
      </c>
      <c r="Y175" s="145">
        <v>60</v>
      </c>
      <c r="Z175" s="145">
        <v>-907</v>
      </c>
      <c r="AA175" s="145">
        <v>59668</v>
      </c>
      <c r="AB175" s="75">
        <v>174847</v>
      </c>
      <c r="AC175" s="75">
        <v>188808</v>
      </c>
      <c r="AF175"/>
      <c r="AG175"/>
      <c r="AH175" s="75">
        <v>56704</v>
      </c>
      <c r="AI175" s="75">
        <v>57072</v>
      </c>
      <c r="AJ175" s="75">
        <v>57293</v>
      </c>
      <c r="AK175" s="75">
        <v>57839</v>
      </c>
      <c r="AL175" s="75">
        <v>58108</v>
      </c>
      <c r="AM175" s="75">
        <v>58383</v>
      </c>
      <c r="AN175" s="75">
        <v>58934</v>
      </c>
      <c r="AO175" s="75">
        <v>146174</v>
      </c>
      <c r="AP175" s="75">
        <v>148797</v>
      </c>
      <c r="AQ175" s="75">
        <v>147059000</v>
      </c>
      <c r="AR175" s="75">
        <v>158806</v>
      </c>
      <c r="AS175" s="75">
        <v>168244</v>
      </c>
      <c r="AT175" s="75">
        <v>169008</v>
      </c>
      <c r="AU175" s="75">
        <v>174847</v>
      </c>
      <c r="AV175" s="75">
        <v>188808</v>
      </c>
    </row>
    <row r="176" spans="1:48" ht="12.5" x14ac:dyDescent="0.25">
      <c r="A176" s="75" t="s">
        <v>517</v>
      </c>
      <c r="B176" s="75" t="s">
        <v>305</v>
      </c>
      <c r="C176" s="145">
        <f t="shared" si="6"/>
        <v>1700.4</v>
      </c>
      <c r="D176" s="145">
        <f t="shared" si="7"/>
        <v>1971.7</v>
      </c>
      <c r="E176" s="145">
        <v>5477000</v>
      </c>
      <c r="F176" s="145">
        <f t="shared" si="8"/>
        <v>12699474.448694553</v>
      </c>
      <c r="G176" s="145">
        <v>65</v>
      </c>
      <c r="H176" s="145">
        <v>154</v>
      </c>
      <c r="I176" s="145">
        <v>4188</v>
      </c>
      <c r="J176" s="145">
        <v>4636</v>
      </c>
      <c r="K176" s="145">
        <v>2793</v>
      </c>
      <c r="L176" s="145">
        <v>2463</v>
      </c>
      <c r="M176" s="145">
        <v>71</v>
      </c>
      <c r="N176" s="145">
        <v>444</v>
      </c>
      <c r="O176" s="145">
        <v>879</v>
      </c>
      <c r="P176" s="145">
        <v>2087</v>
      </c>
      <c r="Q176" s="145">
        <v>2364</v>
      </c>
      <c r="R176" s="145">
        <v>2148</v>
      </c>
      <c r="S176" s="145">
        <v>497</v>
      </c>
      <c r="T176" s="145">
        <v>605</v>
      </c>
      <c r="U176" s="145">
        <v>1080</v>
      </c>
      <c r="V176" s="145">
        <v>3213</v>
      </c>
      <c r="W176" s="145">
        <v>2692</v>
      </c>
      <c r="X176" s="145">
        <v>3216</v>
      </c>
      <c r="Y176" s="145">
        <v>2375</v>
      </c>
      <c r="Z176" s="145">
        <v>751</v>
      </c>
      <c r="AA176" s="145">
        <v>36437</v>
      </c>
      <c r="AB176" s="75">
        <v>94701</v>
      </c>
      <c r="AC176" s="75">
        <v>96476</v>
      </c>
      <c r="AF176"/>
      <c r="AG176"/>
      <c r="AH176" s="75">
        <v>32443</v>
      </c>
      <c r="AI176" s="75">
        <v>32515</v>
      </c>
      <c r="AJ176" s="75">
        <v>32786</v>
      </c>
      <c r="AK176" s="75">
        <v>33168</v>
      </c>
      <c r="AL176" s="75">
        <v>33567</v>
      </c>
      <c r="AM176" s="75">
        <v>34148</v>
      </c>
      <c r="AN176" s="75">
        <v>35303</v>
      </c>
      <c r="AO176" s="75">
        <v>77192</v>
      </c>
      <c r="AP176" s="75">
        <v>76892</v>
      </c>
      <c r="AQ176" s="75">
        <v>78727000</v>
      </c>
      <c r="AR176" s="75">
        <v>82582</v>
      </c>
      <c r="AS176" s="75">
        <v>87908</v>
      </c>
      <c r="AT176" s="75">
        <v>91589</v>
      </c>
      <c r="AU176" s="75">
        <v>94701</v>
      </c>
      <c r="AV176" s="75">
        <v>96476</v>
      </c>
    </row>
    <row r="177" spans="1:48" ht="12.5" x14ac:dyDescent="0.25">
      <c r="A177" s="75" t="s">
        <v>522</v>
      </c>
      <c r="B177" s="75" t="s">
        <v>411</v>
      </c>
      <c r="C177" s="145">
        <f t="shared" si="6"/>
        <v>8235.2000000000007</v>
      </c>
      <c r="D177" s="145">
        <f t="shared" si="7"/>
        <v>8157.5</v>
      </c>
      <c r="E177" s="145">
        <v>39280000</v>
      </c>
      <c r="F177" s="145">
        <f t="shared" si="8"/>
        <v>45039473.806152634</v>
      </c>
      <c r="G177" s="145">
        <v>7082</v>
      </c>
      <c r="H177" s="145">
        <v>7082</v>
      </c>
      <c r="I177" s="145">
        <v>15402</v>
      </c>
      <c r="J177" s="145">
        <v>15403</v>
      </c>
      <c r="K177" s="145">
        <v>20952</v>
      </c>
      <c r="L177" s="145">
        <v>20953</v>
      </c>
      <c r="M177" s="145">
        <v>5715</v>
      </c>
      <c r="N177" s="145">
        <v>5715</v>
      </c>
      <c r="O177" s="145">
        <v>0</v>
      </c>
      <c r="P177" s="145">
        <v>0</v>
      </c>
      <c r="Q177" s="145">
        <v>24210</v>
      </c>
      <c r="R177" s="145">
        <v>24210</v>
      </c>
      <c r="S177" s="145">
        <v>1400</v>
      </c>
      <c r="T177" s="145">
        <v>1093</v>
      </c>
      <c r="U177" s="145">
        <v>4707</v>
      </c>
      <c r="V177" s="145">
        <v>3844</v>
      </c>
      <c r="W177" s="145">
        <v>2317</v>
      </c>
      <c r="X177" s="145">
        <v>2386</v>
      </c>
      <c r="Y177" s="145">
        <v>567</v>
      </c>
      <c r="Z177" s="145">
        <v>889</v>
      </c>
      <c r="AA177" s="145">
        <v>125666</v>
      </c>
      <c r="AB177" s="75">
        <v>552997</v>
      </c>
      <c r="AC177" s="75">
        <v>552439</v>
      </c>
      <c r="AF177"/>
      <c r="AG177"/>
      <c r="AH177" s="75">
        <v>122798</v>
      </c>
      <c r="AI177" s="75">
        <v>122716</v>
      </c>
      <c r="AJ177" s="75">
        <v>121623</v>
      </c>
      <c r="AK177" s="75">
        <v>121898</v>
      </c>
      <c r="AL177" s="75">
        <v>120227</v>
      </c>
      <c r="AM177" s="75">
        <v>121108</v>
      </c>
      <c r="AN177" s="75">
        <v>122734</v>
      </c>
      <c r="AO177" s="75">
        <v>381745</v>
      </c>
      <c r="AP177" s="75">
        <v>423515</v>
      </c>
      <c r="AQ177" s="75">
        <v>452239000</v>
      </c>
      <c r="AR177" s="75">
        <v>466068</v>
      </c>
      <c r="AS177" s="75">
        <v>497690</v>
      </c>
      <c r="AT177" s="75">
        <v>523539</v>
      </c>
      <c r="AU177" s="75">
        <v>552997</v>
      </c>
      <c r="AV177" s="75">
        <v>552439</v>
      </c>
    </row>
    <row r="178" spans="1:48" ht="12.5" x14ac:dyDescent="0.25">
      <c r="A178" s="75" t="s">
        <v>514</v>
      </c>
      <c r="B178" s="75" t="s">
        <v>264</v>
      </c>
      <c r="C178" s="145">
        <f t="shared" si="6"/>
        <v>4572.2</v>
      </c>
      <c r="D178" s="145">
        <f t="shared" si="7"/>
        <v>4719</v>
      </c>
      <c r="E178" s="145">
        <v>7637000</v>
      </c>
      <c r="F178" s="145">
        <f t="shared" si="8"/>
        <v>16902633.058837049</v>
      </c>
      <c r="G178" s="145">
        <v>6039</v>
      </c>
      <c r="H178" s="145">
        <v>5325</v>
      </c>
      <c r="I178" s="145">
        <v>8464</v>
      </c>
      <c r="J178" s="145">
        <v>6365</v>
      </c>
      <c r="K178" s="145">
        <v>6119</v>
      </c>
      <c r="L178" s="145">
        <v>6420</v>
      </c>
      <c r="M178" s="145">
        <v>3633</v>
      </c>
      <c r="N178" s="145">
        <v>5379</v>
      </c>
      <c r="O178" s="145">
        <v>3174</v>
      </c>
      <c r="P178" s="145">
        <v>3383</v>
      </c>
      <c r="Q178" s="145">
        <v>2021</v>
      </c>
      <c r="R178" s="145">
        <v>3148</v>
      </c>
      <c r="S178" s="145">
        <v>4097</v>
      </c>
      <c r="T178" s="145">
        <v>3853</v>
      </c>
      <c r="U178" s="145">
        <v>3530</v>
      </c>
      <c r="V178" s="145">
        <v>4856</v>
      </c>
      <c r="W178" s="145">
        <v>4922</v>
      </c>
      <c r="X178" s="145">
        <v>4764</v>
      </c>
      <c r="Y178" s="145">
        <v>3723</v>
      </c>
      <c r="Z178" s="145">
        <v>3697</v>
      </c>
      <c r="AA178" s="145">
        <v>45943</v>
      </c>
      <c r="AB178" s="75">
        <v>73346</v>
      </c>
      <c r="AC178" s="75">
        <v>71353</v>
      </c>
      <c r="AF178"/>
      <c r="AG178"/>
      <c r="AH178" s="75">
        <v>44058</v>
      </c>
      <c r="AI178" s="75">
        <v>44479</v>
      </c>
      <c r="AJ178" s="75">
        <v>44833</v>
      </c>
      <c r="AK178" s="75">
        <v>45107</v>
      </c>
      <c r="AL178" s="75">
        <v>45165</v>
      </c>
      <c r="AM178" s="75">
        <v>45450</v>
      </c>
      <c r="AN178" s="75">
        <v>46031</v>
      </c>
      <c r="AO178" s="75">
        <v>74115</v>
      </c>
      <c r="AP178" s="75">
        <v>71756</v>
      </c>
      <c r="AQ178" s="75">
        <v>72758470</v>
      </c>
      <c r="AR178" s="75">
        <v>72118</v>
      </c>
      <c r="AS178" s="75">
        <v>70414</v>
      </c>
      <c r="AT178" s="75">
        <v>71919</v>
      </c>
      <c r="AU178" s="75">
        <v>73346</v>
      </c>
      <c r="AV178" s="75">
        <v>71353</v>
      </c>
    </row>
    <row r="179" spans="1:48" ht="12.5" x14ac:dyDescent="0.25">
      <c r="A179" s="75" t="s">
        <v>522</v>
      </c>
      <c r="B179" s="75" t="s">
        <v>412</v>
      </c>
      <c r="C179" s="145">
        <f t="shared" si="6"/>
        <v>116.3</v>
      </c>
      <c r="D179" s="145">
        <f t="shared" si="7"/>
        <v>125.3</v>
      </c>
      <c r="E179" s="145">
        <v>2820000</v>
      </c>
      <c r="F179" s="145">
        <f t="shared" si="8"/>
        <v>6910555.060490869</v>
      </c>
      <c r="G179" s="145">
        <v>0</v>
      </c>
      <c r="H179" s="145">
        <v>20</v>
      </c>
      <c r="I179" s="145">
        <v>735</v>
      </c>
      <c r="J179" s="145">
        <v>894</v>
      </c>
      <c r="K179" s="145">
        <v>457</v>
      </c>
      <c r="L179" s="145">
        <v>339</v>
      </c>
      <c r="M179" s="145">
        <v>0</v>
      </c>
      <c r="N179" s="145">
        <v>0</v>
      </c>
      <c r="O179" s="145">
        <v>0</v>
      </c>
      <c r="P179" s="145">
        <v>0</v>
      </c>
      <c r="Q179" s="145">
        <v>0</v>
      </c>
      <c r="R179" s="145">
        <v>0</v>
      </c>
      <c r="S179" s="145">
        <v>0</v>
      </c>
      <c r="T179" s="145">
        <v>0</v>
      </c>
      <c r="U179" s="145">
        <v>0</v>
      </c>
      <c r="V179" s="145">
        <v>0</v>
      </c>
      <c r="W179" s="145">
        <v>0</v>
      </c>
      <c r="X179" s="145">
        <v>0</v>
      </c>
      <c r="Y179" s="145">
        <v>-29</v>
      </c>
      <c r="Z179" s="145">
        <v>0</v>
      </c>
      <c r="AA179" s="145">
        <v>18459</v>
      </c>
      <c r="AB179" s="75">
        <v>55100</v>
      </c>
      <c r="AC179" s="75">
        <v>59624</v>
      </c>
      <c r="AF179"/>
      <c r="AG179"/>
      <c r="AH179" s="75">
        <v>19068</v>
      </c>
      <c r="AI179" s="75">
        <v>19037</v>
      </c>
      <c r="AJ179" s="75">
        <v>18923</v>
      </c>
      <c r="AK179" s="75">
        <v>18837</v>
      </c>
      <c r="AL179" s="75">
        <v>18661</v>
      </c>
      <c r="AM179" s="75">
        <v>18582</v>
      </c>
      <c r="AN179" s="75">
        <v>18600</v>
      </c>
      <c r="AO179" s="75">
        <v>42292</v>
      </c>
      <c r="AP179" s="75">
        <v>43923</v>
      </c>
      <c r="AQ179" s="75">
        <v>44956000</v>
      </c>
      <c r="AR179" s="75">
        <v>45726</v>
      </c>
      <c r="AS179" s="75">
        <v>51730</v>
      </c>
      <c r="AT179" s="75">
        <v>53212</v>
      </c>
      <c r="AU179" s="75">
        <v>55100</v>
      </c>
      <c r="AV179" s="75">
        <v>59624</v>
      </c>
    </row>
    <row r="180" spans="1:48" ht="12.5" x14ac:dyDescent="0.25">
      <c r="A180" s="75" t="s">
        <v>513</v>
      </c>
      <c r="B180" s="75" t="s">
        <v>581</v>
      </c>
      <c r="C180" s="145">
        <f t="shared" si="6"/>
        <v>15337.8</v>
      </c>
      <c r="D180" s="145">
        <f t="shared" si="7"/>
        <v>17097.2</v>
      </c>
      <c r="E180" s="145">
        <v>14249000</v>
      </c>
      <c r="F180" s="145">
        <f t="shared" si="8"/>
        <v>30721511.80911795</v>
      </c>
      <c r="G180" s="145">
        <v>11622</v>
      </c>
      <c r="H180" s="145">
        <v>11258</v>
      </c>
      <c r="I180" s="145">
        <v>18380</v>
      </c>
      <c r="J180" s="145">
        <v>16448</v>
      </c>
      <c r="K180" s="145">
        <v>20652</v>
      </c>
      <c r="L180" s="145">
        <v>34333</v>
      </c>
      <c r="M180" s="145">
        <v>22479</v>
      </c>
      <c r="N180" s="145">
        <v>19738</v>
      </c>
      <c r="O180" s="145">
        <v>19496</v>
      </c>
      <c r="P180" s="145">
        <v>17412</v>
      </c>
      <c r="Q180" s="145">
        <v>14594</v>
      </c>
      <c r="R180" s="145">
        <v>14312</v>
      </c>
      <c r="S180" s="145">
        <v>14651</v>
      </c>
      <c r="T180" s="145">
        <v>13334</v>
      </c>
      <c r="U180" s="145">
        <v>9202</v>
      </c>
      <c r="V180" s="145">
        <v>8542</v>
      </c>
      <c r="W180" s="145">
        <v>13145</v>
      </c>
      <c r="X180" s="145">
        <v>15432</v>
      </c>
      <c r="Y180" s="145">
        <v>9157</v>
      </c>
      <c r="Z180" s="145">
        <v>20163</v>
      </c>
      <c r="AA180" s="145">
        <v>84696</v>
      </c>
      <c r="AB180" s="75">
        <v>208094</v>
      </c>
      <c r="AC180" s="75">
        <v>227086</v>
      </c>
      <c r="AF180"/>
      <c r="AG180"/>
      <c r="AH180" s="75">
        <v>79835</v>
      </c>
      <c r="AI180" s="75">
        <v>80174</v>
      </c>
      <c r="AJ180" s="75">
        <v>80823</v>
      </c>
      <c r="AK180" s="75">
        <v>81163</v>
      </c>
      <c r="AL180" s="75">
        <v>81647</v>
      </c>
      <c r="AM180" s="75">
        <v>82608</v>
      </c>
      <c r="AN180" s="75">
        <v>83715</v>
      </c>
      <c r="AO180" s="75">
        <v>190529</v>
      </c>
      <c r="AP180" s="75">
        <v>196097</v>
      </c>
      <c r="AQ180" s="75">
        <v>195018000</v>
      </c>
      <c r="AR180" s="75">
        <v>210068</v>
      </c>
      <c r="AS180" s="75">
        <v>213404</v>
      </c>
      <c r="AT180" s="75">
        <v>199009</v>
      </c>
      <c r="AU180" s="75">
        <v>208094</v>
      </c>
      <c r="AV180" s="75">
        <v>227086</v>
      </c>
    </row>
    <row r="181" spans="1:48" ht="12.5" x14ac:dyDescent="0.25">
      <c r="A181" s="75" t="s">
        <v>512</v>
      </c>
      <c r="B181" s="75" t="s">
        <v>110</v>
      </c>
      <c r="C181" s="145">
        <f t="shared" si="6"/>
        <v>7876.3</v>
      </c>
      <c r="D181" s="145">
        <f t="shared" si="7"/>
        <v>7684.9</v>
      </c>
      <c r="E181" s="145">
        <v>7255000</v>
      </c>
      <c r="F181" s="145">
        <f t="shared" si="8"/>
        <v>12928561.840647109</v>
      </c>
      <c r="G181" s="145">
        <v>19210</v>
      </c>
      <c r="H181" s="145">
        <v>19164</v>
      </c>
      <c r="I181" s="145">
        <v>4155</v>
      </c>
      <c r="J181" s="145">
        <v>4698</v>
      </c>
      <c r="K181" s="145">
        <v>7664</v>
      </c>
      <c r="L181" s="145">
        <v>8176</v>
      </c>
      <c r="M181" s="145">
        <v>12631</v>
      </c>
      <c r="N181" s="145">
        <v>9784</v>
      </c>
      <c r="O181" s="145">
        <v>12458</v>
      </c>
      <c r="P181" s="145">
        <v>13260</v>
      </c>
      <c r="Q181" s="145">
        <v>9132</v>
      </c>
      <c r="R181" s="145">
        <v>6875</v>
      </c>
      <c r="S181" s="145">
        <v>3964</v>
      </c>
      <c r="T181" s="145">
        <v>3827</v>
      </c>
      <c r="U181" s="145">
        <v>6742</v>
      </c>
      <c r="V181" s="145">
        <v>6736</v>
      </c>
      <c r="W181" s="145">
        <v>6380</v>
      </c>
      <c r="X181" s="145">
        <v>8367</v>
      </c>
      <c r="Y181" s="145">
        <v>-3573</v>
      </c>
      <c r="Z181" s="145">
        <v>-4038</v>
      </c>
      <c r="AA181" s="145">
        <v>36288</v>
      </c>
      <c r="AB181" s="75">
        <v>101302</v>
      </c>
      <c r="AC181" s="75">
        <v>96298</v>
      </c>
      <c r="AF181"/>
      <c r="AG181"/>
      <c r="AH181" s="75">
        <v>33016</v>
      </c>
      <c r="AI181" s="75">
        <v>33419</v>
      </c>
      <c r="AJ181" s="75">
        <v>33573</v>
      </c>
      <c r="AK181" s="75">
        <v>33888</v>
      </c>
      <c r="AL181" s="75">
        <v>34386</v>
      </c>
      <c r="AM181" s="75">
        <v>34764</v>
      </c>
      <c r="AN181" s="75">
        <v>35464</v>
      </c>
      <c r="AO181" s="75">
        <v>104808</v>
      </c>
      <c r="AP181" s="75">
        <v>103310</v>
      </c>
      <c r="AQ181" s="75">
        <v>98875000</v>
      </c>
      <c r="AR181" s="75">
        <v>99962</v>
      </c>
      <c r="AS181" s="75">
        <v>100130</v>
      </c>
      <c r="AT181" s="75">
        <v>98572</v>
      </c>
      <c r="AU181" s="75">
        <v>101302</v>
      </c>
      <c r="AV181" s="75">
        <v>96298</v>
      </c>
    </row>
    <row r="182" spans="1:48" ht="12.5" x14ac:dyDescent="0.25">
      <c r="A182" s="75" t="s">
        <v>524</v>
      </c>
      <c r="B182" s="75" t="s">
        <v>725</v>
      </c>
      <c r="C182" s="145">
        <f t="shared" si="6"/>
        <v>10113.6</v>
      </c>
      <c r="D182" s="145">
        <f t="shared" si="7"/>
        <v>9187.5</v>
      </c>
      <c r="E182" s="145">
        <v>9004000</v>
      </c>
      <c r="F182" s="145">
        <f t="shared" si="8"/>
        <v>18288686.159173366</v>
      </c>
      <c r="G182" s="145">
        <v>2472</v>
      </c>
      <c r="H182" s="145">
        <v>1974</v>
      </c>
      <c r="I182" s="145">
        <v>9236</v>
      </c>
      <c r="J182" s="145">
        <v>9081</v>
      </c>
      <c r="K182" s="145">
        <v>21703</v>
      </c>
      <c r="L182" s="145">
        <v>25404</v>
      </c>
      <c r="M182" s="145">
        <v>12893</v>
      </c>
      <c r="N182" s="145">
        <v>11134</v>
      </c>
      <c r="O182" s="145">
        <v>7960</v>
      </c>
      <c r="P182" s="145">
        <v>3821</v>
      </c>
      <c r="Q182" s="145">
        <v>18545</v>
      </c>
      <c r="R182" s="145">
        <v>15103</v>
      </c>
      <c r="S182" s="145">
        <v>8664</v>
      </c>
      <c r="T182" s="145">
        <v>7946</v>
      </c>
      <c r="U182" s="145">
        <v>2941</v>
      </c>
      <c r="V182" s="145">
        <v>3069</v>
      </c>
      <c r="W182" s="145">
        <v>7948</v>
      </c>
      <c r="X182" s="145">
        <v>8061</v>
      </c>
      <c r="Y182" s="145">
        <v>8774</v>
      </c>
      <c r="Z182" s="145">
        <v>6282</v>
      </c>
      <c r="AA182" s="145">
        <v>50167</v>
      </c>
      <c r="AB182" s="75">
        <v>151957</v>
      </c>
      <c r="AC182" s="75">
        <v>146580</v>
      </c>
      <c r="AF182"/>
      <c r="AG182"/>
      <c r="AH182" s="75">
        <v>48025</v>
      </c>
      <c r="AI182" s="75">
        <v>48303</v>
      </c>
      <c r="AJ182" s="75">
        <v>48548</v>
      </c>
      <c r="AK182" s="75">
        <v>48785</v>
      </c>
      <c r="AL182" s="75">
        <v>48964</v>
      </c>
      <c r="AM182" s="75">
        <v>49177</v>
      </c>
      <c r="AN182" s="75">
        <v>49956</v>
      </c>
      <c r="AO182" s="75">
        <v>167772</v>
      </c>
      <c r="AP182" s="75">
        <v>164349</v>
      </c>
      <c r="AQ182" s="75">
        <v>195693000</v>
      </c>
      <c r="AR182" s="75">
        <v>205345</v>
      </c>
      <c r="AS182" s="75">
        <v>192914</v>
      </c>
      <c r="AT182" s="75">
        <v>156426</v>
      </c>
      <c r="AU182" s="75">
        <v>151957</v>
      </c>
      <c r="AV182" s="75">
        <v>146580</v>
      </c>
    </row>
    <row r="183" spans="1:48" ht="12.5" x14ac:dyDescent="0.25">
      <c r="A183" s="75" t="s">
        <v>512</v>
      </c>
      <c r="B183" s="75" t="s">
        <v>306</v>
      </c>
      <c r="C183" s="145">
        <f t="shared" si="6"/>
        <v>2763.5</v>
      </c>
      <c r="D183" s="145">
        <f t="shared" si="7"/>
        <v>3111</v>
      </c>
      <c r="E183" s="145">
        <v>3157000</v>
      </c>
      <c r="F183" s="145">
        <f t="shared" si="8"/>
        <v>7244516.8753827428</v>
      </c>
      <c r="G183" s="145">
        <v>292</v>
      </c>
      <c r="H183" s="145">
        <v>291</v>
      </c>
      <c r="I183" s="145">
        <v>3144</v>
      </c>
      <c r="J183" s="145">
        <v>3982</v>
      </c>
      <c r="K183" s="145">
        <v>5274</v>
      </c>
      <c r="L183" s="145">
        <v>5566</v>
      </c>
      <c r="M183" s="145">
        <v>3395</v>
      </c>
      <c r="N183" s="145">
        <v>3360</v>
      </c>
      <c r="O183" s="145">
        <v>2577</v>
      </c>
      <c r="P183" s="145">
        <v>2400</v>
      </c>
      <c r="Q183" s="145">
        <v>4061</v>
      </c>
      <c r="R183" s="145">
        <v>3439</v>
      </c>
      <c r="S183" s="145">
        <v>3233</v>
      </c>
      <c r="T183" s="145">
        <v>3860</v>
      </c>
      <c r="U183" s="145">
        <v>3800</v>
      </c>
      <c r="V183" s="145">
        <v>3321</v>
      </c>
      <c r="W183" s="145">
        <v>820</v>
      </c>
      <c r="X183" s="145">
        <v>1804</v>
      </c>
      <c r="Y183" s="145">
        <v>1039</v>
      </c>
      <c r="Z183" s="145">
        <v>3087</v>
      </c>
      <c r="AA183" s="145">
        <v>19422</v>
      </c>
      <c r="AB183" s="75">
        <v>124968</v>
      </c>
      <c r="AC183" s="75">
        <v>136271</v>
      </c>
      <c r="AF183"/>
      <c r="AG183"/>
      <c r="AH183" s="75">
        <v>19034</v>
      </c>
      <c r="AI183" s="75">
        <v>19337</v>
      </c>
      <c r="AJ183" s="75">
        <v>19401</v>
      </c>
      <c r="AK183" s="75">
        <v>19349</v>
      </c>
      <c r="AL183" s="75">
        <v>19414</v>
      </c>
      <c r="AM183" s="75">
        <v>19480</v>
      </c>
      <c r="AN183" s="75">
        <v>19472</v>
      </c>
      <c r="AO183" s="75">
        <v>53163</v>
      </c>
      <c r="AP183" s="75">
        <v>55708</v>
      </c>
      <c r="AQ183" s="75">
        <v>62731000</v>
      </c>
      <c r="AR183" s="75">
        <v>69160</v>
      </c>
      <c r="AS183" s="75">
        <v>96047</v>
      </c>
      <c r="AT183" s="75">
        <v>114525</v>
      </c>
      <c r="AU183" s="75">
        <v>124968</v>
      </c>
      <c r="AV183" s="75">
        <v>136271</v>
      </c>
    </row>
    <row r="184" spans="1:48" ht="12.5" x14ac:dyDescent="0.25">
      <c r="A184" s="75" t="s">
        <v>517</v>
      </c>
      <c r="B184" s="214" t="s">
        <v>111</v>
      </c>
      <c r="C184" s="145">
        <f t="shared" si="6"/>
        <v>2147.9</v>
      </c>
      <c r="D184" s="145">
        <f t="shared" si="7"/>
        <v>1987.9</v>
      </c>
      <c r="E184" s="216">
        <v>5447000</v>
      </c>
      <c r="F184" s="145">
        <f t="shared" si="8"/>
        <v>12522452.373094853</v>
      </c>
      <c r="G184" s="216">
        <v>1807</v>
      </c>
      <c r="H184" s="216">
        <v>1807</v>
      </c>
      <c r="I184" s="145">
        <v>2855</v>
      </c>
      <c r="J184" s="145">
        <v>2860</v>
      </c>
      <c r="K184" s="145">
        <v>1197</v>
      </c>
      <c r="L184" s="145">
        <v>1375</v>
      </c>
      <c r="M184" s="145">
        <v>2173</v>
      </c>
      <c r="N184" s="145">
        <v>1256</v>
      </c>
      <c r="O184" s="145">
        <v>1509</v>
      </c>
      <c r="P184" s="145">
        <v>1177</v>
      </c>
      <c r="Q184" s="145">
        <v>1674</v>
      </c>
      <c r="R184" s="145">
        <v>1309</v>
      </c>
      <c r="S184" s="145">
        <v>4875</v>
      </c>
      <c r="T184" s="145">
        <v>4603</v>
      </c>
      <c r="U184" s="145">
        <v>3164</v>
      </c>
      <c r="V184" s="145">
        <v>2705</v>
      </c>
      <c r="W184" s="145">
        <v>815</v>
      </c>
      <c r="X184" s="145">
        <v>1265</v>
      </c>
      <c r="Y184" s="145">
        <v>1410</v>
      </c>
      <c r="Z184" s="145">
        <v>1522</v>
      </c>
      <c r="AA184" s="145">
        <v>34021</v>
      </c>
      <c r="AB184" s="75">
        <v>72316</v>
      </c>
      <c r="AC184" s="75">
        <v>81841</v>
      </c>
      <c r="AF184"/>
      <c r="AG184"/>
      <c r="AH184" s="75">
        <v>33411</v>
      </c>
      <c r="AI184" s="75">
        <v>33167</v>
      </c>
      <c r="AJ184" s="75">
        <v>33179</v>
      </c>
      <c r="AK184" s="75">
        <v>33127</v>
      </c>
      <c r="AL184" s="75">
        <v>33381</v>
      </c>
      <c r="AM184" s="75">
        <v>33672</v>
      </c>
      <c r="AN184" s="75">
        <v>33987</v>
      </c>
      <c r="AO184" s="75">
        <v>70101</v>
      </c>
      <c r="AP184" s="75">
        <v>71311</v>
      </c>
      <c r="AQ184" s="75">
        <v>64434000</v>
      </c>
      <c r="AR184" s="75">
        <v>63309</v>
      </c>
      <c r="AS184" s="75">
        <v>67169</v>
      </c>
      <c r="AT184" s="75">
        <v>65982</v>
      </c>
      <c r="AU184" s="75">
        <v>72316</v>
      </c>
      <c r="AV184" s="75">
        <v>81841</v>
      </c>
    </row>
    <row r="185" spans="1:48" ht="12.5" x14ac:dyDescent="0.25">
      <c r="A185" s="75" t="s">
        <v>521</v>
      </c>
      <c r="B185" s="75" t="s">
        <v>595</v>
      </c>
      <c r="C185" s="145">
        <f t="shared" si="6"/>
        <v>5753.3</v>
      </c>
      <c r="D185" s="145">
        <f t="shared" si="7"/>
        <v>6978.6</v>
      </c>
      <c r="E185" s="145">
        <v>12486000</v>
      </c>
      <c r="F185" s="145">
        <f t="shared" si="8"/>
        <v>22644693.662323162</v>
      </c>
      <c r="G185" s="145">
        <v>17801</v>
      </c>
      <c r="H185" s="145">
        <v>16644</v>
      </c>
      <c r="I185" s="145">
        <v>6906</v>
      </c>
      <c r="J185" s="145">
        <v>7497</v>
      </c>
      <c r="K185" s="145">
        <v>3035</v>
      </c>
      <c r="L185" s="145">
        <v>8265</v>
      </c>
      <c r="M185" s="145">
        <v>2047</v>
      </c>
      <c r="N185" s="145">
        <v>5641</v>
      </c>
      <c r="O185" s="145">
        <v>2228</v>
      </c>
      <c r="P185" s="145">
        <v>2339</v>
      </c>
      <c r="Q185" s="145">
        <v>3280</v>
      </c>
      <c r="R185" s="145">
        <v>3199</v>
      </c>
      <c r="S185" s="145">
        <v>4079</v>
      </c>
      <c r="T185" s="145">
        <v>4728</v>
      </c>
      <c r="U185" s="145">
        <v>8305</v>
      </c>
      <c r="V185" s="145">
        <v>9242</v>
      </c>
      <c r="W185" s="145">
        <v>4561</v>
      </c>
      <c r="X185" s="145">
        <v>5164</v>
      </c>
      <c r="Y185" s="145">
        <v>5291</v>
      </c>
      <c r="Z185" s="145">
        <v>7067</v>
      </c>
      <c r="AA185" s="145">
        <v>61374</v>
      </c>
      <c r="AB185" s="75">
        <v>176935</v>
      </c>
      <c r="AC185" s="75">
        <v>196470</v>
      </c>
      <c r="AF185"/>
      <c r="AG185"/>
      <c r="AH185" s="75">
        <v>62168</v>
      </c>
      <c r="AI185" s="75">
        <v>60956</v>
      </c>
      <c r="AJ185" s="75">
        <v>60956</v>
      </c>
      <c r="AK185" s="75">
        <v>60873</v>
      </c>
      <c r="AL185" s="75">
        <v>60726</v>
      </c>
      <c r="AM185" s="75">
        <v>60890</v>
      </c>
      <c r="AN185" s="75">
        <v>61554</v>
      </c>
      <c r="AO185" s="75">
        <v>138386</v>
      </c>
      <c r="AP185" s="75">
        <v>146144</v>
      </c>
      <c r="AQ185" s="75">
        <v>151378000</v>
      </c>
      <c r="AR185" s="75">
        <v>146767</v>
      </c>
      <c r="AS185" s="75">
        <v>152071</v>
      </c>
      <c r="AT185" s="75">
        <v>159899</v>
      </c>
      <c r="AU185" s="75">
        <v>176935</v>
      </c>
      <c r="AV185" s="75">
        <v>196470</v>
      </c>
    </row>
    <row r="186" spans="1:48" ht="12.5" x14ac:dyDescent="0.25">
      <c r="A186" s="75" t="s">
        <v>513</v>
      </c>
      <c r="B186" s="75" t="s">
        <v>377</v>
      </c>
      <c r="C186" s="145">
        <f t="shared" si="6"/>
        <v>7319</v>
      </c>
      <c r="D186" s="145">
        <f t="shared" si="7"/>
        <v>8384</v>
      </c>
      <c r="E186" s="145">
        <v>6847000</v>
      </c>
      <c r="F186" s="145">
        <f t="shared" si="8"/>
        <v>13876894.388502654</v>
      </c>
      <c r="G186" s="145">
        <v>9023</v>
      </c>
      <c r="H186" s="145">
        <v>7458</v>
      </c>
      <c r="I186" s="145">
        <v>3622</v>
      </c>
      <c r="J186" s="145">
        <v>10234</v>
      </c>
      <c r="K186" s="145">
        <v>7504</v>
      </c>
      <c r="L186" s="145">
        <v>7428</v>
      </c>
      <c r="M186" s="145">
        <v>5291</v>
      </c>
      <c r="N186" s="145">
        <v>5079</v>
      </c>
      <c r="O186" s="145">
        <v>7029</v>
      </c>
      <c r="P186" s="145">
        <v>8777</v>
      </c>
      <c r="Q186" s="145">
        <v>8018</v>
      </c>
      <c r="R186" s="145">
        <v>6296</v>
      </c>
      <c r="S186" s="145">
        <v>11415</v>
      </c>
      <c r="T186" s="145">
        <v>10036</v>
      </c>
      <c r="U186" s="145">
        <v>7017</v>
      </c>
      <c r="V186" s="145">
        <v>5083</v>
      </c>
      <c r="W186" s="145">
        <v>11974</v>
      </c>
      <c r="X186" s="145">
        <v>21385</v>
      </c>
      <c r="Y186" s="145">
        <v>2297</v>
      </c>
      <c r="Z186" s="145">
        <v>2064</v>
      </c>
      <c r="AA186" s="145">
        <v>38274</v>
      </c>
      <c r="AB186" s="75">
        <v>103725</v>
      </c>
      <c r="AC186" s="75">
        <v>122576</v>
      </c>
      <c r="AF186"/>
      <c r="AG186"/>
      <c r="AH186" s="75">
        <v>36945</v>
      </c>
      <c r="AI186" s="75">
        <v>36966</v>
      </c>
      <c r="AJ186" s="75">
        <v>36963</v>
      </c>
      <c r="AK186" s="75">
        <v>37172</v>
      </c>
      <c r="AL186" s="75">
        <v>37185</v>
      </c>
      <c r="AM186" s="75">
        <v>37314</v>
      </c>
      <c r="AN186" s="75">
        <v>37711</v>
      </c>
      <c r="AO186" s="75">
        <v>72841</v>
      </c>
      <c r="AP186" s="75">
        <v>89157</v>
      </c>
      <c r="AQ186" s="75">
        <v>68480000</v>
      </c>
      <c r="AR186" s="75">
        <v>82587</v>
      </c>
      <c r="AS186" s="75">
        <v>97605</v>
      </c>
      <c r="AT186" s="75">
        <v>95897</v>
      </c>
      <c r="AU186" s="75">
        <v>103725</v>
      </c>
      <c r="AV186" s="75">
        <v>122576</v>
      </c>
    </row>
    <row r="187" spans="1:48" ht="12.5" x14ac:dyDescent="0.25">
      <c r="A187" s="75" t="s">
        <v>517</v>
      </c>
      <c r="B187" s="75" t="s">
        <v>596</v>
      </c>
      <c r="C187" s="145">
        <f t="shared" si="6"/>
        <v>5869.3</v>
      </c>
      <c r="D187" s="145">
        <f t="shared" si="7"/>
        <v>5518.8</v>
      </c>
      <c r="E187" s="145">
        <v>9044000</v>
      </c>
      <c r="F187" s="145">
        <f t="shared" si="8"/>
        <v>16602885.594691334</v>
      </c>
      <c r="G187" s="145">
        <v>1948</v>
      </c>
      <c r="H187" s="145">
        <v>1972</v>
      </c>
      <c r="I187" s="145">
        <v>8957</v>
      </c>
      <c r="J187" s="145">
        <v>8054</v>
      </c>
      <c r="K187" s="145">
        <v>9770</v>
      </c>
      <c r="L187" s="145">
        <v>8629</v>
      </c>
      <c r="M187" s="145">
        <v>4444</v>
      </c>
      <c r="N187" s="145">
        <v>4634</v>
      </c>
      <c r="O187" s="145">
        <v>2943</v>
      </c>
      <c r="P187" s="145">
        <v>3253</v>
      </c>
      <c r="Q187" s="145">
        <v>6386</v>
      </c>
      <c r="R187" s="145">
        <v>4994</v>
      </c>
      <c r="S187" s="145">
        <v>4956</v>
      </c>
      <c r="T187" s="145">
        <v>5476</v>
      </c>
      <c r="U187" s="145">
        <v>11067</v>
      </c>
      <c r="V187" s="145">
        <v>10357</v>
      </c>
      <c r="W187" s="145">
        <v>2786</v>
      </c>
      <c r="X187" s="145">
        <v>2759</v>
      </c>
      <c r="Y187" s="145">
        <v>5436</v>
      </c>
      <c r="Z187" s="145">
        <v>5060</v>
      </c>
      <c r="AA187" s="145">
        <v>45373</v>
      </c>
      <c r="AB187" s="75">
        <v>133419</v>
      </c>
      <c r="AC187" s="75">
        <v>143482</v>
      </c>
      <c r="AF187"/>
      <c r="AH187" s="75">
        <v>43804</v>
      </c>
      <c r="AI187" s="75">
        <v>43854</v>
      </c>
      <c r="AJ187" s="75">
        <v>43871</v>
      </c>
      <c r="AK187" s="75">
        <v>43901</v>
      </c>
      <c r="AL187" s="75">
        <v>44130</v>
      </c>
      <c r="AM187" s="75">
        <v>44644</v>
      </c>
      <c r="AN187" s="75">
        <v>45158</v>
      </c>
      <c r="AO187" s="75">
        <v>89631</v>
      </c>
      <c r="AP187" s="75">
        <v>84478</v>
      </c>
      <c r="AQ187" s="75">
        <v>87088000</v>
      </c>
      <c r="AR187" s="75">
        <v>92655</v>
      </c>
      <c r="AS187" s="75">
        <v>111135</v>
      </c>
      <c r="AT187" s="75">
        <v>121540</v>
      </c>
      <c r="AU187" s="75">
        <v>133419</v>
      </c>
      <c r="AV187" s="75">
        <v>143482</v>
      </c>
    </row>
    <row r="188" spans="1:48" ht="12.5" x14ac:dyDescent="0.25">
      <c r="A188" s="75" t="s">
        <v>515</v>
      </c>
      <c r="B188" s="75" t="s">
        <v>188</v>
      </c>
      <c r="C188" s="145">
        <f t="shared" si="6"/>
        <v>4360.8999999999996</v>
      </c>
      <c r="D188" s="145">
        <f t="shared" si="7"/>
        <v>4284.5</v>
      </c>
      <c r="E188" s="145">
        <v>5237000</v>
      </c>
      <c r="F188" s="145">
        <f t="shared" si="8"/>
        <v>13518015.600784771</v>
      </c>
      <c r="G188" s="145">
        <v>0</v>
      </c>
      <c r="H188" s="145">
        <v>869</v>
      </c>
      <c r="I188" s="145">
        <v>5356</v>
      </c>
      <c r="J188" s="145">
        <v>4716</v>
      </c>
      <c r="K188" s="145">
        <v>13821</v>
      </c>
      <c r="L188" s="145">
        <v>13962</v>
      </c>
      <c r="M188" s="145">
        <v>5884</v>
      </c>
      <c r="N188" s="145">
        <v>5280</v>
      </c>
      <c r="O188" s="145">
        <v>4026</v>
      </c>
      <c r="P188" s="145">
        <v>4055</v>
      </c>
      <c r="Q188" s="145">
        <v>3075</v>
      </c>
      <c r="R188" s="145">
        <v>2642</v>
      </c>
      <c r="S188" s="145">
        <v>6160</v>
      </c>
      <c r="T188" s="145">
        <v>5928</v>
      </c>
      <c r="U188" s="145">
        <v>2642</v>
      </c>
      <c r="V188" s="145">
        <v>2890</v>
      </c>
      <c r="W188" s="145">
        <v>2315</v>
      </c>
      <c r="X188" s="145">
        <v>1959</v>
      </c>
      <c r="Y188" s="145">
        <v>330</v>
      </c>
      <c r="Z188" s="145">
        <v>544</v>
      </c>
      <c r="AA188" s="145">
        <v>36994</v>
      </c>
      <c r="AB188" s="75">
        <v>96264</v>
      </c>
      <c r="AC188" s="75">
        <v>101919</v>
      </c>
      <c r="AF188"/>
      <c r="AG188"/>
      <c r="AH188" s="75">
        <v>35311</v>
      </c>
      <c r="AI188" s="75">
        <v>35608</v>
      </c>
      <c r="AJ188" s="75">
        <v>36028</v>
      </c>
      <c r="AK188" s="75">
        <v>36072</v>
      </c>
      <c r="AL188" s="75">
        <v>36031</v>
      </c>
      <c r="AM188" s="75">
        <v>36349</v>
      </c>
      <c r="AN188" s="75">
        <v>36882</v>
      </c>
      <c r="AO188" s="75">
        <v>109778</v>
      </c>
      <c r="AP188" s="75">
        <v>104528</v>
      </c>
      <c r="AQ188" s="75">
        <v>100624000</v>
      </c>
      <c r="AR188" s="75">
        <v>98323</v>
      </c>
      <c r="AS188" s="75">
        <v>95380</v>
      </c>
      <c r="AT188" s="75">
        <v>95541</v>
      </c>
      <c r="AU188" s="75">
        <v>96264</v>
      </c>
      <c r="AV188" s="75">
        <v>101919</v>
      </c>
    </row>
    <row r="189" spans="1:48" ht="12.5" x14ac:dyDescent="0.25">
      <c r="A189" s="75" t="s">
        <v>520</v>
      </c>
      <c r="B189" s="75" t="s">
        <v>436</v>
      </c>
      <c r="C189" s="145">
        <f t="shared" si="6"/>
        <v>2472.1</v>
      </c>
      <c r="D189" s="145">
        <f t="shared" si="7"/>
        <v>2009.3</v>
      </c>
      <c r="E189" s="145">
        <v>1995000</v>
      </c>
      <c r="F189" s="145">
        <f t="shared" si="8"/>
        <v>5137359.1435594056</v>
      </c>
      <c r="G189" s="145">
        <v>0</v>
      </c>
      <c r="H189" s="145">
        <v>0</v>
      </c>
      <c r="I189" s="145">
        <v>9781</v>
      </c>
      <c r="J189" s="145">
        <v>9192</v>
      </c>
      <c r="K189" s="145">
        <v>5824</v>
      </c>
      <c r="L189" s="145">
        <v>4000</v>
      </c>
      <c r="M189" s="145">
        <v>2513</v>
      </c>
      <c r="N189" s="145">
        <v>1515</v>
      </c>
      <c r="O189" s="145">
        <v>3697</v>
      </c>
      <c r="P189" s="145">
        <v>2938</v>
      </c>
      <c r="Q189" s="145">
        <v>636</v>
      </c>
      <c r="R189" s="145">
        <v>542</v>
      </c>
      <c r="S189" s="145">
        <v>339</v>
      </c>
      <c r="T189" s="145">
        <v>150</v>
      </c>
      <c r="U189" s="145">
        <v>1872</v>
      </c>
      <c r="V189" s="145">
        <v>1706</v>
      </c>
      <c r="W189" s="145">
        <v>0</v>
      </c>
      <c r="X189" s="145">
        <v>20</v>
      </c>
      <c r="Y189" s="145">
        <v>59</v>
      </c>
      <c r="Z189" s="145">
        <v>30</v>
      </c>
      <c r="AA189" s="145">
        <v>13779</v>
      </c>
      <c r="AB189" s="75">
        <v>24833</v>
      </c>
      <c r="AC189" s="75">
        <v>26337</v>
      </c>
      <c r="AG189"/>
      <c r="AH189" s="75">
        <v>13867</v>
      </c>
      <c r="AI189" s="75">
        <v>13877</v>
      </c>
      <c r="AJ189" s="75">
        <v>13996</v>
      </c>
      <c r="AK189" s="75">
        <v>13931</v>
      </c>
      <c r="AL189" s="75">
        <v>13896</v>
      </c>
      <c r="AM189" s="75">
        <v>13814</v>
      </c>
      <c r="AN189" s="75">
        <v>13929</v>
      </c>
      <c r="AO189" s="75">
        <v>22906</v>
      </c>
      <c r="AP189" s="75">
        <v>22816</v>
      </c>
      <c r="AQ189" s="75">
        <v>22383000</v>
      </c>
      <c r="AR189" s="75">
        <v>21864</v>
      </c>
      <c r="AS189" s="75">
        <v>22534</v>
      </c>
      <c r="AT189" s="75">
        <v>22469</v>
      </c>
      <c r="AU189" s="75">
        <v>24833</v>
      </c>
      <c r="AV189" s="75">
        <v>26337</v>
      </c>
    </row>
    <row r="190" spans="1:48" ht="12.5" x14ac:dyDescent="0.25">
      <c r="A190" s="75" t="s">
        <v>522</v>
      </c>
      <c r="B190" s="75" t="s">
        <v>413</v>
      </c>
      <c r="C190" s="145">
        <f t="shared" si="6"/>
        <v>50.5</v>
      </c>
      <c r="D190" s="145">
        <f t="shared" si="7"/>
        <v>60.1</v>
      </c>
      <c r="E190" s="145">
        <v>587000</v>
      </c>
      <c r="F190" s="145">
        <f t="shared" si="8"/>
        <v>2969582.5076966737</v>
      </c>
      <c r="G190" s="145">
        <v>0</v>
      </c>
      <c r="H190" s="145">
        <v>0</v>
      </c>
      <c r="I190" s="145">
        <v>505</v>
      </c>
      <c r="J190" s="145">
        <v>563</v>
      </c>
      <c r="K190" s="145">
        <v>0</v>
      </c>
      <c r="L190" s="145">
        <v>33</v>
      </c>
      <c r="M190" s="145">
        <v>0</v>
      </c>
      <c r="N190" s="145">
        <v>0</v>
      </c>
      <c r="O190" s="145">
        <v>0</v>
      </c>
      <c r="P190" s="145">
        <v>0</v>
      </c>
      <c r="Q190" s="145">
        <v>0</v>
      </c>
      <c r="R190" s="145">
        <v>0</v>
      </c>
      <c r="S190" s="145">
        <v>0</v>
      </c>
      <c r="T190" s="145">
        <v>0</v>
      </c>
      <c r="U190" s="145">
        <v>0</v>
      </c>
      <c r="V190" s="145">
        <v>0</v>
      </c>
      <c r="W190" s="145">
        <v>0</v>
      </c>
      <c r="X190" s="145">
        <v>0</v>
      </c>
      <c r="Y190" s="145">
        <v>0</v>
      </c>
      <c r="Z190" s="145">
        <v>5</v>
      </c>
      <c r="AA190" s="145">
        <v>8103</v>
      </c>
      <c r="AB190" s="75">
        <v>10032</v>
      </c>
      <c r="AC190" s="75">
        <v>10238</v>
      </c>
      <c r="AF190"/>
      <c r="AG190"/>
      <c r="AH190" s="75">
        <v>7770</v>
      </c>
      <c r="AI190" s="75">
        <v>7772</v>
      </c>
      <c r="AJ190" s="75">
        <v>7808</v>
      </c>
      <c r="AK190" s="75">
        <v>7843</v>
      </c>
      <c r="AL190" s="75">
        <v>7909</v>
      </c>
      <c r="AM190" s="75">
        <v>7985</v>
      </c>
      <c r="AN190" s="75">
        <v>8043</v>
      </c>
      <c r="AO190" s="75">
        <v>6550</v>
      </c>
      <c r="AP190" s="75">
        <v>6921</v>
      </c>
      <c r="AQ190" s="75">
        <v>7265000</v>
      </c>
      <c r="AR190" s="75">
        <v>7386</v>
      </c>
      <c r="AS190" s="75">
        <v>8458</v>
      </c>
      <c r="AT190" s="75">
        <v>8493</v>
      </c>
      <c r="AU190" s="75">
        <v>10032</v>
      </c>
      <c r="AV190" s="75">
        <v>10238</v>
      </c>
    </row>
    <row r="191" spans="1:48" ht="12.5" x14ac:dyDescent="0.25">
      <c r="A191" s="75" t="s">
        <v>515</v>
      </c>
      <c r="B191" s="75" t="s">
        <v>189</v>
      </c>
      <c r="C191" s="145">
        <f t="shared" si="6"/>
        <v>2676.9</v>
      </c>
      <c r="D191" s="145">
        <f t="shared" si="7"/>
        <v>2766.3</v>
      </c>
      <c r="E191" s="145">
        <v>2176000</v>
      </c>
      <c r="F191" s="145">
        <f t="shared" si="8"/>
        <v>9309650.4590069931</v>
      </c>
      <c r="G191" s="145">
        <v>684</v>
      </c>
      <c r="H191" s="145">
        <v>1405</v>
      </c>
      <c r="I191" s="145">
        <v>3946</v>
      </c>
      <c r="J191" s="145">
        <v>5338</v>
      </c>
      <c r="K191" s="145">
        <v>7701</v>
      </c>
      <c r="L191" s="145">
        <v>7405</v>
      </c>
      <c r="M191" s="145">
        <v>1629</v>
      </c>
      <c r="N191" s="145">
        <v>1947</v>
      </c>
      <c r="O191" s="145">
        <v>2871</v>
      </c>
      <c r="P191" s="145">
        <v>2724</v>
      </c>
      <c r="Q191" s="145">
        <v>3249</v>
      </c>
      <c r="R191" s="145">
        <v>2129</v>
      </c>
      <c r="S191" s="145">
        <v>1093</v>
      </c>
      <c r="T191" s="145">
        <v>1069</v>
      </c>
      <c r="U191" s="145">
        <v>2941</v>
      </c>
      <c r="V191" s="145">
        <v>2944</v>
      </c>
      <c r="W191" s="145">
        <v>1726</v>
      </c>
      <c r="X191" s="145">
        <v>1766</v>
      </c>
      <c r="Y191" s="145">
        <v>929</v>
      </c>
      <c r="Z191" s="145">
        <v>936</v>
      </c>
      <c r="AA191" s="145">
        <v>25800</v>
      </c>
      <c r="AB191" s="75">
        <v>49182</v>
      </c>
      <c r="AC191" s="75">
        <v>54694</v>
      </c>
      <c r="AF191"/>
      <c r="AG191"/>
      <c r="AH191" s="75">
        <v>23301</v>
      </c>
      <c r="AI191" s="75">
        <v>23614</v>
      </c>
      <c r="AJ191" s="75">
        <v>24039</v>
      </c>
      <c r="AK191" s="75">
        <v>24315</v>
      </c>
      <c r="AL191" s="75">
        <v>24648</v>
      </c>
      <c r="AM191" s="75">
        <v>25033</v>
      </c>
      <c r="AN191" s="75">
        <v>25448</v>
      </c>
      <c r="AO191" s="75">
        <v>54074</v>
      </c>
      <c r="AP191" s="75">
        <v>50961</v>
      </c>
      <c r="AQ191" s="75">
        <v>46100000</v>
      </c>
      <c r="AR191" s="75">
        <v>47218</v>
      </c>
      <c r="AS191" s="75">
        <v>48339</v>
      </c>
      <c r="AT191" s="75">
        <v>48248</v>
      </c>
      <c r="AU191" s="75">
        <v>49182</v>
      </c>
      <c r="AV191" s="75">
        <v>54694</v>
      </c>
    </row>
    <row r="192" spans="1:48" ht="12.5" x14ac:dyDescent="0.25">
      <c r="A192" s="75" t="s">
        <v>522</v>
      </c>
      <c r="B192" s="75" t="s">
        <v>414</v>
      </c>
      <c r="C192" s="145">
        <f t="shared" si="6"/>
        <v>4324.2</v>
      </c>
      <c r="D192" s="145">
        <f t="shared" si="7"/>
        <v>4105.7</v>
      </c>
      <c r="E192" s="145">
        <v>1415000</v>
      </c>
      <c r="F192" s="145">
        <f t="shared" si="8"/>
        <v>6441967.2133151889</v>
      </c>
      <c r="G192" s="145">
        <v>2893</v>
      </c>
      <c r="H192" s="145">
        <v>2872</v>
      </c>
      <c r="I192" s="145">
        <v>4603</v>
      </c>
      <c r="J192" s="145">
        <v>5054</v>
      </c>
      <c r="K192" s="145">
        <v>5009</v>
      </c>
      <c r="L192" s="145">
        <v>5105</v>
      </c>
      <c r="M192" s="145">
        <v>8044</v>
      </c>
      <c r="N192" s="145">
        <v>4453</v>
      </c>
      <c r="O192" s="145">
        <v>4581</v>
      </c>
      <c r="P192" s="145">
        <v>4250</v>
      </c>
      <c r="Q192" s="145">
        <v>4420</v>
      </c>
      <c r="R192" s="145">
        <v>5287</v>
      </c>
      <c r="S192" s="145">
        <v>5507</v>
      </c>
      <c r="T192" s="145">
        <v>5009</v>
      </c>
      <c r="U192" s="145">
        <v>3597</v>
      </c>
      <c r="V192" s="145">
        <v>3719</v>
      </c>
      <c r="W192" s="145">
        <v>3246</v>
      </c>
      <c r="X192" s="145">
        <v>2529</v>
      </c>
      <c r="Y192" s="145">
        <v>1342</v>
      </c>
      <c r="Z192" s="145">
        <v>2779</v>
      </c>
      <c r="AA192" s="145">
        <v>17516</v>
      </c>
      <c r="AB192" s="75">
        <v>17299</v>
      </c>
      <c r="AC192" s="75">
        <v>16677</v>
      </c>
      <c r="AF192"/>
      <c r="AG192"/>
      <c r="AH192" s="75">
        <v>16857</v>
      </c>
      <c r="AI192" s="75">
        <v>17037</v>
      </c>
      <c r="AJ192" s="75">
        <v>17005</v>
      </c>
      <c r="AK192" s="75">
        <v>17024</v>
      </c>
      <c r="AL192" s="75">
        <v>17171</v>
      </c>
      <c r="AM192" s="75">
        <v>17322</v>
      </c>
      <c r="AN192" s="75">
        <v>17499</v>
      </c>
      <c r="AO192" s="75">
        <v>18100</v>
      </c>
      <c r="AP192" s="75">
        <v>19383</v>
      </c>
      <c r="AQ192" s="75">
        <v>19300000</v>
      </c>
      <c r="AR192" s="75">
        <v>17601</v>
      </c>
      <c r="AS192" s="75">
        <v>17196</v>
      </c>
      <c r="AT192" s="75">
        <v>18096</v>
      </c>
      <c r="AU192" s="75">
        <v>17299</v>
      </c>
      <c r="AV192" s="75">
        <v>16677</v>
      </c>
    </row>
    <row r="193" spans="1:48" ht="12.5" x14ac:dyDescent="0.25">
      <c r="A193" s="75" t="s">
        <v>520</v>
      </c>
      <c r="B193" s="75" t="s">
        <v>223</v>
      </c>
      <c r="C193" s="145">
        <f t="shared" si="6"/>
        <v>26200</v>
      </c>
      <c r="D193" s="145">
        <f t="shared" si="7"/>
        <v>33770.699999999997</v>
      </c>
      <c r="E193" s="145">
        <v>12875000</v>
      </c>
      <c r="F193" s="145">
        <f t="shared" si="8"/>
        <v>24001367.048431799</v>
      </c>
      <c r="G193" s="145">
        <v>23571</v>
      </c>
      <c r="H193" s="145">
        <v>23746</v>
      </c>
      <c r="I193" s="145">
        <v>20670</v>
      </c>
      <c r="J193" s="145">
        <v>17097</v>
      </c>
      <c r="K193" s="145">
        <v>31887</v>
      </c>
      <c r="L193" s="145">
        <v>32203</v>
      </c>
      <c r="M193" s="145">
        <v>25047</v>
      </c>
      <c r="N193" s="145">
        <v>39789</v>
      </c>
      <c r="O193" s="145">
        <v>14800</v>
      </c>
      <c r="P193" s="145">
        <v>22233</v>
      </c>
      <c r="Q193" s="145">
        <v>12957</v>
      </c>
      <c r="R193" s="145">
        <v>54582</v>
      </c>
      <c r="S193" s="145">
        <v>24407</v>
      </c>
      <c r="T193" s="145">
        <v>27845</v>
      </c>
      <c r="U193" s="145">
        <v>27937</v>
      </c>
      <c r="V193" s="145">
        <v>28138</v>
      </c>
      <c r="W193" s="145">
        <v>49140</v>
      </c>
      <c r="X193" s="145">
        <v>55362</v>
      </c>
      <c r="Y193" s="145">
        <v>31584</v>
      </c>
      <c r="Z193" s="145">
        <v>36712</v>
      </c>
      <c r="AA193" s="145">
        <v>66750</v>
      </c>
      <c r="AB193" s="75">
        <v>234630</v>
      </c>
      <c r="AC193" s="75">
        <v>234026</v>
      </c>
      <c r="AF193"/>
      <c r="AG193"/>
      <c r="AH193" s="75">
        <v>61865</v>
      </c>
      <c r="AI193" s="75">
        <v>62448</v>
      </c>
      <c r="AJ193" s="75">
        <v>63055</v>
      </c>
      <c r="AK193" s="75">
        <v>63499</v>
      </c>
      <c r="AL193" s="75">
        <v>63866</v>
      </c>
      <c r="AM193" s="75">
        <v>64538</v>
      </c>
      <c r="AN193" s="75">
        <v>65426</v>
      </c>
      <c r="AO193" s="75">
        <v>261020</v>
      </c>
      <c r="AP193" s="75">
        <v>258419</v>
      </c>
      <c r="AQ193" s="75">
        <v>240069000</v>
      </c>
      <c r="AR193" s="75">
        <v>234371</v>
      </c>
      <c r="AS193" s="75">
        <v>232822</v>
      </c>
      <c r="AT193" s="75">
        <v>233948</v>
      </c>
      <c r="AU193" s="75">
        <v>234630</v>
      </c>
      <c r="AV193" s="75">
        <v>234026</v>
      </c>
    </row>
    <row r="194" spans="1:48" ht="12.5" x14ac:dyDescent="0.25">
      <c r="A194" s="75" t="s">
        <v>520</v>
      </c>
      <c r="B194" s="75" t="s">
        <v>307</v>
      </c>
      <c r="C194" s="145">
        <f t="shared" si="6"/>
        <v>21454.799999999999</v>
      </c>
      <c r="D194" s="145">
        <f t="shared" si="7"/>
        <v>23931.9</v>
      </c>
      <c r="E194" s="145">
        <v>3670000</v>
      </c>
      <c r="F194" s="145">
        <f t="shared" si="8"/>
        <v>10897642.60776902</v>
      </c>
      <c r="G194" s="145">
        <v>24561</v>
      </c>
      <c r="H194" s="145">
        <v>25319</v>
      </c>
      <c r="I194" s="145">
        <v>31699</v>
      </c>
      <c r="J194" s="145">
        <v>58033</v>
      </c>
      <c r="K194" s="145">
        <v>20448</v>
      </c>
      <c r="L194" s="145">
        <v>21570</v>
      </c>
      <c r="M194" s="145">
        <v>18712</v>
      </c>
      <c r="N194" s="145">
        <v>20784</v>
      </c>
      <c r="O194" s="145">
        <v>30132</v>
      </c>
      <c r="P194" s="145">
        <v>28836</v>
      </c>
      <c r="Q194" s="145">
        <v>25774</v>
      </c>
      <c r="R194" s="145">
        <v>25449</v>
      </c>
      <c r="S194" s="145">
        <v>34504</v>
      </c>
      <c r="T194" s="145">
        <v>32908</v>
      </c>
      <c r="U194" s="145">
        <v>13796</v>
      </c>
      <c r="V194" s="145">
        <v>12176</v>
      </c>
      <c r="W194" s="145">
        <v>11429</v>
      </c>
      <c r="X194" s="145">
        <v>10372</v>
      </c>
      <c r="Y194" s="145">
        <v>3493</v>
      </c>
      <c r="Z194" s="145">
        <v>3872</v>
      </c>
      <c r="AA194" s="145">
        <v>29530</v>
      </c>
      <c r="AB194" s="75">
        <v>71348</v>
      </c>
      <c r="AC194" s="75">
        <v>87424</v>
      </c>
      <c r="AF194"/>
      <c r="AG194"/>
      <c r="AH194" s="75">
        <v>27914</v>
      </c>
      <c r="AI194" s="75">
        <v>28267</v>
      </c>
      <c r="AJ194" s="75">
        <v>28637</v>
      </c>
      <c r="AK194" s="75">
        <v>28776</v>
      </c>
      <c r="AL194" s="75">
        <v>29151</v>
      </c>
      <c r="AM194" s="75">
        <v>29303</v>
      </c>
      <c r="AN194" s="75">
        <v>29463</v>
      </c>
      <c r="AO194" s="75">
        <v>37202</v>
      </c>
      <c r="AP194" s="75">
        <v>36927</v>
      </c>
      <c r="AQ194" s="75">
        <v>41330000</v>
      </c>
      <c r="AR194" s="75">
        <v>48096</v>
      </c>
      <c r="AS194" s="75">
        <v>48962</v>
      </c>
      <c r="AT194" s="75">
        <v>56730</v>
      </c>
      <c r="AU194" s="75">
        <v>71348</v>
      </c>
      <c r="AV194" s="75">
        <v>87424</v>
      </c>
    </row>
    <row r="195" spans="1:48" ht="12.5" x14ac:dyDescent="0.25">
      <c r="A195" s="75" t="s">
        <v>515</v>
      </c>
      <c r="B195" s="75" t="s">
        <v>190</v>
      </c>
      <c r="C195" s="145">
        <f t="shared" ref="C195:C258" si="9">SUM(G195,I195,K195,M195,O195,Q195,S195,U195,W195,Y195)/10</f>
        <v>14638.1</v>
      </c>
      <c r="D195" s="145">
        <f t="shared" ref="D195:D258" si="10">SUM(H195,J195,L195,N195,P195,R195,T195,V195,X195,Z195)/10</f>
        <v>14003</v>
      </c>
      <c r="E195" s="145">
        <v>9604000</v>
      </c>
      <c r="F195" s="145">
        <f t="shared" ref="F195:F258" si="11">AM195*$AF$15</f>
        <v>16481275.89149574</v>
      </c>
      <c r="G195" s="145">
        <v>32429</v>
      </c>
      <c r="H195" s="145">
        <v>31792</v>
      </c>
      <c r="I195" s="145">
        <v>16635</v>
      </c>
      <c r="J195" s="145">
        <v>11261</v>
      </c>
      <c r="K195" s="145">
        <v>13829</v>
      </c>
      <c r="L195" s="145">
        <v>14649</v>
      </c>
      <c r="M195" s="145">
        <v>23116</v>
      </c>
      <c r="N195" s="145">
        <v>19567</v>
      </c>
      <c r="O195" s="145">
        <v>6374</v>
      </c>
      <c r="P195" s="145">
        <v>6115</v>
      </c>
      <c r="Q195" s="145">
        <v>15496</v>
      </c>
      <c r="R195" s="145">
        <v>12875</v>
      </c>
      <c r="S195" s="145">
        <v>12007</v>
      </c>
      <c r="T195" s="145">
        <v>11563</v>
      </c>
      <c r="U195" s="145">
        <v>3821</v>
      </c>
      <c r="V195" s="145">
        <v>3942</v>
      </c>
      <c r="W195" s="145">
        <v>18141</v>
      </c>
      <c r="X195" s="145">
        <v>23155</v>
      </c>
      <c r="Y195" s="145">
        <v>4533</v>
      </c>
      <c r="Z195" s="145">
        <v>5111</v>
      </c>
      <c r="AA195" s="145">
        <v>45725</v>
      </c>
      <c r="AB195" s="75">
        <v>110295</v>
      </c>
      <c r="AC195" s="75">
        <v>115733</v>
      </c>
      <c r="AF195"/>
      <c r="AG195"/>
      <c r="AH195" s="75">
        <v>41763</v>
      </c>
      <c r="AI195" s="75">
        <v>42323</v>
      </c>
      <c r="AJ195" s="75">
        <v>42947</v>
      </c>
      <c r="AK195" s="75">
        <v>43175</v>
      </c>
      <c r="AL195" s="75">
        <v>43600</v>
      </c>
      <c r="AM195" s="75">
        <v>44317</v>
      </c>
      <c r="AN195" s="75">
        <v>44975</v>
      </c>
      <c r="AO195" s="75">
        <v>75330</v>
      </c>
      <c r="AP195" s="75">
        <v>97507</v>
      </c>
      <c r="AQ195" s="75">
        <v>73824000</v>
      </c>
      <c r="AR195" s="75">
        <v>78501</v>
      </c>
      <c r="AS195" s="75">
        <v>91923</v>
      </c>
      <c r="AT195" s="75">
        <v>101937</v>
      </c>
      <c r="AU195" s="75">
        <v>110295</v>
      </c>
      <c r="AV195" s="75">
        <v>115733</v>
      </c>
    </row>
    <row r="196" spans="1:48" ht="12.5" x14ac:dyDescent="0.25">
      <c r="A196" s="75" t="s">
        <v>515</v>
      </c>
      <c r="B196" s="75" t="s">
        <v>191</v>
      </c>
      <c r="C196" s="145">
        <f t="shared" si="9"/>
        <v>100809.5</v>
      </c>
      <c r="D196" s="145">
        <f t="shared" si="10"/>
        <v>109057.60000000001</v>
      </c>
      <c r="E196" s="145">
        <v>31933000</v>
      </c>
      <c r="F196" s="145">
        <f t="shared" si="11"/>
        <v>66599349.412752412</v>
      </c>
      <c r="G196" s="145">
        <v>116587</v>
      </c>
      <c r="H196" s="145">
        <v>122335</v>
      </c>
      <c r="I196" s="145">
        <v>138908</v>
      </c>
      <c r="J196" s="145">
        <v>158604</v>
      </c>
      <c r="K196" s="145">
        <v>116654</v>
      </c>
      <c r="L196" s="145">
        <v>121477</v>
      </c>
      <c r="M196" s="145">
        <v>39804</v>
      </c>
      <c r="N196" s="145">
        <v>23414</v>
      </c>
      <c r="O196" s="145">
        <v>75210</v>
      </c>
      <c r="P196" s="145">
        <v>79150</v>
      </c>
      <c r="Q196" s="145">
        <v>98718</v>
      </c>
      <c r="R196" s="145">
        <v>99543</v>
      </c>
      <c r="S196" s="145">
        <v>94266</v>
      </c>
      <c r="T196" s="145">
        <v>98485</v>
      </c>
      <c r="U196" s="145">
        <v>110276</v>
      </c>
      <c r="V196" s="145">
        <v>115186</v>
      </c>
      <c r="W196" s="145">
        <v>76634</v>
      </c>
      <c r="X196" s="145">
        <v>173789</v>
      </c>
      <c r="Y196" s="145">
        <v>141038</v>
      </c>
      <c r="Z196" s="145">
        <v>98593</v>
      </c>
      <c r="AA196" s="145">
        <v>188981</v>
      </c>
      <c r="AB196" s="75">
        <v>429876</v>
      </c>
      <c r="AC196" s="75">
        <v>436151</v>
      </c>
      <c r="AF196"/>
      <c r="AG196"/>
      <c r="AH196" s="75">
        <v>173592</v>
      </c>
      <c r="AI196" s="75">
        <v>175928</v>
      </c>
      <c r="AJ196" s="75">
        <v>176707</v>
      </c>
      <c r="AK196" s="75">
        <v>177824</v>
      </c>
      <c r="AL196" s="75">
        <v>177359</v>
      </c>
      <c r="AM196" s="75">
        <v>179081</v>
      </c>
      <c r="AN196" s="75">
        <v>182480</v>
      </c>
      <c r="AO196" s="75">
        <v>416125</v>
      </c>
      <c r="AP196" s="75">
        <v>427823</v>
      </c>
      <c r="AQ196" s="75">
        <v>432557000</v>
      </c>
      <c r="AR196" s="75">
        <v>409132</v>
      </c>
      <c r="AS196" s="75">
        <v>419492</v>
      </c>
      <c r="AT196" s="75">
        <v>432417</v>
      </c>
      <c r="AU196" s="75">
        <v>429876</v>
      </c>
      <c r="AV196" s="75">
        <v>436151</v>
      </c>
    </row>
    <row r="197" spans="1:48" ht="12.5" x14ac:dyDescent="0.25">
      <c r="A197" s="75" t="s">
        <v>517</v>
      </c>
      <c r="B197" s="75" t="s">
        <v>475</v>
      </c>
      <c r="C197" s="145">
        <f t="shared" si="9"/>
        <v>15583.7</v>
      </c>
      <c r="D197" s="145">
        <f t="shared" si="10"/>
        <v>20178.5</v>
      </c>
      <c r="E197" s="145">
        <v>13585000</v>
      </c>
      <c r="F197" s="145">
        <f t="shared" si="11"/>
        <v>32109424.385038298</v>
      </c>
      <c r="G197" s="145">
        <v>10334</v>
      </c>
      <c r="H197" s="145">
        <v>9746</v>
      </c>
      <c r="I197" s="145">
        <v>19983</v>
      </c>
      <c r="J197" s="145">
        <v>36707</v>
      </c>
      <c r="K197" s="145">
        <v>18572</v>
      </c>
      <c r="L197" s="145">
        <v>21876</v>
      </c>
      <c r="M197" s="145">
        <v>15180</v>
      </c>
      <c r="N197" s="145">
        <v>19478</v>
      </c>
      <c r="O197" s="145">
        <v>15682</v>
      </c>
      <c r="P197" s="145">
        <v>16570</v>
      </c>
      <c r="Q197" s="145">
        <v>13547</v>
      </c>
      <c r="R197" s="145">
        <v>13385</v>
      </c>
      <c r="S197" s="145">
        <v>16387</v>
      </c>
      <c r="T197" s="145">
        <v>17897</v>
      </c>
      <c r="U197" s="145">
        <v>25985</v>
      </c>
      <c r="V197" s="145">
        <v>28994</v>
      </c>
      <c r="W197" s="145">
        <v>46</v>
      </c>
      <c r="X197" s="145">
        <v>17047</v>
      </c>
      <c r="Y197" s="145">
        <v>20121</v>
      </c>
      <c r="Z197" s="145">
        <v>20085</v>
      </c>
      <c r="AA197" s="145">
        <v>88355</v>
      </c>
      <c r="AB197" s="75">
        <v>284664</v>
      </c>
      <c r="AC197" s="75">
        <v>284898</v>
      </c>
      <c r="AF197"/>
      <c r="AG197"/>
      <c r="AH197" s="75">
        <v>85398</v>
      </c>
      <c r="AI197" s="75">
        <v>85792</v>
      </c>
      <c r="AJ197" s="75">
        <v>84797</v>
      </c>
      <c r="AK197" s="75">
        <v>85256</v>
      </c>
      <c r="AL197" s="75">
        <v>85440</v>
      </c>
      <c r="AM197" s="75">
        <v>86340</v>
      </c>
      <c r="AN197" s="75">
        <v>86833</v>
      </c>
      <c r="AO197" s="75">
        <v>302330</v>
      </c>
      <c r="AP197" s="75">
        <v>332152</v>
      </c>
      <c r="AQ197" s="75">
        <v>315980000</v>
      </c>
      <c r="AR197" s="75">
        <v>310545</v>
      </c>
      <c r="AS197" s="75">
        <v>304966</v>
      </c>
      <c r="AT197" s="75">
        <v>286758</v>
      </c>
      <c r="AU197" s="75">
        <v>284664</v>
      </c>
      <c r="AV197" s="75">
        <v>284898</v>
      </c>
    </row>
    <row r="198" spans="1:48" ht="12.5" x14ac:dyDescent="0.25">
      <c r="A198" s="75" t="s">
        <v>516</v>
      </c>
      <c r="B198" s="75" t="s">
        <v>597</v>
      </c>
      <c r="C198" s="145">
        <f t="shared" si="9"/>
        <v>1244.2</v>
      </c>
      <c r="D198" s="145">
        <f t="shared" si="10"/>
        <v>1026.4000000000001</v>
      </c>
      <c r="E198" s="145">
        <v>9048000</v>
      </c>
      <c r="F198" s="145">
        <f t="shared" si="11"/>
        <v>16952838.89960587</v>
      </c>
      <c r="G198" s="145">
        <v>604</v>
      </c>
      <c r="H198" s="145">
        <v>462</v>
      </c>
      <c r="I198" s="145">
        <v>498</v>
      </c>
      <c r="J198" s="145">
        <v>316</v>
      </c>
      <c r="K198" s="145">
        <v>673</v>
      </c>
      <c r="L198" s="145">
        <v>1186</v>
      </c>
      <c r="M198" s="145">
        <v>3403</v>
      </c>
      <c r="N198" s="145">
        <v>2479</v>
      </c>
      <c r="O198" s="145">
        <v>1490</v>
      </c>
      <c r="P198" s="145">
        <v>1121</v>
      </c>
      <c r="Q198" s="145">
        <v>1615</v>
      </c>
      <c r="R198" s="145">
        <v>933</v>
      </c>
      <c r="S198" s="145">
        <v>1003</v>
      </c>
      <c r="T198" s="145">
        <v>922</v>
      </c>
      <c r="U198" s="145">
        <v>755</v>
      </c>
      <c r="V198" s="145">
        <v>670</v>
      </c>
      <c r="W198" s="145">
        <v>841</v>
      </c>
      <c r="X198" s="145">
        <v>842</v>
      </c>
      <c r="Y198" s="145">
        <v>1560</v>
      </c>
      <c r="Z198" s="145">
        <v>1333</v>
      </c>
      <c r="AA198" s="145">
        <v>45875</v>
      </c>
      <c r="AB198" s="75">
        <v>112633</v>
      </c>
      <c r="AC198" s="75">
        <v>116471</v>
      </c>
      <c r="AF198"/>
      <c r="AG198"/>
      <c r="AH198" s="75">
        <v>45514</v>
      </c>
      <c r="AI198" s="75">
        <v>45290</v>
      </c>
      <c r="AJ198" s="75">
        <v>45144</v>
      </c>
      <c r="AK198" s="75">
        <v>45253</v>
      </c>
      <c r="AL198" s="75">
        <v>45481</v>
      </c>
      <c r="AM198" s="75">
        <v>45585</v>
      </c>
      <c r="AN198" s="75">
        <v>45812</v>
      </c>
      <c r="AO198" s="75">
        <v>116330</v>
      </c>
      <c r="AP198" s="75">
        <v>103936</v>
      </c>
      <c r="AQ198" s="75">
        <v>109705000</v>
      </c>
      <c r="AR198" s="75">
        <v>109108</v>
      </c>
      <c r="AS198" s="75">
        <v>111318</v>
      </c>
      <c r="AT198" s="75">
        <v>114747</v>
      </c>
      <c r="AU198" s="75">
        <v>112633</v>
      </c>
      <c r="AV198" s="75">
        <v>116471</v>
      </c>
    </row>
    <row r="199" spans="1:48" ht="12.5" x14ac:dyDescent="0.25">
      <c r="A199" s="75" t="s">
        <v>524</v>
      </c>
      <c r="B199" s="75" t="s">
        <v>333</v>
      </c>
      <c r="C199" s="145">
        <f t="shared" si="9"/>
        <v>2802</v>
      </c>
      <c r="D199" s="145">
        <f t="shared" si="10"/>
        <v>2188.1</v>
      </c>
      <c r="E199" s="145">
        <v>2115000</v>
      </c>
      <c r="F199" s="145">
        <f t="shared" si="11"/>
        <v>2850204.1752019171</v>
      </c>
      <c r="G199" s="145">
        <v>3187</v>
      </c>
      <c r="H199" s="145">
        <v>3188</v>
      </c>
      <c r="I199" s="145">
        <v>630</v>
      </c>
      <c r="J199" s="145">
        <v>632</v>
      </c>
      <c r="K199" s="145">
        <v>761</v>
      </c>
      <c r="L199" s="145">
        <v>555</v>
      </c>
      <c r="M199" s="145">
        <v>3406</v>
      </c>
      <c r="N199" s="145">
        <v>2529</v>
      </c>
      <c r="O199" s="145">
        <v>4114</v>
      </c>
      <c r="P199" s="145">
        <v>3189</v>
      </c>
      <c r="Q199" s="145">
        <v>3144</v>
      </c>
      <c r="R199" s="145">
        <v>2419</v>
      </c>
      <c r="S199" s="145">
        <v>4545</v>
      </c>
      <c r="T199" s="145">
        <v>3002</v>
      </c>
      <c r="U199" s="145">
        <v>5150</v>
      </c>
      <c r="V199" s="145">
        <v>3754</v>
      </c>
      <c r="W199" s="145">
        <v>2158</v>
      </c>
      <c r="X199" s="145">
        <v>1773</v>
      </c>
      <c r="Y199" s="145">
        <v>925</v>
      </c>
      <c r="Z199" s="145">
        <v>840</v>
      </c>
      <c r="AA199" s="145">
        <v>8045</v>
      </c>
      <c r="AB199" s="75">
        <v>29744</v>
      </c>
      <c r="AC199" s="75">
        <v>31422</v>
      </c>
      <c r="AF199"/>
      <c r="AG199"/>
      <c r="AH199" s="75">
        <v>7386</v>
      </c>
      <c r="AI199" s="75">
        <v>7313</v>
      </c>
      <c r="AJ199" s="75">
        <v>7309</v>
      </c>
      <c r="AK199" s="75">
        <v>7401</v>
      </c>
      <c r="AL199" s="75">
        <v>7581</v>
      </c>
      <c r="AM199" s="75">
        <v>7664</v>
      </c>
      <c r="AN199" s="75">
        <v>7857</v>
      </c>
      <c r="AO199" s="75">
        <v>18254</v>
      </c>
      <c r="AP199" s="75">
        <v>18542</v>
      </c>
      <c r="AQ199" s="75">
        <v>21437000</v>
      </c>
      <c r="AR199" s="75">
        <v>26959</v>
      </c>
      <c r="AS199" s="75">
        <v>27226</v>
      </c>
      <c r="AT199" s="75">
        <v>28031</v>
      </c>
      <c r="AU199" s="75">
        <v>29744</v>
      </c>
      <c r="AV199" s="75">
        <v>31422</v>
      </c>
    </row>
    <row r="200" spans="1:48" ht="12.5" x14ac:dyDescent="0.25">
      <c r="A200" s="75" t="s">
        <v>512</v>
      </c>
      <c r="B200" s="75" t="s">
        <v>112</v>
      </c>
      <c r="C200" s="145">
        <f t="shared" si="9"/>
        <v>5946.5</v>
      </c>
      <c r="D200" s="145">
        <f t="shared" si="10"/>
        <v>4696.8999999999996</v>
      </c>
      <c r="E200" s="145">
        <v>7854000</v>
      </c>
      <c r="F200" s="145">
        <f t="shared" si="11"/>
        <v>11616143.973438397</v>
      </c>
      <c r="G200" s="145">
        <v>3803</v>
      </c>
      <c r="H200" s="145">
        <v>3873</v>
      </c>
      <c r="I200" s="145">
        <v>3874</v>
      </c>
      <c r="J200" s="145">
        <v>1339</v>
      </c>
      <c r="K200" s="145">
        <v>5254</v>
      </c>
      <c r="L200" s="145">
        <v>3123</v>
      </c>
      <c r="M200" s="145">
        <v>5197</v>
      </c>
      <c r="N200" s="145">
        <v>2032</v>
      </c>
      <c r="O200" s="145">
        <v>4101</v>
      </c>
      <c r="P200" s="145">
        <v>2626</v>
      </c>
      <c r="Q200" s="145">
        <v>8617</v>
      </c>
      <c r="R200" s="145">
        <v>8131</v>
      </c>
      <c r="S200" s="145">
        <v>12259</v>
      </c>
      <c r="T200" s="145">
        <v>12470</v>
      </c>
      <c r="U200" s="145">
        <v>4478</v>
      </c>
      <c r="V200" s="145">
        <v>4282</v>
      </c>
      <c r="W200" s="145">
        <v>4965</v>
      </c>
      <c r="X200" s="145">
        <v>5042</v>
      </c>
      <c r="Y200" s="145">
        <v>6917</v>
      </c>
      <c r="Z200" s="145">
        <v>4051</v>
      </c>
      <c r="AA200" s="145">
        <v>31772</v>
      </c>
      <c r="AB200" s="75">
        <v>84599</v>
      </c>
      <c r="AC200" s="75">
        <v>88042</v>
      </c>
      <c r="AF200"/>
      <c r="AG200"/>
      <c r="AH200" s="75">
        <v>33042</v>
      </c>
      <c r="AI200" s="75">
        <v>32445</v>
      </c>
      <c r="AJ200" s="75">
        <v>31270</v>
      </c>
      <c r="AK200" s="75">
        <v>31241</v>
      </c>
      <c r="AL200" s="75">
        <v>31214</v>
      </c>
      <c r="AM200" s="75">
        <v>31235</v>
      </c>
      <c r="AN200" s="75">
        <v>31591</v>
      </c>
      <c r="AO200" s="75">
        <v>80714</v>
      </c>
      <c r="AP200" s="75">
        <v>82113</v>
      </c>
      <c r="AQ200" s="75">
        <v>81407000</v>
      </c>
      <c r="AR200" s="75">
        <v>83849</v>
      </c>
      <c r="AS200" s="75">
        <v>85214</v>
      </c>
      <c r="AT200" s="75">
        <v>88176</v>
      </c>
      <c r="AU200" s="75">
        <v>84599</v>
      </c>
      <c r="AV200" s="75">
        <v>88042</v>
      </c>
    </row>
    <row r="201" spans="1:48" ht="12.5" x14ac:dyDescent="0.25">
      <c r="A201" s="75" t="s">
        <v>519</v>
      </c>
      <c r="B201" s="75" t="s">
        <v>430</v>
      </c>
      <c r="C201" s="145">
        <f t="shared" si="9"/>
        <v>16103.6</v>
      </c>
      <c r="D201" s="145">
        <f t="shared" si="10"/>
        <v>14046.3</v>
      </c>
      <c r="E201" s="145">
        <v>4855000</v>
      </c>
      <c r="F201" s="145">
        <f t="shared" si="11"/>
        <v>17868444.677182477</v>
      </c>
      <c r="G201" s="145">
        <v>7402</v>
      </c>
      <c r="H201" s="145">
        <v>7403</v>
      </c>
      <c r="I201" s="145">
        <v>20526</v>
      </c>
      <c r="J201" s="145">
        <v>16890</v>
      </c>
      <c r="K201" s="145">
        <v>16222</v>
      </c>
      <c r="L201" s="145">
        <v>12287</v>
      </c>
      <c r="M201" s="145">
        <v>18296</v>
      </c>
      <c r="N201" s="145">
        <v>20285</v>
      </c>
      <c r="O201" s="145">
        <v>12525</v>
      </c>
      <c r="P201" s="145">
        <v>6345</v>
      </c>
      <c r="Q201" s="145">
        <v>8443</v>
      </c>
      <c r="R201" s="145">
        <v>5695</v>
      </c>
      <c r="S201" s="145">
        <v>19621</v>
      </c>
      <c r="T201" s="145">
        <v>16140</v>
      </c>
      <c r="U201" s="145">
        <v>23513</v>
      </c>
      <c r="V201" s="145">
        <v>20508</v>
      </c>
      <c r="W201" s="145">
        <v>18069</v>
      </c>
      <c r="X201" s="145">
        <v>18203</v>
      </c>
      <c r="Y201" s="145">
        <v>16419</v>
      </c>
      <c r="Z201" s="145">
        <v>16707</v>
      </c>
      <c r="AA201" s="145">
        <v>50803</v>
      </c>
      <c r="AB201" s="75">
        <v>91616</v>
      </c>
      <c r="AC201" s="75">
        <v>82624</v>
      </c>
      <c r="AF201"/>
      <c r="AG201"/>
      <c r="AH201" s="75">
        <v>46557</v>
      </c>
      <c r="AI201" s="75">
        <v>46612</v>
      </c>
      <c r="AJ201" s="75">
        <v>46863</v>
      </c>
      <c r="AK201" s="75">
        <v>47232</v>
      </c>
      <c r="AL201" s="75">
        <v>47583</v>
      </c>
      <c r="AM201" s="75">
        <v>48047</v>
      </c>
      <c r="AN201" s="75">
        <v>49729</v>
      </c>
      <c r="AO201" s="75">
        <v>71311</v>
      </c>
      <c r="AP201" s="75">
        <v>71425</v>
      </c>
      <c r="AQ201" s="75">
        <v>71409000</v>
      </c>
      <c r="AR201" s="75">
        <v>70555</v>
      </c>
      <c r="AS201" s="75">
        <v>81494</v>
      </c>
      <c r="AT201" s="75">
        <v>84961</v>
      </c>
      <c r="AU201" s="75">
        <v>91616</v>
      </c>
      <c r="AV201" s="75">
        <v>82624</v>
      </c>
    </row>
    <row r="202" spans="1:48" ht="12.5" x14ac:dyDescent="0.25">
      <c r="A202" s="75" t="s">
        <v>517</v>
      </c>
      <c r="B202" s="75" t="s">
        <v>308</v>
      </c>
      <c r="C202" s="145">
        <f t="shared" si="9"/>
        <v>10133.700000000001</v>
      </c>
      <c r="D202" s="145">
        <f t="shared" si="10"/>
        <v>8356.2999999999993</v>
      </c>
      <c r="E202" s="145">
        <v>10216000</v>
      </c>
      <c r="F202" s="145">
        <f t="shared" si="11"/>
        <v>16498011.171752015</v>
      </c>
      <c r="G202" s="145">
        <v>8285</v>
      </c>
      <c r="H202" s="145">
        <v>7572</v>
      </c>
      <c r="I202" s="145">
        <v>15602</v>
      </c>
      <c r="J202" s="145">
        <v>13792</v>
      </c>
      <c r="K202" s="145">
        <v>12655</v>
      </c>
      <c r="L202" s="145">
        <v>14089</v>
      </c>
      <c r="M202" s="145">
        <v>31632</v>
      </c>
      <c r="N202" s="145">
        <v>18484</v>
      </c>
      <c r="O202" s="145">
        <v>7745</v>
      </c>
      <c r="P202" s="145">
        <v>9331</v>
      </c>
      <c r="Q202" s="145">
        <v>7030</v>
      </c>
      <c r="R202" s="145">
        <v>4135</v>
      </c>
      <c r="S202" s="145">
        <v>4902</v>
      </c>
      <c r="T202" s="145">
        <v>4443</v>
      </c>
      <c r="U202" s="145">
        <v>3470</v>
      </c>
      <c r="V202" s="145">
        <v>4195</v>
      </c>
      <c r="W202" s="145">
        <v>3801</v>
      </c>
      <c r="X202" s="145">
        <v>4924</v>
      </c>
      <c r="Y202" s="145">
        <v>6215</v>
      </c>
      <c r="Z202" s="145">
        <v>2598</v>
      </c>
      <c r="AA202" s="145">
        <v>45946</v>
      </c>
      <c r="AB202" s="75">
        <v>172335</v>
      </c>
      <c r="AC202" s="75">
        <v>178481</v>
      </c>
      <c r="AF202"/>
      <c r="AG202"/>
      <c r="AH202" s="75">
        <v>42191</v>
      </c>
      <c r="AI202" s="75">
        <v>42679</v>
      </c>
      <c r="AJ202" s="75">
        <v>42861</v>
      </c>
      <c r="AK202" s="75">
        <v>43517</v>
      </c>
      <c r="AL202" s="75">
        <v>44062</v>
      </c>
      <c r="AM202" s="75">
        <v>44362</v>
      </c>
      <c r="AN202" s="75">
        <v>45179</v>
      </c>
      <c r="AO202" s="75">
        <v>165885</v>
      </c>
      <c r="AP202" s="75">
        <v>167563</v>
      </c>
      <c r="AQ202" s="75">
        <v>145931000</v>
      </c>
      <c r="AR202" s="75">
        <v>150251</v>
      </c>
      <c r="AS202" s="75">
        <v>158042</v>
      </c>
      <c r="AT202" s="75">
        <v>160431</v>
      </c>
      <c r="AU202" s="75">
        <v>172335</v>
      </c>
      <c r="AV202" s="75">
        <v>178481</v>
      </c>
    </row>
    <row r="203" spans="1:48" ht="12.5" x14ac:dyDescent="0.25">
      <c r="A203" s="75" t="s">
        <v>513</v>
      </c>
      <c r="B203" s="75" t="s">
        <v>433</v>
      </c>
      <c r="C203" s="145">
        <f t="shared" si="9"/>
        <v>8439.7000000000007</v>
      </c>
      <c r="D203" s="145">
        <f t="shared" si="10"/>
        <v>5714.3</v>
      </c>
      <c r="E203" s="145">
        <v>2162000</v>
      </c>
      <c r="F203" s="145">
        <f t="shared" si="11"/>
        <v>8861144.9481388405</v>
      </c>
      <c r="G203" s="145">
        <v>6494</v>
      </c>
      <c r="H203" s="145">
        <v>5789</v>
      </c>
      <c r="I203" s="145">
        <v>15178</v>
      </c>
      <c r="J203" s="145">
        <v>10414</v>
      </c>
      <c r="K203" s="145">
        <v>6576</v>
      </c>
      <c r="L203" s="145">
        <v>4499</v>
      </c>
      <c r="M203" s="145">
        <v>17191</v>
      </c>
      <c r="N203" s="145">
        <v>9615</v>
      </c>
      <c r="O203" s="145">
        <v>13978</v>
      </c>
      <c r="P203" s="145">
        <v>10347</v>
      </c>
      <c r="Q203" s="145">
        <v>6901</v>
      </c>
      <c r="R203" s="145">
        <v>3457</v>
      </c>
      <c r="S203" s="145">
        <v>8426</v>
      </c>
      <c r="T203" s="145">
        <v>7858</v>
      </c>
      <c r="U203" s="145">
        <v>3370</v>
      </c>
      <c r="V203" s="145">
        <v>2360</v>
      </c>
      <c r="W203" s="145">
        <v>-566</v>
      </c>
      <c r="X203" s="145">
        <v>-2285</v>
      </c>
      <c r="Y203" s="145">
        <v>6849</v>
      </c>
      <c r="Z203" s="145">
        <v>5089</v>
      </c>
      <c r="AA203" s="145">
        <v>24291</v>
      </c>
      <c r="AB203" s="75">
        <v>48979</v>
      </c>
      <c r="AC203" s="75">
        <v>48779</v>
      </c>
      <c r="AF203"/>
      <c r="AG203"/>
      <c r="AH203" s="75">
        <v>22869</v>
      </c>
      <c r="AI203" s="75">
        <v>22984</v>
      </c>
      <c r="AJ203" s="75">
        <v>23198</v>
      </c>
      <c r="AK203" s="75">
        <v>23376</v>
      </c>
      <c r="AL203" s="75">
        <v>23702</v>
      </c>
      <c r="AM203" s="75">
        <v>23827</v>
      </c>
      <c r="AN203" s="75">
        <v>24015</v>
      </c>
      <c r="AO203" s="75">
        <v>41682</v>
      </c>
      <c r="AP203" s="75">
        <v>36728</v>
      </c>
      <c r="AQ203" s="75">
        <v>36195000</v>
      </c>
      <c r="AR203" s="75">
        <v>43564</v>
      </c>
      <c r="AS203" s="75">
        <v>44443</v>
      </c>
      <c r="AT203" s="75">
        <v>47055</v>
      </c>
      <c r="AU203" s="75">
        <v>48979</v>
      </c>
      <c r="AV203" s="75">
        <v>48779</v>
      </c>
    </row>
    <row r="204" spans="1:48" ht="12.5" x14ac:dyDescent="0.25">
      <c r="A204" s="75" t="s">
        <v>515</v>
      </c>
      <c r="B204" s="75" t="s">
        <v>192</v>
      </c>
      <c r="C204" s="145">
        <f t="shared" si="9"/>
        <v>1816</v>
      </c>
      <c r="D204" s="145">
        <f t="shared" si="10"/>
        <v>1031.5</v>
      </c>
      <c r="E204" s="145">
        <v>5406000</v>
      </c>
      <c r="F204" s="145">
        <f t="shared" si="11"/>
        <v>10494880.196268018</v>
      </c>
      <c r="G204" s="145">
        <v>709</v>
      </c>
      <c r="H204" s="145">
        <v>215</v>
      </c>
      <c r="I204" s="145">
        <v>11</v>
      </c>
      <c r="J204" s="145">
        <v>809</v>
      </c>
      <c r="K204" s="145">
        <v>116</v>
      </c>
      <c r="L204" s="145">
        <v>2469</v>
      </c>
      <c r="M204" s="145">
        <v>1768</v>
      </c>
      <c r="N204" s="145">
        <v>1271</v>
      </c>
      <c r="O204" s="145">
        <v>2628</v>
      </c>
      <c r="P204" s="145">
        <v>1206</v>
      </c>
      <c r="Q204" s="145">
        <v>2445</v>
      </c>
      <c r="R204" s="145">
        <v>535</v>
      </c>
      <c r="S204" s="145">
        <v>4232</v>
      </c>
      <c r="T204" s="145">
        <v>368</v>
      </c>
      <c r="U204" s="145">
        <v>2710</v>
      </c>
      <c r="V204" s="145">
        <v>1361</v>
      </c>
      <c r="W204" s="145">
        <v>1230</v>
      </c>
      <c r="X204" s="145">
        <v>1790</v>
      </c>
      <c r="Y204" s="145">
        <v>2311</v>
      </c>
      <c r="Z204" s="145">
        <v>291</v>
      </c>
      <c r="AA204" s="145">
        <v>29390</v>
      </c>
      <c r="AB204" s="75">
        <v>49891</v>
      </c>
      <c r="AC204" s="75">
        <v>61523</v>
      </c>
      <c r="AF204"/>
      <c r="AG204"/>
      <c r="AH204" s="75">
        <v>26890</v>
      </c>
      <c r="AI204" s="75">
        <v>27122</v>
      </c>
      <c r="AJ204" s="75">
        <v>27485</v>
      </c>
      <c r="AK204" s="75">
        <v>27799</v>
      </c>
      <c r="AL204" s="75">
        <v>28021</v>
      </c>
      <c r="AM204" s="75">
        <v>28220</v>
      </c>
      <c r="AN204" s="75">
        <v>28731</v>
      </c>
      <c r="AO204" s="75">
        <v>42659</v>
      </c>
      <c r="AP204" s="75">
        <v>41697</v>
      </c>
      <c r="AQ204" s="75">
        <v>38839000</v>
      </c>
      <c r="AR204" s="75">
        <v>38177</v>
      </c>
      <c r="AS204" s="75">
        <v>42026</v>
      </c>
      <c r="AT204" s="75">
        <v>45192</v>
      </c>
      <c r="AU204" s="75">
        <v>49891</v>
      </c>
      <c r="AV204" s="75">
        <v>61523</v>
      </c>
    </row>
    <row r="205" spans="1:48" ht="12.5" x14ac:dyDescent="0.25">
      <c r="A205" s="75" t="s">
        <v>517</v>
      </c>
      <c r="B205" s="75" t="s">
        <v>309</v>
      </c>
      <c r="C205" s="145">
        <f t="shared" si="9"/>
        <v>9322.9</v>
      </c>
      <c r="D205" s="145">
        <f t="shared" si="10"/>
        <v>9178.1</v>
      </c>
      <c r="E205" s="145">
        <v>3620000</v>
      </c>
      <c r="F205" s="145">
        <f t="shared" si="11"/>
        <v>9482209.7932050209</v>
      </c>
      <c r="G205" s="145">
        <v>6501</v>
      </c>
      <c r="H205" s="145">
        <v>6513</v>
      </c>
      <c r="I205" s="145">
        <v>4843</v>
      </c>
      <c r="J205" s="145">
        <v>2340</v>
      </c>
      <c r="K205" s="145">
        <v>17288</v>
      </c>
      <c r="L205" s="145">
        <v>19246</v>
      </c>
      <c r="M205" s="145">
        <v>35980</v>
      </c>
      <c r="N205" s="145">
        <v>37038</v>
      </c>
      <c r="O205" s="145">
        <v>4458</v>
      </c>
      <c r="P205" s="145">
        <v>2048</v>
      </c>
      <c r="Q205" s="145">
        <v>8807</v>
      </c>
      <c r="R205" s="145">
        <v>8586</v>
      </c>
      <c r="S205" s="145">
        <v>12490</v>
      </c>
      <c r="T205" s="145">
        <v>12466</v>
      </c>
      <c r="U205" s="145">
        <v>681</v>
      </c>
      <c r="V205" s="145">
        <v>683</v>
      </c>
      <c r="W205" s="145">
        <v>1447</v>
      </c>
      <c r="X205" s="145">
        <v>2122</v>
      </c>
      <c r="Y205" s="145">
        <v>734</v>
      </c>
      <c r="Z205" s="145">
        <v>739</v>
      </c>
      <c r="AA205" s="145">
        <v>26054</v>
      </c>
      <c r="AB205" s="75">
        <v>66009</v>
      </c>
      <c r="AC205" s="75">
        <v>73214</v>
      </c>
      <c r="AF205"/>
      <c r="AG205"/>
      <c r="AH205" s="75">
        <v>23601</v>
      </c>
      <c r="AI205" s="75">
        <v>23889</v>
      </c>
      <c r="AJ205" s="75">
        <v>24432</v>
      </c>
      <c r="AK205" s="75">
        <v>24861</v>
      </c>
      <c r="AL205" s="75">
        <v>25064</v>
      </c>
      <c r="AM205" s="75">
        <v>25497</v>
      </c>
      <c r="AN205" s="75">
        <v>25746</v>
      </c>
      <c r="AO205" s="75">
        <v>65196</v>
      </c>
      <c r="AP205" s="75">
        <v>62521</v>
      </c>
      <c r="AQ205" s="75">
        <v>65889000</v>
      </c>
      <c r="AR205" s="75">
        <v>65078</v>
      </c>
      <c r="AS205" s="75">
        <v>64708</v>
      </c>
      <c r="AT205" s="75">
        <v>64787</v>
      </c>
      <c r="AU205" s="75">
        <v>66009</v>
      </c>
      <c r="AV205" s="75">
        <v>73214</v>
      </c>
    </row>
    <row r="206" spans="1:48" ht="12.5" x14ac:dyDescent="0.25">
      <c r="A206" s="75" t="s">
        <v>513</v>
      </c>
      <c r="B206" s="75" t="s">
        <v>378</v>
      </c>
      <c r="C206" s="145">
        <f t="shared" si="9"/>
        <v>3907.4</v>
      </c>
      <c r="D206" s="145">
        <f t="shared" si="10"/>
        <v>3531.5</v>
      </c>
      <c r="E206" s="145">
        <v>2815000</v>
      </c>
      <c r="F206" s="145">
        <f t="shared" si="11"/>
        <v>7088692.8214409892</v>
      </c>
      <c r="G206" s="145">
        <v>8306</v>
      </c>
      <c r="H206" s="145">
        <v>7841</v>
      </c>
      <c r="I206" s="145">
        <v>7367</v>
      </c>
      <c r="J206" s="145">
        <v>6078</v>
      </c>
      <c r="K206" s="145">
        <v>7204</v>
      </c>
      <c r="L206" s="145">
        <v>7362</v>
      </c>
      <c r="M206" s="145">
        <v>5278</v>
      </c>
      <c r="N206" s="145">
        <v>3740</v>
      </c>
      <c r="O206" s="145">
        <v>1400</v>
      </c>
      <c r="P206" s="145">
        <v>1259</v>
      </c>
      <c r="Q206" s="145">
        <v>1543</v>
      </c>
      <c r="R206" s="145">
        <v>1231</v>
      </c>
      <c r="S206" s="145">
        <v>765</v>
      </c>
      <c r="T206" s="145">
        <v>459</v>
      </c>
      <c r="U206" s="145">
        <v>390</v>
      </c>
      <c r="V206" s="145">
        <v>368</v>
      </c>
      <c r="W206" s="145">
        <v>434</v>
      </c>
      <c r="X206" s="145">
        <v>428</v>
      </c>
      <c r="Y206" s="145">
        <v>6387</v>
      </c>
      <c r="Z206" s="145">
        <v>6549</v>
      </c>
      <c r="AA206" s="145">
        <v>19546</v>
      </c>
      <c r="AB206" s="75">
        <v>53068</v>
      </c>
      <c r="AC206" s="75">
        <v>54062</v>
      </c>
      <c r="AF206"/>
      <c r="AG206"/>
      <c r="AH206" s="75">
        <v>18491</v>
      </c>
      <c r="AI206" s="75">
        <v>18561</v>
      </c>
      <c r="AJ206" s="75">
        <v>18627</v>
      </c>
      <c r="AK206" s="75">
        <v>18738</v>
      </c>
      <c r="AL206" s="75">
        <v>18842</v>
      </c>
      <c r="AM206" s="75">
        <v>19061</v>
      </c>
      <c r="AN206" s="75">
        <v>19217</v>
      </c>
      <c r="AO206" s="75">
        <v>48866</v>
      </c>
      <c r="AP206" s="75">
        <v>47236</v>
      </c>
      <c r="AQ206" s="75">
        <v>45757000</v>
      </c>
      <c r="AR206" s="75">
        <v>47134</v>
      </c>
      <c r="AS206" s="75">
        <v>48545</v>
      </c>
      <c r="AT206" s="75">
        <v>51490</v>
      </c>
      <c r="AU206" s="75">
        <v>53068</v>
      </c>
      <c r="AV206" s="75">
        <v>54062</v>
      </c>
    </row>
    <row r="207" spans="1:48" x14ac:dyDescent="0.25">
      <c r="A207" s="75" t="s">
        <v>513</v>
      </c>
      <c r="B207" s="75" t="s">
        <v>379</v>
      </c>
      <c r="C207" s="145">
        <f t="shared" si="9"/>
        <v>7112.0238902114561</v>
      </c>
      <c r="D207" s="145">
        <f t="shared" si="10"/>
        <v>6652.135121131495</v>
      </c>
      <c r="E207" s="145">
        <v>3601000</v>
      </c>
      <c r="F207" s="145">
        <f t="shared" si="11"/>
        <v>12091425.932716588</v>
      </c>
      <c r="G207" s="145">
        <v>3234</v>
      </c>
      <c r="H207" s="145">
        <v>3578</v>
      </c>
      <c r="I207" s="145">
        <v>9439.418288755076</v>
      </c>
      <c r="J207" s="145">
        <v>8273.0662372216775</v>
      </c>
      <c r="K207" s="145">
        <v>14941.776921999721</v>
      </c>
      <c r="L207" s="145">
        <v>14523.054894272511</v>
      </c>
      <c r="M207" s="145">
        <v>16098.988096905196</v>
      </c>
      <c r="N207" s="145">
        <v>13545.233720767399</v>
      </c>
      <c r="O207" s="145">
        <v>7890.6997619381036</v>
      </c>
      <c r="P207" s="145">
        <v>8424.0113429491666</v>
      </c>
      <c r="Q207" s="145">
        <v>7737.1952107547959</v>
      </c>
      <c r="R207" s="145">
        <v>7508.3603136815573</v>
      </c>
      <c r="S207" s="145">
        <v>3629.1606217616581</v>
      </c>
      <c r="T207" s="145">
        <v>3659.62470242263</v>
      </c>
      <c r="U207" s="145">
        <v>4378</v>
      </c>
      <c r="V207" s="145">
        <v>3131</v>
      </c>
      <c r="W207" s="145">
        <v>2211</v>
      </c>
      <c r="X207" s="145">
        <v>2434</v>
      </c>
      <c r="Y207" s="145">
        <v>1560</v>
      </c>
      <c r="Z207" s="145">
        <v>1445</v>
      </c>
      <c r="AA207" s="145">
        <v>33120</v>
      </c>
      <c r="AB207" s="75">
        <v>91922</v>
      </c>
      <c r="AC207" s="75">
        <v>67319</v>
      </c>
      <c r="AH207" s="75">
        <v>31633.607617980677</v>
      </c>
      <c r="AI207" s="75">
        <v>31934.234981095084</v>
      </c>
      <c r="AJ207" s="75">
        <v>31946.412967371514</v>
      </c>
      <c r="AK207" s="75">
        <v>32122.996078980534</v>
      </c>
      <c r="AL207" s="75">
        <v>32405.725668673855</v>
      </c>
      <c r="AM207" s="75">
        <v>32513</v>
      </c>
      <c r="AN207" s="75">
        <v>32941</v>
      </c>
      <c r="AO207" s="75">
        <v>62642.883069598094</v>
      </c>
      <c r="AP207" s="75">
        <v>62018.008962330205</v>
      </c>
      <c r="AQ207" s="75">
        <v>61954816.412267193</v>
      </c>
      <c r="AR207" s="75">
        <v>61099.81137095645</v>
      </c>
      <c r="AS207" s="75">
        <v>63193.33538720067</v>
      </c>
      <c r="AT207" s="75">
        <v>72647.625542641093</v>
      </c>
      <c r="AU207" s="75">
        <v>91922</v>
      </c>
      <c r="AV207" s="75">
        <v>67319</v>
      </c>
    </row>
    <row r="208" spans="1:48" ht="12.5" x14ac:dyDescent="0.25">
      <c r="A208" s="75" t="s">
        <v>521</v>
      </c>
      <c r="B208" s="75" t="s">
        <v>121</v>
      </c>
      <c r="C208" s="145">
        <f t="shared" si="9"/>
        <v>1211.5999999999999</v>
      </c>
      <c r="D208" s="145">
        <f t="shared" si="10"/>
        <v>1499.4</v>
      </c>
      <c r="E208" s="145">
        <v>8285000</v>
      </c>
      <c r="F208" s="145">
        <f t="shared" si="11"/>
        <v>14320565.262852324</v>
      </c>
      <c r="G208" s="145">
        <v>75</v>
      </c>
      <c r="H208" s="145">
        <v>473</v>
      </c>
      <c r="I208" s="145">
        <v>1093</v>
      </c>
      <c r="J208" s="145">
        <v>1353</v>
      </c>
      <c r="K208" s="145">
        <v>1371</v>
      </c>
      <c r="L208" s="145">
        <v>1277</v>
      </c>
      <c r="M208" s="145">
        <v>4227</v>
      </c>
      <c r="N208" s="145">
        <v>4377</v>
      </c>
      <c r="O208" s="145">
        <v>266</v>
      </c>
      <c r="P208" s="145">
        <v>572</v>
      </c>
      <c r="Q208" s="145">
        <v>717</v>
      </c>
      <c r="R208" s="145">
        <v>490</v>
      </c>
      <c r="S208" s="145">
        <v>2613</v>
      </c>
      <c r="T208" s="145">
        <v>2685</v>
      </c>
      <c r="U208" s="145">
        <v>692</v>
      </c>
      <c r="V208" s="145">
        <v>927</v>
      </c>
      <c r="W208" s="145">
        <v>789</v>
      </c>
      <c r="X208" s="145">
        <v>1156</v>
      </c>
      <c r="Y208" s="145">
        <v>273</v>
      </c>
      <c r="Z208" s="145">
        <v>1684</v>
      </c>
      <c r="AA208" s="145">
        <v>39576</v>
      </c>
      <c r="AB208" s="75">
        <v>123878</v>
      </c>
      <c r="AC208" s="75">
        <v>123487</v>
      </c>
      <c r="AF208"/>
      <c r="AG208"/>
      <c r="AH208" s="75">
        <v>38107</v>
      </c>
      <c r="AI208" s="75">
        <v>38077</v>
      </c>
      <c r="AJ208" s="75">
        <v>38121</v>
      </c>
      <c r="AK208" s="75">
        <v>38185</v>
      </c>
      <c r="AL208" s="75">
        <v>38277</v>
      </c>
      <c r="AM208" s="75">
        <v>38507</v>
      </c>
      <c r="AN208" s="75">
        <v>39044</v>
      </c>
      <c r="AO208" s="75">
        <v>131978</v>
      </c>
      <c r="AP208" s="75">
        <v>127671</v>
      </c>
      <c r="AQ208" s="75">
        <v>125015000</v>
      </c>
      <c r="AR208" s="75">
        <v>122728</v>
      </c>
      <c r="AS208" s="75">
        <v>123773</v>
      </c>
      <c r="AT208" s="75">
        <v>124893</v>
      </c>
      <c r="AU208" s="75">
        <v>123878</v>
      </c>
      <c r="AV208" s="75">
        <v>123487</v>
      </c>
    </row>
    <row r="209" spans="1:48" ht="12.5" x14ac:dyDescent="0.25">
      <c r="A209" s="75" t="s">
        <v>515</v>
      </c>
      <c r="B209" s="75" t="s">
        <v>193</v>
      </c>
      <c r="C209" s="145">
        <f t="shared" si="9"/>
        <v>5071.7</v>
      </c>
      <c r="D209" s="145">
        <f t="shared" si="10"/>
        <v>4378.6000000000004</v>
      </c>
      <c r="E209" s="145">
        <v>5366000</v>
      </c>
      <c r="F209" s="145">
        <f t="shared" si="11"/>
        <v>8899822.0402866751</v>
      </c>
      <c r="G209" s="145">
        <v>6555</v>
      </c>
      <c r="H209" s="145">
        <v>6074</v>
      </c>
      <c r="I209" s="145">
        <v>4432</v>
      </c>
      <c r="J209" s="145">
        <v>5737</v>
      </c>
      <c r="K209" s="145">
        <v>2820</v>
      </c>
      <c r="L209" s="145">
        <v>3187</v>
      </c>
      <c r="M209" s="145">
        <v>9120</v>
      </c>
      <c r="N209" s="145">
        <v>4401</v>
      </c>
      <c r="O209" s="145">
        <v>9560</v>
      </c>
      <c r="P209" s="145">
        <v>5979</v>
      </c>
      <c r="Q209" s="145">
        <v>4494</v>
      </c>
      <c r="R209" s="145">
        <v>4379</v>
      </c>
      <c r="S209" s="145">
        <v>6366</v>
      </c>
      <c r="T209" s="145">
        <v>6517</v>
      </c>
      <c r="U209" s="145">
        <v>3328</v>
      </c>
      <c r="V209" s="145">
        <v>3549</v>
      </c>
      <c r="W209" s="145">
        <v>2939</v>
      </c>
      <c r="X209" s="145">
        <v>2598</v>
      </c>
      <c r="Y209" s="145">
        <v>1103</v>
      </c>
      <c r="Z209" s="145">
        <v>1365</v>
      </c>
      <c r="AA209" s="145">
        <v>24426</v>
      </c>
      <c r="AB209" s="75">
        <v>56898</v>
      </c>
      <c r="AC209" s="75">
        <v>58830</v>
      </c>
      <c r="AG209"/>
      <c r="AH209" s="75">
        <v>23263</v>
      </c>
      <c r="AI209" s="75">
        <v>23503</v>
      </c>
      <c r="AJ209" s="75">
        <v>23594</v>
      </c>
      <c r="AK209" s="75">
        <v>23619</v>
      </c>
      <c r="AL209" s="75">
        <v>23760</v>
      </c>
      <c r="AM209" s="75">
        <v>23931</v>
      </c>
      <c r="AN209" s="75">
        <v>24264</v>
      </c>
      <c r="AO209" s="75">
        <v>24071</v>
      </c>
      <c r="AP209" s="75">
        <v>24178</v>
      </c>
      <c r="AQ209" s="75">
        <v>32056000</v>
      </c>
      <c r="AR209" s="75">
        <v>33933</v>
      </c>
      <c r="AS209" s="75">
        <v>40533</v>
      </c>
      <c r="AT209" s="75">
        <v>45703</v>
      </c>
      <c r="AU209" s="75">
        <v>56898</v>
      </c>
      <c r="AV209" s="75">
        <v>58830</v>
      </c>
    </row>
    <row r="210" spans="1:48" ht="12.5" x14ac:dyDescent="0.25">
      <c r="A210" s="75" t="s">
        <v>518</v>
      </c>
      <c r="B210" s="75" t="s">
        <v>151</v>
      </c>
      <c r="C210" s="145">
        <f t="shared" si="9"/>
        <v>7539.8</v>
      </c>
      <c r="D210" s="145">
        <f t="shared" si="10"/>
        <v>8121.6</v>
      </c>
      <c r="E210" s="145">
        <v>2773000</v>
      </c>
      <c r="F210" s="145">
        <f t="shared" si="11"/>
        <v>11805810.483009506</v>
      </c>
      <c r="G210" s="145">
        <v>1284</v>
      </c>
      <c r="H210" s="145">
        <v>1239</v>
      </c>
      <c r="I210" s="145">
        <v>14997</v>
      </c>
      <c r="J210" s="145">
        <v>11576</v>
      </c>
      <c r="K210" s="145">
        <v>10811</v>
      </c>
      <c r="L210" s="145">
        <v>9666</v>
      </c>
      <c r="M210" s="145">
        <v>9139</v>
      </c>
      <c r="N210" s="145">
        <v>4118</v>
      </c>
      <c r="O210" s="145">
        <v>8662</v>
      </c>
      <c r="P210" s="145">
        <v>20232</v>
      </c>
      <c r="Q210" s="145">
        <v>6644</v>
      </c>
      <c r="R210" s="145">
        <v>5123</v>
      </c>
      <c r="S210" s="145">
        <v>10166</v>
      </c>
      <c r="T210" s="145">
        <v>10914</v>
      </c>
      <c r="U210" s="145">
        <v>4723</v>
      </c>
      <c r="V210" s="145">
        <v>3222</v>
      </c>
      <c r="W210" s="145">
        <v>6015</v>
      </c>
      <c r="X210" s="145">
        <v>11225</v>
      </c>
      <c r="Y210" s="145">
        <v>2957</v>
      </c>
      <c r="Z210" s="145">
        <v>3901</v>
      </c>
      <c r="AA210" s="145">
        <v>32021</v>
      </c>
      <c r="AB210" s="75">
        <v>87895</v>
      </c>
      <c r="AC210" s="75">
        <v>86381</v>
      </c>
      <c r="AF210"/>
      <c r="AG210"/>
      <c r="AH210" s="75">
        <v>32011</v>
      </c>
      <c r="AI210" s="75">
        <v>31924</v>
      </c>
      <c r="AJ210" s="75">
        <v>31855</v>
      </c>
      <c r="AK210" s="75">
        <v>31843</v>
      </c>
      <c r="AL210" s="75">
        <v>31701</v>
      </c>
      <c r="AM210" s="75">
        <v>31745</v>
      </c>
      <c r="AN210" s="75">
        <v>31925</v>
      </c>
      <c r="AO210" s="75">
        <v>91822</v>
      </c>
      <c r="AP210" s="75">
        <v>101110</v>
      </c>
      <c r="AQ210" s="75">
        <v>87773000</v>
      </c>
      <c r="AR210" s="75">
        <v>99510</v>
      </c>
      <c r="AS210" s="75">
        <v>85773</v>
      </c>
      <c r="AT210" s="75">
        <v>89206</v>
      </c>
      <c r="AU210" s="75">
        <v>87895</v>
      </c>
      <c r="AV210" s="75">
        <v>86381</v>
      </c>
    </row>
    <row r="211" spans="1:48" ht="12.5" x14ac:dyDescent="0.25">
      <c r="A211" s="75" t="s">
        <v>518</v>
      </c>
      <c r="B211" s="75" t="s">
        <v>152</v>
      </c>
      <c r="C211" s="145">
        <f t="shared" si="9"/>
        <v>3888.6</v>
      </c>
      <c r="D211" s="145">
        <f t="shared" si="10"/>
        <v>3760</v>
      </c>
      <c r="E211" s="145">
        <v>1815000</v>
      </c>
      <c r="F211" s="145">
        <f t="shared" si="11"/>
        <v>6879315.8706791569</v>
      </c>
      <c r="G211" s="145">
        <v>5468</v>
      </c>
      <c r="H211" s="145">
        <v>5517</v>
      </c>
      <c r="I211" s="145">
        <v>1177</v>
      </c>
      <c r="J211" s="145">
        <v>1562</v>
      </c>
      <c r="K211" s="145">
        <v>3089</v>
      </c>
      <c r="L211" s="145">
        <v>3112</v>
      </c>
      <c r="M211" s="145">
        <v>5588</v>
      </c>
      <c r="N211" s="145">
        <v>4432</v>
      </c>
      <c r="O211" s="145">
        <v>4209</v>
      </c>
      <c r="P211" s="145">
        <v>3407</v>
      </c>
      <c r="Q211" s="145">
        <v>6052</v>
      </c>
      <c r="R211" s="145">
        <v>5702</v>
      </c>
      <c r="S211" s="145">
        <v>4350</v>
      </c>
      <c r="T211" s="145">
        <v>4127</v>
      </c>
      <c r="U211" s="145">
        <v>3447</v>
      </c>
      <c r="V211" s="145">
        <v>2874</v>
      </c>
      <c r="W211" s="145">
        <v>3244</v>
      </c>
      <c r="X211" s="145">
        <v>3165</v>
      </c>
      <c r="Y211" s="145">
        <v>2262</v>
      </c>
      <c r="Z211" s="145">
        <v>3702</v>
      </c>
      <c r="AA211" s="145">
        <v>19001</v>
      </c>
      <c r="AB211" s="75">
        <v>37583</v>
      </c>
      <c r="AC211" s="75">
        <v>37543</v>
      </c>
      <c r="AF211"/>
      <c r="AG211"/>
      <c r="AH211" s="75">
        <v>17959</v>
      </c>
      <c r="AI211" s="75">
        <v>18023</v>
      </c>
      <c r="AJ211" s="75">
        <v>18069</v>
      </c>
      <c r="AK211" s="75">
        <v>18231</v>
      </c>
      <c r="AL211" s="75">
        <v>18361</v>
      </c>
      <c r="AM211" s="75">
        <v>18498</v>
      </c>
      <c r="AN211" s="75">
        <v>18682</v>
      </c>
      <c r="AO211" s="75">
        <v>44028</v>
      </c>
      <c r="AP211" s="75">
        <v>42336</v>
      </c>
      <c r="AQ211" s="75">
        <v>41128000</v>
      </c>
      <c r="AR211" s="75">
        <v>40278</v>
      </c>
      <c r="AS211" s="75">
        <v>39157</v>
      </c>
      <c r="AT211" s="75">
        <v>38590</v>
      </c>
      <c r="AU211" s="75">
        <v>37583</v>
      </c>
      <c r="AV211" s="75">
        <v>37543</v>
      </c>
    </row>
    <row r="212" spans="1:48" ht="12.5" x14ac:dyDescent="0.25">
      <c r="A212" s="75" t="s">
        <v>518</v>
      </c>
      <c r="B212" s="75" t="s">
        <v>153</v>
      </c>
      <c r="C212" s="145">
        <f t="shared" si="9"/>
        <v>7113.3</v>
      </c>
      <c r="D212" s="145">
        <f t="shared" si="10"/>
        <v>6122.8</v>
      </c>
      <c r="E212" s="145">
        <v>3154000</v>
      </c>
      <c r="F212" s="145">
        <f t="shared" si="11"/>
        <v>6868159.0171749741</v>
      </c>
      <c r="G212" s="145">
        <v>3398</v>
      </c>
      <c r="H212" s="145">
        <v>3402</v>
      </c>
      <c r="I212" s="145">
        <v>4339</v>
      </c>
      <c r="J212" s="145">
        <v>4661</v>
      </c>
      <c r="K212" s="145">
        <v>6984</v>
      </c>
      <c r="L212" s="145">
        <v>7526</v>
      </c>
      <c r="M212" s="145">
        <v>10878</v>
      </c>
      <c r="N212" s="145">
        <v>9973</v>
      </c>
      <c r="O212" s="145">
        <v>6437</v>
      </c>
      <c r="P212" s="145">
        <v>5649</v>
      </c>
      <c r="Q212" s="145">
        <v>7402</v>
      </c>
      <c r="R212" s="145">
        <v>4257</v>
      </c>
      <c r="S212" s="145">
        <v>8005</v>
      </c>
      <c r="T212" s="145">
        <v>4916</v>
      </c>
      <c r="U212" s="145">
        <v>5543</v>
      </c>
      <c r="V212" s="145">
        <v>4264</v>
      </c>
      <c r="W212" s="145">
        <v>8718</v>
      </c>
      <c r="X212" s="145">
        <v>8456</v>
      </c>
      <c r="Y212" s="145">
        <v>9429</v>
      </c>
      <c r="Z212" s="145">
        <v>8124</v>
      </c>
      <c r="AA212" s="145">
        <v>19249</v>
      </c>
      <c r="AB212" s="75">
        <v>30098</v>
      </c>
      <c r="AC212" s="75">
        <v>37803</v>
      </c>
      <c r="AF212"/>
      <c r="AG212"/>
      <c r="AH212" s="75">
        <v>17530</v>
      </c>
      <c r="AI212" s="75">
        <v>17605</v>
      </c>
      <c r="AJ212" s="75">
        <v>17817</v>
      </c>
      <c r="AK212" s="75">
        <v>18002</v>
      </c>
      <c r="AL212" s="75">
        <v>18295</v>
      </c>
      <c r="AM212" s="75">
        <v>18468</v>
      </c>
      <c r="AN212" s="75">
        <v>18955</v>
      </c>
      <c r="AO212" s="75">
        <v>31256</v>
      </c>
      <c r="AP212" s="75">
        <v>29779</v>
      </c>
      <c r="AQ212" s="75">
        <v>32292000</v>
      </c>
      <c r="AR212" s="75">
        <v>29017</v>
      </c>
      <c r="AS212" s="75">
        <v>28610</v>
      </c>
      <c r="AT212" s="75">
        <v>29767</v>
      </c>
      <c r="AU212" s="75">
        <v>30098</v>
      </c>
      <c r="AV212" s="75">
        <v>37803</v>
      </c>
    </row>
    <row r="213" spans="1:48" ht="12.5" x14ac:dyDescent="0.25">
      <c r="A213" s="75" t="s">
        <v>515</v>
      </c>
      <c r="B213" s="75" t="s">
        <v>194</v>
      </c>
      <c r="C213" s="145">
        <f t="shared" si="9"/>
        <v>343</v>
      </c>
      <c r="D213" s="145">
        <f t="shared" si="10"/>
        <v>493.8</v>
      </c>
      <c r="E213" s="145">
        <v>6510000</v>
      </c>
      <c r="F213" s="145">
        <f t="shared" si="11"/>
        <v>11010698.723278074</v>
      </c>
      <c r="G213" s="145">
        <v>61</v>
      </c>
      <c r="H213" s="145">
        <v>256</v>
      </c>
      <c r="I213" s="145">
        <v>2095</v>
      </c>
      <c r="J213" s="145">
        <v>3022</v>
      </c>
      <c r="K213" s="145">
        <v>149</v>
      </c>
      <c r="L213" s="145">
        <v>683</v>
      </c>
      <c r="M213" s="145">
        <v>12</v>
      </c>
      <c r="N213" s="145">
        <v>-708</v>
      </c>
      <c r="O213" s="145">
        <v>8</v>
      </c>
      <c r="P213" s="145">
        <v>381</v>
      </c>
      <c r="Q213" s="145">
        <v>8</v>
      </c>
      <c r="R213" s="145">
        <v>-776</v>
      </c>
      <c r="S213" s="145">
        <v>8</v>
      </c>
      <c r="T213" s="145">
        <v>207</v>
      </c>
      <c r="U213" s="145">
        <v>11</v>
      </c>
      <c r="V213" s="145">
        <v>1277</v>
      </c>
      <c r="W213" s="145">
        <v>971</v>
      </c>
      <c r="X213" s="145">
        <v>1293</v>
      </c>
      <c r="Y213" s="145">
        <v>107</v>
      </c>
      <c r="Z213" s="145">
        <v>-697</v>
      </c>
      <c r="AA213" s="145">
        <v>30048</v>
      </c>
      <c r="AB213" s="75">
        <v>108750</v>
      </c>
      <c r="AC213" s="75">
        <v>110610</v>
      </c>
      <c r="AF213"/>
      <c r="AG213"/>
      <c r="AH213" s="75">
        <v>29632</v>
      </c>
      <c r="AI213" s="75">
        <v>29673</v>
      </c>
      <c r="AJ213" s="75">
        <v>29700</v>
      </c>
      <c r="AK213" s="75">
        <v>29595</v>
      </c>
      <c r="AL213" s="75">
        <v>29574</v>
      </c>
      <c r="AM213" s="75">
        <v>29607</v>
      </c>
      <c r="AN213" s="75">
        <v>29846</v>
      </c>
      <c r="AO213" s="75">
        <v>87771</v>
      </c>
      <c r="AP213" s="75">
        <v>87163</v>
      </c>
      <c r="AQ213" s="75">
        <v>91513000</v>
      </c>
      <c r="AR213" s="75">
        <v>98363</v>
      </c>
      <c r="AS213" s="75">
        <v>98306</v>
      </c>
      <c r="AT213" s="75">
        <v>96161</v>
      </c>
      <c r="AU213" s="75">
        <v>108750</v>
      </c>
      <c r="AV213" s="75">
        <v>110610</v>
      </c>
    </row>
    <row r="214" spans="1:48" ht="12.5" x14ac:dyDescent="0.25">
      <c r="A214" s="75" t="s">
        <v>513</v>
      </c>
      <c r="B214" s="75" t="s">
        <v>380</v>
      </c>
      <c r="C214" s="145">
        <f t="shared" si="9"/>
        <v>9541.5</v>
      </c>
      <c r="D214" s="145">
        <f t="shared" si="10"/>
        <v>9131.9</v>
      </c>
      <c r="E214" s="145">
        <v>15912000</v>
      </c>
      <c r="F214" s="145">
        <f t="shared" si="11"/>
        <v>21023602.848165393</v>
      </c>
      <c r="G214" s="145">
        <v>5876</v>
      </c>
      <c r="H214" s="145">
        <v>5585</v>
      </c>
      <c r="I214" s="145">
        <v>15572</v>
      </c>
      <c r="J214" s="145">
        <v>10398</v>
      </c>
      <c r="K214" s="145">
        <v>12944</v>
      </c>
      <c r="L214" s="145">
        <v>11894</v>
      </c>
      <c r="M214" s="145">
        <v>17284</v>
      </c>
      <c r="N214" s="145">
        <v>17216</v>
      </c>
      <c r="O214" s="145">
        <v>12744</v>
      </c>
      <c r="P214" s="145">
        <v>13274</v>
      </c>
      <c r="Q214" s="145">
        <v>10612</v>
      </c>
      <c r="R214" s="145">
        <v>9426</v>
      </c>
      <c r="S214" s="145">
        <v>8386</v>
      </c>
      <c r="T214" s="145">
        <v>8333</v>
      </c>
      <c r="U214" s="145">
        <v>7687</v>
      </c>
      <c r="V214" s="145">
        <v>8099</v>
      </c>
      <c r="W214" s="145">
        <v>1669</v>
      </c>
      <c r="X214" s="145">
        <v>2969</v>
      </c>
      <c r="Y214" s="145">
        <v>2641</v>
      </c>
      <c r="Z214" s="145">
        <v>4125</v>
      </c>
      <c r="AA214" s="145">
        <v>58381</v>
      </c>
      <c r="AB214" s="75">
        <v>211229</v>
      </c>
      <c r="AC214" s="75">
        <v>217355</v>
      </c>
      <c r="AF214"/>
      <c r="AG214"/>
      <c r="AH214" s="75">
        <v>54604</v>
      </c>
      <c r="AI214" s="75">
        <v>55169</v>
      </c>
      <c r="AJ214" s="75">
        <v>55610</v>
      </c>
      <c r="AK214" s="75">
        <v>55975</v>
      </c>
      <c r="AL214" s="75">
        <v>56206</v>
      </c>
      <c r="AM214" s="75">
        <v>56531</v>
      </c>
      <c r="AN214" s="75">
        <v>57425</v>
      </c>
      <c r="AO214" s="75">
        <v>179331</v>
      </c>
      <c r="AP214" s="75">
        <v>189854</v>
      </c>
      <c r="AQ214" s="75">
        <v>190663000</v>
      </c>
      <c r="AR214" s="75">
        <v>184418</v>
      </c>
      <c r="AS214" s="75">
        <v>194233</v>
      </c>
      <c r="AT214" s="75">
        <v>195911</v>
      </c>
      <c r="AU214" s="75">
        <v>211229</v>
      </c>
      <c r="AV214" s="75">
        <v>217355</v>
      </c>
    </row>
    <row r="215" spans="1:48" ht="12.5" x14ac:dyDescent="0.25">
      <c r="A215" s="75" t="s">
        <v>516</v>
      </c>
      <c r="B215" s="75" t="s">
        <v>131</v>
      </c>
      <c r="C215" s="145">
        <f t="shared" si="9"/>
        <v>537.70000000000005</v>
      </c>
      <c r="D215" s="145">
        <f t="shared" si="10"/>
        <v>621.79999999999995</v>
      </c>
      <c r="E215" s="145">
        <v>2260000</v>
      </c>
      <c r="F215" s="145">
        <f t="shared" si="11"/>
        <v>9550638.4946973417</v>
      </c>
      <c r="G215" s="145">
        <v>0</v>
      </c>
      <c r="H215" s="145">
        <v>-22</v>
      </c>
      <c r="I215" s="145">
        <v>1885</v>
      </c>
      <c r="J215" s="145">
        <v>3834</v>
      </c>
      <c r="K215" s="145">
        <v>2018</v>
      </c>
      <c r="L215" s="145">
        <v>1870</v>
      </c>
      <c r="M215" s="145">
        <v>203</v>
      </c>
      <c r="N215" s="145">
        <v>140</v>
      </c>
      <c r="O215" s="145">
        <v>154</v>
      </c>
      <c r="P215" s="145">
        <v>40</v>
      </c>
      <c r="Q215" s="145">
        <v>235</v>
      </c>
      <c r="R215" s="145">
        <v>30</v>
      </c>
      <c r="S215" s="145">
        <v>108</v>
      </c>
      <c r="T215" s="145">
        <v>27</v>
      </c>
      <c r="U215" s="145">
        <v>94</v>
      </c>
      <c r="V215" s="145">
        <v>21</v>
      </c>
      <c r="W215" s="145">
        <v>216</v>
      </c>
      <c r="X215" s="145">
        <v>52</v>
      </c>
      <c r="Y215" s="145">
        <v>464</v>
      </c>
      <c r="Z215" s="145">
        <v>226</v>
      </c>
      <c r="AA215" s="145">
        <v>25924</v>
      </c>
      <c r="AB215" s="75">
        <v>62163</v>
      </c>
      <c r="AC215" s="75">
        <v>61275</v>
      </c>
      <c r="AF215"/>
      <c r="AG215"/>
      <c r="AH215" s="75">
        <v>25543</v>
      </c>
      <c r="AI215" s="75">
        <v>25458</v>
      </c>
      <c r="AJ215" s="75">
        <v>25498</v>
      </c>
      <c r="AK215" s="75">
        <v>25477</v>
      </c>
      <c r="AL215" s="75">
        <v>25464</v>
      </c>
      <c r="AM215" s="75">
        <v>25681</v>
      </c>
      <c r="AN215" s="75">
        <v>25837</v>
      </c>
      <c r="AO215" s="75">
        <v>67325</v>
      </c>
      <c r="AP215" s="75">
        <v>62888</v>
      </c>
      <c r="AQ215" s="75">
        <v>62620000</v>
      </c>
      <c r="AR215" s="75">
        <v>61697</v>
      </c>
      <c r="AS215" s="75">
        <v>62326</v>
      </c>
      <c r="AT215" s="75">
        <v>61318</v>
      </c>
      <c r="AU215" s="75">
        <v>62163</v>
      </c>
      <c r="AV215" s="75">
        <v>61275</v>
      </c>
    </row>
    <row r="216" spans="1:48" ht="12.5" x14ac:dyDescent="0.25">
      <c r="A216" s="75" t="s">
        <v>514</v>
      </c>
      <c r="B216" s="75" t="s">
        <v>265</v>
      </c>
      <c r="C216" s="145">
        <f t="shared" si="9"/>
        <v>469</v>
      </c>
      <c r="D216" s="145">
        <f t="shared" si="10"/>
        <v>469.9</v>
      </c>
      <c r="E216" s="145">
        <v>2342000</v>
      </c>
      <c r="F216" s="145">
        <f t="shared" si="11"/>
        <v>3586556.5064779865</v>
      </c>
      <c r="G216" s="145">
        <v>90</v>
      </c>
      <c r="H216" s="145">
        <v>154</v>
      </c>
      <c r="I216" s="145">
        <v>520</v>
      </c>
      <c r="J216" s="145">
        <v>-85</v>
      </c>
      <c r="K216" s="145">
        <v>848</v>
      </c>
      <c r="L216" s="145">
        <v>1194</v>
      </c>
      <c r="M216" s="145">
        <v>2678</v>
      </c>
      <c r="N216" s="145">
        <v>2624</v>
      </c>
      <c r="O216" s="145">
        <v>31</v>
      </c>
      <c r="P216" s="145">
        <v>127</v>
      </c>
      <c r="Q216" s="145">
        <v>123</v>
      </c>
      <c r="R216" s="145">
        <v>145</v>
      </c>
      <c r="S216" s="145">
        <v>210</v>
      </c>
      <c r="T216" s="145">
        <v>223</v>
      </c>
      <c r="U216" s="145">
        <v>56</v>
      </c>
      <c r="V216" s="145">
        <v>59</v>
      </c>
      <c r="W216" s="145">
        <v>95</v>
      </c>
      <c r="X216" s="145">
        <v>177</v>
      </c>
      <c r="Y216" s="145">
        <v>39</v>
      </c>
      <c r="Z216" s="145">
        <v>81</v>
      </c>
      <c r="AA216" s="145">
        <v>9727</v>
      </c>
      <c r="AB216" s="75">
        <v>32749</v>
      </c>
      <c r="AC216" s="75">
        <v>32841</v>
      </c>
      <c r="AF216"/>
      <c r="AG216"/>
      <c r="AH216" s="75">
        <v>9653</v>
      </c>
      <c r="AI216" s="75">
        <v>9735</v>
      </c>
      <c r="AJ216" s="75">
        <v>9755</v>
      </c>
      <c r="AK216" s="75">
        <v>9742</v>
      </c>
      <c r="AL216" s="75">
        <v>9689</v>
      </c>
      <c r="AM216" s="75">
        <v>9644</v>
      </c>
      <c r="AN216" s="75">
        <v>9720</v>
      </c>
      <c r="AO216" s="75">
        <v>33530</v>
      </c>
      <c r="AP216" s="75">
        <v>32215</v>
      </c>
      <c r="AQ216" s="75">
        <v>32735000</v>
      </c>
      <c r="AR216" s="75">
        <v>33369</v>
      </c>
      <c r="AS216" s="75">
        <v>33216</v>
      </c>
      <c r="AT216" s="75">
        <v>33329</v>
      </c>
      <c r="AU216" s="75">
        <v>32749</v>
      </c>
      <c r="AV216" s="75">
        <v>32841</v>
      </c>
    </row>
    <row r="217" spans="1:48" ht="12.5" x14ac:dyDescent="0.25">
      <c r="A217" s="75" t="s">
        <v>514</v>
      </c>
      <c r="B217" s="75" t="s">
        <v>266</v>
      </c>
      <c r="C217" s="145">
        <f t="shared" si="9"/>
        <v>2733.3</v>
      </c>
      <c r="D217" s="145">
        <f t="shared" si="10"/>
        <v>2218.6</v>
      </c>
      <c r="E217" s="145">
        <v>2248000</v>
      </c>
      <c r="F217" s="145">
        <f t="shared" si="11"/>
        <v>4490261.6403167984</v>
      </c>
      <c r="G217" s="145">
        <v>292</v>
      </c>
      <c r="H217" s="145">
        <v>332</v>
      </c>
      <c r="I217" s="145">
        <v>1133</v>
      </c>
      <c r="J217" s="145">
        <v>882</v>
      </c>
      <c r="K217" s="145">
        <v>2231</v>
      </c>
      <c r="L217" s="145">
        <v>2097</v>
      </c>
      <c r="M217" s="145">
        <v>3080</v>
      </c>
      <c r="N217" s="145">
        <v>3090</v>
      </c>
      <c r="O217" s="145">
        <v>5427</v>
      </c>
      <c r="P217" s="145">
        <v>3741</v>
      </c>
      <c r="Q217" s="145">
        <v>6322</v>
      </c>
      <c r="R217" s="145">
        <v>4836</v>
      </c>
      <c r="S217" s="145">
        <v>4035</v>
      </c>
      <c r="T217" s="145">
        <v>3200</v>
      </c>
      <c r="U217" s="145">
        <v>1173</v>
      </c>
      <c r="V217" s="145">
        <v>970</v>
      </c>
      <c r="W217" s="145">
        <v>3296</v>
      </c>
      <c r="X217" s="145">
        <v>2685</v>
      </c>
      <c r="Y217" s="145">
        <v>344</v>
      </c>
      <c r="Z217" s="145">
        <v>353</v>
      </c>
      <c r="AA217" s="145">
        <v>12468</v>
      </c>
      <c r="AB217" s="75">
        <v>42384</v>
      </c>
      <c r="AC217" s="75">
        <v>45713</v>
      </c>
      <c r="AF217"/>
      <c r="AG217"/>
      <c r="AH217" s="75">
        <v>11421</v>
      </c>
      <c r="AI217" s="75">
        <v>11527</v>
      </c>
      <c r="AJ217" s="75">
        <v>11779</v>
      </c>
      <c r="AK217" s="75">
        <v>11807</v>
      </c>
      <c r="AL217" s="75">
        <v>12009</v>
      </c>
      <c r="AM217" s="75">
        <v>12074</v>
      </c>
      <c r="AN217" s="75">
        <v>12180</v>
      </c>
      <c r="AO217" s="75">
        <v>42749</v>
      </c>
      <c r="AP217" s="75">
        <v>45330</v>
      </c>
      <c r="AQ217" s="75">
        <v>42967000</v>
      </c>
      <c r="AR217" s="75">
        <v>41203</v>
      </c>
      <c r="AS217" s="75">
        <v>39950</v>
      </c>
      <c r="AT217" s="75">
        <v>40666</v>
      </c>
      <c r="AU217" s="75">
        <v>42384</v>
      </c>
      <c r="AV217" s="75">
        <v>45713</v>
      </c>
    </row>
    <row r="218" spans="1:48" ht="12.5" x14ac:dyDescent="0.25">
      <c r="A218" s="75" t="s">
        <v>516</v>
      </c>
      <c r="B218" s="75" t="s">
        <v>132</v>
      </c>
      <c r="C218" s="145">
        <f t="shared" si="9"/>
        <v>1835.5</v>
      </c>
      <c r="D218" s="145">
        <f t="shared" si="10"/>
        <v>1260.9000000000001</v>
      </c>
      <c r="E218" s="145">
        <v>4137000</v>
      </c>
      <c r="F218" s="145">
        <f t="shared" si="11"/>
        <v>11077639.84430317</v>
      </c>
      <c r="G218" s="145">
        <v>1076</v>
      </c>
      <c r="H218" s="145">
        <v>816</v>
      </c>
      <c r="I218" s="145">
        <v>820</v>
      </c>
      <c r="J218" s="145">
        <v>563</v>
      </c>
      <c r="K218" s="145">
        <v>1683</v>
      </c>
      <c r="L218" s="145">
        <v>1261</v>
      </c>
      <c r="M218" s="145">
        <v>1215</v>
      </c>
      <c r="N218" s="145">
        <v>738</v>
      </c>
      <c r="O218" s="145">
        <v>1744</v>
      </c>
      <c r="P218" s="145">
        <v>468</v>
      </c>
      <c r="Q218" s="145">
        <v>1369</v>
      </c>
      <c r="R218" s="145">
        <v>1541</v>
      </c>
      <c r="S218" s="145">
        <v>4998</v>
      </c>
      <c r="T218" s="145">
        <v>3334</v>
      </c>
      <c r="U218" s="145">
        <v>1430</v>
      </c>
      <c r="V218" s="145">
        <v>547</v>
      </c>
      <c r="W218" s="145">
        <v>2860</v>
      </c>
      <c r="X218" s="145">
        <v>2706</v>
      </c>
      <c r="Y218" s="145">
        <v>1160</v>
      </c>
      <c r="Z218" s="145">
        <v>635</v>
      </c>
      <c r="AA218" s="145">
        <v>30007</v>
      </c>
      <c r="AB218" s="75">
        <v>66194</v>
      </c>
      <c r="AC218" s="75">
        <v>65104</v>
      </c>
      <c r="AF218"/>
      <c r="AG218"/>
      <c r="AH218" s="75">
        <v>29720</v>
      </c>
      <c r="AI218" s="75">
        <v>29762</v>
      </c>
      <c r="AJ218" s="75">
        <v>29715</v>
      </c>
      <c r="AK218" s="75">
        <v>29732</v>
      </c>
      <c r="AL218" s="75">
        <v>29812</v>
      </c>
      <c r="AM218" s="75">
        <v>29787</v>
      </c>
      <c r="AN218" s="75">
        <v>30054</v>
      </c>
      <c r="AO218" s="75">
        <v>66223</v>
      </c>
      <c r="AP218" s="75">
        <v>60762</v>
      </c>
      <c r="AQ218" s="75">
        <v>65624000</v>
      </c>
      <c r="AR218" s="75">
        <v>64638</v>
      </c>
      <c r="AS218" s="75">
        <v>63709</v>
      </c>
      <c r="AT218" s="75">
        <v>62626</v>
      </c>
      <c r="AU218" s="75">
        <v>66194</v>
      </c>
      <c r="AV218" s="75">
        <v>65104</v>
      </c>
    </row>
    <row r="219" spans="1:48" ht="12.5" x14ac:dyDescent="0.25">
      <c r="A219" s="75" t="s">
        <v>513</v>
      </c>
      <c r="B219" s="75" t="s">
        <v>381</v>
      </c>
      <c r="C219" s="145">
        <f t="shared" si="9"/>
        <v>14932.2</v>
      </c>
      <c r="D219" s="145">
        <f t="shared" si="10"/>
        <v>13093.2</v>
      </c>
      <c r="E219" s="145">
        <v>12507000</v>
      </c>
      <c r="F219" s="145">
        <f t="shared" si="11"/>
        <v>34701905.244293593</v>
      </c>
      <c r="G219" s="145">
        <v>14237</v>
      </c>
      <c r="H219" s="145">
        <v>9383</v>
      </c>
      <c r="I219" s="145">
        <v>18770</v>
      </c>
      <c r="J219" s="145">
        <v>20993</v>
      </c>
      <c r="K219" s="145">
        <v>26779</v>
      </c>
      <c r="L219" s="145">
        <v>34774</v>
      </c>
      <c r="M219" s="145">
        <v>6705</v>
      </c>
      <c r="N219" s="145">
        <v>4472</v>
      </c>
      <c r="O219" s="145">
        <v>9604</v>
      </c>
      <c r="P219" s="145">
        <v>4948</v>
      </c>
      <c r="Q219" s="145">
        <v>14855</v>
      </c>
      <c r="R219" s="145">
        <v>10062</v>
      </c>
      <c r="S219" s="145">
        <v>21475</v>
      </c>
      <c r="T219" s="145">
        <v>18341</v>
      </c>
      <c r="U219" s="145">
        <v>17461</v>
      </c>
      <c r="V219" s="145">
        <v>13403</v>
      </c>
      <c r="W219" s="145">
        <v>9201</v>
      </c>
      <c r="X219" s="145">
        <v>7981</v>
      </c>
      <c r="Y219" s="145">
        <v>10235</v>
      </c>
      <c r="Z219" s="145">
        <v>6575</v>
      </c>
      <c r="AA219" s="145">
        <v>95233</v>
      </c>
      <c r="AB219" s="75">
        <v>228605</v>
      </c>
      <c r="AC219" s="75">
        <v>236717</v>
      </c>
      <c r="AF219"/>
      <c r="AG219"/>
      <c r="AH219" s="75">
        <v>90364</v>
      </c>
      <c r="AI219" s="75">
        <v>90973</v>
      </c>
      <c r="AJ219" s="75">
        <v>91437</v>
      </c>
      <c r="AK219" s="75">
        <v>92021</v>
      </c>
      <c r="AL219" s="75">
        <v>92526</v>
      </c>
      <c r="AM219" s="75">
        <v>93311</v>
      </c>
      <c r="AN219" s="75">
        <v>94437</v>
      </c>
      <c r="AO219" s="75">
        <v>207783.03863878056</v>
      </c>
      <c r="AP219" s="75">
        <v>195012</v>
      </c>
      <c r="AQ219" s="75">
        <v>201374000</v>
      </c>
      <c r="AR219" s="75">
        <v>201705</v>
      </c>
      <c r="AS219" s="75">
        <v>215737</v>
      </c>
      <c r="AT219" s="75">
        <v>216501</v>
      </c>
      <c r="AU219" s="75">
        <v>228605</v>
      </c>
      <c r="AV219" s="75">
        <v>236717</v>
      </c>
    </row>
    <row r="220" spans="1:48" ht="12.5" x14ac:dyDescent="0.25">
      <c r="A220" s="75" t="s">
        <v>515</v>
      </c>
      <c r="B220" s="75" t="s">
        <v>195</v>
      </c>
      <c r="C220" s="145">
        <f t="shared" si="9"/>
        <v>3268.5</v>
      </c>
      <c r="D220" s="145">
        <f t="shared" si="10"/>
        <v>3097.3</v>
      </c>
      <c r="E220" s="145">
        <v>7156000</v>
      </c>
      <c r="F220" s="145">
        <f t="shared" si="11"/>
        <v>14647461.070524883</v>
      </c>
      <c r="G220" s="145">
        <v>499</v>
      </c>
      <c r="H220" s="145">
        <v>499</v>
      </c>
      <c r="I220" s="145">
        <v>8628</v>
      </c>
      <c r="J220" s="145">
        <v>13208</v>
      </c>
      <c r="K220" s="145">
        <v>8138</v>
      </c>
      <c r="L220" s="145">
        <v>8853</v>
      </c>
      <c r="M220" s="145">
        <v>5263</v>
      </c>
      <c r="N220" s="145">
        <v>2190</v>
      </c>
      <c r="O220" s="145">
        <v>3380</v>
      </c>
      <c r="P220" s="145">
        <v>1768</v>
      </c>
      <c r="Q220" s="145">
        <v>2483</v>
      </c>
      <c r="R220" s="145">
        <v>749</v>
      </c>
      <c r="S220" s="145">
        <v>1132</v>
      </c>
      <c r="T220" s="145">
        <v>251</v>
      </c>
      <c r="U220" s="145">
        <v>2415</v>
      </c>
      <c r="V220" s="145">
        <v>1081</v>
      </c>
      <c r="W220" s="145">
        <v>425</v>
      </c>
      <c r="X220" s="145">
        <v>384</v>
      </c>
      <c r="Y220" s="145">
        <v>322</v>
      </c>
      <c r="Z220" s="145">
        <v>1990</v>
      </c>
      <c r="AA220" s="145">
        <v>39502</v>
      </c>
      <c r="AB220" s="75">
        <v>138790</v>
      </c>
      <c r="AC220" s="75">
        <v>136973</v>
      </c>
      <c r="AF220"/>
      <c r="AG220"/>
      <c r="AH220" s="75">
        <v>39569</v>
      </c>
      <c r="AI220" s="75">
        <v>39529</v>
      </c>
      <c r="AJ220" s="75">
        <v>39462</v>
      </c>
      <c r="AK220" s="75">
        <v>39391</v>
      </c>
      <c r="AL220" s="75">
        <v>39346</v>
      </c>
      <c r="AM220" s="75">
        <v>39386</v>
      </c>
      <c r="AN220" s="75">
        <v>39613</v>
      </c>
      <c r="AO220" s="75">
        <v>124819</v>
      </c>
      <c r="AP220" s="75">
        <v>128483</v>
      </c>
      <c r="AQ220" s="75">
        <v>143973000</v>
      </c>
      <c r="AR220" s="75">
        <v>143992</v>
      </c>
      <c r="AS220" s="75">
        <v>141674</v>
      </c>
      <c r="AT220" s="75">
        <v>140079</v>
      </c>
      <c r="AU220" s="75">
        <v>138790</v>
      </c>
      <c r="AV220" s="75">
        <v>136973</v>
      </c>
    </row>
    <row r="221" spans="1:48" ht="12.5" x14ac:dyDescent="0.25">
      <c r="A221" s="75" t="s">
        <v>514</v>
      </c>
      <c r="B221" s="75" t="s">
        <v>267</v>
      </c>
      <c r="C221" s="145">
        <f t="shared" si="9"/>
        <v>164.4</v>
      </c>
      <c r="D221" s="145">
        <f t="shared" si="10"/>
        <v>46</v>
      </c>
      <c r="E221" s="145">
        <v>1500000</v>
      </c>
      <c r="F221" s="145">
        <f t="shared" si="11"/>
        <v>5282770.1342305886</v>
      </c>
      <c r="G221" s="145">
        <v>0</v>
      </c>
      <c r="H221" s="145">
        <v>0</v>
      </c>
      <c r="I221" s="145">
        <v>1200</v>
      </c>
      <c r="J221" s="145">
        <v>0</v>
      </c>
      <c r="K221" s="145">
        <v>444</v>
      </c>
      <c r="L221" s="145">
        <v>460</v>
      </c>
      <c r="M221" s="145">
        <v>0</v>
      </c>
      <c r="N221" s="145">
        <v>0</v>
      </c>
      <c r="O221" s="145">
        <v>0</v>
      </c>
      <c r="P221" s="145">
        <v>0</v>
      </c>
      <c r="Q221" s="145">
        <v>0</v>
      </c>
      <c r="R221" s="145">
        <v>0</v>
      </c>
      <c r="S221" s="145">
        <v>0</v>
      </c>
      <c r="T221" s="145">
        <v>0</v>
      </c>
      <c r="U221" s="145">
        <v>0</v>
      </c>
      <c r="V221" s="145">
        <v>0</v>
      </c>
      <c r="W221" s="145">
        <v>0</v>
      </c>
      <c r="X221" s="145">
        <v>0</v>
      </c>
      <c r="Y221" s="145">
        <v>0</v>
      </c>
      <c r="Z221" s="145">
        <v>0</v>
      </c>
      <c r="AA221" s="145">
        <v>14526</v>
      </c>
      <c r="AB221" s="75">
        <v>22748</v>
      </c>
      <c r="AC221" s="75">
        <v>23170</v>
      </c>
      <c r="AF221"/>
      <c r="AG221"/>
      <c r="AH221" s="75">
        <v>13428</v>
      </c>
      <c r="AI221" s="75">
        <v>13489</v>
      </c>
      <c r="AJ221" s="75">
        <v>13915</v>
      </c>
      <c r="AK221" s="75">
        <v>14007</v>
      </c>
      <c r="AL221" s="75">
        <v>14125</v>
      </c>
      <c r="AM221" s="75">
        <v>14205</v>
      </c>
      <c r="AN221" s="75">
        <v>14276</v>
      </c>
      <c r="AO221" s="75">
        <v>18380</v>
      </c>
      <c r="AP221" s="75">
        <v>22248</v>
      </c>
      <c r="AQ221" s="75">
        <v>19788000</v>
      </c>
      <c r="AR221" s="75">
        <v>23247</v>
      </c>
      <c r="AS221" s="75">
        <v>22798</v>
      </c>
      <c r="AT221" s="75">
        <v>23498</v>
      </c>
      <c r="AU221" s="75">
        <v>22748</v>
      </c>
      <c r="AV221" s="75">
        <v>23170</v>
      </c>
    </row>
    <row r="222" spans="1:48" ht="12.5" x14ac:dyDescent="0.25">
      <c r="A222" s="75" t="s">
        <v>520</v>
      </c>
      <c r="B222" s="75" t="s">
        <v>224</v>
      </c>
      <c r="C222" s="145">
        <f t="shared" si="9"/>
        <v>627.70000000000005</v>
      </c>
      <c r="D222" s="145">
        <f t="shared" si="10"/>
        <v>395.1</v>
      </c>
      <c r="E222" s="145">
        <v>1207000</v>
      </c>
      <c r="F222" s="145">
        <f t="shared" si="11"/>
        <v>3778454.3867499316</v>
      </c>
      <c r="G222" s="145">
        <v>0</v>
      </c>
      <c r="H222" s="145">
        <v>0</v>
      </c>
      <c r="I222" s="145">
        <v>642</v>
      </c>
      <c r="J222" s="145">
        <v>142</v>
      </c>
      <c r="K222" s="145">
        <v>273</v>
      </c>
      <c r="L222" s="145">
        <v>273</v>
      </c>
      <c r="M222" s="145">
        <v>1691</v>
      </c>
      <c r="N222" s="145">
        <v>206</v>
      </c>
      <c r="O222" s="145">
        <v>145</v>
      </c>
      <c r="P222" s="145">
        <v>145</v>
      </c>
      <c r="Q222" s="145">
        <v>526</v>
      </c>
      <c r="R222" s="145">
        <v>526</v>
      </c>
      <c r="S222" s="145">
        <v>4</v>
      </c>
      <c r="T222" s="145">
        <v>4</v>
      </c>
      <c r="U222" s="145">
        <v>510</v>
      </c>
      <c r="V222" s="145">
        <v>337</v>
      </c>
      <c r="W222" s="145">
        <v>2184</v>
      </c>
      <c r="X222" s="145">
        <v>2012</v>
      </c>
      <c r="Y222" s="145">
        <v>302</v>
      </c>
      <c r="Z222" s="145">
        <v>306</v>
      </c>
      <c r="AA222" s="145">
        <v>10350</v>
      </c>
      <c r="AB222" s="75">
        <v>20038</v>
      </c>
      <c r="AC222" s="75">
        <v>24294</v>
      </c>
      <c r="AF222"/>
      <c r="AG222"/>
      <c r="AH222" s="75">
        <v>10185</v>
      </c>
      <c r="AI222" s="75">
        <v>10177</v>
      </c>
      <c r="AJ222" s="75">
        <v>10199</v>
      </c>
      <c r="AK222" s="75">
        <v>10231</v>
      </c>
      <c r="AL222" s="75">
        <v>10138</v>
      </c>
      <c r="AM222" s="75">
        <v>10160</v>
      </c>
      <c r="AN222" s="75">
        <v>10232</v>
      </c>
      <c r="AO222" s="75">
        <v>12706</v>
      </c>
      <c r="AP222" s="75">
        <v>12656</v>
      </c>
      <c r="AQ222" s="75">
        <v>12791000</v>
      </c>
      <c r="AR222" s="75">
        <v>12614</v>
      </c>
      <c r="AS222" s="75">
        <v>12989</v>
      </c>
      <c r="AT222" s="75">
        <v>14613</v>
      </c>
      <c r="AU222" s="75">
        <v>20038</v>
      </c>
      <c r="AV222" s="75">
        <v>24294</v>
      </c>
    </row>
    <row r="223" spans="1:48" ht="12.5" x14ac:dyDescent="0.25">
      <c r="A223" s="75" t="s">
        <v>515</v>
      </c>
      <c r="B223" s="75" t="s">
        <v>196</v>
      </c>
      <c r="C223" s="145">
        <f t="shared" si="9"/>
        <v>6906.3</v>
      </c>
      <c r="D223" s="145">
        <f t="shared" si="10"/>
        <v>4988.8999999999996</v>
      </c>
      <c r="E223" s="145">
        <v>5354000</v>
      </c>
      <c r="F223" s="145">
        <f t="shared" si="11"/>
        <v>17949517.812646206</v>
      </c>
      <c r="G223" s="145">
        <v>866</v>
      </c>
      <c r="H223" s="145">
        <v>418</v>
      </c>
      <c r="I223" s="145">
        <v>21414</v>
      </c>
      <c r="J223" s="145">
        <v>20544</v>
      </c>
      <c r="K223" s="145">
        <v>30537</v>
      </c>
      <c r="L223" s="145">
        <v>19981</v>
      </c>
      <c r="M223" s="145">
        <v>5349</v>
      </c>
      <c r="N223" s="145">
        <v>2253</v>
      </c>
      <c r="O223" s="145">
        <v>330</v>
      </c>
      <c r="P223" s="145">
        <v>799</v>
      </c>
      <c r="Q223" s="145">
        <v>5593</v>
      </c>
      <c r="R223" s="145">
        <v>2511</v>
      </c>
      <c r="S223" s="145">
        <v>2508</v>
      </c>
      <c r="T223" s="145">
        <v>1062</v>
      </c>
      <c r="U223" s="145">
        <v>1101</v>
      </c>
      <c r="V223" s="145">
        <v>773</v>
      </c>
      <c r="W223" s="145">
        <v>769</v>
      </c>
      <c r="X223" s="145">
        <v>697</v>
      </c>
      <c r="Y223" s="145">
        <v>596</v>
      </c>
      <c r="Z223" s="145">
        <v>851</v>
      </c>
      <c r="AA223" s="145">
        <v>48943</v>
      </c>
      <c r="AB223" s="75">
        <v>147874</v>
      </c>
      <c r="AC223" s="75">
        <v>155270</v>
      </c>
      <c r="AF223"/>
      <c r="AG223"/>
      <c r="AH223" s="75">
        <v>47388</v>
      </c>
      <c r="AI223" s="75">
        <v>47493</v>
      </c>
      <c r="AJ223" s="75">
        <v>47532</v>
      </c>
      <c r="AK223" s="75">
        <v>47886</v>
      </c>
      <c r="AL223" s="75">
        <v>48214</v>
      </c>
      <c r="AM223" s="75">
        <v>48265</v>
      </c>
      <c r="AN223" s="75">
        <v>48707</v>
      </c>
      <c r="AO223" s="75">
        <v>108437</v>
      </c>
      <c r="AP223" s="75">
        <v>108844</v>
      </c>
      <c r="AQ223" s="75">
        <v>116353000</v>
      </c>
      <c r="AR223" s="75">
        <v>125415</v>
      </c>
      <c r="AS223" s="75">
        <v>123437</v>
      </c>
      <c r="AT223" s="75">
        <v>130380</v>
      </c>
      <c r="AU223" s="75">
        <v>147874</v>
      </c>
      <c r="AV223" s="75">
        <v>155270</v>
      </c>
    </row>
    <row r="224" spans="1:48" ht="12.5" x14ac:dyDescent="0.25">
      <c r="A224" s="75" t="s">
        <v>517</v>
      </c>
      <c r="B224" s="75" t="s">
        <v>310</v>
      </c>
      <c r="C224" s="145">
        <f t="shared" si="9"/>
        <v>8376.1</v>
      </c>
      <c r="D224" s="145">
        <f t="shared" si="10"/>
        <v>7864.7</v>
      </c>
      <c r="E224" s="145">
        <v>4301000</v>
      </c>
      <c r="F224" s="145">
        <f t="shared" si="11"/>
        <v>11976510.341623504</v>
      </c>
      <c r="G224" s="145">
        <v>2397</v>
      </c>
      <c r="H224" s="145">
        <v>2469</v>
      </c>
      <c r="I224" s="145">
        <v>13026</v>
      </c>
      <c r="J224" s="145">
        <v>12240</v>
      </c>
      <c r="K224" s="145">
        <v>14710</v>
      </c>
      <c r="L224" s="145">
        <v>13733</v>
      </c>
      <c r="M224" s="145">
        <v>4030</v>
      </c>
      <c r="N224" s="145">
        <v>3815</v>
      </c>
      <c r="O224" s="145">
        <v>8376</v>
      </c>
      <c r="P224" s="145">
        <v>8362</v>
      </c>
      <c r="Q224" s="145">
        <v>7452</v>
      </c>
      <c r="R224" s="145">
        <v>6900</v>
      </c>
      <c r="S224" s="145">
        <v>13936</v>
      </c>
      <c r="T224" s="145">
        <v>13075</v>
      </c>
      <c r="U224" s="145">
        <v>10435</v>
      </c>
      <c r="V224" s="145">
        <v>9263</v>
      </c>
      <c r="W224" s="145">
        <v>5273</v>
      </c>
      <c r="X224" s="145">
        <v>3966</v>
      </c>
      <c r="Y224" s="145">
        <v>4126</v>
      </c>
      <c r="Z224" s="145">
        <v>4824</v>
      </c>
      <c r="AA224" s="145">
        <v>32300</v>
      </c>
      <c r="AB224" s="75">
        <v>122547</v>
      </c>
      <c r="AC224" s="75">
        <v>120709</v>
      </c>
      <c r="AF224"/>
      <c r="AG224"/>
      <c r="AH224" s="75">
        <v>32286</v>
      </c>
      <c r="AI224" s="75">
        <v>32266</v>
      </c>
      <c r="AJ224" s="75">
        <v>32293</v>
      </c>
      <c r="AK224" s="75">
        <v>32161</v>
      </c>
      <c r="AL224" s="75">
        <v>32171</v>
      </c>
      <c r="AM224" s="75">
        <v>32204</v>
      </c>
      <c r="AN224" s="75">
        <v>32277</v>
      </c>
      <c r="AO224" s="75">
        <v>96860</v>
      </c>
      <c r="AP224" s="75">
        <v>97948</v>
      </c>
      <c r="AQ224" s="75">
        <v>104743000</v>
      </c>
      <c r="AR224" s="75">
        <v>107965</v>
      </c>
      <c r="AS224" s="75">
        <v>113908</v>
      </c>
      <c r="AT224" s="75">
        <v>118988</v>
      </c>
      <c r="AU224" s="75">
        <v>122547</v>
      </c>
      <c r="AV224" s="75">
        <v>120709</v>
      </c>
    </row>
    <row r="225" spans="1:48" ht="12.5" x14ac:dyDescent="0.25">
      <c r="A225" s="75" t="s">
        <v>522</v>
      </c>
      <c r="B225" s="75" t="s">
        <v>415</v>
      </c>
      <c r="C225" s="145">
        <f t="shared" si="9"/>
        <v>5171.3</v>
      </c>
      <c r="D225" s="145">
        <f t="shared" si="10"/>
        <v>5384.7</v>
      </c>
      <c r="E225" s="145">
        <v>8464000</v>
      </c>
      <c r="F225" s="145">
        <f t="shared" si="11"/>
        <v>16467515.772173915</v>
      </c>
      <c r="G225" s="145">
        <v>386</v>
      </c>
      <c r="H225" s="145">
        <v>1072</v>
      </c>
      <c r="I225" s="145">
        <v>8228</v>
      </c>
      <c r="J225" s="145">
        <v>10920</v>
      </c>
      <c r="K225" s="145">
        <v>7806</v>
      </c>
      <c r="L225" s="145">
        <v>8498</v>
      </c>
      <c r="M225" s="145">
        <v>4119</v>
      </c>
      <c r="N225" s="145">
        <v>4127</v>
      </c>
      <c r="O225" s="145">
        <v>7699</v>
      </c>
      <c r="P225" s="145">
        <v>7629</v>
      </c>
      <c r="Q225" s="145">
        <v>4790</v>
      </c>
      <c r="R225" s="145">
        <v>4602</v>
      </c>
      <c r="S225" s="145">
        <v>7438</v>
      </c>
      <c r="T225" s="145">
        <v>5737</v>
      </c>
      <c r="U225" s="145">
        <v>3231</v>
      </c>
      <c r="V225" s="145">
        <v>3219</v>
      </c>
      <c r="W225" s="145">
        <v>4647</v>
      </c>
      <c r="X225" s="145">
        <v>4148</v>
      </c>
      <c r="Y225" s="145">
        <v>3369</v>
      </c>
      <c r="Z225" s="145">
        <v>3895</v>
      </c>
      <c r="AA225" s="145">
        <v>45899</v>
      </c>
      <c r="AB225" s="75">
        <v>145336</v>
      </c>
      <c r="AC225" s="75">
        <v>149669</v>
      </c>
      <c r="AF225"/>
      <c r="AG225"/>
      <c r="AH225" s="75">
        <v>43354</v>
      </c>
      <c r="AI225" s="75">
        <v>43315</v>
      </c>
      <c r="AJ225" s="75">
        <v>43311</v>
      </c>
      <c r="AK225" s="75">
        <v>43421</v>
      </c>
      <c r="AL225" s="75">
        <v>43660</v>
      </c>
      <c r="AM225" s="75">
        <v>44280</v>
      </c>
      <c r="AN225" s="75">
        <v>45276</v>
      </c>
      <c r="AO225" s="75">
        <v>118747</v>
      </c>
      <c r="AP225" s="75">
        <v>126232</v>
      </c>
      <c r="AQ225" s="75">
        <v>132236000</v>
      </c>
      <c r="AR225" s="75">
        <v>138528</v>
      </c>
      <c r="AS225" s="75">
        <v>139918</v>
      </c>
      <c r="AT225" s="75">
        <v>141999</v>
      </c>
      <c r="AU225" s="75">
        <v>145336</v>
      </c>
      <c r="AV225" s="75">
        <v>149669</v>
      </c>
    </row>
    <row r="226" spans="1:48" ht="12.5" x14ac:dyDescent="0.25">
      <c r="A226" s="75" t="s">
        <v>521</v>
      </c>
      <c r="B226" s="75" t="s">
        <v>122</v>
      </c>
      <c r="C226" s="145">
        <f t="shared" si="9"/>
        <v>131</v>
      </c>
      <c r="D226" s="145">
        <f t="shared" si="10"/>
        <v>129.5</v>
      </c>
      <c r="E226" s="145">
        <v>1420000</v>
      </c>
      <c r="F226" s="145">
        <f t="shared" si="11"/>
        <v>4537492.3201511726</v>
      </c>
      <c r="G226" s="145">
        <v>731</v>
      </c>
      <c r="H226" s="145">
        <v>729</v>
      </c>
      <c r="I226" s="145">
        <v>20</v>
      </c>
      <c r="J226" s="145">
        <v>224</v>
      </c>
      <c r="K226" s="145">
        <v>278</v>
      </c>
      <c r="L226" s="145">
        <v>32</v>
      </c>
      <c r="M226" s="145">
        <v>0</v>
      </c>
      <c r="N226" s="145">
        <v>0</v>
      </c>
      <c r="O226" s="145">
        <v>0</v>
      </c>
      <c r="P226" s="145">
        <v>0</v>
      </c>
      <c r="Q226" s="145">
        <v>0</v>
      </c>
      <c r="R226" s="145">
        <v>0</v>
      </c>
      <c r="S226" s="145">
        <v>0</v>
      </c>
      <c r="T226" s="145">
        <v>0</v>
      </c>
      <c r="U226" s="145">
        <v>0</v>
      </c>
      <c r="V226" s="145">
        <v>0</v>
      </c>
      <c r="W226" s="145">
        <v>0</v>
      </c>
      <c r="X226" s="145">
        <v>0</v>
      </c>
      <c r="Y226" s="145">
        <v>281</v>
      </c>
      <c r="Z226" s="145">
        <v>310</v>
      </c>
      <c r="AA226" s="145">
        <v>12465</v>
      </c>
      <c r="AB226" s="75">
        <v>21134</v>
      </c>
      <c r="AC226" s="75">
        <v>20629</v>
      </c>
      <c r="AF226"/>
      <c r="AG226"/>
      <c r="AH226" s="75">
        <v>12548</v>
      </c>
      <c r="AI226" s="75">
        <v>12253</v>
      </c>
      <c r="AJ226" s="75">
        <v>12207</v>
      </c>
      <c r="AK226" s="75">
        <v>12200</v>
      </c>
      <c r="AL226" s="75">
        <v>12176</v>
      </c>
      <c r="AM226" s="75">
        <v>12201</v>
      </c>
      <c r="AN226" s="75">
        <v>12404</v>
      </c>
      <c r="AO226" s="75">
        <v>26450</v>
      </c>
      <c r="AP226" s="75">
        <v>20687</v>
      </c>
      <c r="AQ226" s="75">
        <v>20176000</v>
      </c>
      <c r="AR226" s="75">
        <v>20064</v>
      </c>
      <c r="AS226" s="75">
        <v>19794</v>
      </c>
      <c r="AT226" s="75">
        <v>19848</v>
      </c>
      <c r="AU226" s="75">
        <v>21134</v>
      </c>
      <c r="AV226" s="75">
        <v>20629</v>
      </c>
    </row>
    <row r="227" spans="1:48" ht="12.5" x14ac:dyDescent="0.25">
      <c r="A227" s="75" t="s">
        <v>517</v>
      </c>
      <c r="B227" s="75" t="s">
        <v>311</v>
      </c>
      <c r="C227" s="145">
        <f t="shared" si="9"/>
        <v>22059.5</v>
      </c>
      <c r="D227" s="145">
        <f t="shared" si="10"/>
        <v>22041.9</v>
      </c>
      <c r="E227" s="145">
        <v>10143000</v>
      </c>
      <c r="F227" s="145">
        <f t="shared" si="11"/>
        <v>21031040.750501513</v>
      </c>
      <c r="G227" s="145">
        <v>13316</v>
      </c>
      <c r="H227" s="145">
        <v>12863</v>
      </c>
      <c r="I227" s="145">
        <v>21146</v>
      </c>
      <c r="J227" s="145">
        <v>23035</v>
      </c>
      <c r="K227" s="145">
        <v>32780</v>
      </c>
      <c r="L227" s="145">
        <v>35249</v>
      </c>
      <c r="M227" s="145">
        <v>43292</v>
      </c>
      <c r="N227" s="145">
        <v>37075</v>
      </c>
      <c r="O227" s="145">
        <v>20416</v>
      </c>
      <c r="P227" s="145">
        <v>24027</v>
      </c>
      <c r="Q227" s="145">
        <v>16051</v>
      </c>
      <c r="R227" s="145">
        <v>13561</v>
      </c>
      <c r="S227" s="145">
        <v>36776</v>
      </c>
      <c r="T227" s="145">
        <v>35169</v>
      </c>
      <c r="U227" s="145">
        <v>15686</v>
      </c>
      <c r="V227" s="145">
        <v>22252</v>
      </c>
      <c r="W227" s="145">
        <v>8571</v>
      </c>
      <c r="X227" s="145">
        <v>5436</v>
      </c>
      <c r="Y227" s="145">
        <v>12561</v>
      </c>
      <c r="Z227" s="145">
        <v>11752</v>
      </c>
      <c r="AA227" s="145">
        <v>58120</v>
      </c>
      <c r="AB227" s="75">
        <v>149439</v>
      </c>
      <c r="AC227" s="75">
        <v>162165</v>
      </c>
      <c r="AF227"/>
      <c r="AG227"/>
      <c r="AH227" s="75">
        <v>52670</v>
      </c>
      <c r="AI227" s="75">
        <v>53644</v>
      </c>
      <c r="AJ227" s="75">
        <v>54321</v>
      </c>
      <c r="AK227" s="75">
        <v>55293</v>
      </c>
      <c r="AL227" s="75">
        <v>55674</v>
      </c>
      <c r="AM227" s="75">
        <v>56551</v>
      </c>
      <c r="AN227" s="75">
        <v>57672</v>
      </c>
      <c r="AO227" s="75">
        <v>148129</v>
      </c>
      <c r="AP227" s="75">
        <v>128096</v>
      </c>
      <c r="AQ227" s="75">
        <v>146091000</v>
      </c>
      <c r="AR227" s="75">
        <v>143453</v>
      </c>
      <c r="AS227" s="75">
        <v>143094</v>
      </c>
      <c r="AT227" s="75">
        <v>144212</v>
      </c>
      <c r="AU227" s="75">
        <v>149439</v>
      </c>
      <c r="AV227" s="75">
        <v>162165</v>
      </c>
    </row>
    <row r="228" spans="1:48" x14ac:dyDescent="0.25">
      <c r="A228" s="75" t="s">
        <v>514</v>
      </c>
      <c r="B228" s="75" t="s">
        <v>268</v>
      </c>
      <c r="C228" s="145">
        <f t="shared" si="9"/>
        <v>15358</v>
      </c>
      <c r="D228" s="145">
        <f t="shared" si="10"/>
        <v>14692.9</v>
      </c>
      <c r="E228" s="75">
        <v>19182000</v>
      </c>
      <c r="F228" s="145">
        <f t="shared" si="11"/>
        <v>34311415.371647187</v>
      </c>
      <c r="G228" s="145">
        <v>27653</v>
      </c>
      <c r="H228" s="145">
        <v>27466</v>
      </c>
      <c r="I228" s="145">
        <v>24805</v>
      </c>
      <c r="J228" s="145">
        <v>20322</v>
      </c>
      <c r="K228" s="145">
        <v>24548</v>
      </c>
      <c r="L228" s="145">
        <v>22710</v>
      </c>
      <c r="M228" s="145">
        <v>15037</v>
      </c>
      <c r="N228" s="145">
        <v>15774</v>
      </c>
      <c r="O228" s="145">
        <v>18317</v>
      </c>
      <c r="P228" s="145">
        <v>18498</v>
      </c>
      <c r="Q228" s="145">
        <v>15535</v>
      </c>
      <c r="R228" s="145">
        <v>11151</v>
      </c>
      <c r="S228" s="145">
        <v>9153</v>
      </c>
      <c r="T228" s="145">
        <v>7290</v>
      </c>
      <c r="U228" s="145">
        <v>4464</v>
      </c>
      <c r="V228" s="145">
        <v>3285</v>
      </c>
      <c r="W228" s="145">
        <v>6626</v>
      </c>
      <c r="X228" s="145">
        <v>5951</v>
      </c>
      <c r="Y228" s="145">
        <v>7442</v>
      </c>
      <c r="Z228" s="145">
        <v>14482</v>
      </c>
      <c r="AA228" s="145">
        <v>95921</v>
      </c>
      <c r="AB228" s="75">
        <v>269349</v>
      </c>
      <c r="AC228" s="75">
        <v>293510</v>
      </c>
      <c r="AH228" s="75">
        <v>89103</v>
      </c>
      <c r="AI228" s="75">
        <v>89507</v>
      </c>
      <c r="AJ228" s="75">
        <v>89895</v>
      </c>
      <c r="AK228" s="75">
        <v>91141</v>
      </c>
      <c r="AL228" s="75">
        <v>91793</v>
      </c>
      <c r="AM228" s="75">
        <v>92261</v>
      </c>
      <c r="AN228" s="75">
        <v>93992</v>
      </c>
      <c r="AO228" s="75">
        <v>232898</v>
      </c>
      <c r="AP228" s="75">
        <v>237151</v>
      </c>
      <c r="AQ228" s="75">
        <v>243656000</v>
      </c>
      <c r="AR228" s="75">
        <v>250423</v>
      </c>
      <c r="AS228" s="75">
        <v>256897</v>
      </c>
      <c r="AT228" s="75">
        <v>257886</v>
      </c>
      <c r="AU228" s="75">
        <v>269349</v>
      </c>
      <c r="AV228" s="75">
        <v>293510</v>
      </c>
    </row>
    <row r="229" spans="1:48" ht="12.5" x14ac:dyDescent="0.25">
      <c r="A229" s="75" t="s">
        <v>515</v>
      </c>
      <c r="B229" s="75" t="s">
        <v>197</v>
      </c>
      <c r="C229" s="145">
        <f t="shared" si="9"/>
        <v>4055.5</v>
      </c>
      <c r="D229" s="145">
        <f t="shared" si="10"/>
        <v>3128.4</v>
      </c>
      <c r="E229" s="145">
        <v>5082000</v>
      </c>
      <c r="F229" s="145">
        <f t="shared" si="11"/>
        <v>9148247.9783131462</v>
      </c>
      <c r="G229" s="145">
        <v>2403</v>
      </c>
      <c r="H229" s="145">
        <v>2402</v>
      </c>
      <c r="I229" s="145">
        <v>2981</v>
      </c>
      <c r="J229" s="145">
        <v>-1004</v>
      </c>
      <c r="K229" s="145">
        <v>2343</v>
      </c>
      <c r="L229" s="145">
        <v>42</v>
      </c>
      <c r="M229" s="145">
        <v>250</v>
      </c>
      <c r="N229" s="145">
        <v>327</v>
      </c>
      <c r="O229" s="145">
        <v>2987</v>
      </c>
      <c r="P229" s="145">
        <v>2987</v>
      </c>
      <c r="Q229" s="145">
        <v>5787</v>
      </c>
      <c r="R229" s="145">
        <v>4052</v>
      </c>
      <c r="S229" s="145">
        <v>9478</v>
      </c>
      <c r="T229" s="145">
        <v>8864</v>
      </c>
      <c r="U229" s="145">
        <v>2891</v>
      </c>
      <c r="V229" s="145">
        <v>2857</v>
      </c>
      <c r="W229" s="145">
        <v>3924</v>
      </c>
      <c r="X229" s="145">
        <v>3263</v>
      </c>
      <c r="Y229" s="145">
        <v>7511</v>
      </c>
      <c r="Z229" s="145">
        <v>7494</v>
      </c>
      <c r="AA229" s="145">
        <v>24953</v>
      </c>
      <c r="AB229" s="75">
        <v>52301</v>
      </c>
      <c r="AC229" s="75">
        <v>55139</v>
      </c>
      <c r="AF229"/>
      <c r="AG229"/>
      <c r="AH229" s="75">
        <v>24418</v>
      </c>
      <c r="AI229" s="75">
        <v>24322</v>
      </c>
      <c r="AJ229" s="75">
        <v>24200</v>
      </c>
      <c r="AK229" s="75">
        <v>24129</v>
      </c>
      <c r="AL229" s="75">
        <v>24365</v>
      </c>
      <c r="AM229" s="75">
        <v>24599</v>
      </c>
      <c r="AN229" s="75">
        <v>24904</v>
      </c>
      <c r="AO229" s="75">
        <v>24410</v>
      </c>
      <c r="AP229" s="75">
        <v>21496</v>
      </c>
      <c r="AQ229" s="75">
        <v>30458000</v>
      </c>
      <c r="AR229" s="75">
        <v>36736</v>
      </c>
      <c r="AS229" s="75">
        <v>42142</v>
      </c>
      <c r="AT229" s="75">
        <v>49378</v>
      </c>
      <c r="AU229" s="75">
        <v>52301</v>
      </c>
      <c r="AV229" s="75">
        <v>55139</v>
      </c>
    </row>
    <row r="230" spans="1:48" ht="12.5" x14ac:dyDescent="0.25">
      <c r="A230" s="75" t="s">
        <v>518</v>
      </c>
      <c r="B230" s="75" t="s">
        <v>154</v>
      </c>
      <c r="C230" s="145">
        <f t="shared" si="9"/>
        <v>5335.5</v>
      </c>
      <c r="D230" s="145">
        <f t="shared" si="10"/>
        <v>3608.6</v>
      </c>
      <c r="E230" s="145">
        <v>4735000</v>
      </c>
      <c r="F230" s="145">
        <f t="shared" si="11"/>
        <v>14184823.545218101</v>
      </c>
      <c r="G230" s="145">
        <v>7522</v>
      </c>
      <c r="H230" s="145">
        <v>6623</v>
      </c>
      <c r="I230" s="145">
        <v>2747</v>
      </c>
      <c r="J230" s="145">
        <v>3797</v>
      </c>
      <c r="K230" s="145">
        <v>7270</v>
      </c>
      <c r="L230" s="145">
        <v>4482</v>
      </c>
      <c r="M230" s="145">
        <v>7712</v>
      </c>
      <c r="N230" s="145">
        <v>4762</v>
      </c>
      <c r="O230" s="145">
        <v>400</v>
      </c>
      <c r="P230" s="145">
        <v>-2601</v>
      </c>
      <c r="Q230" s="145">
        <v>5304</v>
      </c>
      <c r="R230" s="145">
        <v>3397</v>
      </c>
      <c r="S230" s="145">
        <v>5204</v>
      </c>
      <c r="T230" s="145">
        <v>3127</v>
      </c>
      <c r="U230" s="145">
        <v>5670</v>
      </c>
      <c r="V230" s="145">
        <v>3132</v>
      </c>
      <c r="W230" s="145">
        <v>5365</v>
      </c>
      <c r="X230" s="145">
        <v>4948</v>
      </c>
      <c r="Y230" s="145">
        <v>6161</v>
      </c>
      <c r="Z230" s="145">
        <v>4419</v>
      </c>
      <c r="AA230" s="145">
        <v>38616</v>
      </c>
      <c r="AB230" s="75">
        <v>116558</v>
      </c>
      <c r="AC230" s="75">
        <v>112587</v>
      </c>
      <c r="AF230"/>
      <c r="AG230"/>
      <c r="AH230" s="75">
        <v>36905</v>
      </c>
      <c r="AI230" s="75">
        <v>37160</v>
      </c>
      <c r="AJ230" s="75">
        <v>37512</v>
      </c>
      <c r="AK230" s="75">
        <v>37694</v>
      </c>
      <c r="AL230" s="75">
        <v>37911</v>
      </c>
      <c r="AM230" s="75">
        <v>38142</v>
      </c>
      <c r="AN230" s="75">
        <v>38500</v>
      </c>
      <c r="AO230" s="75">
        <v>94342</v>
      </c>
      <c r="AP230" s="75">
        <v>94429</v>
      </c>
      <c r="AQ230" s="75">
        <v>102457000</v>
      </c>
      <c r="AR230" s="75">
        <v>111668</v>
      </c>
      <c r="AS230" s="75">
        <v>109434</v>
      </c>
      <c r="AT230" s="75">
        <v>113354</v>
      </c>
      <c r="AU230" s="75">
        <v>116558</v>
      </c>
      <c r="AV230" s="75">
        <v>112587</v>
      </c>
    </row>
    <row r="231" spans="1:48" ht="12.5" x14ac:dyDescent="0.25">
      <c r="A231" s="75" t="s">
        <v>524</v>
      </c>
      <c r="B231" s="75" t="s">
        <v>334</v>
      </c>
      <c r="C231" s="145">
        <f t="shared" si="9"/>
        <v>2480.6</v>
      </c>
      <c r="D231" s="145">
        <f t="shared" si="10"/>
        <v>1726.7</v>
      </c>
      <c r="E231" s="145">
        <v>2496000</v>
      </c>
      <c r="F231" s="145">
        <f t="shared" si="11"/>
        <v>8524951.7625461295</v>
      </c>
      <c r="G231" s="145">
        <v>1266</v>
      </c>
      <c r="H231" s="145">
        <v>654</v>
      </c>
      <c r="I231" s="145">
        <v>3465</v>
      </c>
      <c r="J231" s="145">
        <v>2479</v>
      </c>
      <c r="K231" s="145">
        <v>5628</v>
      </c>
      <c r="L231" s="145">
        <v>3515</v>
      </c>
      <c r="M231" s="145">
        <v>2886</v>
      </c>
      <c r="N231" s="145">
        <v>1178</v>
      </c>
      <c r="O231" s="145">
        <v>1291</v>
      </c>
      <c r="P231" s="145">
        <v>1094</v>
      </c>
      <c r="Q231" s="145">
        <v>1704</v>
      </c>
      <c r="R231" s="145">
        <v>1241</v>
      </c>
      <c r="S231" s="145">
        <v>2488</v>
      </c>
      <c r="T231" s="145">
        <v>1997</v>
      </c>
      <c r="U231" s="145">
        <v>2778</v>
      </c>
      <c r="V231" s="145">
        <v>2413</v>
      </c>
      <c r="W231" s="145">
        <v>2176</v>
      </c>
      <c r="X231" s="145">
        <v>1685</v>
      </c>
      <c r="Y231" s="145">
        <v>1124</v>
      </c>
      <c r="Z231" s="145">
        <v>1011</v>
      </c>
      <c r="AA231" s="145">
        <v>23334</v>
      </c>
      <c r="AB231" s="75">
        <v>71570</v>
      </c>
      <c r="AC231" s="75">
        <v>76611</v>
      </c>
      <c r="AF231"/>
      <c r="AG231"/>
      <c r="AH231" s="75">
        <v>22362</v>
      </c>
      <c r="AI231" s="75">
        <v>22565</v>
      </c>
      <c r="AJ231" s="75">
        <v>22670</v>
      </c>
      <c r="AK231" s="75">
        <v>22724</v>
      </c>
      <c r="AL231" s="75">
        <v>22896</v>
      </c>
      <c r="AM231" s="75">
        <v>22923</v>
      </c>
      <c r="AN231" s="75">
        <v>23255</v>
      </c>
      <c r="AO231" s="75">
        <v>61843</v>
      </c>
      <c r="AP231" s="75">
        <v>59652</v>
      </c>
      <c r="AQ231" s="75">
        <v>60253000</v>
      </c>
      <c r="AR231" s="75">
        <v>61609</v>
      </c>
      <c r="AS231" s="75">
        <v>61021</v>
      </c>
      <c r="AT231" s="75">
        <v>67282</v>
      </c>
      <c r="AU231" s="75">
        <v>71570</v>
      </c>
      <c r="AV231" s="75">
        <v>76611</v>
      </c>
    </row>
    <row r="232" spans="1:48" ht="12.5" x14ac:dyDescent="0.25">
      <c r="A232" s="75" t="s">
        <v>515</v>
      </c>
      <c r="B232" s="75" t="s">
        <v>198</v>
      </c>
      <c r="C232" s="145">
        <f t="shared" si="9"/>
        <v>1730.9</v>
      </c>
      <c r="D232" s="145">
        <f t="shared" si="10"/>
        <v>2022</v>
      </c>
      <c r="E232" s="145">
        <v>3280000</v>
      </c>
      <c r="F232" s="145">
        <f t="shared" si="11"/>
        <v>11662630.86303916</v>
      </c>
      <c r="G232" s="145">
        <v>322</v>
      </c>
      <c r="H232" s="145">
        <v>521</v>
      </c>
      <c r="I232" s="145">
        <v>1677</v>
      </c>
      <c r="J232" s="145">
        <v>3159</v>
      </c>
      <c r="K232" s="145">
        <v>3061</v>
      </c>
      <c r="L232" s="145">
        <v>3382</v>
      </c>
      <c r="M232" s="145">
        <v>2235</v>
      </c>
      <c r="N232" s="145">
        <v>2772</v>
      </c>
      <c r="O232" s="145">
        <v>1324</v>
      </c>
      <c r="P232" s="145">
        <v>1365</v>
      </c>
      <c r="Q232" s="145">
        <v>3508</v>
      </c>
      <c r="R232" s="145">
        <v>2680</v>
      </c>
      <c r="S232" s="145">
        <v>1258</v>
      </c>
      <c r="T232" s="145">
        <v>1456</v>
      </c>
      <c r="U232" s="145">
        <v>319</v>
      </c>
      <c r="V232" s="145">
        <v>171</v>
      </c>
      <c r="W232" s="145">
        <v>3049</v>
      </c>
      <c r="X232" s="145">
        <v>3979</v>
      </c>
      <c r="Y232" s="145">
        <v>556</v>
      </c>
      <c r="Z232" s="145">
        <v>735</v>
      </c>
      <c r="AA232" s="145">
        <v>31498</v>
      </c>
      <c r="AB232" s="75">
        <v>57449</v>
      </c>
      <c r="AC232" s="75">
        <v>58106</v>
      </c>
      <c r="AF232"/>
      <c r="AG232"/>
      <c r="AH232" s="75">
        <v>31405</v>
      </c>
      <c r="AI232" s="75">
        <v>31323</v>
      </c>
      <c r="AJ232" s="75">
        <v>31304</v>
      </c>
      <c r="AK232" s="75">
        <v>31408</v>
      </c>
      <c r="AL232" s="75">
        <v>31417</v>
      </c>
      <c r="AM232" s="75">
        <v>31360</v>
      </c>
      <c r="AN232" s="75">
        <v>31461</v>
      </c>
      <c r="AO232" s="75">
        <v>39069</v>
      </c>
      <c r="AP232" s="75">
        <v>42865</v>
      </c>
      <c r="AQ232" s="75">
        <v>47721000</v>
      </c>
      <c r="AR232" s="75">
        <v>53974</v>
      </c>
      <c r="AS232" s="75">
        <v>56455</v>
      </c>
      <c r="AT232" s="75">
        <v>59178</v>
      </c>
      <c r="AU232" s="75">
        <v>57449</v>
      </c>
      <c r="AV232" s="75">
        <v>58106</v>
      </c>
    </row>
    <row r="233" spans="1:48" ht="12.5" x14ac:dyDescent="0.25">
      <c r="A233" s="75" t="s">
        <v>520</v>
      </c>
      <c r="B233" s="75" t="s">
        <v>225</v>
      </c>
      <c r="C233" s="145">
        <f t="shared" si="9"/>
        <v>2842.5</v>
      </c>
      <c r="D233" s="145">
        <f t="shared" si="10"/>
        <v>2148.6999999999998</v>
      </c>
      <c r="E233" s="145">
        <v>1808000</v>
      </c>
      <c r="F233" s="145">
        <f t="shared" si="11"/>
        <v>2102323.0953048589</v>
      </c>
      <c r="G233" s="145">
        <v>0</v>
      </c>
      <c r="H233" s="145">
        <v>7</v>
      </c>
      <c r="I233" s="145">
        <v>5096</v>
      </c>
      <c r="J233" s="145">
        <v>4013</v>
      </c>
      <c r="K233" s="145">
        <v>6923</v>
      </c>
      <c r="L233" s="145">
        <v>3632</v>
      </c>
      <c r="M233" s="145">
        <v>4819</v>
      </c>
      <c r="N233" s="145">
        <v>4103</v>
      </c>
      <c r="O233" s="145">
        <v>6941</v>
      </c>
      <c r="P233" s="145">
        <v>5982</v>
      </c>
      <c r="Q233" s="145">
        <v>2728</v>
      </c>
      <c r="R233" s="145">
        <v>2193</v>
      </c>
      <c r="S233" s="145">
        <v>0</v>
      </c>
      <c r="T233" s="145">
        <v>0</v>
      </c>
      <c r="U233" s="145">
        <v>0</v>
      </c>
      <c r="V233" s="145">
        <v>696</v>
      </c>
      <c r="W233" s="145">
        <v>1513</v>
      </c>
      <c r="X233" s="145">
        <v>412</v>
      </c>
      <c r="Y233" s="145">
        <v>405</v>
      </c>
      <c r="Z233" s="145">
        <v>449</v>
      </c>
      <c r="AA233" s="145">
        <v>5781</v>
      </c>
      <c r="AB233" s="75">
        <v>8287</v>
      </c>
      <c r="AC233" s="214">
        <v>35527</v>
      </c>
      <c r="AF233"/>
      <c r="AG233"/>
      <c r="AH233" s="75">
        <v>5101</v>
      </c>
      <c r="AI233" s="75">
        <v>5181</v>
      </c>
      <c r="AJ233" s="75">
        <v>5258</v>
      </c>
      <c r="AK233" s="75">
        <v>5441</v>
      </c>
      <c r="AL233" s="75">
        <v>5556</v>
      </c>
      <c r="AM233" s="75">
        <v>5653</v>
      </c>
      <c r="AN233" s="75">
        <v>5747</v>
      </c>
      <c r="AO233" s="75">
        <v>6765</v>
      </c>
      <c r="AP233" s="75">
        <v>4794</v>
      </c>
      <c r="AQ233" s="75">
        <v>19146000</v>
      </c>
      <c r="AR233" s="75">
        <v>21575</v>
      </c>
      <c r="AS233" s="75">
        <v>23729</v>
      </c>
      <c r="AT233" s="75">
        <v>8287</v>
      </c>
      <c r="AU233" s="75">
        <v>8287</v>
      </c>
      <c r="AV233" s="75">
        <v>35527</v>
      </c>
    </row>
    <row r="234" spans="1:48" ht="12.5" x14ac:dyDescent="0.25">
      <c r="A234" s="75" t="s">
        <v>513</v>
      </c>
      <c r="B234" s="75" t="s">
        <v>382</v>
      </c>
      <c r="C234" s="145">
        <f t="shared" si="9"/>
        <v>3006.6</v>
      </c>
      <c r="D234" s="145">
        <f t="shared" si="10"/>
        <v>3110.7</v>
      </c>
      <c r="E234" s="145">
        <v>2057000</v>
      </c>
      <c r="F234" s="145">
        <f t="shared" si="11"/>
        <v>4936163.8853673078</v>
      </c>
      <c r="G234" s="145">
        <v>1212</v>
      </c>
      <c r="H234" s="145">
        <v>1388</v>
      </c>
      <c r="I234" s="145">
        <v>3794</v>
      </c>
      <c r="J234" s="145">
        <v>7961</v>
      </c>
      <c r="K234" s="145">
        <v>5849</v>
      </c>
      <c r="L234" s="145">
        <v>6189</v>
      </c>
      <c r="M234" s="145">
        <v>3761</v>
      </c>
      <c r="N234" s="145">
        <v>2693</v>
      </c>
      <c r="O234" s="145">
        <v>1288</v>
      </c>
      <c r="P234" s="145">
        <v>1623</v>
      </c>
      <c r="Q234" s="145">
        <v>2426</v>
      </c>
      <c r="R234" s="145">
        <v>2396</v>
      </c>
      <c r="S234" s="145">
        <v>3038</v>
      </c>
      <c r="T234" s="145">
        <v>2211</v>
      </c>
      <c r="U234" s="145">
        <v>3100</v>
      </c>
      <c r="V234" s="145">
        <v>2696</v>
      </c>
      <c r="W234" s="145">
        <v>3526</v>
      </c>
      <c r="X234" s="145">
        <v>2133</v>
      </c>
      <c r="Y234" s="145">
        <v>2072</v>
      </c>
      <c r="Z234" s="145">
        <v>1817</v>
      </c>
      <c r="AA234" s="145">
        <v>13653</v>
      </c>
      <c r="AB234" s="75">
        <v>31067</v>
      </c>
      <c r="AC234" s="75">
        <v>34043</v>
      </c>
      <c r="AF234"/>
      <c r="AG234"/>
      <c r="AH234" s="75">
        <v>12908</v>
      </c>
      <c r="AI234" s="75">
        <v>13040</v>
      </c>
      <c r="AJ234" s="75">
        <v>13060</v>
      </c>
      <c r="AK234" s="75">
        <v>13110</v>
      </c>
      <c r="AL234" s="75">
        <v>13127</v>
      </c>
      <c r="AM234" s="75">
        <v>13273</v>
      </c>
      <c r="AN234" s="75">
        <v>13542</v>
      </c>
      <c r="AO234" s="75">
        <v>22166</v>
      </c>
      <c r="AP234" s="75">
        <v>23472</v>
      </c>
      <c r="AQ234" s="75">
        <v>23883000</v>
      </c>
      <c r="AR234" s="75">
        <v>23791</v>
      </c>
      <c r="AS234" s="75">
        <v>24409</v>
      </c>
      <c r="AT234" s="75">
        <v>26721</v>
      </c>
      <c r="AU234" s="75">
        <v>31067</v>
      </c>
      <c r="AV234" s="75">
        <v>34043</v>
      </c>
    </row>
    <row r="235" spans="1:48" ht="12.5" x14ac:dyDescent="0.25">
      <c r="A235" s="75" t="s">
        <v>515</v>
      </c>
      <c r="B235" s="75" t="s">
        <v>199</v>
      </c>
      <c r="C235" s="145">
        <f t="shared" si="9"/>
        <v>1056.5</v>
      </c>
      <c r="D235" s="145">
        <f t="shared" si="10"/>
        <v>1227.4000000000001</v>
      </c>
      <c r="E235" s="145">
        <v>5673000</v>
      </c>
      <c r="F235" s="145">
        <f t="shared" si="11"/>
        <v>16151033.027771927</v>
      </c>
      <c r="G235" s="145">
        <v>129</v>
      </c>
      <c r="H235" s="145">
        <v>33</v>
      </c>
      <c r="I235" s="145">
        <v>1216</v>
      </c>
      <c r="J235" s="145">
        <v>660</v>
      </c>
      <c r="K235" s="145">
        <v>1531</v>
      </c>
      <c r="L235" s="145">
        <v>1848</v>
      </c>
      <c r="M235" s="145">
        <v>862</v>
      </c>
      <c r="N235" s="145">
        <v>766</v>
      </c>
      <c r="O235" s="145">
        <v>1153</v>
      </c>
      <c r="P235" s="145">
        <v>599</v>
      </c>
      <c r="Q235" s="145">
        <v>13</v>
      </c>
      <c r="R235" s="145">
        <v>41</v>
      </c>
      <c r="S235" s="145">
        <v>1722</v>
      </c>
      <c r="T235" s="145">
        <v>1204</v>
      </c>
      <c r="U235" s="145">
        <v>169</v>
      </c>
      <c r="V235" s="145">
        <v>306</v>
      </c>
      <c r="W235" s="145">
        <v>0</v>
      </c>
      <c r="X235" s="145">
        <v>151</v>
      </c>
      <c r="Y235" s="145">
        <v>3770</v>
      </c>
      <c r="Z235" s="145">
        <v>6666</v>
      </c>
      <c r="AA235" s="145">
        <v>43785</v>
      </c>
      <c r="AB235" s="75">
        <v>117352</v>
      </c>
      <c r="AC235" s="75">
        <v>117242</v>
      </c>
      <c r="AF235"/>
      <c r="AG235"/>
      <c r="AH235" s="75">
        <v>43650</v>
      </c>
      <c r="AI235" s="75">
        <v>43495</v>
      </c>
      <c r="AJ235" s="75">
        <v>43686</v>
      </c>
      <c r="AK235" s="75">
        <v>43759</v>
      </c>
      <c r="AL235" s="75">
        <v>43525</v>
      </c>
      <c r="AM235" s="75">
        <v>43429</v>
      </c>
      <c r="AN235" s="75">
        <v>43570</v>
      </c>
      <c r="AO235" s="75">
        <v>105461</v>
      </c>
      <c r="AP235" s="75">
        <v>108779</v>
      </c>
      <c r="AQ235" s="75">
        <v>107324000</v>
      </c>
      <c r="AR235" s="75">
        <v>108564</v>
      </c>
      <c r="AS235" s="75">
        <v>112338</v>
      </c>
      <c r="AT235" s="75">
        <v>114812</v>
      </c>
      <c r="AU235" s="75">
        <v>117352</v>
      </c>
      <c r="AV235" s="75">
        <v>117242</v>
      </c>
    </row>
    <row r="236" spans="1:48" ht="12.5" x14ac:dyDescent="0.25">
      <c r="A236" s="75" t="s">
        <v>520</v>
      </c>
      <c r="B236" s="75" t="s">
        <v>226</v>
      </c>
      <c r="C236" s="145">
        <f t="shared" si="9"/>
        <v>1006.8</v>
      </c>
      <c r="D236" s="145">
        <f t="shared" si="10"/>
        <v>728.9</v>
      </c>
      <c r="E236" s="145">
        <v>2519000</v>
      </c>
      <c r="F236" s="145">
        <f t="shared" si="11"/>
        <v>7535338.8567251097</v>
      </c>
      <c r="G236" s="145">
        <v>989</v>
      </c>
      <c r="H236" s="145">
        <v>900</v>
      </c>
      <c r="I236" s="145">
        <v>1453</v>
      </c>
      <c r="J236" s="145">
        <v>1232</v>
      </c>
      <c r="K236" s="145">
        <v>1235</v>
      </c>
      <c r="L236" s="145">
        <v>831</v>
      </c>
      <c r="M236" s="145">
        <v>3599</v>
      </c>
      <c r="N236" s="145">
        <v>2606</v>
      </c>
      <c r="O236" s="145">
        <v>1384</v>
      </c>
      <c r="P236" s="145">
        <v>1073</v>
      </c>
      <c r="Q236" s="145">
        <v>513</v>
      </c>
      <c r="R236" s="145">
        <v>306</v>
      </c>
      <c r="S236" s="145">
        <v>473</v>
      </c>
      <c r="T236" s="145">
        <v>376</v>
      </c>
      <c r="U236" s="145">
        <v>362</v>
      </c>
      <c r="V236" s="145">
        <v>30</v>
      </c>
      <c r="W236" s="145">
        <v>57</v>
      </c>
      <c r="X236" s="145">
        <v>-119</v>
      </c>
      <c r="Y236" s="145">
        <v>3</v>
      </c>
      <c r="Z236" s="145">
        <v>54</v>
      </c>
      <c r="AA236" s="145">
        <v>20399</v>
      </c>
      <c r="AB236" s="75">
        <v>60238</v>
      </c>
      <c r="AC236" s="75">
        <v>62849</v>
      </c>
      <c r="AF236"/>
      <c r="AG236"/>
      <c r="AH236" s="75">
        <v>19590</v>
      </c>
      <c r="AI236" s="75">
        <v>19808</v>
      </c>
      <c r="AJ236" s="75">
        <v>20012</v>
      </c>
      <c r="AK236" s="75">
        <v>20115</v>
      </c>
      <c r="AL236" s="75">
        <v>20203</v>
      </c>
      <c r="AM236" s="75">
        <v>20262</v>
      </c>
      <c r="AN236" s="75">
        <v>20329</v>
      </c>
      <c r="AO236" s="75">
        <v>47257</v>
      </c>
      <c r="AP236" s="75">
        <v>47315</v>
      </c>
      <c r="AQ236" s="75">
        <v>49506000</v>
      </c>
      <c r="AR236" s="75">
        <v>52088</v>
      </c>
      <c r="AS236" s="75">
        <v>58021</v>
      </c>
      <c r="AT236" s="75">
        <v>58522</v>
      </c>
      <c r="AU236" s="75">
        <v>60238</v>
      </c>
      <c r="AV236" s="75">
        <v>62849</v>
      </c>
    </row>
    <row r="237" spans="1:48" ht="12.5" x14ac:dyDescent="0.25">
      <c r="A237" s="75" t="s">
        <v>517</v>
      </c>
      <c r="B237" s="75" t="s">
        <v>312</v>
      </c>
      <c r="C237" s="145">
        <f t="shared" si="9"/>
        <v>6090.8</v>
      </c>
      <c r="D237" s="145">
        <f t="shared" si="10"/>
        <v>5912.4</v>
      </c>
      <c r="E237" s="145">
        <v>6556000</v>
      </c>
      <c r="F237" s="145">
        <f t="shared" si="11"/>
        <v>17518119.477151137</v>
      </c>
      <c r="G237" s="145">
        <v>1691</v>
      </c>
      <c r="H237" s="145">
        <v>1396</v>
      </c>
      <c r="I237" s="145">
        <v>9378</v>
      </c>
      <c r="J237" s="145">
        <v>8984</v>
      </c>
      <c r="K237" s="145">
        <v>5866</v>
      </c>
      <c r="L237" s="145">
        <v>6491</v>
      </c>
      <c r="M237" s="145">
        <v>7108</v>
      </c>
      <c r="N237" s="145">
        <v>5388</v>
      </c>
      <c r="O237" s="145">
        <v>5016</v>
      </c>
      <c r="P237" s="145">
        <v>4783</v>
      </c>
      <c r="Q237" s="145">
        <v>3842</v>
      </c>
      <c r="R237" s="145">
        <v>3954</v>
      </c>
      <c r="S237" s="145">
        <v>3522</v>
      </c>
      <c r="T237" s="145">
        <v>3305</v>
      </c>
      <c r="U237" s="145">
        <v>18068</v>
      </c>
      <c r="V237" s="145">
        <v>18491</v>
      </c>
      <c r="W237" s="145">
        <v>4712</v>
      </c>
      <c r="X237" s="145">
        <v>4251</v>
      </c>
      <c r="Y237" s="145">
        <v>1705</v>
      </c>
      <c r="Z237" s="145">
        <v>2081</v>
      </c>
      <c r="AA237" s="145">
        <v>48011</v>
      </c>
      <c r="AB237" s="75">
        <v>109356</v>
      </c>
      <c r="AC237" s="75">
        <v>107452</v>
      </c>
      <c r="AF237"/>
      <c r="AG237"/>
      <c r="AH237" s="75">
        <v>45411</v>
      </c>
      <c r="AI237" s="75">
        <v>45797</v>
      </c>
      <c r="AJ237" s="75">
        <v>46255</v>
      </c>
      <c r="AK237" s="75">
        <v>46169</v>
      </c>
      <c r="AL237" s="75">
        <v>46671</v>
      </c>
      <c r="AM237" s="75">
        <v>47105</v>
      </c>
      <c r="AN237" s="75">
        <v>47477</v>
      </c>
      <c r="AO237" s="75">
        <v>96775</v>
      </c>
      <c r="AP237" s="75">
        <v>92960</v>
      </c>
      <c r="AQ237" s="75">
        <v>90516000</v>
      </c>
      <c r="AR237" s="75">
        <v>89947</v>
      </c>
      <c r="AS237" s="75">
        <v>92409</v>
      </c>
      <c r="AT237" s="75">
        <v>93817</v>
      </c>
      <c r="AU237" s="75">
        <v>109356</v>
      </c>
      <c r="AV237" s="75">
        <v>107452</v>
      </c>
    </row>
    <row r="238" spans="1:48" ht="12.5" x14ac:dyDescent="0.25">
      <c r="A238" s="75" t="s">
        <v>518</v>
      </c>
      <c r="B238" s="75" t="s">
        <v>155</v>
      </c>
      <c r="C238" s="145">
        <f t="shared" si="9"/>
        <v>5591.5</v>
      </c>
      <c r="D238" s="145">
        <f t="shared" si="10"/>
        <v>6719.7</v>
      </c>
      <c r="E238" s="145">
        <v>6396000</v>
      </c>
      <c r="F238" s="145">
        <f t="shared" si="11"/>
        <v>14219409.791081067</v>
      </c>
      <c r="G238" s="145">
        <v>717</v>
      </c>
      <c r="H238" s="145">
        <v>419</v>
      </c>
      <c r="I238" s="145">
        <v>8412</v>
      </c>
      <c r="J238" s="145">
        <v>8337</v>
      </c>
      <c r="K238" s="145">
        <v>5969</v>
      </c>
      <c r="L238" s="145">
        <v>5378</v>
      </c>
      <c r="M238" s="145">
        <v>4051</v>
      </c>
      <c r="N238" s="145">
        <v>2732</v>
      </c>
      <c r="O238" s="145">
        <v>8639</v>
      </c>
      <c r="P238" s="145">
        <v>14856</v>
      </c>
      <c r="Q238" s="145">
        <v>3513</v>
      </c>
      <c r="R238" s="145">
        <v>7533</v>
      </c>
      <c r="S238" s="145">
        <v>7705</v>
      </c>
      <c r="T238" s="145">
        <v>7861</v>
      </c>
      <c r="U238" s="145">
        <v>5404</v>
      </c>
      <c r="V238" s="145">
        <v>10905</v>
      </c>
      <c r="W238" s="145">
        <v>10243</v>
      </c>
      <c r="X238" s="145">
        <v>8695</v>
      </c>
      <c r="Y238" s="145">
        <v>1262</v>
      </c>
      <c r="Z238" s="145">
        <v>481</v>
      </c>
      <c r="AA238" s="145">
        <v>38830</v>
      </c>
      <c r="AB238" s="75">
        <v>107382</v>
      </c>
      <c r="AC238" s="75">
        <v>111698</v>
      </c>
      <c r="AF238"/>
      <c r="AG238"/>
      <c r="AH238" s="75">
        <v>37979</v>
      </c>
      <c r="AI238" s="75">
        <v>38102</v>
      </c>
      <c r="AJ238" s="75">
        <v>38296</v>
      </c>
      <c r="AK238" s="75">
        <v>38181</v>
      </c>
      <c r="AL238" s="75">
        <v>38204</v>
      </c>
      <c r="AM238" s="75">
        <v>38235</v>
      </c>
      <c r="AN238" s="75">
        <v>38493</v>
      </c>
      <c r="AO238" s="75">
        <v>96930</v>
      </c>
      <c r="AP238" s="75">
        <v>96002</v>
      </c>
      <c r="AQ238" s="75">
        <v>96506000</v>
      </c>
      <c r="AR238" s="75">
        <v>97198</v>
      </c>
      <c r="AS238" s="75">
        <v>98664</v>
      </c>
      <c r="AT238" s="75">
        <v>99818</v>
      </c>
      <c r="AU238" s="75">
        <v>107382</v>
      </c>
      <c r="AV238" s="75">
        <v>111698</v>
      </c>
    </row>
    <row r="239" spans="1:48" ht="12.5" x14ac:dyDescent="0.25">
      <c r="A239" s="75" t="s">
        <v>517</v>
      </c>
      <c r="B239" s="75" t="s">
        <v>726</v>
      </c>
      <c r="C239" s="145">
        <f t="shared" si="9"/>
        <v>25320.3</v>
      </c>
      <c r="D239" s="145">
        <f t="shared" si="10"/>
        <v>26321.9</v>
      </c>
      <c r="E239" s="145">
        <v>13022000</v>
      </c>
      <c r="F239" s="145">
        <f t="shared" si="11"/>
        <v>21180914.48257437</v>
      </c>
      <c r="G239" s="145">
        <v>26110</v>
      </c>
      <c r="H239" s="145">
        <v>26311</v>
      </c>
      <c r="I239" s="145">
        <v>26970</v>
      </c>
      <c r="J239" s="145">
        <v>28087</v>
      </c>
      <c r="K239" s="145">
        <v>28091</v>
      </c>
      <c r="L239" s="145">
        <v>28761</v>
      </c>
      <c r="M239" s="145">
        <v>35908</v>
      </c>
      <c r="N239" s="145">
        <v>34422</v>
      </c>
      <c r="O239" s="145">
        <v>23014</v>
      </c>
      <c r="P239" s="145">
        <v>25313</v>
      </c>
      <c r="Q239" s="145">
        <v>19942</v>
      </c>
      <c r="R239" s="145">
        <v>13689</v>
      </c>
      <c r="S239" s="145">
        <v>39657</v>
      </c>
      <c r="T239" s="145">
        <v>39869</v>
      </c>
      <c r="U239" s="145">
        <v>27970</v>
      </c>
      <c r="V239" s="145">
        <v>27622</v>
      </c>
      <c r="W239" s="145">
        <v>13638</v>
      </c>
      <c r="X239" s="145">
        <v>30698</v>
      </c>
      <c r="Y239" s="145">
        <v>11903</v>
      </c>
      <c r="Z239" s="145">
        <v>8447</v>
      </c>
      <c r="AA239" s="145">
        <v>60710</v>
      </c>
      <c r="AB239" s="75">
        <v>184487</v>
      </c>
      <c r="AC239" s="75">
        <v>211099</v>
      </c>
      <c r="AF239"/>
      <c r="AG239"/>
      <c r="AH239" s="75">
        <v>51009</v>
      </c>
      <c r="AI239" s="75">
        <v>52197</v>
      </c>
      <c r="AJ239" s="75">
        <v>53486</v>
      </c>
      <c r="AK239" s="75">
        <v>54271</v>
      </c>
      <c r="AL239" s="75">
        <v>55220</v>
      </c>
      <c r="AM239" s="75">
        <v>56954</v>
      </c>
      <c r="AN239" s="75">
        <v>57997</v>
      </c>
      <c r="AO239" s="75">
        <v>133750</v>
      </c>
      <c r="AP239" s="75">
        <v>144682</v>
      </c>
      <c r="AQ239" s="75">
        <v>147631000</v>
      </c>
      <c r="AR239" s="75">
        <v>148964</v>
      </c>
      <c r="AS239" s="75">
        <v>151526</v>
      </c>
      <c r="AT239" s="75">
        <v>157185</v>
      </c>
      <c r="AU239" s="75">
        <v>184487</v>
      </c>
      <c r="AV239" s="75">
        <v>211099</v>
      </c>
    </row>
    <row r="240" spans="1:48" ht="12.5" x14ac:dyDescent="0.25">
      <c r="A240" s="75" t="s">
        <v>522</v>
      </c>
      <c r="B240" s="75" t="s">
        <v>416</v>
      </c>
      <c r="C240" s="145">
        <f t="shared" si="9"/>
        <v>522.29999999999995</v>
      </c>
      <c r="D240" s="145">
        <f t="shared" si="10"/>
        <v>414.9</v>
      </c>
      <c r="E240" s="145">
        <v>5092000</v>
      </c>
      <c r="F240" s="145">
        <f t="shared" si="11"/>
        <v>7646907.3917669384</v>
      </c>
      <c r="G240" s="145">
        <v>11</v>
      </c>
      <c r="H240" s="145">
        <v>112</v>
      </c>
      <c r="I240" s="145">
        <v>198</v>
      </c>
      <c r="J240" s="145">
        <v>-3</v>
      </c>
      <c r="K240" s="145">
        <v>565</v>
      </c>
      <c r="L240" s="145">
        <v>565</v>
      </c>
      <c r="M240" s="145">
        <v>368</v>
      </c>
      <c r="N240" s="145">
        <v>29</v>
      </c>
      <c r="O240" s="145">
        <v>922</v>
      </c>
      <c r="P240" s="145">
        <v>560</v>
      </c>
      <c r="Q240" s="145">
        <v>479</v>
      </c>
      <c r="R240" s="145">
        <v>300</v>
      </c>
      <c r="S240" s="145">
        <v>318</v>
      </c>
      <c r="T240" s="145">
        <v>187</v>
      </c>
      <c r="U240" s="145">
        <v>500</v>
      </c>
      <c r="V240" s="145">
        <v>242</v>
      </c>
      <c r="W240" s="145">
        <v>437</v>
      </c>
      <c r="X240" s="145">
        <v>459</v>
      </c>
      <c r="Y240" s="145">
        <v>1425</v>
      </c>
      <c r="Z240" s="145">
        <v>1698</v>
      </c>
      <c r="AA240" s="145">
        <v>20830</v>
      </c>
      <c r="AB240" s="75">
        <v>42618</v>
      </c>
      <c r="AC240" s="75">
        <v>43873</v>
      </c>
      <c r="AF240"/>
      <c r="AG240"/>
      <c r="AH240" s="75">
        <v>20692</v>
      </c>
      <c r="AI240" s="75">
        <v>20729</v>
      </c>
      <c r="AJ240" s="75">
        <v>20616</v>
      </c>
      <c r="AK240" s="75">
        <v>20589</v>
      </c>
      <c r="AL240" s="75">
        <v>20580</v>
      </c>
      <c r="AM240" s="75">
        <v>20562</v>
      </c>
      <c r="AN240" s="75">
        <v>20702</v>
      </c>
      <c r="AO240" s="75">
        <v>39408</v>
      </c>
      <c r="AP240" s="75">
        <v>38560</v>
      </c>
      <c r="AQ240" s="75">
        <v>39198000</v>
      </c>
      <c r="AR240" s="75">
        <v>38625</v>
      </c>
      <c r="AS240" s="75">
        <v>41414</v>
      </c>
      <c r="AT240" s="75">
        <v>43867</v>
      </c>
      <c r="AU240" s="75">
        <v>42618</v>
      </c>
      <c r="AV240" s="75">
        <v>43873</v>
      </c>
    </row>
    <row r="241" spans="1:48" ht="12.5" x14ac:dyDescent="0.25">
      <c r="A241" s="75" t="s">
        <v>522</v>
      </c>
      <c r="B241" s="75" t="s">
        <v>417</v>
      </c>
      <c r="C241" s="145">
        <f t="shared" si="9"/>
        <v>2659.9</v>
      </c>
      <c r="D241" s="145">
        <f t="shared" si="10"/>
        <v>3013.1</v>
      </c>
      <c r="E241" s="145">
        <v>8654000</v>
      </c>
      <c r="F241" s="145">
        <f t="shared" si="11"/>
        <v>21993505.312795691</v>
      </c>
      <c r="G241" s="145">
        <v>68</v>
      </c>
      <c r="H241" s="145">
        <v>32</v>
      </c>
      <c r="I241" s="145">
        <v>21667</v>
      </c>
      <c r="J241" s="145">
        <v>23253</v>
      </c>
      <c r="K241" s="145">
        <v>61</v>
      </c>
      <c r="L241" s="145">
        <v>719</v>
      </c>
      <c r="M241" s="145">
        <v>283</v>
      </c>
      <c r="N241" s="145">
        <v>285</v>
      </c>
      <c r="O241" s="145">
        <v>747</v>
      </c>
      <c r="P241" s="145">
        <v>814</v>
      </c>
      <c r="Q241" s="145">
        <v>1088</v>
      </c>
      <c r="R241" s="145">
        <v>2430</v>
      </c>
      <c r="S241" s="145">
        <v>2086</v>
      </c>
      <c r="T241" s="145">
        <v>2086</v>
      </c>
      <c r="U241" s="145">
        <v>49</v>
      </c>
      <c r="V241" s="145">
        <v>44</v>
      </c>
      <c r="W241" s="145">
        <v>476</v>
      </c>
      <c r="X241" s="145">
        <v>438</v>
      </c>
      <c r="Y241" s="145">
        <v>74</v>
      </c>
      <c r="Z241" s="145">
        <v>30</v>
      </c>
      <c r="AA241" s="145">
        <v>61227</v>
      </c>
      <c r="AB241" s="75">
        <v>177600</v>
      </c>
      <c r="AC241" s="75">
        <v>186819</v>
      </c>
      <c r="AF241"/>
      <c r="AG241"/>
      <c r="AH241" s="75">
        <v>57419</v>
      </c>
      <c r="AI241" s="75">
        <v>57805</v>
      </c>
      <c r="AJ241" s="75">
        <v>58194</v>
      </c>
      <c r="AK241" s="75">
        <v>58293</v>
      </c>
      <c r="AL241" s="75">
        <v>58763</v>
      </c>
      <c r="AM241" s="75">
        <v>59139</v>
      </c>
      <c r="AN241" s="75">
        <v>59981</v>
      </c>
      <c r="AO241" s="75">
        <v>161397</v>
      </c>
      <c r="AP241" s="75">
        <v>169146</v>
      </c>
      <c r="AQ241" s="75">
        <v>169925000</v>
      </c>
      <c r="AR241" s="75">
        <v>174134</v>
      </c>
      <c r="AS241" s="75">
        <v>170454</v>
      </c>
      <c r="AT241" s="75">
        <v>180025</v>
      </c>
      <c r="AU241" s="75">
        <v>177600</v>
      </c>
      <c r="AV241" s="75">
        <v>186819</v>
      </c>
    </row>
    <row r="242" spans="1:48" ht="12.5" x14ac:dyDescent="0.25">
      <c r="A242" s="75" t="s">
        <v>513</v>
      </c>
      <c r="B242" s="75" t="s">
        <v>383</v>
      </c>
      <c r="C242" s="145">
        <f t="shared" si="9"/>
        <v>2541.8000000000002</v>
      </c>
      <c r="D242" s="145">
        <f t="shared" si="10"/>
        <v>2918.6</v>
      </c>
      <c r="E242" s="145">
        <v>11008000</v>
      </c>
      <c r="F242" s="145">
        <f t="shared" si="11"/>
        <v>28727038.297686856</v>
      </c>
      <c r="G242" s="145">
        <v>0</v>
      </c>
      <c r="H242" s="145">
        <v>0</v>
      </c>
      <c r="I242" s="145">
        <v>14435</v>
      </c>
      <c r="J242" s="145">
        <v>17669</v>
      </c>
      <c r="K242" s="145">
        <v>10983</v>
      </c>
      <c r="L242" s="145">
        <v>11517</v>
      </c>
      <c r="M242" s="145">
        <v>0</v>
      </c>
      <c r="N242" s="145">
        <v>0</v>
      </c>
      <c r="O242" s="145">
        <v>0</v>
      </c>
      <c r="P242" s="145">
        <v>0</v>
      </c>
      <c r="Q242" s="145">
        <v>0</v>
      </c>
      <c r="R242" s="145">
        <v>0</v>
      </c>
      <c r="S242" s="145">
        <v>0</v>
      </c>
      <c r="T242" s="145">
        <v>0</v>
      </c>
      <c r="U242" s="145">
        <v>0</v>
      </c>
      <c r="V242" s="145">
        <v>0</v>
      </c>
      <c r="W242" s="145">
        <v>0</v>
      </c>
      <c r="X242" s="145">
        <v>0</v>
      </c>
      <c r="Y242" s="145">
        <v>0</v>
      </c>
      <c r="Z242" s="145">
        <v>0</v>
      </c>
      <c r="AA242" s="145">
        <v>77722</v>
      </c>
      <c r="AB242" s="75">
        <v>153131</v>
      </c>
      <c r="AC242" s="75">
        <v>178463</v>
      </c>
      <c r="AF242"/>
      <c r="AG242"/>
      <c r="AH242" s="75">
        <v>77189</v>
      </c>
      <c r="AI242" s="75">
        <v>76972</v>
      </c>
      <c r="AJ242" s="75">
        <v>77072</v>
      </c>
      <c r="AK242" s="75">
        <v>77186</v>
      </c>
      <c r="AL242" s="75">
        <v>77200</v>
      </c>
      <c r="AM242" s="75">
        <v>77245</v>
      </c>
      <c r="AN242" s="75">
        <v>77613</v>
      </c>
      <c r="AO242" s="75">
        <v>142373</v>
      </c>
      <c r="AP242" s="75">
        <v>149366</v>
      </c>
      <c r="AQ242" s="75">
        <v>145697000</v>
      </c>
      <c r="AR242" s="75">
        <v>116084</v>
      </c>
      <c r="AS242" s="75">
        <v>131369</v>
      </c>
      <c r="AT242" s="75">
        <v>137922</v>
      </c>
      <c r="AU242" s="75">
        <v>153131</v>
      </c>
      <c r="AV242" s="75">
        <v>178463</v>
      </c>
    </row>
    <row r="243" spans="1:48" ht="12.5" x14ac:dyDescent="0.25">
      <c r="A243" s="75" t="s">
        <v>517</v>
      </c>
      <c r="B243" s="75" t="s">
        <v>314</v>
      </c>
      <c r="C243" s="145">
        <f t="shared" si="9"/>
        <v>73769.899999999994</v>
      </c>
      <c r="D243" s="145">
        <f t="shared" si="10"/>
        <v>68087.100000000006</v>
      </c>
      <c r="E243" s="145">
        <v>162978000</v>
      </c>
      <c r="F243" s="145">
        <f t="shared" si="11"/>
        <v>243767207.89824194</v>
      </c>
      <c r="G243" s="145">
        <v>85882</v>
      </c>
      <c r="H243" s="145">
        <v>83366</v>
      </c>
      <c r="I243" s="145">
        <v>75574</v>
      </c>
      <c r="J243" s="145">
        <v>35465</v>
      </c>
      <c r="K243" s="145">
        <v>135398</v>
      </c>
      <c r="L243" s="145">
        <v>122176</v>
      </c>
      <c r="M243" s="145">
        <v>82722</v>
      </c>
      <c r="N243" s="145">
        <v>50939</v>
      </c>
      <c r="O243" s="145">
        <v>50449</v>
      </c>
      <c r="P243" s="145">
        <v>43194</v>
      </c>
      <c r="Q243" s="145">
        <v>79052</v>
      </c>
      <c r="R243" s="145">
        <v>45368</v>
      </c>
      <c r="S243" s="145">
        <v>79694</v>
      </c>
      <c r="T243" s="145">
        <v>61832</v>
      </c>
      <c r="U243" s="145">
        <v>81634</v>
      </c>
      <c r="V243" s="145">
        <v>66087</v>
      </c>
      <c r="W243" s="145">
        <v>64514</v>
      </c>
      <c r="X243" s="145">
        <v>91641</v>
      </c>
      <c r="Y243" s="145">
        <v>2780</v>
      </c>
      <c r="Z243" s="145">
        <v>80803</v>
      </c>
      <c r="AA243" s="145">
        <v>672330</v>
      </c>
      <c r="AB243" s="75">
        <v>2790380</v>
      </c>
      <c r="AC243" s="75">
        <v>2898337</v>
      </c>
      <c r="AF243"/>
      <c r="AG243"/>
      <c r="AH243" s="75">
        <v>638221</v>
      </c>
      <c r="AI243" s="75">
        <v>638751</v>
      </c>
      <c r="AJ243" s="75">
        <v>644527</v>
      </c>
      <c r="AK243" s="75">
        <v>651446</v>
      </c>
      <c r="AL243" s="75">
        <v>651631</v>
      </c>
      <c r="AM243" s="75">
        <v>655473</v>
      </c>
      <c r="AN243" s="75">
        <v>663900</v>
      </c>
      <c r="AO243" s="75">
        <v>2550016</v>
      </c>
      <c r="AP243" s="75">
        <v>2526343</v>
      </c>
      <c r="AQ243" s="75">
        <v>2533662000</v>
      </c>
      <c r="AR243" s="75">
        <v>2512962</v>
      </c>
      <c r="AS243" s="75">
        <v>2559292</v>
      </c>
      <c r="AT243" s="75">
        <v>2679709</v>
      </c>
      <c r="AU243" s="75">
        <v>2790380</v>
      </c>
      <c r="AV243" s="75">
        <v>2898337</v>
      </c>
    </row>
    <row r="244" spans="1:48" ht="12.5" x14ac:dyDescent="0.25">
      <c r="A244" s="75" t="s">
        <v>515</v>
      </c>
      <c r="B244" s="75" t="s">
        <v>200</v>
      </c>
      <c r="C244" s="145">
        <f t="shared" si="9"/>
        <v>1357.3</v>
      </c>
      <c r="D244" s="145">
        <f t="shared" si="10"/>
        <v>703</v>
      </c>
      <c r="E244" s="145">
        <v>49000</v>
      </c>
      <c r="F244" s="145">
        <f t="shared" si="11"/>
        <v>653047.82511150395</v>
      </c>
      <c r="G244" s="145">
        <v>0</v>
      </c>
      <c r="H244" s="145">
        <v>0</v>
      </c>
      <c r="I244" s="145">
        <v>549</v>
      </c>
      <c r="J244" s="145">
        <v>550</v>
      </c>
      <c r="K244" s="145">
        <v>1948</v>
      </c>
      <c r="L244" s="145">
        <v>1952</v>
      </c>
      <c r="M244" s="145">
        <v>3223</v>
      </c>
      <c r="N244" s="145">
        <v>1061</v>
      </c>
      <c r="O244" s="145">
        <v>2285</v>
      </c>
      <c r="P244" s="145">
        <v>1103</v>
      </c>
      <c r="Q244" s="145">
        <v>2285</v>
      </c>
      <c r="R244" s="145">
        <v>1103</v>
      </c>
      <c r="S244" s="145">
        <v>1076</v>
      </c>
      <c r="T244" s="145">
        <v>600</v>
      </c>
      <c r="U244" s="145">
        <v>1661</v>
      </c>
      <c r="V244" s="145">
        <v>377</v>
      </c>
      <c r="W244" s="145">
        <v>546</v>
      </c>
      <c r="X244" s="145">
        <v>284</v>
      </c>
      <c r="Y244" s="145">
        <v>0</v>
      </c>
      <c r="Z244" s="145">
        <v>0</v>
      </c>
      <c r="AA244" s="145">
        <v>1836</v>
      </c>
      <c r="AB244" s="75">
        <v>5497</v>
      </c>
      <c r="AC244" s="75">
        <v>5679</v>
      </c>
      <c r="AF244"/>
      <c r="AG244"/>
      <c r="AH244" s="75">
        <v>1495</v>
      </c>
      <c r="AI244" s="75">
        <v>1577</v>
      </c>
      <c r="AJ244" s="75">
        <v>1654</v>
      </c>
      <c r="AK244" s="75">
        <v>1698</v>
      </c>
      <c r="AL244" s="75">
        <v>1726</v>
      </c>
      <c r="AM244" s="75">
        <v>1756</v>
      </c>
      <c r="AN244" s="75">
        <v>1754</v>
      </c>
      <c r="AO244" s="75">
        <v>388</v>
      </c>
      <c r="AP244" s="75">
        <v>349</v>
      </c>
      <c r="AQ244" s="75">
        <v>482000</v>
      </c>
      <c r="AR244" s="75">
        <v>1754</v>
      </c>
      <c r="AS244" s="75">
        <v>4952</v>
      </c>
      <c r="AT244" s="75">
        <v>8156</v>
      </c>
      <c r="AU244" s="75">
        <v>5497</v>
      </c>
      <c r="AV244" s="75">
        <v>5679</v>
      </c>
    </row>
    <row r="245" spans="1:48" ht="12.5" x14ac:dyDescent="0.25">
      <c r="A245" s="75" t="s">
        <v>522</v>
      </c>
      <c r="B245" s="75" t="s">
        <v>384</v>
      </c>
      <c r="C245" s="145">
        <f t="shared" si="9"/>
        <v>3991.6</v>
      </c>
      <c r="D245" s="145">
        <f t="shared" si="10"/>
        <v>3989.3</v>
      </c>
      <c r="E245" s="145">
        <v>5088000</v>
      </c>
      <c r="F245" s="145">
        <f t="shared" si="11"/>
        <v>8684122.8725391403</v>
      </c>
      <c r="G245" s="145">
        <v>2127</v>
      </c>
      <c r="H245" s="145">
        <v>2190</v>
      </c>
      <c r="I245" s="145">
        <v>2051</v>
      </c>
      <c r="J245" s="145">
        <v>1860</v>
      </c>
      <c r="K245" s="145">
        <v>6287</v>
      </c>
      <c r="L245" s="145">
        <v>6172</v>
      </c>
      <c r="M245" s="145">
        <v>2514</v>
      </c>
      <c r="N245" s="145">
        <v>1899</v>
      </c>
      <c r="O245" s="145">
        <v>2525</v>
      </c>
      <c r="P245" s="145">
        <v>3431</v>
      </c>
      <c r="Q245" s="145">
        <v>2549</v>
      </c>
      <c r="R245" s="145">
        <v>3884</v>
      </c>
      <c r="S245" s="145">
        <v>5182</v>
      </c>
      <c r="T245" s="145">
        <v>5194</v>
      </c>
      <c r="U245" s="145">
        <v>9009</v>
      </c>
      <c r="V245" s="145">
        <v>8303</v>
      </c>
      <c r="W245" s="145">
        <v>3001</v>
      </c>
      <c r="X245" s="145">
        <v>2807</v>
      </c>
      <c r="Y245" s="145">
        <v>4671</v>
      </c>
      <c r="Z245" s="145">
        <v>4153</v>
      </c>
      <c r="AA245" s="145">
        <v>23992</v>
      </c>
      <c r="AB245" s="75">
        <v>74790</v>
      </c>
      <c r="AC245" s="75">
        <v>75568</v>
      </c>
      <c r="AF245"/>
      <c r="AG245"/>
      <c r="AH245" s="75">
        <v>22333</v>
      </c>
      <c r="AI245" s="75">
        <v>22404</v>
      </c>
      <c r="AJ245" s="75">
        <v>22585</v>
      </c>
      <c r="AK245" s="75">
        <v>22917</v>
      </c>
      <c r="AL245" s="75">
        <v>23080</v>
      </c>
      <c r="AM245" s="75">
        <v>23351</v>
      </c>
      <c r="AN245" s="75">
        <v>23636</v>
      </c>
      <c r="AO245" s="75">
        <v>63753</v>
      </c>
      <c r="AP245" s="75">
        <v>57886</v>
      </c>
      <c r="AQ245" s="75">
        <v>65419000</v>
      </c>
      <c r="AR245" s="75">
        <v>70401</v>
      </c>
      <c r="AS245" s="75">
        <v>70421</v>
      </c>
      <c r="AT245" s="75">
        <v>71574</v>
      </c>
      <c r="AU245" s="75">
        <v>74790</v>
      </c>
      <c r="AV245" s="75">
        <v>75568</v>
      </c>
    </row>
    <row r="246" spans="1:48" ht="12.5" x14ac:dyDescent="0.25">
      <c r="A246" s="75" t="s">
        <v>514</v>
      </c>
      <c r="B246" s="75" t="s">
        <v>269</v>
      </c>
      <c r="C246" s="145">
        <f t="shared" si="9"/>
        <v>7861</v>
      </c>
      <c r="D246" s="145">
        <f t="shared" si="10"/>
        <v>6722.7</v>
      </c>
      <c r="E246" s="145">
        <v>6113000</v>
      </c>
      <c r="F246" s="145">
        <f t="shared" si="11"/>
        <v>17416220.215146266</v>
      </c>
      <c r="G246" s="145">
        <v>568</v>
      </c>
      <c r="H246" s="145">
        <v>568</v>
      </c>
      <c r="I246" s="145">
        <v>15455</v>
      </c>
      <c r="J246" s="145">
        <v>14313</v>
      </c>
      <c r="K246" s="145">
        <v>6060</v>
      </c>
      <c r="L246" s="145">
        <v>2840</v>
      </c>
      <c r="M246" s="145">
        <v>4323</v>
      </c>
      <c r="N246" s="145">
        <v>3882</v>
      </c>
      <c r="O246" s="145">
        <v>7013</v>
      </c>
      <c r="P246" s="145">
        <v>5727</v>
      </c>
      <c r="Q246" s="145">
        <v>17010</v>
      </c>
      <c r="R246" s="145">
        <v>13604</v>
      </c>
      <c r="S246" s="145">
        <v>4900</v>
      </c>
      <c r="T246" s="145">
        <v>5781</v>
      </c>
      <c r="U246" s="145">
        <v>2180</v>
      </c>
      <c r="V246" s="145">
        <v>2153</v>
      </c>
      <c r="W246" s="145">
        <v>5255</v>
      </c>
      <c r="X246" s="145">
        <v>5765</v>
      </c>
      <c r="Y246" s="145">
        <v>15846</v>
      </c>
      <c r="Z246" s="145">
        <v>12594</v>
      </c>
      <c r="AA246" s="145">
        <v>48402</v>
      </c>
      <c r="AB246" s="75">
        <v>105692</v>
      </c>
      <c r="AC246" s="75">
        <v>105119</v>
      </c>
      <c r="AF246"/>
      <c r="AG246"/>
      <c r="AH246" s="75">
        <v>46197</v>
      </c>
      <c r="AI246" s="75">
        <v>46380</v>
      </c>
      <c r="AJ246" s="75">
        <v>46563</v>
      </c>
      <c r="AK246" s="75">
        <v>46523</v>
      </c>
      <c r="AL246" s="75">
        <v>46532</v>
      </c>
      <c r="AM246" s="75">
        <v>46831</v>
      </c>
      <c r="AN246" s="75">
        <v>47450</v>
      </c>
      <c r="AO246" s="75">
        <v>112005</v>
      </c>
      <c r="AP246" s="75">
        <v>97587</v>
      </c>
      <c r="AQ246" s="75">
        <v>91229000</v>
      </c>
      <c r="AR246" s="75">
        <v>98374</v>
      </c>
      <c r="AS246" s="75">
        <v>101866</v>
      </c>
      <c r="AT246" s="75">
        <v>107880</v>
      </c>
      <c r="AU246" s="75">
        <v>105692</v>
      </c>
      <c r="AV246" s="75">
        <v>105119</v>
      </c>
    </row>
    <row r="247" spans="1:48" ht="12.5" x14ac:dyDescent="0.25">
      <c r="A247" s="75" t="s">
        <v>515</v>
      </c>
      <c r="B247" s="75" t="s">
        <v>201</v>
      </c>
      <c r="C247" s="145">
        <f t="shared" si="9"/>
        <v>4003.1</v>
      </c>
      <c r="D247" s="145">
        <f t="shared" si="10"/>
        <v>2884.9</v>
      </c>
      <c r="E247" s="145">
        <v>1057000</v>
      </c>
      <c r="F247" s="145">
        <f t="shared" si="11"/>
        <v>3838701.3956725192</v>
      </c>
      <c r="G247" s="145">
        <v>5137</v>
      </c>
      <c r="H247" s="145">
        <v>3549</v>
      </c>
      <c r="I247" s="145">
        <v>5302</v>
      </c>
      <c r="J247" s="145">
        <v>4348</v>
      </c>
      <c r="K247" s="145">
        <v>4274</v>
      </c>
      <c r="L247" s="145">
        <v>3100</v>
      </c>
      <c r="M247" s="145">
        <v>507</v>
      </c>
      <c r="N247" s="145">
        <v>623</v>
      </c>
      <c r="O247" s="145">
        <v>1580</v>
      </c>
      <c r="P247" s="145">
        <v>1540</v>
      </c>
      <c r="Q247" s="145">
        <v>1526</v>
      </c>
      <c r="R247" s="145">
        <v>-791</v>
      </c>
      <c r="S247" s="145">
        <v>11067</v>
      </c>
      <c r="T247" s="145">
        <v>6513</v>
      </c>
      <c r="U247" s="145">
        <v>9169</v>
      </c>
      <c r="V247" s="145">
        <v>7546</v>
      </c>
      <c r="W247" s="145">
        <v>497</v>
      </c>
      <c r="X247" s="145">
        <v>963</v>
      </c>
      <c r="Y247" s="145">
        <v>972</v>
      </c>
      <c r="Z247" s="145">
        <v>1458</v>
      </c>
      <c r="AA247" s="145">
        <v>10541</v>
      </c>
      <c r="AB247" s="75">
        <v>21140</v>
      </c>
      <c r="AC247" s="75">
        <v>22764</v>
      </c>
      <c r="AF247"/>
      <c r="AG247"/>
      <c r="AH247" s="75">
        <v>9701</v>
      </c>
      <c r="AI247" s="75">
        <v>9754</v>
      </c>
      <c r="AJ247" s="75">
        <v>9874</v>
      </c>
      <c r="AK247" s="75">
        <v>9866</v>
      </c>
      <c r="AL247" s="75">
        <v>10128</v>
      </c>
      <c r="AM247" s="75">
        <v>10322</v>
      </c>
      <c r="AN247" s="75">
        <v>10386</v>
      </c>
      <c r="AO247" s="75">
        <v>17962</v>
      </c>
      <c r="AP247" s="75">
        <v>19453</v>
      </c>
      <c r="AQ247" s="75">
        <v>20662000</v>
      </c>
      <c r="AR247" s="75">
        <v>21654</v>
      </c>
      <c r="AS247" s="75">
        <v>21503</v>
      </c>
      <c r="AT247" s="75">
        <v>21176</v>
      </c>
      <c r="AU247" s="75">
        <v>21140</v>
      </c>
      <c r="AV247" s="75">
        <v>22764</v>
      </c>
    </row>
    <row r="248" spans="1:48" ht="12.5" x14ac:dyDescent="0.25">
      <c r="A248" s="75" t="s">
        <v>517</v>
      </c>
      <c r="B248" s="75" t="s">
        <v>315</v>
      </c>
      <c r="C248" s="145">
        <f t="shared" si="9"/>
        <v>16478.8</v>
      </c>
      <c r="D248" s="145">
        <f t="shared" si="10"/>
        <v>18303.8</v>
      </c>
      <c r="E248" s="145">
        <v>12630000</v>
      </c>
      <c r="F248" s="145">
        <f t="shared" si="11"/>
        <v>29668676.733439893</v>
      </c>
      <c r="G248" s="145">
        <v>27286</v>
      </c>
      <c r="H248" s="145">
        <v>27773</v>
      </c>
      <c r="I248" s="145">
        <v>36752</v>
      </c>
      <c r="J248" s="145">
        <v>31059</v>
      </c>
      <c r="K248" s="145">
        <v>27198</v>
      </c>
      <c r="L248" s="145">
        <v>31139</v>
      </c>
      <c r="M248" s="145">
        <v>9727</v>
      </c>
      <c r="N248" s="145">
        <v>9068</v>
      </c>
      <c r="O248" s="145">
        <v>12727</v>
      </c>
      <c r="P248" s="145">
        <v>25771</v>
      </c>
      <c r="Q248" s="145">
        <v>7378</v>
      </c>
      <c r="R248" s="145">
        <v>8021</v>
      </c>
      <c r="S248" s="145">
        <v>18248</v>
      </c>
      <c r="T248" s="145">
        <v>15138</v>
      </c>
      <c r="U248" s="145">
        <v>11213</v>
      </c>
      <c r="V248" s="145">
        <v>12379</v>
      </c>
      <c r="W248" s="145">
        <v>8390</v>
      </c>
      <c r="X248" s="145">
        <v>13161</v>
      </c>
      <c r="Y248" s="145">
        <v>5869</v>
      </c>
      <c r="Z248" s="145">
        <v>9529</v>
      </c>
      <c r="AA248" s="145">
        <v>82559</v>
      </c>
      <c r="AB248" s="75">
        <v>582241</v>
      </c>
      <c r="AC248" s="75">
        <v>594234</v>
      </c>
      <c r="AF248"/>
      <c r="AG248"/>
      <c r="AH248" s="75">
        <v>77859</v>
      </c>
      <c r="AI248" s="75">
        <v>77917</v>
      </c>
      <c r="AJ248" s="75">
        <v>78094</v>
      </c>
      <c r="AK248" s="75">
        <v>78778</v>
      </c>
      <c r="AL248" s="75">
        <v>79279</v>
      </c>
      <c r="AM248" s="75">
        <v>79777</v>
      </c>
      <c r="AN248" s="75">
        <v>80628</v>
      </c>
      <c r="AO248" s="75">
        <v>489859</v>
      </c>
      <c r="AP248" s="75">
        <v>500120</v>
      </c>
      <c r="AQ248" s="75">
        <v>545711000</v>
      </c>
      <c r="AR248" s="75">
        <v>557449</v>
      </c>
      <c r="AS248" s="75">
        <v>577480</v>
      </c>
      <c r="AT248" s="75">
        <v>577268</v>
      </c>
      <c r="AU248" s="75">
        <v>582241</v>
      </c>
      <c r="AV248" s="75">
        <v>594234</v>
      </c>
    </row>
    <row r="249" spans="1:48" ht="12.5" x14ac:dyDescent="0.25">
      <c r="A249" s="75" t="s">
        <v>516</v>
      </c>
      <c r="B249" s="75" t="s">
        <v>133</v>
      </c>
      <c r="C249" s="145">
        <f t="shared" si="9"/>
        <v>8.1</v>
      </c>
      <c r="D249" s="145">
        <f t="shared" si="10"/>
        <v>13.7</v>
      </c>
      <c r="E249" s="145">
        <v>506000</v>
      </c>
      <c r="F249" s="145">
        <f t="shared" si="11"/>
        <v>351068.99026495428</v>
      </c>
      <c r="G249" s="145">
        <v>0</v>
      </c>
      <c r="H249" s="145">
        <v>0</v>
      </c>
      <c r="I249" s="145">
        <v>3</v>
      </c>
      <c r="J249" s="145">
        <v>12</v>
      </c>
      <c r="K249" s="145">
        <v>28</v>
      </c>
      <c r="L249" s="145">
        <v>52</v>
      </c>
      <c r="M249" s="145">
        <v>18</v>
      </c>
      <c r="N249" s="145">
        <v>26</v>
      </c>
      <c r="O249" s="145">
        <v>32</v>
      </c>
      <c r="P249" s="145">
        <v>47</v>
      </c>
      <c r="Q249" s="145">
        <v>0</v>
      </c>
      <c r="R249" s="145">
        <v>0</v>
      </c>
      <c r="S249" s="145">
        <v>0</v>
      </c>
      <c r="T249" s="145">
        <v>0</v>
      </c>
      <c r="U249" s="145">
        <v>0</v>
      </c>
      <c r="V249" s="145">
        <v>0</v>
      </c>
      <c r="W249" s="145">
        <v>0</v>
      </c>
      <c r="X249" s="145">
        <v>0</v>
      </c>
      <c r="Y249" s="145">
        <v>0</v>
      </c>
      <c r="Z249" s="145">
        <v>0</v>
      </c>
      <c r="AA249" s="145">
        <v>968</v>
      </c>
      <c r="AB249" s="75">
        <v>7988</v>
      </c>
      <c r="AC249" s="75">
        <v>7999</v>
      </c>
      <c r="AF249"/>
      <c r="AG249"/>
      <c r="AH249" s="75">
        <v>941</v>
      </c>
      <c r="AI249" s="75">
        <v>933</v>
      </c>
      <c r="AJ249" s="75">
        <v>936</v>
      </c>
      <c r="AK249" s="75">
        <v>944</v>
      </c>
      <c r="AL249" s="75">
        <v>931</v>
      </c>
      <c r="AM249" s="75">
        <v>944</v>
      </c>
      <c r="AN249" s="75">
        <v>982</v>
      </c>
      <c r="AO249" s="75">
        <v>6379</v>
      </c>
      <c r="AP249" s="75">
        <v>7991</v>
      </c>
      <c r="AQ249" s="75">
        <v>8505000</v>
      </c>
      <c r="AR249" s="75">
        <v>8500</v>
      </c>
      <c r="AS249" s="75">
        <v>8334</v>
      </c>
      <c r="AT249" s="75">
        <v>8467</v>
      </c>
      <c r="AU249" s="75">
        <v>7988</v>
      </c>
      <c r="AV249" s="75">
        <v>7999</v>
      </c>
    </row>
    <row r="250" spans="1:48" ht="12.5" x14ac:dyDescent="0.25">
      <c r="A250" s="75" t="s">
        <v>524</v>
      </c>
      <c r="B250" s="75" t="s">
        <v>335</v>
      </c>
      <c r="C250" s="145">
        <f t="shared" si="9"/>
        <v>1815</v>
      </c>
      <c r="D250" s="145">
        <f t="shared" si="10"/>
        <v>1621.3</v>
      </c>
      <c r="E250" s="145">
        <v>6790000</v>
      </c>
      <c r="F250" s="145">
        <f t="shared" si="11"/>
        <v>12702821.504745809</v>
      </c>
      <c r="G250" s="145">
        <v>5068</v>
      </c>
      <c r="H250" s="145">
        <v>4443</v>
      </c>
      <c r="I250" s="145">
        <v>1927</v>
      </c>
      <c r="J250" s="145">
        <v>1985</v>
      </c>
      <c r="K250" s="145">
        <v>4625</v>
      </c>
      <c r="L250" s="145">
        <v>3887</v>
      </c>
      <c r="M250" s="145">
        <v>2540</v>
      </c>
      <c r="N250" s="145">
        <v>532</v>
      </c>
      <c r="O250" s="145">
        <v>751</v>
      </c>
      <c r="P250" s="145">
        <v>839</v>
      </c>
      <c r="Q250" s="145">
        <v>298</v>
      </c>
      <c r="R250" s="145">
        <v>507</v>
      </c>
      <c r="S250" s="145">
        <v>670</v>
      </c>
      <c r="T250" s="145">
        <v>516</v>
      </c>
      <c r="U250" s="145">
        <v>1507</v>
      </c>
      <c r="V250" s="145">
        <v>1521</v>
      </c>
      <c r="W250" s="145">
        <v>37</v>
      </c>
      <c r="X250" s="145">
        <v>366</v>
      </c>
      <c r="Y250" s="145">
        <v>727</v>
      </c>
      <c r="Z250" s="145">
        <v>1617</v>
      </c>
      <c r="AA250" s="145">
        <v>34424</v>
      </c>
      <c r="AB250" s="75">
        <v>111382</v>
      </c>
      <c r="AC250" s="75">
        <v>128456</v>
      </c>
      <c r="AF250"/>
      <c r="AG250"/>
      <c r="AH250" s="75">
        <v>33759</v>
      </c>
      <c r="AI250" s="75">
        <v>33694</v>
      </c>
      <c r="AJ250" s="75">
        <v>33789</v>
      </c>
      <c r="AK250" s="75">
        <v>33839</v>
      </c>
      <c r="AL250" s="75">
        <v>34065</v>
      </c>
      <c r="AM250" s="75">
        <v>34157</v>
      </c>
      <c r="AN250" s="75">
        <v>34561</v>
      </c>
      <c r="AO250" s="75">
        <v>97865</v>
      </c>
      <c r="AP250" s="75">
        <v>96476</v>
      </c>
      <c r="AQ250" s="75">
        <v>94315000</v>
      </c>
      <c r="AR250" s="75">
        <v>99057</v>
      </c>
      <c r="AS250" s="75">
        <v>102645</v>
      </c>
      <c r="AT250" s="75">
        <v>105013</v>
      </c>
      <c r="AU250" s="75">
        <v>111382</v>
      </c>
      <c r="AV250" s="75">
        <v>128456</v>
      </c>
    </row>
    <row r="251" spans="1:48" ht="12.5" x14ac:dyDescent="0.25">
      <c r="A251" s="75" t="s">
        <v>517</v>
      </c>
      <c r="B251" s="257" t="s">
        <v>441</v>
      </c>
      <c r="C251" s="145">
        <f t="shared" si="9"/>
        <v>60565.7</v>
      </c>
      <c r="D251" s="145">
        <f t="shared" si="10"/>
        <v>69974.399999999994</v>
      </c>
      <c r="E251" s="145">
        <v>104554000</v>
      </c>
      <c r="F251" s="145">
        <f t="shared" si="11"/>
        <v>205672503.50332633</v>
      </c>
      <c r="G251" s="145">
        <v>56162</v>
      </c>
      <c r="H251" s="145">
        <v>59640</v>
      </c>
      <c r="I251" s="145">
        <v>89095</v>
      </c>
      <c r="J251" s="145">
        <v>90972</v>
      </c>
      <c r="K251" s="145">
        <v>70740</v>
      </c>
      <c r="L251" s="145">
        <v>81491</v>
      </c>
      <c r="M251" s="145">
        <v>76232</v>
      </c>
      <c r="N251" s="145">
        <v>77224</v>
      </c>
      <c r="O251" s="145">
        <v>61615</v>
      </c>
      <c r="P251" s="145">
        <v>70467</v>
      </c>
      <c r="Q251" s="145">
        <v>52457</v>
      </c>
      <c r="R251" s="145">
        <v>46403</v>
      </c>
      <c r="S251" s="145">
        <v>53421</v>
      </c>
      <c r="T251" s="145">
        <v>56788</v>
      </c>
      <c r="U251" s="145">
        <v>49103</v>
      </c>
      <c r="V251" s="145">
        <v>49843</v>
      </c>
      <c r="W251" s="145">
        <v>51996</v>
      </c>
      <c r="X251" s="145">
        <v>88934</v>
      </c>
      <c r="Y251" s="145">
        <v>44836</v>
      </c>
      <c r="Z251" s="145">
        <v>77982</v>
      </c>
      <c r="AA251" s="145">
        <v>568419</v>
      </c>
      <c r="AB251" s="75">
        <v>1881769</v>
      </c>
      <c r="AC251" s="75">
        <v>1963893</v>
      </c>
      <c r="AF251"/>
      <c r="AG251"/>
      <c r="AH251" s="75">
        <v>524305</v>
      </c>
      <c r="AI251" s="75">
        <v>531935</v>
      </c>
      <c r="AJ251" s="75">
        <v>537988</v>
      </c>
      <c r="AK251" s="75">
        <v>545339</v>
      </c>
      <c r="AL251" s="75">
        <v>548320</v>
      </c>
      <c r="AM251" s="75">
        <v>553039</v>
      </c>
      <c r="AN251" s="75">
        <v>562839</v>
      </c>
      <c r="AO251" s="75">
        <v>1392705</v>
      </c>
      <c r="AP251" s="75">
        <v>1433078</v>
      </c>
      <c r="AQ251" s="75">
        <v>1479884000</v>
      </c>
      <c r="AR251" s="75">
        <v>1575360</v>
      </c>
      <c r="AS251" s="75">
        <v>1673482</v>
      </c>
      <c r="AT251" s="75">
        <v>1804594</v>
      </c>
      <c r="AU251" s="75">
        <v>1881769</v>
      </c>
      <c r="AV251" s="75">
        <v>1963893</v>
      </c>
    </row>
    <row r="252" spans="1:48" ht="12.5" x14ac:dyDescent="0.25">
      <c r="A252" s="75" t="s">
        <v>513</v>
      </c>
      <c r="B252" s="75" t="s">
        <v>476</v>
      </c>
      <c r="C252" s="145">
        <f t="shared" si="9"/>
        <v>57571.7</v>
      </c>
      <c r="D252" s="145">
        <f t="shared" si="10"/>
        <v>47406.5</v>
      </c>
      <c r="E252" s="145">
        <v>50871000</v>
      </c>
      <c r="F252" s="145">
        <f t="shared" si="11"/>
        <v>58209395.577606894</v>
      </c>
      <c r="G252" s="145">
        <v>57757</v>
      </c>
      <c r="H252" s="145">
        <v>59733</v>
      </c>
      <c r="I252" s="145">
        <v>21650</v>
      </c>
      <c r="J252" s="145">
        <v>21087</v>
      </c>
      <c r="K252" s="145">
        <v>40628</v>
      </c>
      <c r="L252" s="145">
        <v>38169</v>
      </c>
      <c r="M252" s="145">
        <v>64571</v>
      </c>
      <c r="N252" s="145">
        <v>56719</v>
      </c>
      <c r="O252" s="145">
        <v>46739</v>
      </c>
      <c r="P252" s="145">
        <v>40841</v>
      </c>
      <c r="Q252" s="145">
        <v>36001</v>
      </c>
      <c r="R252" s="145">
        <v>31705</v>
      </c>
      <c r="S252" s="145">
        <v>98130</v>
      </c>
      <c r="T252" s="145">
        <v>70731</v>
      </c>
      <c r="U252" s="145">
        <v>91064</v>
      </c>
      <c r="V252" s="145">
        <v>63285</v>
      </c>
      <c r="W252" s="145">
        <v>71740</v>
      </c>
      <c r="X252" s="145">
        <v>51778</v>
      </c>
      <c r="Y252" s="145">
        <v>47437</v>
      </c>
      <c r="Z252" s="145">
        <v>40017</v>
      </c>
      <c r="AA252" s="145">
        <v>161557</v>
      </c>
      <c r="AB252" s="75">
        <v>809890</v>
      </c>
      <c r="AC252" s="75">
        <v>846722</v>
      </c>
      <c r="AF252"/>
      <c r="AG252"/>
      <c r="AH252" s="75">
        <v>152472</v>
      </c>
      <c r="AI252" s="75">
        <v>153429</v>
      </c>
      <c r="AJ252" s="75">
        <v>154231</v>
      </c>
      <c r="AK252" s="75">
        <v>155081</v>
      </c>
      <c r="AL252" s="75">
        <v>155490</v>
      </c>
      <c r="AM252" s="75">
        <v>156521</v>
      </c>
      <c r="AN252" s="75">
        <v>158753</v>
      </c>
      <c r="AO252" s="75">
        <v>740248.96136121941</v>
      </c>
      <c r="AP252" s="75">
        <v>765270</v>
      </c>
      <c r="AQ252" s="75">
        <v>779000000</v>
      </c>
      <c r="AR252" s="75">
        <v>796473</v>
      </c>
      <c r="AS252" s="75">
        <v>792563</v>
      </c>
      <c r="AT252" s="75">
        <v>808466</v>
      </c>
      <c r="AU252" s="75">
        <v>809890</v>
      </c>
      <c r="AV252" s="75">
        <v>846722</v>
      </c>
    </row>
    <row r="253" spans="1:48" ht="12.5" x14ac:dyDescent="0.25">
      <c r="A253" s="75" t="s">
        <v>522</v>
      </c>
      <c r="B253" s="75" t="s">
        <v>418</v>
      </c>
      <c r="C253" s="145">
        <f t="shared" si="9"/>
        <v>47</v>
      </c>
      <c r="D253" s="145">
        <f t="shared" si="10"/>
        <v>68.900000000000006</v>
      </c>
      <c r="E253" s="145">
        <v>1113000</v>
      </c>
      <c r="F253" s="145">
        <f t="shared" si="11"/>
        <v>3877006.5927035469</v>
      </c>
      <c r="G253" s="145">
        <v>49</v>
      </c>
      <c r="H253" s="145">
        <v>156</v>
      </c>
      <c r="I253" s="145">
        <v>98</v>
      </c>
      <c r="J253" s="145">
        <v>97</v>
      </c>
      <c r="K253" s="145">
        <v>45</v>
      </c>
      <c r="L253" s="145">
        <v>77</v>
      </c>
      <c r="M253" s="145">
        <v>39</v>
      </c>
      <c r="N253" s="145">
        <v>31</v>
      </c>
      <c r="O253" s="145">
        <v>35</v>
      </c>
      <c r="P253" s="145">
        <v>45</v>
      </c>
      <c r="Q253" s="145">
        <v>32</v>
      </c>
      <c r="R253" s="145">
        <v>35</v>
      </c>
      <c r="S253" s="145">
        <v>39</v>
      </c>
      <c r="T253" s="145">
        <v>35</v>
      </c>
      <c r="U253" s="145">
        <v>26</v>
      </c>
      <c r="V253" s="145">
        <v>40</v>
      </c>
      <c r="W253" s="145">
        <v>35</v>
      </c>
      <c r="X253" s="145">
        <v>91</v>
      </c>
      <c r="Y253" s="145">
        <v>72</v>
      </c>
      <c r="Z253" s="145">
        <v>82</v>
      </c>
      <c r="AA253" s="145">
        <v>10272</v>
      </c>
      <c r="AB253" s="75">
        <v>22263</v>
      </c>
      <c r="AC253" s="75">
        <v>25022</v>
      </c>
      <c r="AF253"/>
      <c r="AG253"/>
      <c r="AH253" s="75">
        <v>10569</v>
      </c>
      <c r="AI253" s="75">
        <v>10560</v>
      </c>
      <c r="AJ253" s="75">
        <v>10505</v>
      </c>
      <c r="AK253" s="75">
        <v>10546</v>
      </c>
      <c r="AL253" s="75">
        <v>10477</v>
      </c>
      <c r="AM253" s="75">
        <v>10425</v>
      </c>
      <c r="AN253" s="75">
        <v>10396</v>
      </c>
      <c r="AO253" s="75">
        <v>20525</v>
      </c>
      <c r="AP253" s="75">
        <v>20676</v>
      </c>
      <c r="AQ253" s="75">
        <v>20364000</v>
      </c>
      <c r="AR253" s="75">
        <v>21146</v>
      </c>
      <c r="AS253" s="75">
        <v>22452</v>
      </c>
      <c r="AT253" s="75">
        <v>22346</v>
      </c>
      <c r="AU253" s="75">
        <v>22263</v>
      </c>
      <c r="AV253" s="75">
        <v>25022</v>
      </c>
    </row>
    <row r="254" spans="1:48" ht="12.5" x14ac:dyDescent="0.25">
      <c r="A254" s="75" t="s">
        <v>513</v>
      </c>
      <c r="B254" s="75" t="s">
        <v>385</v>
      </c>
      <c r="C254" s="145">
        <f t="shared" si="9"/>
        <v>3574.3</v>
      </c>
      <c r="D254" s="145">
        <f t="shared" si="10"/>
        <v>3806.1</v>
      </c>
      <c r="E254" s="145">
        <v>4101000</v>
      </c>
      <c r="F254" s="145">
        <f t="shared" si="11"/>
        <v>11053466.661710775</v>
      </c>
      <c r="G254" s="145">
        <v>4234</v>
      </c>
      <c r="H254" s="145">
        <v>4295</v>
      </c>
      <c r="I254" s="145">
        <v>3930</v>
      </c>
      <c r="J254" s="145">
        <v>2803</v>
      </c>
      <c r="K254" s="145">
        <v>5090</v>
      </c>
      <c r="L254" s="145">
        <v>5101</v>
      </c>
      <c r="M254" s="145">
        <v>7476</v>
      </c>
      <c r="N254" s="145">
        <v>6299</v>
      </c>
      <c r="O254" s="145">
        <v>2410</v>
      </c>
      <c r="P254" s="145">
        <v>2934</v>
      </c>
      <c r="Q254" s="145">
        <v>3339</v>
      </c>
      <c r="R254" s="145">
        <v>4124</v>
      </c>
      <c r="S254" s="145">
        <v>5171</v>
      </c>
      <c r="T254" s="145">
        <v>6130</v>
      </c>
      <c r="U254" s="145">
        <v>2335</v>
      </c>
      <c r="V254" s="145">
        <v>3325</v>
      </c>
      <c r="W254" s="145">
        <v>1348</v>
      </c>
      <c r="X254" s="145">
        <v>2732</v>
      </c>
      <c r="Y254" s="145">
        <v>410</v>
      </c>
      <c r="Z254" s="145">
        <v>318</v>
      </c>
      <c r="AA254" s="145">
        <v>30169</v>
      </c>
      <c r="AB254" s="75">
        <v>31395</v>
      </c>
      <c r="AC254" s="75">
        <v>35062</v>
      </c>
      <c r="AF254"/>
      <c r="AG254"/>
      <c r="AH254" s="75">
        <v>28585</v>
      </c>
      <c r="AI254" s="75">
        <v>28670</v>
      </c>
      <c r="AJ254" s="75">
        <v>28982</v>
      </c>
      <c r="AK254" s="75">
        <v>29202</v>
      </c>
      <c r="AL254" s="75">
        <v>29498</v>
      </c>
      <c r="AM254" s="75">
        <v>29722</v>
      </c>
      <c r="AN254" s="75">
        <v>30135</v>
      </c>
      <c r="AO254" s="75">
        <v>30885</v>
      </c>
      <c r="AP254" s="75">
        <v>30522</v>
      </c>
      <c r="AQ254" s="75">
        <v>28566000</v>
      </c>
      <c r="AR254" s="75">
        <v>27988</v>
      </c>
      <c r="AS254" s="75">
        <v>27443</v>
      </c>
      <c r="AT254" s="75">
        <v>30739</v>
      </c>
      <c r="AU254" s="75">
        <v>31395</v>
      </c>
      <c r="AV254" s="75">
        <v>35062</v>
      </c>
    </row>
    <row r="255" spans="1:48" ht="12.5" x14ac:dyDescent="0.25">
      <c r="A255" s="75" t="s">
        <v>522</v>
      </c>
      <c r="B255" s="75" t="s">
        <v>419</v>
      </c>
      <c r="C255" s="145">
        <f t="shared" si="9"/>
        <v>2739.2</v>
      </c>
      <c r="D255" s="145">
        <f t="shared" si="10"/>
        <v>2989.5</v>
      </c>
      <c r="E255" s="145">
        <v>19051000</v>
      </c>
      <c r="F255" s="145">
        <f t="shared" si="11"/>
        <v>34113195.274389543</v>
      </c>
      <c r="G255" s="145">
        <v>11</v>
      </c>
      <c r="H255" s="145">
        <v>470</v>
      </c>
      <c r="I255" s="145">
        <v>11796</v>
      </c>
      <c r="J255" s="145">
        <v>8430</v>
      </c>
      <c r="K255" s="145">
        <v>1821</v>
      </c>
      <c r="L255" s="145">
        <v>6274</v>
      </c>
      <c r="M255" s="145">
        <v>3501</v>
      </c>
      <c r="N255" s="145">
        <v>3206</v>
      </c>
      <c r="O255" s="145">
        <v>6367</v>
      </c>
      <c r="P255" s="145">
        <v>8397</v>
      </c>
      <c r="Q255" s="145">
        <v>1355</v>
      </c>
      <c r="R255" s="145">
        <v>-785</v>
      </c>
      <c r="S255" s="145">
        <v>473</v>
      </c>
      <c r="T255" s="145">
        <v>1103</v>
      </c>
      <c r="U255" s="145">
        <v>1398</v>
      </c>
      <c r="V255" s="145">
        <v>1669</v>
      </c>
      <c r="W255" s="145">
        <v>656</v>
      </c>
      <c r="X255" s="145">
        <v>889</v>
      </c>
      <c r="Y255" s="145">
        <v>14</v>
      </c>
      <c r="Z255" s="145">
        <v>242</v>
      </c>
      <c r="AA255" s="145">
        <v>92487</v>
      </c>
      <c r="AB255" s="75">
        <v>381273</v>
      </c>
      <c r="AC255" s="75">
        <v>390378</v>
      </c>
      <c r="AF255"/>
      <c r="AG255"/>
      <c r="AH255" s="75">
        <v>93315</v>
      </c>
      <c r="AI255" s="75">
        <v>92962</v>
      </c>
      <c r="AJ255" s="75">
        <v>92627</v>
      </c>
      <c r="AK255" s="75">
        <v>92487</v>
      </c>
      <c r="AL255" s="75">
        <v>91743</v>
      </c>
      <c r="AM255" s="75">
        <v>91728</v>
      </c>
      <c r="AN255" s="75">
        <v>92234</v>
      </c>
      <c r="AO255" s="75">
        <v>357392</v>
      </c>
      <c r="AP255" s="75">
        <v>337430</v>
      </c>
      <c r="AQ255" s="75">
        <v>371317000</v>
      </c>
      <c r="AR255" s="75">
        <v>381223</v>
      </c>
      <c r="AS255" s="75">
        <v>375361</v>
      </c>
      <c r="AT255" s="75">
        <v>373995</v>
      </c>
      <c r="AU255" s="75">
        <v>381273</v>
      </c>
      <c r="AV255" s="75">
        <v>390378</v>
      </c>
    </row>
    <row r="256" spans="1:48" ht="12.5" x14ac:dyDescent="0.25">
      <c r="A256" s="75" t="s">
        <v>517</v>
      </c>
      <c r="B256" s="75" t="s">
        <v>316</v>
      </c>
      <c r="C256" s="145">
        <f t="shared" si="9"/>
        <v>659.2</v>
      </c>
      <c r="D256" s="145">
        <f t="shared" si="10"/>
        <v>596.20000000000005</v>
      </c>
      <c r="E256" s="145">
        <v>3219000</v>
      </c>
      <c r="F256" s="145">
        <f t="shared" si="11"/>
        <v>9628364.5741098169</v>
      </c>
      <c r="G256" s="145">
        <v>0</v>
      </c>
      <c r="H256" s="145">
        <v>0</v>
      </c>
      <c r="I256" s="145">
        <v>3865</v>
      </c>
      <c r="J256" s="145">
        <v>3080</v>
      </c>
      <c r="K256" s="145">
        <v>1608</v>
      </c>
      <c r="L256" s="145">
        <v>2571</v>
      </c>
      <c r="M256" s="145">
        <v>451</v>
      </c>
      <c r="N256" s="145">
        <v>19</v>
      </c>
      <c r="O256" s="145">
        <v>54</v>
      </c>
      <c r="P256" s="145">
        <v>25</v>
      </c>
      <c r="Q256" s="145">
        <v>216</v>
      </c>
      <c r="R256" s="145">
        <v>175</v>
      </c>
      <c r="S256" s="145">
        <v>60</v>
      </c>
      <c r="T256" s="145">
        <v>60</v>
      </c>
      <c r="U256" s="145">
        <v>429</v>
      </c>
      <c r="V256" s="145">
        <v>18</v>
      </c>
      <c r="W256" s="145">
        <v>-49</v>
      </c>
      <c r="X256" s="145">
        <v>8</v>
      </c>
      <c r="Y256" s="145">
        <v>-42</v>
      </c>
      <c r="Z256" s="145">
        <v>6</v>
      </c>
      <c r="AA256" s="145">
        <v>26601</v>
      </c>
      <c r="AB256" s="75">
        <v>70720</v>
      </c>
      <c r="AC256" s="75">
        <v>75318</v>
      </c>
      <c r="AF256"/>
      <c r="AG256"/>
      <c r="AH256" s="75">
        <v>24999</v>
      </c>
      <c r="AI256" s="75">
        <v>25017</v>
      </c>
      <c r="AJ256" s="75">
        <v>25018</v>
      </c>
      <c r="AK256" s="75">
        <v>25214</v>
      </c>
      <c r="AL256" s="75">
        <v>25597</v>
      </c>
      <c r="AM256" s="75">
        <v>25890</v>
      </c>
      <c r="AN256" s="75">
        <v>26184</v>
      </c>
      <c r="AO256" s="75">
        <v>52522</v>
      </c>
      <c r="AP256" s="75">
        <v>56388</v>
      </c>
      <c r="AQ256" s="75">
        <v>59116000</v>
      </c>
      <c r="AR256" s="75">
        <v>60335</v>
      </c>
      <c r="AS256" s="75">
        <v>64280</v>
      </c>
      <c r="AT256" s="75">
        <v>66809</v>
      </c>
      <c r="AU256" s="75">
        <v>70720</v>
      </c>
      <c r="AV256" s="75">
        <v>75318</v>
      </c>
    </row>
    <row r="257" spans="1:48" ht="12.5" x14ac:dyDescent="0.25">
      <c r="A257" s="75" t="s">
        <v>524</v>
      </c>
      <c r="B257" s="75" t="s">
        <v>336</v>
      </c>
      <c r="C257" s="145">
        <f t="shared" si="9"/>
        <v>1454</v>
      </c>
      <c r="D257" s="145">
        <f t="shared" si="10"/>
        <v>1799.9</v>
      </c>
      <c r="E257" s="145">
        <v>6575000</v>
      </c>
      <c r="F257" s="145">
        <f t="shared" si="11"/>
        <v>8604165.4224258289</v>
      </c>
      <c r="G257" s="145">
        <v>106</v>
      </c>
      <c r="H257" s="145">
        <v>2228</v>
      </c>
      <c r="I257" s="145">
        <v>300</v>
      </c>
      <c r="J257" s="145">
        <v>1383</v>
      </c>
      <c r="K257" s="145">
        <v>1128</v>
      </c>
      <c r="L257" s="145">
        <v>1751</v>
      </c>
      <c r="M257" s="145">
        <v>1904</v>
      </c>
      <c r="N257" s="145">
        <v>2032</v>
      </c>
      <c r="O257" s="145">
        <v>2645</v>
      </c>
      <c r="P257" s="145">
        <v>1801</v>
      </c>
      <c r="Q257" s="145">
        <v>1581</v>
      </c>
      <c r="R257" s="145">
        <v>1547</v>
      </c>
      <c r="S257" s="145">
        <v>1337</v>
      </c>
      <c r="T257" s="145">
        <v>801</v>
      </c>
      <c r="U257" s="145">
        <v>2364</v>
      </c>
      <c r="V257" s="145">
        <v>2519</v>
      </c>
      <c r="W257" s="145">
        <v>2326</v>
      </c>
      <c r="X257" s="145">
        <v>2517</v>
      </c>
      <c r="Y257" s="145">
        <v>849</v>
      </c>
      <c r="Z257" s="145">
        <v>1420</v>
      </c>
      <c r="AA257" s="145">
        <v>23098</v>
      </c>
      <c r="AB257" s="75">
        <v>98859</v>
      </c>
      <c r="AC257" s="75">
        <v>101780</v>
      </c>
      <c r="AF257"/>
      <c r="AG257"/>
      <c r="AH257" s="75">
        <v>23654</v>
      </c>
      <c r="AI257" s="75">
        <v>23527</v>
      </c>
      <c r="AJ257" s="75">
        <v>23391</v>
      </c>
      <c r="AK257" s="75">
        <v>23230</v>
      </c>
      <c r="AL257" s="75">
        <v>23166</v>
      </c>
      <c r="AM257" s="75">
        <v>23136</v>
      </c>
      <c r="AN257" s="75">
        <v>23243</v>
      </c>
      <c r="AO257" s="75">
        <v>90674</v>
      </c>
      <c r="AP257" s="75">
        <v>95620</v>
      </c>
      <c r="AQ257" s="75">
        <v>96070000</v>
      </c>
      <c r="AR257" s="75">
        <v>97636</v>
      </c>
      <c r="AS257" s="75">
        <v>96931</v>
      </c>
      <c r="AT257" s="75">
        <v>99184</v>
      </c>
      <c r="AU257" s="75">
        <v>98859</v>
      </c>
      <c r="AV257" s="75">
        <v>101780</v>
      </c>
    </row>
    <row r="258" spans="1:48" ht="12.5" x14ac:dyDescent="0.25">
      <c r="A258" s="75" t="s">
        <v>516</v>
      </c>
      <c r="B258" s="75" t="s">
        <v>134</v>
      </c>
      <c r="C258" s="145">
        <f t="shared" si="9"/>
        <v>3287.2</v>
      </c>
      <c r="D258" s="145">
        <f t="shared" si="10"/>
        <v>3319.1</v>
      </c>
      <c r="E258" s="145">
        <v>12669000</v>
      </c>
      <c r="F258" s="145">
        <f t="shared" si="11"/>
        <v>20789680.819694359</v>
      </c>
      <c r="G258" s="145">
        <v>2380</v>
      </c>
      <c r="H258" s="145">
        <v>2462</v>
      </c>
      <c r="I258" s="145">
        <v>848</v>
      </c>
      <c r="J258" s="145">
        <v>3199</v>
      </c>
      <c r="K258" s="145">
        <v>1076</v>
      </c>
      <c r="L258" s="145">
        <v>2938</v>
      </c>
      <c r="M258" s="145">
        <v>2498</v>
      </c>
      <c r="N258" s="145">
        <v>2056</v>
      </c>
      <c r="O258" s="145">
        <v>6577</v>
      </c>
      <c r="P258" s="145">
        <v>6274</v>
      </c>
      <c r="Q258" s="145">
        <v>4989</v>
      </c>
      <c r="R258" s="145">
        <v>4817</v>
      </c>
      <c r="S258" s="145">
        <v>4453</v>
      </c>
      <c r="T258" s="145">
        <v>3357</v>
      </c>
      <c r="U258" s="145">
        <v>1807</v>
      </c>
      <c r="V258" s="145">
        <v>1730</v>
      </c>
      <c r="W258" s="145">
        <v>4453</v>
      </c>
      <c r="X258" s="145">
        <v>3367</v>
      </c>
      <c r="Y258" s="145">
        <v>3791</v>
      </c>
      <c r="Z258" s="145">
        <v>2991</v>
      </c>
      <c r="AA258" s="145">
        <v>57095</v>
      </c>
      <c r="AB258" s="75">
        <v>184215</v>
      </c>
      <c r="AC258" s="75">
        <v>189999</v>
      </c>
      <c r="AF258"/>
      <c r="AG258"/>
      <c r="AH258" s="75">
        <v>55697</v>
      </c>
      <c r="AI258" s="75">
        <v>55898</v>
      </c>
      <c r="AJ258" s="75">
        <v>55939</v>
      </c>
      <c r="AK258" s="75">
        <v>56214</v>
      </c>
      <c r="AL258" s="75">
        <v>56040</v>
      </c>
      <c r="AM258" s="75">
        <v>55902</v>
      </c>
      <c r="AN258" s="75">
        <v>56098</v>
      </c>
      <c r="AO258" s="75">
        <v>170756</v>
      </c>
      <c r="AP258" s="75">
        <v>176959</v>
      </c>
      <c r="AQ258" s="75">
        <v>181447000</v>
      </c>
      <c r="AR258" s="75">
        <v>178787</v>
      </c>
      <c r="AS258" s="75">
        <v>185609</v>
      </c>
      <c r="AT258" s="75">
        <v>184053</v>
      </c>
      <c r="AU258" s="75">
        <v>184215</v>
      </c>
      <c r="AV258" s="75">
        <v>189999</v>
      </c>
    </row>
    <row r="259" spans="1:48" ht="12.5" x14ac:dyDescent="0.25">
      <c r="A259" s="75" t="s">
        <v>520</v>
      </c>
      <c r="B259" s="75" t="s">
        <v>227</v>
      </c>
      <c r="C259" s="145">
        <f t="shared" ref="C259:C322" si="12">SUM(G259,I259,K259,M259,O259,Q259,S259,U259,W259,Y259)/10</f>
        <v>5711.2</v>
      </c>
      <c r="D259" s="145">
        <f t="shared" ref="D259:D322" si="13">SUM(H259,J259,L259,N259,P259,R259,T259,V259,X259,Z259)/10</f>
        <v>6363.1</v>
      </c>
      <c r="E259" s="145">
        <v>6085000</v>
      </c>
      <c r="F259" s="145">
        <f t="shared" ref="F259:F322" si="14">AM259*$AF$15</f>
        <v>17520350.847851973</v>
      </c>
      <c r="G259" s="145">
        <v>7850</v>
      </c>
      <c r="H259" s="145">
        <v>7661</v>
      </c>
      <c r="I259" s="145">
        <v>1529</v>
      </c>
      <c r="J259" s="145">
        <v>1365</v>
      </c>
      <c r="K259" s="145">
        <v>10466</v>
      </c>
      <c r="L259" s="145">
        <v>10480</v>
      </c>
      <c r="M259" s="145">
        <v>5705</v>
      </c>
      <c r="N259" s="145">
        <v>5889</v>
      </c>
      <c r="O259" s="145">
        <v>7275</v>
      </c>
      <c r="P259" s="145">
        <v>7535</v>
      </c>
      <c r="Q259" s="145">
        <v>3821</v>
      </c>
      <c r="R259" s="145">
        <v>4399</v>
      </c>
      <c r="S259" s="145">
        <v>9779</v>
      </c>
      <c r="T259" s="145">
        <v>10418</v>
      </c>
      <c r="U259" s="145">
        <v>4818</v>
      </c>
      <c r="V259" s="145">
        <v>5214</v>
      </c>
      <c r="W259" s="145">
        <v>2766</v>
      </c>
      <c r="X259" s="145">
        <v>3354</v>
      </c>
      <c r="Y259" s="145">
        <v>3103</v>
      </c>
      <c r="Z259" s="145">
        <v>7316</v>
      </c>
      <c r="AA259" s="145">
        <v>48001</v>
      </c>
      <c r="AB259" s="75">
        <v>85870</v>
      </c>
      <c r="AC259" s="75">
        <v>87364</v>
      </c>
      <c r="AF259"/>
      <c r="AG259"/>
      <c r="AH259" s="75">
        <v>45855</v>
      </c>
      <c r="AI259" s="75">
        <v>46094</v>
      </c>
      <c r="AJ259" s="75">
        <v>46194</v>
      </c>
      <c r="AK259" s="75">
        <v>46620</v>
      </c>
      <c r="AL259" s="75">
        <v>46906</v>
      </c>
      <c r="AM259" s="75">
        <v>47111</v>
      </c>
      <c r="AN259" s="75">
        <v>47439</v>
      </c>
      <c r="AO259" s="75">
        <v>76333</v>
      </c>
      <c r="AP259" s="75">
        <v>76712</v>
      </c>
      <c r="AQ259" s="75">
        <v>78376000</v>
      </c>
      <c r="AR259" s="75">
        <v>82584</v>
      </c>
      <c r="AS259" s="75">
        <v>80730</v>
      </c>
      <c r="AT259" s="75">
        <v>82405</v>
      </c>
      <c r="AU259" s="75">
        <v>85870</v>
      </c>
      <c r="AV259" s="75">
        <v>87364</v>
      </c>
    </row>
    <row r="260" spans="1:48" ht="12.5" x14ac:dyDescent="0.25">
      <c r="A260" s="75" t="s">
        <v>513</v>
      </c>
      <c r="B260" s="75" t="s">
        <v>386</v>
      </c>
      <c r="C260" s="145">
        <f t="shared" si="12"/>
        <v>5494.4</v>
      </c>
      <c r="D260" s="145">
        <f t="shared" si="13"/>
        <v>4784.6000000000004</v>
      </c>
      <c r="E260" s="145">
        <v>2112000</v>
      </c>
      <c r="F260" s="145">
        <f t="shared" si="14"/>
        <v>7326705.6961968904</v>
      </c>
      <c r="G260" s="145">
        <v>3924</v>
      </c>
      <c r="H260" s="145">
        <v>3929</v>
      </c>
      <c r="I260" s="145">
        <v>7834</v>
      </c>
      <c r="J260" s="145">
        <v>3932</v>
      </c>
      <c r="K260" s="145">
        <v>5241</v>
      </c>
      <c r="L260" s="145">
        <v>3282</v>
      </c>
      <c r="M260" s="145">
        <v>6428</v>
      </c>
      <c r="N260" s="145">
        <v>5296</v>
      </c>
      <c r="O260" s="145">
        <v>5408</v>
      </c>
      <c r="P260" s="145">
        <v>5421</v>
      </c>
      <c r="Q260" s="145">
        <v>4466</v>
      </c>
      <c r="R260" s="145">
        <v>4695</v>
      </c>
      <c r="S260" s="145">
        <v>6388</v>
      </c>
      <c r="T260" s="145">
        <v>6048</v>
      </c>
      <c r="U260" s="145">
        <v>7098</v>
      </c>
      <c r="V260" s="145">
        <v>7497</v>
      </c>
      <c r="W260" s="145">
        <v>5058</v>
      </c>
      <c r="X260" s="145">
        <v>4639</v>
      </c>
      <c r="Y260" s="145">
        <v>3099</v>
      </c>
      <c r="Z260" s="145">
        <v>3107</v>
      </c>
      <c r="AA260" s="145">
        <v>20214</v>
      </c>
      <c r="AB260" s="75">
        <v>38995</v>
      </c>
      <c r="AC260" s="75">
        <v>40483</v>
      </c>
      <c r="AF260"/>
      <c r="AG260"/>
      <c r="AH260" s="75">
        <v>19035</v>
      </c>
      <c r="AI260" s="75">
        <v>19134</v>
      </c>
      <c r="AJ260" s="75">
        <v>19321</v>
      </c>
      <c r="AK260" s="75">
        <v>19395</v>
      </c>
      <c r="AL260" s="75">
        <v>19428</v>
      </c>
      <c r="AM260" s="75">
        <v>19701</v>
      </c>
      <c r="AN260" s="75">
        <v>20061</v>
      </c>
      <c r="AO260" s="75">
        <v>47776</v>
      </c>
      <c r="AP260" s="75">
        <v>45068</v>
      </c>
      <c r="AQ260" s="75">
        <v>34755000</v>
      </c>
      <c r="AR260" s="75">
        <v>32469</v>
      </c>
      <c r="AS260" s="75">
        <v>34951</v>
      </c>
      <c r="AT260" s="75">
        <v>38306</v>
      </c>
      <c r="AU260" s="75">
        <v>38995</v>
      </c>
      <c r="AV260" s="75">
        <v>40483</v>
      </c>
    </row>
    <row r="261" spans="1:48" ht="12.5" x14ac:dyDescent="0.25">
      <c r="A261" s="75" t="s">
        <v>513</v>
      </c>
      <c r="B261" s="75" t="s">
        <v>387</v>
      </c>
      <c r="C261" s="145">
        <f t="shared" si="12"/>
        <v>6598.5</v>
      </c>
      <c r="D261" s="145">
        <f t="shared" si="13"/>
        <v>6388.2</v>
      </c>
      <c r="E261" s="145">
        <v>2910000</v>
      </c>
      <c r="F261" s="145">
        <f t="shared" si="14"/>
        <v>6610435.7012283504</v>
      </c>
      <c r="G261" s="145">
        <v>3785</v>
      </c>
      <c r="H261" s="145">
        <v>3893</v>
      </c>
      <c r="I261" s="145">
        <v>5763</v>
      </c>
      <c r="J261" s="145">
        <v>5871</v>
      </c>
      <c r="K261" s="145">
        <v>5392</v>
      </c>
      <c r="L261" s="145">
        <v>5430</v>
      </c>
      <c r="M261" s="145">
        <v>10668</v>
      </c>
      <c r="N261" s="145">
        <v>7561</v>
      </c>
      <c r="O261" s="145">
        <v>13940</v>
      </c>
      <c r="P261" s="145">
        <v>12744</v>
      </c>
      <c r="Q261" s="145">
        <v>7821</v>
      </c>
      <c r="R261" s="145">
        <v>7191</v>
      </c>
      <c r="S261" s="145">
        <v>13913</v>
      </c>
      <c r="T261" s="145">
        <v>12926</v>
      </c>
      <c r="U261" s="145">
        <v>2746</v>
      </c>
      <c r="V261" s="145">
        <v>1850</v>
      </c>
      <c r="W261" s="145">
        <v>468</v>
      </c>
      <c r="X261" s="145">
        <v>5409</v>
      </c>
      <c r="Y261" s="145">
        <v>1489</v>
      </c>
      <c r="Z261" s="145">
        <v>1007</v>
      </c>
      <c r="AA261" s="145">
        <v>18130</v>
      </c>
      <c r="AB261" s="75">
        <v>48333</v>
      </c>
      <c r="AC261" s="75">
        <v>56066</v>
      </c>
      <c r="AF261"/>
      <c r="AG261"/>
      <c r="AH261" s="75">
        <v>16628</v>
      </c>
      <c r="AI261" s="75">
        <v>16745</v>
      </c>
      <c r="AJ261" s="75">
        <v>16911</v>
      </c>
      <c r="AK261" s="75">
        <v>17279</v>
      </c>
      <c r="AL261" s="75">
        <v>17552</v>
      </c>
      <c r="AM261" s="75">
        <v>17775</v>
      </c>
      <c r="AN261" s="75">
        <v>18010</v>
      </c>
      <c r="AO261" s="75">
        <v>27815</v>
      </c>
      <c r="AP261" s="75">
        <v>31268</v>
      </c>
      <c r="AQ261" s="75">
        <v>31110000</v>
      </c>
      <c r="AR261" s="75">
        <v>34197</v>
      </c>
      <c r="AS261" s="75">
        <v>39690</v>
      </c>
      <c r="AT261" s="75">
        <v>43494</v>
      </c>
      <c r="AU261" s="75">
        <v>48333</v>
      </c>
      <c r="AV261" s="75">
        <v>56066</v>
      </c>
    </row>
    <row r="262" spans="1:48" ht="12.5" x14ac:dyDescent="0.25">
      <c r="A262" s="75" t="s">
        <v>521</v>
      </c>
      <c r="B262" s="75" t="s">
        <v>123</v>
      </c>
      <c r="C262" s="145">
        <f t="shared" si="12"/>
        <v>777.8</v>
      </c>
      <c r="D262" s="145">
        <f t="shared" si="13"/>
        <v>893.9</v>
      </c>
      <c r="E262" s="145">
        <v>4012000</v>
      </c>
      <c r="F262" s="145">
        <f t="shared" si="14"/>
        <v>11842256.204456504</v>
      </c>
      <c r="G262" s="145">
        <v>654</v>
      </c>
      <c r="H262" s="145">
        <v>329</v>
      </c>
      <c r="I262" s="145">
        <v>2015</v>
      </c>
      <c r="J262" s="145">
        <v>3339</v>
      </c>
      <c r="K262" s="145">
        <v>1459</v>
      </c>
      <c r="L262" s="145">
        <v>2045</v>
      </c>
      <c r="M262" s="145">
        <v>661</v>
      </c>
      <c r="N262" s="145">
        <v>689</v>
      </c>
      <c r="O262" s="145">
        <v>571</v>
      </c>
      <c r="P262" s="145">
        <v>644</v>
      </c>
      <c r="Q262" s="145">
        <v>760</v>
      </c>
      <c r="R262" s="145">
        <v>740</v>
      </c>
      <c r="S262" s="145">
        <v>1173</v>
      </c>
      <c r="T262" s="145">
        <v>673</v>
      </c>
      <c r="U262" s="145">
        <v>128</v>
      </c>
      <c r="V262" s="145">
        <v>127</v>
      </c>
      <c r="W262" s="145">
        <v>60</v>
      </c>
      <c r="X262" s="145">
        <v>59</v>
      </c>
      <c r="Y262" s="145">
        <v>297</v>
      </c>
      <c r="Z262" s="145">
        <v>294</v>
      </c>
      <c r="AA262" s="145">
        <v>32045</v>
      </c>
      <c r="AB262" s="75">
        <v>89729</v>
      </c>
      <c r="AC262" s="75">
        <v>90931</v>
      </c>
      <c r="AF262"/>
      <c r="AG262"/>
      <c r="AH262" s="75">
        <v>32255</v>
      </c>
      <c r="AI262" s="75">
        <v>32283</v>
      </c>
      <c r="AJ262" s="75">
        <v>31801</v>
      </c>
      <c r="AK262" s="75">
        <v>31708</v>
      </c>
      <c r="AL262" s="75">
        <v>31754</v>
      </c>
      <c r="AM262" s="75">
        <v>31843</v>
      </c>
      <c r="AN262" s="75">
        <v>32135</v>
      </c>
      <c r="AO262" s="75">
        <v>75563</v>
      </c>
      <c r="AP262" s="75">
        <v>73595</v>
      </c>
      <c r="AQ262" s="75">
        <v>84325000</v>
      </c>
      <c r="AR262" s="75">
        <v>87174</v>
      </c>
      <c r="AS262" s="75">
        <v>88268</v>
      </c>
      <c r="AT262" s="75">
        <v>89492</v>
      </c>
      <c r="AU262" s="75">
        <v>89729</v>
      </c>
      <c r="AV262" s="75">
        <v>90931</v>
      </c>
    </row>
    <row r="263" spans="1:48" ht="12.5" x14ac:dyDescent="0.25">
      <c r="A263" s="75" t="s">
        <v>518</v>
      </c>
      <c r="B263" s="75" t="s">
        <v>156</v>
      </c>
      <c r="C263" s="145">
        <f t="shared" si="12"/>
        <v>2936.1</v>
      </c>
      <c r="D263" s="145">
        <f t="shared" si="13"/>
        <v>1826.7</v>
      </c>
      <c r="E263" s="145">
        <v>2558000</v>
      </c>
      <c r="F263" s="145">
        <f t="shared" si="14"/>
        <v>6426719.5135261388</v>
      </c>
      <c r="G263" s="145">
        <v>2271</v>
      </c>
      <c r="H263" s="145">
        <v>2487</v>
      </c>
      <c r="I263" s="145">
        <v>7741</v>
      </c>
      <c r="J263" s="145">
        <v>3933</v>
      </c>
      <c r="K263" s="145">
        <v>5116</v>
      </c>
      <c r="L263" s="145">
        <v>2565</v>
      </c>
      <c r="M263" s="145">
        <v>3576</v>
      </c>
      <c r="N263" s="145">
        <v>1138</v>
      </c>
      <c r="O263" s="145">
        <v>2069</v>
      </c>
      <c r="P263" s="145">
        <v>1154</v>
      </c>
      <c r="Q263" s="145">
        <v>2093</v>
      </c>
      <c r="R263" s="145">
        <v>2628</v>
      </c>
      <c r="S263" s="145">
        <v>1526</v>
      </c>
      <c r="T263" s="145">
        <v>913</v>
      </c>
      <c r="U263" s="145">
        <v>1080</v>
      </c>
      <c r="V263" s="145">
        <v>975</v>
      </c>
      <c r="W263" s="145">
        <v>2282</v>
      </c>
      <c r="X263" s="145">
        <v>1063</v>
      </c>
      <c r="Y263" s="145">
        <v>1607</v>
      </c>
      <c r="Z263" s="145">
        <v>1411</v>
      </c>
      <c r="AA263" s="145">
        <v>17973</v>
      </c>
      <c r="AB263" s="75">
        <v>29531</v>
      </c>
      <c r="AC263" s="75">
        <v>30027</v>
      </c>
      <c r="AF263"/>
      <c r="AG263"/>
      <c r="AH263" s="75">
        <v>16694</v>
      </c>
      <c r="AI263" s="75">
        <v>16796</v>
      </c>
      <c r="AJ263" s="75">
        <v>17005</v>
      </c>
      <c r="AK263" s="75">
        <v>17123</v>
      </c>
      <c r="AL263" s="75">
        <v>17261</v>
      </c>
      <c r="AM263" s="75">
        <v>17281</v>
      </c>
      <c r="AN263" s="75">
        <v>17628</v>
      </c>
      <c r="AO263" s="75">
        <v>31748</v>
      </c>
      <c r="AP263" s="75">
        <v>32342</v>
      </c>
      <c r="AQ263" s="75">
        <v>29209000</v>
      </c>
      <c r="AR263" s="75">
        <v>28650</v>
      </c>
      <c r="AS263" s="75">
        <v>30097</v>
      </c>
      <c r="AT263" s="75">
        <v>29020</v>
      </c>
      <c r="AU263" s="75">
        <v>29531</v>
      </c>
      <c r="AV263" s="75">
        <v>30027</v>
      </c>
    </row>
    <row r="264" spans="1:48" ht="12.5" x14ac:dyDescent="0.25">
      <c r="A264" s="75" t="s">
        <v>514</v>
      </c>
      <c r="B264" s="75" t="s">
        <v>270</v>
      </c>
      <c r="C264" s="145">
        <f t="shared" si="12"/>
        <v>1493</v>
      </c>
      <c r="D264" s="145">
        <f t="shared" si="13"/>
        <v>2032.6</v>
      </c>
      <c r="E264" s="145">
        <v>2666000</v>
      </c>
      <c r="F264" s="145">
        <f t="shared" si="14"/>
        <v>8163841.6041274117</v>
      </c>
      <c r="G264" s="145">
        <v>0</v>
      </c>
      <c r="H264" s="145">
        <v>3</v>
      </c>
      <c r="I264" s="145">
        <v>919</v>
      </c>
      <c r="J264" s="145">
        <v>106</v>
      </c>
      <c r="K264" s="145">
        <v>2896</v>
      </c>
      <c r="L264" s="145">
        <v>4893</v>
      </c>
      <c r="M264" s="145">
        <v>1164</v>
      </c>
      <c r="N264" s="145">
        <v>5135</v>
      </c>
      <c r="O264" s="145">
        <v>1205</v>
      </c>
      <c r="P264" s="145">
        <v>1345</v>
      </c>
      <c r="Q264" s="145">
        <v>284</v>
      </c>
      <c r="R264" s="145">
        <v>545</v>
      </c>
      <c r="S264" s="145">
        <v>7830</v>
      </c>
      <c r="T264" s="145">
        <v>7965</v>
      </c>
      <c r="U264" s="145">
        <v>591</v>
      </c>
      <c r="V264" s="145">
        <v>173</v>
      </c>
      <c r="W264" s="145">
        <v>41</v>
      </c>
      <c r="X264" s="145">
        <v>125</v>
      </c>
      <c r="Y264" s="145">
        <v>0</v>
      </c>
      <c r="Z264" s="145">
        <v>36</v>
      </c>
      <c r="AA264" s="145">
        <v>22252</v>
      </c>
      <c r="AB264" s="75">
        <v>46292</v>
      </c>
      <c r="AC264" s="75">
        <v>45810</v>
      </c>
      <c r="AF264"/>
      <c r="AG264"/>
      <c r="AH264" s="75">
        <v>21553</v>
      </c>
      <c r="AI264" s="75">
        <v>21670</v>
      </c>
      <c r="AJ264" s="75">
        <v>21702</v>
      </c>
      <c r="AK264" s="75">
        <v>21718</v>
      </c>
      <c r="AL264" s="75">
        <v>21743</v>
      </c>
      <c r="AM264" s="75">
        <v>21952</v>
      </c>
      <c r="AN264" s="75">
        <v>22138</v>
      </c>
      <c r="AO264" s="75">
        <v>44907</v>
      </c>
      <c r="AP264" s="75">
        <v>0</v>
      </c>
      <c r="AQ264" s="75">
        <v>45925000</v>
      </c>
      <c r="AR264" s="75">
        <v>48590</v>
      </c>
      <c r="AS264" s="75">
        <v>47589</v>
      </c>
      <c r="AT264" s="75">
        <v>50253</v>
      </c>
      <c r="AU264" s="75">
        <v>46292</v>
      </c>
      <c r="AV264" s="75">
        <v>45810</v>
      </c>
    </row>
    <row r="265" spans="1:48" ht="12.5" x14ac:dyDescent="0.25">
      <c r="A265" s="75" t="s">
        <v>513</v>
      </c>
      <c r="B265" s="75" t="s">
        <v>388</v>
      </c>
      <c r="C265" s="145">
        <f t="shared" si="12"/>
        <v>2228.9</v>
      </c>
      <c r="D265" s="145">
        <f t="shared" si="13"/>
        <v>2260.6999999999998</v>
      </c>
      <c r="E265" s="145">
        <v>3660000</v>
      </c>
      <c r="F265" s="145">
        <f t="shared" si="14"/>
        <v>9053042.8284107856</v>
      </c>
      <c r="G265" s="145">
        <v>1910</v>
      </c>
      <c r="H265" s="145">
        <v>1958</v>
      </c>
      <c r="I265" s="145">
        <v>1875</v>
      </c>
      <c r="J265" s="145">
        <v>1980</v>
      </c>
      <c r="K265" s="145">
        <v>2726</v>
      </c>
      <c r="L265" s="145">
        <v>2941</v>
      </c>
      <c r="M265" s="145">
        <v>1353</v>
      </c>
      <c r="N265" s="145">
        <v>1326</v>
      </c>
      <c r="O265" s="145">
        <v>3551</v>
      </c>
      <c r="P265" s="145">
        <v>3554</v>
      </c>
      <c r="Q265" s="145">
        <v>2397</v>
      </c>
      <c r="R265" s="145">
        <v>2330</v>
      </c>
      <c r="S265" s="145">
        <v>1439</v>
      </c>
      <c r="T265" s="145">
        <v>1348</v>
      </c>
      <c r="U265" s="145">
        <v>3277</v>
      </c>
      <c r="V265" s="145">
        <v>3309</v>
      </c>
      <c r="W265" s="145">
        <v>2406</v>
      </c>
      <c r="X265" s="145">
        <v>2557</v>
      </c>
      <c r="Y265" s="145">
        <v>1355</v>
      </c>
      <c r="Z265" s="145">
        <v>1304</v>
      </c>
      <c r="AA265" s="145">
        <v>24584</v>
      </c>
      <c r="AB265" s="75">
        <v>48395</v>
      </c>
      <c r="AC265" s="75">
        <v>50065</v>
      </c>
      <c r="AF265"/>
      <c r="AG265"/>
      <c r="AH265" s="75">
        <v>23971</v>
      </c>
      <c r="AI265" s="75">
        <v>24814</v>
      </c>
      <c r="AJ265" s="75">
        <v>25053</v>
      </c>
      <c r="AK265" s="75">
        <v>24626</v>
      </c>
      <c r="AL265" s="75">
        <v>24310</v>
      </c>
      <c r="AM265" s="75">
        <v>24343</v>
      </c>
      <c r="AN265" s="75">
        <v>24610</v>
      </c>
      <c r="AO265" s="75">
        <v>42234</v>
      </c>
      <c r="AP265" s="75">
        <v>42318</v>
      </c>
      <c r="AQ265" s="75">
        <v>40271000</v>
      </c>
      <c r="AR265" s="75">
        <v>43628</v>
      </c>
      <c r="AS265" s="75">
        <v>47700</v>
      </c>
      <c r="AT265" s="75">
        <v>47804</v>
      </c>
      <c r="AU265" s="75">
        <v>48395</v>
      </c>
      <c r="AV265" s="75">
        <v>50065</v>
      </c>
    </row>
    <row r="266" spans="1:48" ht="12.5" x14ac:dyDescent="0.25">
      <c r="A266" s="75" t="s">
        <v>518</v>
      </c>
      <c r="B266" s="75" t="s">
        <v>157</v>
      </c>
      <c r="C266" s="145">
        <f t="shared" si="12"/>
        <v>5088.6000000000004</v>
      </c>
      <c r="D266" s="145">
        <f t="shared" si="13"/>
        <v>5214.8</v>
      </c>
      <c r="E266" s="145">
        <v>6739000</v>
      </c>
      <c r="F266" s="145">
        <f t="shared" si="14"/>
        <v>16639331.316138331</v>
      </c>
      <c r="G266" s="145">
        <v>3254</v>
      </c>
      <c r="H266" s="145">
        <v>3009</v>
      </c>
      <c r="I266" s="145">
        <v>9163</v>
      </c>
      <c r="J266" s="145">
        <v>9282</v>
      </c>
      <c r="K266" s="145">
        <v>6439</v>
      </c>
      <c r="L266" s="145">
        <v>8410</v>
      </c>
      <c r="M266" s="145">
        <v>6459</v>
      </c>
      <c r="N266" s="145">
        <v>4134</v>
      </c>
      <c r="O266" s="145">
        <v>7291</v>
      </c>
      <c r="P266" s="145">
        <v>8505</v>
      </c>
      <c r="Q266" s="145">
        <v>4618</v>
      </c>
      <c r="R266" s="145">
        <v>4314</v>
      </c>
      <c r="S266" s="145">
        <v>4022</v>
      </c>
      <c r="T266" s="145">
        <v>3493</v>
      </c>
      <c r="U266" s="145">
        <v>5443</v>
      </c>
      <c r="V266" s="145">
        <v>5045</v>
      </c>
      <c r="W266" s="145">
        <v>3341</v>
      </c>
      <c r="X266" s="145">
        <v>2539</v>
      </c>
      <c r="Y266" s="145">
        <v>856</v>
      </c>
      <c r="Z266" s="145">
        <v>3417</v>
      </c>
      <c r="AA266" s="145">
        <v>45706</v>
      </c>
      <c r="AB266" s="75">
        <v>98182</v>
      </c>
      <c r="AC266" s="75">
        <v>105917</v>
      </c>
      <c r="AF266"/>
      <c r="AG266"/>
      <c r="AH266" s="75">
        <v>43446</v>
      </c>
      <c r="AI266" s="75">
        <v>43772</v>
      </c>
      <c r="AJ266" s="75">
        <v>43931</v>
      </c>
      <c r="AK266" s="75">
        <v>44156</v>
      </c>
      <c r="AL266" s="75">
        <v>44341</v>
      </c>
      <c r="AM266" s="75">
        <v>44742</v>
      </c>
      <c r="AN266" s="75">
        <v>45376</v>
      </c>
      <c r="AO266" s="75">
        <v>93849</v>
      </c>
      <c r="AP266" s="75">
        <v>92166</v>
      </c>
      <c r="AQ266" s="75">
        <v>91341000</v>
      </c>
      <c r="AR266" s="75">
        <v>93360</v>
      </c>
      <c r="AS266" s="75">
        <v>95936</v>
      </c>
      <c r="AT266" s="75">
        <v>99250</v>
      </c>
      <c r="AU266" s="75">
        <v>98182</v>
      </c>
      <c r="AV266" s="75">
        <v>105917</v>
      </c>
    </row>
    <row r="267" spans="1:48" ht="12.5" x14ac:dyDescent="0.25">
      <c r="A267" s="75" t="s">
        <v>522</v>
      </c>
      <c r="B267" s="75" t="s">
        <v>727</v>
      </c>
      <c r="C267" s="145">
        <f t="shared" si="12"/>
        <v>2047.5</v>
      </c>
      <c r="D267" s="145">
        <f t="shared" si="13"/>
        <v>1997.7</v>
      </c>
      <c r="E267" s="145">
        <v>4358000</v>
      </c>
      <c r="F267" s="145">
        <f t="shared" si="14"/>
        <v>9226345.9528424274</v>
      </c>
      <c r="G267" s="145">
        <v>2396</v>
      </c>
      <c r="H267" s="145">
        <v>2293</v>
      </c>
      <c r="I267" s="145">
        <v>4667</v>
      </c>
      <c r="J267" s="145">
        <v>4894</v>
      </c>
      <c r="K267" s="145">
        <v>3354</v>
      </c>
      <c r="L267" s="145">
        <v>3529</v>
      </c>
      <c r="M267" s="145">
        <v>2984</v>
      </c>
      <c r="N267" s="145">
        <v>1803</v>
      </c>
      <c r="O267" s="145">
        <v>93</v>
      </c>
      <c r="P267" s="145">
        <v>538</v>
      </c>
      <c r="Q267" s="145">
        <v>1169</v>
      </c>
      <c r="R267" s="145">
        <v>930</v>
      </c>
      <c r="S267" s="145">
        <v>332</v>
      </c>
      <c r="T267" s="145">
        <v>336</v>
      </c>
      <c r="U267" s="145">
        <v>405</v>
      </c>
      <c r="V267" s="145">
        <v>490</v>
      </c>
      <c r="W267" s="145">
        <v>3724</v>
      </c>
      <c r="X267" s="145">
        <v>4000</v>
      </c>
      <c r="Y267" s="145">
        <v>1351</v>
      </c>
      <c r="Z267" s="145">
        <v>1164</v>
      </c>
      <c r="AA267" s="145">
        <v>24652</v>
      </c>
      <c r="AB267" s="75">
        <v>93193</v>
      </c>
      <c r="AC267" s="75">
        <v>93841</v>
      </c>
      <c r="AF267"/>
      <c r="AG267"/>
      <c r="AH267" s="75">
        <v>25065</v>
      </c>
      <c r="AI267" s="75">
        <v>24987</v>
      </c>
      <c r="AJ267" s="75">
        <v>24956</v>
      </c>
      <c r="AK267" s="75">
        <v>24990</v>
      </c>
      <c r="AL267" s="75">
        <v>24875</v>
      </c>
      <c r="AM267" s="75">
        <v>24809</v>
      </c>
      <c r="AN267" s="75">
        <v>24772</v>
      </c>
      <c r="AO267" s="75">
        <v>67853</v>
      </c>
      <c r="AP267" s="75">
        <v>70637</v>
      </c>
      <c r="AQ267" s="75">
        <v>73731000</v>
      </c>
      <c r="AR267" s="75">
        <v>75531</v>
      </c>
      <c r="AS267" s="75">
        <v>80669</v>
      </c>
      <c r="AT267" s="75">
        <v>84002</v>
      </c>
      <c r="AU267" s="75">
        <v>93193</v>
      </c>
      <c r="AV267" s="75">
        <v>93841</v>
      </c>
    </row>
    <row r="268" spans="1:48" ht="12.5" x14ac:dyDescent="0.25">
      <c r="A268" s="75" t="s">
        <v>520</v>
      </c>
      <c r="B268" s="75" t="s">
        <v>228</v>
      </c>
      <c r="C268" s="145">
        <f t="shared" si="12"/>
        <v>1541.8</v>
      </c>
      <c r="D268" s="145">
        <f t="shared" si="13"/>
        <v>1578.9</v>
      </c>
      <c r="E268" s="145">
        <v>11309000</v>
      </c>
      <c r="F268" s="145">
        <f t="shared" si="14"/>
        <v>24261321.735079262</v>
      </c>
      <c r="G268" s="145">
        <v>3796</v>
      </c>
      <c r="H268" s="145">
        <v>3709</v>
      </c>
      <c r="I268" s="145">
        <v>1294</v>
      </c>
      <c r="J268" s="145">
        <v>1324</v>
      </c>
      <c r="K268" s="145">
        <v>81</v>
      </c>
      <c r="L268" s="145">
        <v>689</v>
      </c>
      <c r="M268" s="145">
        <v>611</v>
      </c>
      <c r="N268" s="145">
        <v>905</v>
      </c>
      <c r="O268" s="145">
        <v>3425</v>
      </c>
      <c r="P268" s="145">
        <v>932</v>
      </c>
      <c r="Q268" s="145">
        <v>427</v>
      </c>
      <c r="R268" s="145">
        <v>1115</v>
      </c>
      <c r="S268" s="145">
        <v>1968</v>
      </c>
      <c r="T268" s="145">
        <v>1916</v>
      </c>
      <c r="U268" s="145">
        <v>1929</v>
      </c>
      <c r="V268" s="145">
        <v>2288</v>
      </c>
      <c r="W268" s="145">
        <v>697</v>
      </c>
      <c r="X268" s="145">
        <v>1431</v>
      </c>
      <c r="Y268" s="145">
        <v>1190</v>
      </c>
      <c r="Z268" s="145">
        <v>1480</v>
      </c>
      <c r="AA268" s="145">
        <v>66124</v>
      </c>
      <c r="AB268" s="75">
        <v>166422</v>
      </c>
      <c r="AC268" s="75">
        <v>170401</v>
      </c>
      <c r="AF268"/>
      <c r="AG268"/>
      <c r="AH268" s="75">
        <v>64437</v>
      </c>
      <c r="AI268" s="75">
        <v>64525</v>
      </c>
      <c r="AJ268" s="75">
        <v>64372</v>
      </c>
      <c r="AK268" s="75">
        <v>64857</v>
      </c>
      <c r="AL268" s="75">
        <v>65108</v>
      </c>
      <c r="AM268" s="75">
        <v>65237</v>
      </c>
      <c r="AN268" s="75">
        <v>65771</v>
      </c>
      <c r="AO268" s="75">
        <v>134681</v>
      </c>
      <c r="AP268" s="75">
        <v>136619</v>
      </c>
      <c r="AQ268" s="75">
        <v>141312000</v>
      </c>
      <c r="AR268" s="75">
        <v>148062</v>
      </c>
      <c r="AS268" s="75">
        <v>160287</v>
      </c>
      <c r="AT268" s="75">
        <v>162773</v>
      </c>
      <c r="AU268" s="75">
        <v>166422</v>
      </c>
      <c r="AV268" s="75">
        <v>170401</v>
      </c>
    </row>
    <row r="269" spans="1:48" ht="12.5" x14ac:dyDescent="0.25">
      <c r="A269" s="75" t="s">
        <v>516</v>
      </c>
      <c r="B269" s="75" t="s">
        <v>438</v>
      </c>
      <c r="C269" s="145">
        <f t="shared" si="12"/>
        <v>7716.8</v>
      </c>
      <c r="D269" s="145">
        <f t="shared" si="13"/>
        <v>8140.5</v>
      </c>
      <c r="E269" s="145">
        <v>15691000</v>
      </c>
      <c r="F269" s="145">
        <f t="shared" si="14"/>
        <v>33583244.732940853</v>
      </c>
      <c r="G269" s="145">
        <v>0</v>
      </c>
      <c r="H269" s="145">
        <v>83</v>
      </c>
      <c r="I269" s="145">
        <v>7988</v>
      </c>
      <c r="J269" s="145">
        <v>14690</v>
      </c>
      <c r="K269" s="145">
        <v>6410</v>
      </c>
      <c r="L269" s="145">
        <v>10941</v>
      </c>
      <c r="M269" s="145">
        <v>19628</v>
      </c>
      <c r="N269" s="145">
        <v>20295</v>
      </c>
      <c r="O269" s="145">
        <v>8559</v>
      </c>
      <c r="P269" s="145">
        <v>9717</v>
      </c>
      <c r="Q269" s="145">
        <v>10709</v>
      </c>
      <c r="R269" s="145">
        <v>9160</v>
      </c>
      <c r="S269" s="145">
        <v>7535</v>
      </c>
      <c r="T269" s="145">
        <v>4721</v>
      </c>
      <c r="U269" s="145">
        <v>8313</v>
      </c>
      <c r="V269" s="145">
        <v>4456</v>
      </c>
      <c r="W269" s="145">
        <v>3992</v>
      </c>
      <c r="X269" s="145">
        <v>2688</v>
      </c>
      <c r="Y269" s="145">
        <v>4034</v>
      </c>
      <c r="Z269" s="145">
        <v>4654</v>
      </c>
      <c r="AA269" s="145">
        <v>90532</v>
      </c>
      <c r="AB269" s="75">
        <v>219397</v>
      </c>
      <c r="AC269" s="75">
        <v>216997</v>
      </c>
      <c r="AF269"/>
      <c r="AG269"/>
      <c r="AH269" s="75">
        <v>89537</v>
      </c>
      <c r="AI269" s="75">
        <v>89570.5</v>
      </c>
      <c r="AJ269" s="75">
        <v>89705</v>
      </c>
      <c r="AK269" s="75">
        <v>89951</v>
      </c>
      <c r="AL269" s="75">
        <v>89999</v>
      </c>
      <c r="AM269" s="75">
        <v>90303</v>
      </c>
      <c r="AN269" s="75">
        <v>90883</v>
      </c>
      <c r="AO269" s="75">
        <v>239047</v>
      </c>
      <c r="AP269" s="75">
        <v>214250</v>
      </c>
      <c r="AQ269" s="75">
        <v>218718600</v>
      </c>
      <c r="AR269" s="75">
        <v>211892.27357970216</v>
      </c>
      <c r="AS269" s="75">
        <v>215528</v>
      </c>
      <c r="AT269" s="75">
        <v>211975</v>
      </c>
      <c r="AU269" s="75">
        <v>219397</v>
      </c>
      <c r="AV269" s="75">
        <v>216997</v>
      </c>
    </row>
    <row r="270" spans="1:48" ht="12.5" x14ac:dyDescent="0.25">
      <c r="A270" s="75" t="s">
        <v>524</v>
      </c>
      <c r="B270" s="75" t="s">
        <v>337</v>
      </c>
      <c r="C270" s="145">
        <f t="shared" si="12"/>
        <v>1129.0999999999999</v>
      </c>
      <c r="D270" s="145">
        <f t="shared" si="13"/>
        <v>1027.8</v>
      </c>
      <c r="E270" s="145">
        <v>12073000</v>
      </c>
      <c r="F270" s="145">
        <f t="shared" si="14"/>
        <v>20267540.075698599</v>
      </c>
      <c r="G270" s="145">
        <v>1285</v>
      </c>
      <c r="H270" s="145">
        <v>1292</v>
      </c>
      <c r="I270" s="145">
        <v>2911</v>
      </c>
      <c r="J270" s="145">
        <v>2205</v>
      </c>
      <c r="K270" s="145">
        <v>910</v>
      </c>
      <c r="L270" s="145">
        <v>961</v>
      </c>
      <c r="M270" s="145">
        <v>832</v>
      </c>
      <c r="N270" s="145">
        <v>631</v>
      </c>
      <c r="O270" s="145">
        <v>391</v>
      </c>
      <c r="P270" s="145">
        <v>140</v>
      </c>
      <c r="Q270" s="145">
        <v>330</v>
      </c>
      <c r="R270" s="145">
        <v>620</v>
      </c>
      <c r="S270" s="145">
        <v>2521</v>
      </c>
      <c r="T270" s="145">
        <v>2740</v>
      </c>
      <c r="U270" s="145">
        <v>791</v>
      </c>
      <c r="V270" s="145">
        <v>1182</v>
      </c>
      <c r="W270" s="145">
        <v>218</v>
      </c>
      <c r="X270" s="145">
        <v>391</v>
      </c>
      <c r="Y270" s="145">
        <v>1102</v>
      </c>
      <c r="Z270" s="145">
        <v>116</v>
      </c>
      <c r="AA270" s="145">
        <v>55663</v>
      </c>
      <c r="AB270" s="75">
        <v>198643</v>
      </c>
      <c r="AC270" s="75">
        <v>199101</v>
      </c>
      <c r="AF270"/>
      <c r="AG270"/>
      <c r="AH270" s="75">
        <v>54592</v>
      </c>
      <c r="AI270" s="75">
        <v>54440</v>
      </c>
      <c r="AJ270" s="75">
        <v>54579</v>
      </c>
      <c r="AK270" s="75">
        <v>54434</v>
      </c>
      <c r="AL270" s="75">
        <v>54463</v>
      </c>
      <c r="AM270" s="75">
        <v>54498</v>
      </c>
      <c r="AN270" s="75">
        <v>54993</v>
      </c>
      <c r="AO270" s="75">
        <v>204190</v>
      </c>
      <c r="AP270" s="75">
        <v>203595</v>
      </c>
      <c r="AQ270" s="75">
        <v>201329000</v>
      </c>
      <c r="AR270" s="75">
        <v>198971</v>
      </c>
      <c r="AS270" s="75">
        <v>197970</v>
      </c>
      <c r="AT270" s="75">
        <v>195428</v>
      </c>
      <c r="AU270" s="75">
        <v>198643</v>
      </c>
      <c r="AV270" s="75">
        <v>199101</v>
      </c>
    </row>
    <row r="271" spans="1:48" ht="12.5" x14ac:dyDescent="0.25">
      <c r="A271" s="75" t="s">
        <v>516</v>
      </c>
      <c r="B271" s="75" t="s">
        <v>135</v>
      </c>
      <c r="C271" s="145">
        <f t="shared" si="12"/>
        <v>386.9</v>
      </c>
      <c r="D271" s="145">
        <f t="shared" si="13"/>
        <v>319.39999999999998</v>
      </c>
      <c r="E271" s="145">
        <v>996000</v>
      </c>
      <c r="F271" s="145">
        <f t="shared" si="14"/>
        <v>1846087.3598254588</v>
      </c>
      <c r="G271" s="145">
        <v>0</v>
      </c>
      <c r="H271" s="145">
        <v>0</v>
      </c>
      <c r="I271" s="145">
        <v>978</v>
      </c>
      <c r="J271" s="145">
        <v>978</v>
      </c>
      <c r="K271" s="145">
        <v>2250</v>
      </c>
      <c r="L271" s="145">
        <v>2250</v>
      </c>
      <c r="M271" s="145">
        <v>-59</v>
      </c>
      <c r="N271" s="145">
        <v>-60</v>
      </c>
      <c r="O271" s="145">
        <v>407</v>
      </c>
      <c r="P271" s="145">
        <v>9</v>
      </c>
      <c r="Q271" s="145">
        <v>79</v>
      </c>
      <c r="R271" s="145">
        <v>0</v>
      </c>
      <c r="S271" s="145">
        <v>214</v>
      </c>
      <c r="T271" s="145">
        <v>8</v>
      </c>
      <c r="U271" s="145">
        <v>0</v>
      </c>
      <c r="V271" s="145">
        <v>9</v>
      </c>
      <c r="W271" s="145">
        <v>0</v>
      </c>
      <c r="X271" s="145">
        <v>0</v>
      </c>
      <c r="Y271" s="145">
        <v>0</v>
      </c>
      <c r="Z271" s="145">
        <v>0</v>
      </c>
      <c r="AA271" s="145">
        <v>4923</v>
      </c>
      <c r="AB271" s="75">
        <v>19466</v>
      </c>
      <c r="AC271" s="75">
        <v>18554</v>
      </c>
      <c r="AF271"/>
      <c r="AG271"/>
      <c r="AH271" s="75">
        <v>4858</v>
      </c>
      <c r="AI271" s="75">
        <v>4908</v>
      </c>
      <c r="AJ271" s="75">
        <v>4889</v>
      </c>
      <c r="AK271" s="75">
        <v>4898</v>
      </c>
      <c r="AL271" s="75">
        <v>4870</v>
      </c>
      <c r="AM271" s="75">
        <v>4964</v>
      </c>
      <c r="AN271" s="75">
        <v>4928</v>
      </c>
      <c r="AO271" s="75">
        <v>19606</v>
      </c>
      <c r="AP271" s="75">
        <v>20344</v>
      </c>
      <c r="AQ271" s="75">
        <v>19853000</v>
      </c>
      <c r="AR271" s="75">
        <v>23228</v>
      </c>
      <c r="AS271" s="75">
        <v>19303</v>
      </c>
      <c r="AT271" s="75">
        <v>18902</v>
      </c>
      <c r="AU271" s="75">
        <v>19466</v>
      </c>
      <c r="AV271" s="75">
        <v>18554</v>
      </c>
    </row>
    <row r="272" spans="1:48" ht="12.5" x14ac:dyDescent="0.25">
      <c r="A272" s="75" t="s">
        <v>514</v>
      </c>
      <c r="B272" s="75" t="s">
        <v>271</v>
      </c>
      <c r="C272" s="145">
        <f t="shared" si="12"/>
        <v>995.7</v>
      </c>
      <c r="D272" s="145">
        <f t="shared" si="13"/>
        <v>1533.8</v>
      </c>
      <c r="E272" s="145">
        <v>5548000</v>
      </c>
      <c r="F272" s="145">
        <f t="shared" si="14"/>
        <v>5091244.1490754494</v>
      </c>
      <c r="G272" s="145">
        <v>0</v>
      </c>
      <c r="H272" s="145">
        <v>1000</v>
      </c>
      <c r="I272" s="145">
        <v>354</v>
      </c>
      <c r="J272" s="145">
        <v>1135</v>
      </c>
      <c r="K272" s="145">
        <v>891</v>
      </c>
      <c r="L272" s="145">
        <v>1059</v>
      </c>
      <c r="M272" s="145">
        <v>879</v>
      </c>
      <c r="N272" s="145">
        <v>865</v>
      </c>
      <c r="O272" s="145">
        <v>1624</v>
      </c>
      <c r="P272" s="145">
        <v>1463</v>
      </c>
      <c r="Q272" s="145">
        <v>427</v>
      </c>
      <c r="R272" s="145">
        <v>1219</v>
      </c>
      <c r="S272" s="145">
        <v>1208</v>
      </c>
      <c r="T272" s="145">
        <v>674</v>
      </c>
      <c r="U272" s="145">
        <v>1286</v>
      </c>
      <c r="V272" s="145">
        <v>2858</v>
      </c>
      <c r="W272" s="145">
        <v>1631</v>
      </c>
      <c r="X272" s="145">
        <v>3356</v>
      </c>
      <c r="Y272" s="145">
        <v>1657</v>
      </c>
      <c r="Z272" s="145">
        <v>1709</v>
      </c>
      <c r="AA272" s="145">
        <v>13844</v>
      </c>
      <c r="AB272" s="75">
        <v>63724</v>
      </c>
      <c r="AC272" s="75">
        <v>82168</v>
      </c>
      <c r="AF272"/>
      <c r="AG272"/>
      <c r="AH272" s="75">
        <v>13544</v>
      </c>
      <c r="AI272" s="75">
        <v>13583</v>
      </c>
      <c r="AJ272" s="75">
        <v>13551</v>
      </c>
      <c r="AK272" s="75">
        <v>13583</v>
      </c>
      <c r="AL272" s="75">
        <v>13656</v>
      </c>
      <c r="AM272" s="75">
        <v>13690</v>
      </c>
      <c r="AN272" s="75">
        <v>13979</v>
      </c>
      <c r="AO272" s="75">
        <v>41297</v>
      </c>
      <c r="AP272" s="75">
        <v>46306</v>
      </c>
      <c r="AQ272" s="75">
        <v>48001000</v>
      </c>
      <c r="AR272" s="75">
        <v>46411</v>
      </c>
      <c r="AS272" s="75">
        <v>48103</v>
      </c>
      <c r="AT272" s="75">
        <v>55533</v>
      </c>
      <c r="AU272" s="75">
        <v>63724</v>
      </c>
      <c r="AV272" s="75">
        <v>82168</v>
      </c>
    </row>
    <row r="273" spans="1:48" ht="12.5" x14ac:dyDescent="0.25">
      <c r="A273" s="75" t="s">
        <v>517</v>
      </c>
      <c r="B273" s="75" t="s">
        <v>317</v>
      </c>
      <c r="C273" s="145">
        <f t="shared" si="12"/>
        <v>6025.7</v>
      </c>
      <c r="D273" s="145">
        <f t="shared" si="13"/>
        <v>5990.1</v>
      </c>
      <c r="E273" s="145">
        <v>4771000</v>
      </c>
      <c r="F273" s="145">
        <f t="shared" si="14"/>
        <v>14109700.73162327</v>
      </c>
      <c r="G273" s="145">
        <v>236</v>
      </c>
      <c r="H273" s="145">
        <v>226</v>
      </c>
      <c r="I273" s="145">
        <v>6793</v>
      </c>
      <c r="J273" s="145">
        <v>6359</v>
      </c>
      <c r="K273" s="145">
        <v>6425</v>
      </c>
      <c r="L273" s="145">
        <v>7211</v>
      </c>
      <c r="M273" s="145">
        <v>9293</v>
      </c>
      <c r="N273" s="145">
        <v>9180</v>
      </c>
      <c r="O273" s="145">
        <v>14742</v>
      </c>
      <c r="P273" s="145">
        <v>14773</v>
      </c>
      <c r="Q273" s="145">
        <v>3740</v>
      </c>
      <c r="R273" s="145">
        <v>3789</v>
      </c>
      <c r="S273" s="145">
        <v>4009</v>
      </c>
      <c r="T273" s="145">
        <v>4008</v>
      </c>
      <c r="U273" s="145">
        <v>5046</v>
      </c>
      <c r="V273" s="145">
        <v>5239</v>
      </c>
      <c r="W273" s="145">
        <v>1967</v>
      </c>
      <c r="X273" s="145">
        <v>1922</v>
      </c>
      <c r="Y273" s="145">
        <v>8006</v>
      </c>
      <c r="Z273" s="145">
        <v>7194</v>
      </c>
      <c r="AA273" s="145">
        <v>38410</v>
      </c>
      <c r="AB273" s="75">
        <v>85678</v>
      </c>
      <c r="AC273" s="75">
        <v>84107</v>
      </c>
      <c r="AF273"/>
      <c r="AG273"/>
      <c r="AH273" s="75">
        <v>36092</v>
      </c>
      <c r="AI273" s="75">
        <v>36598</v>
      </c>
      <c r="AJ273" s="75">
        <v>37061</v>
      </c>
      <c r="AK273" s="75">
        <v>37391</v>
      </c>
      <c r="AL273" s="75">
        <v>37791</v>
      </c>
      <c r="AM273" s="75">
        <v>37940</v>
      </c>
      <c r="AN273" s="75">
        <v>38510</v>
      </c>
      <c r="AO273" s="75">
        <v>68277</v>
      </c>
      <c r="AP273" s="75">
        <v>72446</v>
      </c>
      <c r="AQ273" s="75">
        <v>75749000</v>
      </c>
      <c r="AR273" s="75">
        <v>79428</v>
      </c>
      <c r="AS273" s="75">
        <v>76205</v>
      </c>
      <c r="AT273" s="75">
        <v>75632</v>
      </c>
      <c r="AU273" s="75">
        <v>85678</v>
      </c>
      <c r="AV273" s="75">
        <v>84107</v>
      </c>
    </row>
    <row r="274" spans="1:48" ht="12.5" x14ac:dyDescent="0.25">
      <c r="A274" s="75" t="s">
        <v>524</v>
      </c>
      <c r="B274" s="75" t="s">
        <v>338</v>
      </c>
      <c r="C274" s="145">
        <f t="shared" si="12"/>
        <v>6514.8</v>
      </c>
      <c r="D274" s="145">
        <f t="shared" si="13"/>
        <v>6271.1</v>
      </c>
      <c r="E274" s="145">
        <v>3459000</v>
      </c>
      <c r="F274" s="145">
        <f t="shared" si="14"/>
        <v>9814684.0276296698</v>
      </c>
      <c r="G274" s="145">
        <v>5885</v>
      </c>
      <c r="H274" s="145">
        <v>5487</v>
      </c>
      <c r="I274" s="145">
        <v>16868</v>
      </c>
      <c r="J274" s="145">
        <v>20530</v>
      </c>
      <c r="K274" s="145">
        <v>1761</v>
      </c>
      <c r="L274" s="145">
        <v>3056</v>
      </c>
      <c r="M274" s="145">
        <v>11363</v>
      </c>
      <c r="N274" s="145">
        <v>8760</v>
      </c>
      <c r="O274" s="145">
        <v>3879</v>
      </c>
      <c r="P274" s="145">
        <v>3353</v>
      </c>
      <c r="Q274" s="145">
        <v>3767</v>
      </c>
      <c r="R274" s="145">
        <v>2015</v>
      </c>
      <c r="S274" s="145">
        <v>6136</v>
      </c>
      <c r="T274" s="145">
        <v>7440</v>
      </c>
      <c r="U274" s="145">
        <v>5461</v>
      </c>
      <c r="V274" s="145">
        <v>5117</v>
      </c>
      <c r="W274" s="145">
        <v>6307</v>
      </c>
      <c r="X274" s="145">
        <v>3640</v>
      </c>
      <c r="Y274" s="145">
        <v>3721</v>
      </c>
      <c r="Z274" s="145">
        <v>3313</v>
      </c>
      <c r="AA274" s="145">
        <v>26944</v>
      </c>
      <c r="AB274" s="75">
        <v>51228</v>
      </c>
      <c r="AC274" s="75">
        <v>58052</v>
      </c>
      <c r="AF274"/>
      <c r="AG274"/>
      <c r="AH274" s="75">
        <v>25526</v>
      </c>
      <c r="AI274" s="75">
        <v>25588</v>
      </c>
      <c r="AJ274" s="75">
        <v>25794</v>
      </c>
      <c r="AK274" s="75">
        <v>25722</v>
      </c>
      <c r="AL274" s="75">
        <v>26085</v>
      </c>
      <c r="AM274" s="75">
        <v>26391</v>
      </c>
      <c r="AN274" s="75">
        <v>26825</v>
      </c>
      <c r="AO274" s="75">
        <v>40686</v>
      </c>
      <c r="AP274" s="75">
        <v>41229</v>
      </c>
      <c r="AQ274" s="75">
        <v>43541000</v>
      </c>
      <c r="AR274" s="75">
        <v>44114</v>
      </c>
      <c r="AS274" s="75">
        <v>43349</v>
      </c>
      <c r="AT274" s="75">
        <v>42677</v>
      </c>
      <c r="AU274" s="75">
        <v>51228</v>
      </c>
      <c r="AV274" s="75">
        <v>58052</v>
      </c>
    </row>
    <row r="275" spans="1:48" ht="12.5" x14ac:dyDescent="0.25">
      <c r="A275" s="75" t="s">
        <v>515</v>
      </c>
      <c r="B275" s="75" t="s">
        <v>202</v>
      </c>
      <c r="C275" s="145">
        <f t="shared" si="12"/>
        <v>5226.5</v>
      </c>
      <c r="D275" s="145">
        <f t="shared" si="13"/>
        <v>4740.8</v>
      </c>
      <c r="E275" s="145">
        <v>5977000</v>
      </c>
      <c r="F275" s="145">
        <f t="shared" si="14"/>
        <v>15720378.48251047</v>
      </c>
      <c r="G275" s="145">
        <v>0</v>
      </c>
      <c r="H275" s="145">
        <v>32</v>
      </c>
      <c r="I275" s="145">
        <v>9641</v>
      </c>
      <c r="J275" s="145">
        <v>11590</v>
      </c>
      <c r="K275" s="145">
        <v>14221</v>
      </c>
      <c r="L275" s="145">
        <v>14964</v>
      </c>
      <c r="M275" s="145">
        <v>19276</v>
      </c>
      <c r="N275" s="145">
        <v>16366</v>
      </c>
      <c r="O275" s="145">
        <v>1352</v>
      </c>
      <c r="P275" s="145">
        <v>862</v>
      </c>
      <c r="Q275" s="145">
        <v>195</v>
      </c>
      <c r="R275" s="145">
        <v>1391</v>
      </c>
      <c r="S275" s="145">
        <v>802</v>
      </c>
      <c r="T275" s="145">
        <v>930</v>
      </c>
      <c r="U275" s="145">
        <v>1118</v>
      </c>
      <c r="V275" s="145">
        <v>1165</v>
      </c>
      <c r="W275" s="145">
        <v>5650</v>
      </c>
      <c r="X275" s="145">
        <v>22</v>
      </c>
      <c r="Y275" s="145">
        <v>10</v>
      </c>
      <c r="Z275" s="145">
        <v>86</v>
      </c>
      <c r="AA275" s="145">
        <v>42590</v>
      </c>
      <c r="AB275" s="75">
        <v>157425</v>
      </c>
      <c r="AC275" s="75">
        <v>167966</v>
      </c>
      <c r="AF275"/>
      <c r="AG275"/>
      <c r="AH275" s="75">
        <v>41491</v>
      </c>
      <c r="AI275" s="75">
        <v>41469</v>
      </c>
      <c r="AJ275" s="75">
        <v>41995</v>
      </c>
      <c r="AK275" s="75">
        <v>42216</v>
      </c>
      <c r="AL275" s="75">
        <v>41920</v>
      </c>
      <c r="AM275" s="75">
        <v>42271</v>
      </c>
      <c r="AN275" s="75">
        <v>42604</v>
      </c>
      <c r="AO275" s="75">
        <v>97196</v>
      </c>
      <c r="AP275" s="75">
        <v>99300</v>
      </c>
      <c r="AQ275" s="75">
        <v>119077000</v>
      </c>
      <c r="AR275" s="75">
        <v>131261</v>
      </c>
      <c r="AS275" s="75">
        <v>135033</v>
      </c>
      <c r="AT275" s="75">
        <v>137460</v>
      </c>
      <c r="AU275" s="75">
        <v>157425</v>
      </c>
      <c r="AV275" s="75">
        <v>167966</v>
      </c>
    </row>
    <row r="276" spans="1:48" x14ac:dyDescent="0.25">
      <c r="A276" s="75" t="s">
        <v>513</v>
      </c>
      <c r="B276" s="75" t="s">
        <v>389</v>
      </c>
      <c r="C276" s="145">
        <f t="shared" si="12"/>
        <v>25777.27757316902</v>
      </c>
      <c r="D276" s="145">
        <f t="shared" si="13"/>
        <v>21457.701848480599</v>
      </c>
      <c r="E276" s="145">
        <v>62570000</v>
      </c>
      <c r="F276" s="145">
        <f t="shared" si="14"/>
        <v>83473718.442712203</v>
      </c>
      <c r="G276" s="145">
        <v>33488</v>
      </c>
      <c r="H276" s="145">
        <v>29277</v>
      </c>
      <c r="I276" s="145">
        <v>62637.758857302899</v>
      </c>
      <c r="J276" s="145">
        <v>43066.635065116927</v>
      </c>
      <c r="K276" s="145">
        <v>75840.540890631557</v>
      </c>
      <c r="L276" s="145">
        <v>51032.713415488026</v>
      </c>
      <c r="M276" s="145">
        <v>6300.841478784484</v>
      </c>
      <c r="N276" s="145">
        <v>14559.959669514074</v>
      </c>
      <c r="O276" s="145">
        <v>15384.036829575689</v>
      </c>
      <c r="P276" s="145">
        <v>11347.421649628903</v>
      </c>
      <c r="Q276" s="145">
        <v>27707.799747934463</v>
      </c>
      <c r="R276" s="145">
        <v>15134.992648088502</v>
      </c>
      <c r="S276" s="145">
        <v>23367.797927461139</v>
      </c>
      <c r="T276" s="145">
        <v>11700.296036969612</v>
      </c>
      <c r="U276" s="145">
        <v>10852</v>
      </c>
      <c r="V276" s="145">
        <v>18056</v>
      </c>
      <c r="W276" s="145">
        <v>3952</v>
      </c>
      <c r="X276" s="145">
        <v>9892</v>
      </c>
      <c r="Y276" s="145">
        <v>-1758</v>
      </c>
      <c r="Z276" s="145">
        <v>10510</v>
      </c>
      <c r="AA276" s="145">
        <v>230359</v>
      </c>
      <c r="AB276" s="75">
        <v>970252</v>
      </c>
      <c r="AC276" s="75">
        <v>985100</v>
      </c>
      <c r="AH276" s="75">
        <v>215237.32145357793</v>
      </c>
      <c r="AI276" s="75">
        <v>217048.61763058396</v>
      </c>
      <c r="AJ276" s="75">
        <v>218685.25857723007</v>
      </c>
      <c r="AK276" s="75">
        <v>221232.8418988937</v>
      </c>
      <c r="AL276" s="75">
        <v>221943.61714045651</v>
      </c>
      <c r="AM276" s="75">
        <v>224455</v>
      </c>
      <c r="AN276" s="75">
        <v>227707</v>
      </c>
      <c r="AO276" s="75">
        <v>754122.67805629468</v>
      </c>
      <c r="AP276" s="75">
        <v>832009.78994538577</v>
      </c>
      <c r="AQ276" s="75">
        <v>786461490.3374877</v>
      </c>
      <c r="AR276" s="75">
        <v>92763.35849320823</v>
      </c>
      <c r="AS276" s="75">
        <v>100927.20186248425</v>
      </c>
      <c r="AT276" s="75">
        <v>101419.40134434954</v>
      </c>
      <c r="AU276" s="75">
        <v>970252</v>
      </c>
      <c r="AV276" s="75">
        <v>985100</v>
      </c>
    </row>
    <row r="277" spans="1:48" ht="12.5" x14ac:dyDescent="0.25">
      <c r="A277" s="75" t="s">
        <v>518</v>
      </c>
      <c r="B277" s="75" t="s">
        <v>158</v>
      </c>
      <c r="C277" s="145">
        <f t="shared" si="12"/>
        <v>4155.3</v>
      </c>
      <c r="D277" s="145">
        <f t="shared" si="13"/>
        <v>3701.2</v>
      </c>
      <c r="E277" s="145">
        <v>1741000</v>
      </c>
      <c r="F277" s="145">
        <f t="shared" si="14"/>
        <v>7944795.3803286208</v>
      </c>
      <c r="G277" s="145">
        <v>1088</v>
      </c>
      <c r="H277" s="145">
        <v>1055</v>
      </c>
      <c r="I277" s="145">
        <v>3606</v>
      </c>
      <c r="J277" s="145">
        <v>3438</v>
      </c>
      <c r="K277" s="145">
        <v>9491</v>
      </c>
      <c r="L277" s="145">
        <v>7042</v>
      </c>
      <c r="M277" s="145">
        <v>6488</v>
      </c>
      <c r="N277" s="145">
        <v>4347</v>
      </c>
      <c r="O277" s="145">
        <v>3191</v>
      </c>
      <c r="P277" s="145">
        <v>3011</v>
      </c>
      <c r="Q277" s="145">
        <v>2603</v>
      </c>
      <c r="R277" s="145">
        <v>2441</v>
      </c>
      <c r="S277" s="145">
        <v>2950</v>
      </c>
      <c r="T277" s="145">
        <v>2789</v>
      </c>
      <c r="U277" s="145">
        <v>2901</v>
      </c>
      <c r="V277" s="145">
        <v>2672</v>
      </c>
      <c r="W277" s="145">
        <v>3649</v>
      </c>
      <c r="X277" s="145">
        <v>4100</v>
      </c>
      <c r="Y277" s="145">
        <v>5586</v>
      </c>
      <c r="Z277" s="145">
        <v>6117</v>
      </c>
      <c r="AA277" s="145">
        <v>21508</v>
      </c>
      <c r="AB277" s="75">
        <v>29414</v>
      </c>
      <c r="AC277" s="75">
        <v>30460</v>
      </c>
      <c r="AF277"/>
      <c r="AG277"/>
      <c r="AH277" s="75">
        <v>21152</v>
      </c>
      <c r="AI277" s="75">
        <v>21216</v>
      </c>
      <c r="AJ277" s="75">
        <v>21275</v>
      </c>
      <c r="AK277" s="75">
        <v>21265</v>
      </c>
      <c r="AL277" s="75">
        <v>21315</v>
      </c>
      <c r="AM277" s="75">
        <v>21363</v>
      </c>
      <c r="AN277" s="75">
        <v>21408</v>
      </c>
      <c r="AO277" s="75">
        <v>33101</v>
      </c>
      <c r="AP277" s="75">
        <v>31679</v>
      </c>
      <c r="AQ277" s="75">
        <v>28937000</v>
      </c>
      <c r="AR277" s="75">
        <v>27445</v>
      </c>
      <c r="AS277" s="75">
        <v>28745</v>
      </c>
      <c r="AT277" s="75">
        <v>28923</v>
      </c>
      <c r="AU277" s="75">
        <v>29414</v>
      </c>
      <c r="AV277" s="75">
        <v>30460</v>
      </c>
    </row>
    <row r="278" spans="1:48" ht="12.5" x14ac:dyDescent="0.25">
      <c r="A278" s="75" t="s">
        <v>518</v>
      </c>
      <c r="B278" s="75" t="s">
        <v>159</v>
      </c>
      <c r="C278" s="145">
        <f t="shared" si="12"/>
        <v>3565.9</v>
      </c>
      <c r="D278" s="145">
        <f t="shared" si="13"/>
        <v>3423.4</v>
      </c>
      <c r="E278" s="145">
        <v>7194000</v>
      </c>
      <c r="F278" s="145">
        <f t="shared" si="14"/>
        <v>12539187.653351126</v>
      </c>
      <c r="G278" s="145">
        <v>2574</v>
      </c>
      <c r="H278" s="145">
        <v>2565</v>
      </c>
      <c r="I278" s="145">
        <v>8275</v>
      </c>
      <c r="J278" s="145">
        <v>9173</v>
      </c>
      <c r="K278" s="145">
        <v>3292</v>
      </c>
      <c r="L278" s="145">
        <v>3199</v>
      </c>
      <c r="M278" s="145">
        <v>1803</v>
      </c>
      <c r="N278" s="145">
        <v>616</v>
      </c>
      <c r="O278" s="145">
        <v>3061</v>
      </c>
      <c r="P278" s="145">
        <v>2722</v>
      </c>
      <c r="Q278" s="145">
        <v>1962</v>
      </c>
      <c r="R278" s="145">
        <v>2329</v>
      </c>
      <c r="S278" s="145">
        <v>4653</v>
      </c>
      <c r="T278" s="145">
        <v>4338</v>
      </c>
      <c r="U278" s="145">
        <v>3265</v>
      </c>
      <c r="V278" s="145">
        <v>3021</v>
      </c>
      <c r="W278" s="145">
        <v>3265</v>
      </c>
      <c r="X278" s="145">
        <v>3021</v>
      </c>
      <c r="Y278" s="145">
        <v>3509</v>
      </c>
      <c r="Z278" s="145">
        <v>3250</v>
      </c>
      <c r="AA278" s="145">
        <v>34115</v>
      </c>
      <c r="AB278" s="75">
        <v>64880</v>
      </c>
      <c r="AC278" s="75">
        <v>65192</v>
      </c>
      <c r="AG278"/>
      <c r="AH278" s="75">
        <v>33843</v>
      </c>
      <c r="AI278" s="75">
        <v>33905</v>
      </c>
      <c r="AJ278" s="75">
        <v>33785</v>
      </c>
      <c r="AK278" s="75">
        <v>33768</v>
      </c>
      <c r="AL278" s="75">
        <v>33699</v>
      </c>
      <c r="AM278" s="75">
        <v>33717</v>
      </c>
      <c r="AN278" s="75">
        <v>33867</v>
      </c>
      <c r="AO278" s="75">
        <v>74339</v>
      </c>
      <c r="AP278" s="75">
        <v>66135</v>
      </c>
      <c r="AQ278" s="75">
        <v>62885000</v>
      </c>
      <c r="AR278" s="75">
        <v>65871</v>
      </c>
      <c r="AS278" s="75">
        <v>69529</v>
      </c>
      <c r="AT278" s="75">
        <v>67945</v>
      </c>
      <c r="AU278" s="75">
        <v>64880</v>
      </c>
      <c r="AV278" s="75">
        <v>65192</v>
      </c>
    </row>
    <row r="279" spans="1:48" ht="12.5" x14ac:dyDescent="0.25">
      <c r="A279" s="75" t="s">
        <v>512</v>
      </c>
      <c r="B279" s="75" t="s">
        <v>113</v>
      </c>
      <c r="C279" s="145">
        <f t="shared" si="12"/>
        <v>12387.4</v>
      </c>
      <c r="D279" s="145">
        <f t="shared" si="13"/>
        <v>10554.2</v>
      </c>
      <c r="E279" s="145">
        <v>3888000</v>
      </c>
      <c r="F279" s="145">
        <f t="shared" si="14"/>
        <v>12716953.51918444</v>
      </c>
      <c r="G279" s="145">
        <v>3132</v>
      </c>
      <c r="H279" s="145">
        <v>3145</v>
      </c>
      <c r="I279" s="145">
        <v>16379</v>
      </c>
      <c r="J279" s="145">
        <v>15897</v>
      </c>
      <c r="K279" s="145">
        <v>11908</v>
      </c>
      <c r="L279" s="145">
        <v>11333</v>
      </c>
      <c r="M279" s="145">
        <v>25926</v>
      </c>
      <c r="N279" s="145">
        <v>15162</v>
      </c>
      <c r="O279" s="145">
        <v>9158</v>
      </c>
      <c r="P279" s="145">
        <v>11130</v>
      </c>
      <c r="Q279" s="145">
        <v>12236</v>
      </c>
      <c r="R279" s="145">
        <v>11120</v>
      </c>
      <c r="S279" s="145">
        <v>11167</v>
      </c>
      <c r="T279" s="145">
        <v>9523</v>
      </c>
      <c r="U279" s="145">
        <v>9749</v>
      </c>
      <c r="V279" s="145">
        <v>7208</v>
      </c>
      <c r="W279" s="145">
        <v>10266</v>
      </c>
      <c r="X279" s="145">
        <v>7972</v>
      </c>
      <c r="Y279" s="145">
        <v>13953</v>
      </c>
      <c r="Z279" s="145">
        <v>13052</v>
      </c>
      <c r="AA279" s="145">
        <v>35013</v>
      </c>
      <c r="AB279" s="75">
        <v>109483</v>
      </c>
      <c r="AC279" s="75">
        <v>112093</v>
      </c>
      <c r="AF279"/>
      <c r="AG279"/>
      <c r="AH279" s="75">
        <v>33280</v>
      </c>
      <c r="AI279" s="75">
        <v>33465</v>
      </c>
      <c r="AJ279" s="75">
        <v>33695</v>
      </c>
      <c r="AK279" s="75">
        <v>33829</v>
      </c>
      <c r="AL279" s="75">
        <v>33978</v>
      </c>
      <c r="AM279" s="75">
        <v>34195</v>
      </c>
      <c r="AN279" s="75">
        <v>34592</v>
      </c>
      <c r="AO279" s="75">
        <v>82933</v>
      </c>
      <c r="AP279" s="75">
        <v>81593</v>
      </c>
      <c r="AQ279" s="75">
        <v>70305000</v>
      </c>
      <c r="AR279" s="75">
        <v>86964</v>
      </c>
      <c r="AS279" s="75">
        <v>97412</v>
      </c>
      <c r="AT279" s="75">
        <v>115607</v>
      </c>
      <c r="AU279" s="75">
        <v>109483</v>
      </c>
      <c r="AV279" s="75">
        <v>112093</v>
      </c>
    </row>
    <row r="280" spans="1:48" ht="12.5" x14ac:dyDescent="0.25">
      <c r="A280" s="75" t="s">
        <v>516</v>
      </c>
      <c r="B280" s="75" t="s">
        <v>136</v>
      </c>
      <c r="C280" s="145">
        <f t="shared" si="12"/>
        <v>1383.7</v>
      </c>
      <c r="D280" s="145">
        <f t="shared" si="13"/>
        <v>1177.4000000000001</v>
      </c>
      <c r="E280" s="145">
        <v>4368000</v>
      </c>
      <c r="F280" s="145">
        <f t="shared" si="14"/>
        <v>12007749.531435216</v>
      </c>
      <c r="G280" s="145">
        <v>0</v>
      </c>
      <c r="H280" s="145">
        <v>279</v>
      </c>
      <c r="I280" s="145">
        <v>685</v>
      </c>
      <c r="J280" s="145">
        <v>2142</v>
      </c>
      <c r="K280" s="145">
        <v>363</v>
      </c>
      <c r="L280" s="145">
        <v>401</v>
      </c>
      <c r="M280" s="145">
        <v>5412</v>
      </c>
      <c r="N280" s="145">
        <v>4454</v>
      </c>
      <c r="O280" s="145">
        <v>1960</v>
      </c>
      <c r="P280" s="145">
        <v>741</v>
      </c>
      <c r="Q280" s="145">
        <v>985</v>
      </c>
      <c r="R280" s="145">
        <v>252</v>
      </c>
      <c r="S280" s="145">
        <v>382</v>
      </c>
      <c r="T280" s="145">
        <v>167</v>
      </c>
      <c r="U280" s="145">
        <v>1899</v>
      </c>
      <c r="V280" s="145">
        <v>1590</v>
      </c>
      <c r="W280" s="145">
        <v>924</v>
      </c>
      <c r="X280" s="145">
        <v>926</v>
      </c>
      <c r="Y280" s="145">
        <v>1227</v>
      </c>
      <c r="Z280" s="145">
        <v>822</v>
      </c>
      <c r="AA280" s="145">
        <v>32823</v>
      </c>
      <c r="AB280" s="75">
        <v>61735</v>
      </c>
      <c r="AC280" s="75">
        <v>57717</v>
      </c>
      <c r="AF280"/>
      <c r="AG280"/>
      <c r="AH280" s="75">
        <v>31980</v>
      </c>
      <c r="AI280" s="75">
        <v>31879</v>
      </c>
      <c r="AJ280" s="75">
        <v>31764</v>
      </c>
      <c r="AK280" s="75">
        <v>32016</v>
      </c>
      <c r="AL280" s="75">
        <v>32060</v>
      </c>
      <c r="AM280" s="75">
        <v>32288</v>
      </c>
      <c r="AN280" s="75">
        <v>32408</v>
      </c>
      <c r="AO280" s="75">
        <v>51766</v>
      </c>
      <c r="AP280" s="75">
        <v>57813</v>
      </c>
      <c r="AQ280" s="75">
        <v>57488000</v>
      </c>
      <c r="AR280" s="75">
        <v>56950</v>
      </c>
      <c r="AS280" s="75">
        <v>54833</v>
      </c>
      <c r="AT280" s="75">
        <v>58258</v>
      </c>
      <c r="AU280" s="75">
        <v>61735</v>
      </c>
      <c r="AV280" s="75">
        <v>57717</v>
      </c>
    </row>
    <row r="281" spans="1:48" ht="12.5" x14ac:dyDescent="0.25">
      <c r="A281" s="75" t="s">
        <v>514</v>
      </c>
      <c r="B281" s="75" t="s">
        <v>272</v>
      </c>
      <c r="C281" s="145">
        <f t="shared" si="12"/>
        <v>864.9</v>
      </c>
      <c r="D281" s="145">
        <f t="shared" si="13"/>
        <v>540.1</v>
      </c>
      <c r="E281" s="145">
        <v>1723000</v>
      </c>
      <c r="F281" s="145">
        <f t="shared" si="14"/>
        <v>5043641.5741242692</v>
      </c>
      <c r="G281" s="145">
        <v>29</v>
      </c>
      <c r="H281" s="145">
        <v>4</v>
      </c>
      <c r="I281" s="145">
        <v>2140</v>
      </c>
      <c r="J281" s="145">
        <v>762</v>
      </c>
      <c r="K281" s="145">
        <v>2718</v>
      </c>
      <c r="L281" s="145">
        <v>1515</v>
      </c>
      <c r="M281" s="145">
        <v>8</v>
      </c>
      <c r="N281" s="145">
        <v>69</v>
      </c>
      <c r="O281" s="145">
        <v>79</v>
      </c>
      <c r="P281" s="145">
        <v>127</v>
      </c>
      <c r="Q281" s="145">
        <v>0</v>
      </c>
      <c r="R281" s="145">
        <v>236</v>
      </c>
      <c r="S281" s="145">
        <v>233</v>
      </c>
      <c r="T281" s="145">
        <v>227</v>
      </c>
      <c r="U281" s="145">
        <v>234</v>
      </c>
      <c r="V281" s="145">
        <v>405</v>
      </c>
      <c r="W281" s="145">
        <v>2899</v>
      </c>
      <c r="X281" s="145">
        <v>1769</v>
      </c>
      <c r="Y281" s="145">
        <v>309</v>
      </c>
      <c r="Z281" s="145">
        <v>287</v>
      </c>
      <c r="AA281" s="145">
        <v>13423</v>
      </c>
      <c r="AB281" s="75">
        <v>19478</v>
      </c>
      <c r="AC281" s="75">
        <v>24217</v>
      </c>
      <c r="AF281"/>
      <c r="AG281"/>
      <c r="AH281" s="75">
        <v>13470</v>
      </c>
      <c r="AI281" s="75">
        <v>13526</v>
      </c>
      <c r="AJ281" s="75">
        <v>13536</v>
      </c>
      <c r="AK281" s="75">
        <v>13654</v>
      </c>
      <c r="AL281" s="75">
        <v>13632</v>
      </c>
      <c r="AM281" s="75">
        <v>13562</v>
      </c>
      <c r="AN281" s="75">
        <v>13472</v>
      </c>
      <c r="AO281" s="75">
        <v>14519</v>
      </c>
      <c r="AP281" s="75">
        <v>16307</v>
      </c>
      <c r="AQ281" s="75">
        <v>16659000</v>
      </c>
      <c r="AR281" s="75">
        <v>15668</v>
      </c>
      <c r="AS281" s="75">
        <v>16302</v>
      </c>
      <c r="AT281" s="75">
        <v>17359</v>
      </c>
      <c r="AU281" s="75">
        <v>19478</v>
      </c>
      <c r="AV281" s="75">
        <v>24217</v>
      </c>
    </row>
    <row r="282" spans="1:48" ht="12.5" x14ac:dyDescent="0.25">
      <c r="A282" s="75" t="s">
        <v>514</v>
      </c>
      <c r="B282" s="75" t="s">
        <v>273</v>
      </c>
      <c r="C282" s="145">
        <f t="shared" si="12"/>
        <v>6349.1</v>
      </c>
      <c r="D282" s="145">
        <f t="shared" si="13"/>
        <v>6817.4</v>
      </c>
      <c r="E282" s="145">
        <v>5170000</v>
      </c>
      <c r="F282" s="145">
        <f t="shared" si="14"/>
        <v>11536186.523325088</v>
      </c>
      <c r="G282" s="145">
        <v>2579</v>
      </c>
      <c r="H282" s="145">
        <v>2430</v>
      </c>
      <c r="I282" s="145">
        <v>8092</v>
      </c>
      <c r="J282" s="145">
        <v>8911</v>
      </c>
      <c r="K282" s="145">
        <v>6766</v>
      </c>
      <c r="L282" s="145">
        <v>8381</v>
      </c>
      <c r="M282" s="145">
        <v>7565</v>
      </c>
      <c r="N282" s="145">
        <v>8239</v>
      </c>
      <c r="O282" s="145">
        <v>10464</v>
      </c>
      <c r="P282" s="145">
        <v>11082</v>
      </c>
      <c r="Q282" s="145">
        <v>17322</v>
      </c>
      <c r="R282" s="145">
        <v>17490</v>
      </c>
      <c r="S282" s="145">
        <v>3149</v>
      </c>
      <c r="T282" s="145">
        <v>3658</v>
      </c>
      <c r="U282" s="145">
        <v>2615</v>
      </c>
      <c r="V282" s="145">
        <v>2051</v>
      </c>
      <c r="W282" s="145">
        <v>3815</v>
      </c>
      <c r="X282" s="145">
        <v>4288</v>
      </c>
      <c r="Y282" s="145">
        <v>1124</v>
      </c>
      <c r="Z282" s="145">
        <v>1644</v>
      </c>
      <c r="AA282" s="145">
        <v>32117</v>
      </c>
      <c r="AB282" s="75">
        <v>85065</v>
      </c>
      <c r="AC282" s="75">
        <v>93893</v>
      </c>
      <c r="AF282"/>
      <c r="AG282"/>
      <c r="AH282" s="75">
        <v>29201</v>
      </c>
      <c r="AI282" s="75">
        <v>29425</v>
      </c>
      <c r="AJ282" s="75">
        <v>29450</v>
      </c>
      <c r="AK282" s="75">
        <v>29469</v>
      </c>
      <c r="AL282" s="75">
        <v>30206</v>
      </c>
      <c r="AM282" s="75">
        <v>31020</v>
      </c>
      <c r="AN282" s="75">
        <v>31442</v>
      </c>
      <c r="AO282" s="75">
        <v>90874</v>
      </c>
      <c r="AP282" s="75">
        <v>95454</v>
      </c>
      <c r="AQ282" s="75">
        <v>90706000</v>
      </c>
      <c r="AR282" s="75">
        <v>88739</v>
      </c>
      <c r="AS282" s="75">
        <v>86783</v>
      </c>
      <c r="AT282" s="75">
        <v>84950</v>
      </c>
      <c r="AU282" s="75">
        <v>85065</v>
      </c>
      <c r="AV282" s="75">
        <v>93893</v>
      </c>
    </row>
    <row r="283" spans="1:48" ht="12.5" x14ac:dyDescent="0.25">
      <c r="A283" s="75" t="s">
        <v>519</v>
      </c>
      <c r="B283" s="75" t="s">
        <v>431</v>
      </c>
      <c r="C283" s="145">
        <f t="shared" si="12"/>
        <v>10944.5</v>
      </c>
      <c r="D283" s="145">
        <f t="shared" si="13"/>
        <v>11231.9</v>
      </c>
      <c r="E283" s="145">
        <v>3374000</v>
      </c>
      <c r="F283" s="145">
        <f t="shared" si="14"/>
        <v>7981612.9968924243</v>
      </c>
      <c r="G283" s="145">
        <v>4839</v>
      </c>
      <c r="H283" s="145">
        <v>5537</v>
      </c>
      <c r="I283" s="145">
        <v>3642</v>
      </c>
      <c r="J283" s="145">
        <v>3701</v>
      </c>
      <c r="K283" s="145">
        <v>4790</v>
      </c>
      <c r="L283" s="145">
        <v>3840</v>
      </c>
      <c r="M283" s="145">
        <v>18314</v>
      </c>
      <c r="N283" s="145">
        <v>18317</v>
      </c>
      <c r="O283" s="145">
        <v>13164</v>
      </c>
      <c r="P283" s="145">
        <v>13206</v>
      </c>
      <c r="Q283" s="145">
        <v>13080</v>
      </c>
      <c r="R283" s="145">
        <v>15049</v>
      </c>
      <c r="S283" s="145">
        <v>13189</v>
      </c>
      <c r="T283" s="145">
        <v>13198</v>
      </c>
      <c r="U283" s="145">
        <v>13042</v>
      </c>
      <c r="V283" s="145">
        <v>13224</v>
      </c>
      <c r="W283" s="145">
        <v>14340</v>
      </c>
      <c r="X283" s="145">
        <v>16049</v>
      </c>
      <c r="Y283" s="145">
        <v>11045</v>
      </c>
      <c r="Z283" s="145">
        <v>10198</v>
      </c>
      <c r="AA283" s="145">
        <v>22172</v>
      </c>
      <c r="AB283" s="75">
        <v>57094</v>
      </c>
      <c r="AC283" s="75">
        <v>59412</v>
      </c>
      <c r="AF283"/>
      <c r="AG283"/>
      <c r="AH283" s="75">
        <v>20220</v>
      </c>
      <c r="AI283" s="75">
        <v>20523</v>
      </c>
      <c r="AJ283" s="75">
        <v>20768</v>
      </c>
      <c r="AK283" s="75">
        <v>21018</v>
      </c>
      <c r="AL283" s="75">
        <v>21227</v>
      </c>
      <c r="AM283" s="75">
        <v>21462</v>
      </c>
      <c r="AN283" s="75">
        <v>21829</v>
      </c>
      <c r="AO283" s="75">
        <v>50349</v>
      </c>
      <c r="AP283" s="75">
        <v>63718</v>
      </c>
      <c r="AQ283" s="75">
        <v>57824000</v>
      </c>
      <c r="AR283" s="75">
        <v>56352</v>
      </c>
      <c r="AS283" s="75">
        <v>59006</v>
      </c>
      <c r="AT283" s="75">
        <v>58409</v>
      </c>
      <c r="AU283" s="75">
        <v>57094</v>
      </c>
      <c r="AV283" s="75">
        <v>59412</v>
      </c>
    </row>
    <row r="284" spans="1:48" ht="12.5" x14ac:dyDescent="0.25">
      <c r="A284" s="75" t="s">
        <v>520</v>
      </c>
      <c r="B284" s="75" t="s">
        <v>728</v>
      </c>
      <c r="C284" s="145">
        <f t="shared" si="12"/>
        <v>233751.5</v>
      </c>
      <c r="D284" s="145">
        <f t="shared" si="13"/>
        <v>179788.3</v>
      </c>
      <c r="E284" s="145">
        <v>81096000</v>
      </c>
      <c r="F284" s="145">
        <f t="shared" si="14"/>
        <v>134509257.2171295</v>
      </c>
      <c r="G284" s="145">
        <v>185286</v>
      </c>
      <c r="H284" s="145">
        <v>154488</v>
      </c>
      <c r="I284" s="145">
        <v>874455</v>
      </c>
      <c r="J284" s="145">
        <v>842813</v>
      </c>
      <c r="K284" s="145">
        <v>266195</v>
      </c>
      <c r="L284" s="145">
        <v>205570</v>
      </c>
      <c r="M284" s="145">
        <v>135051</v>
      </c>
      <c r="N284" s="145">
        <v>90834</v>
      </c>
      <c r="O284" s="145">
        <v>162236</v>
      </c>
      <c r="P284" s="145">
        <v>130427</v>
      </c>
      <c r="Q284" s="145">
        <v>184995</v>
      </c>
      <c r="R284" s="145">
        <v>106713</v>
      </c>
      <c r="S284" s="145">
        <v>217127</v>
      </c>
      <c r="T284" s="145">
        <v>15046</v>
      </c>
      <c r="U284" s="145">
        <v>123781</v>
      </c>
      <c r="V284" s="145">
        <v>68591</v>
      </c>
      <c r="W284" s="145">
        <v>108062</v>
      </c>
      <c r="X284" s="145">
        <v>114873</v>
      </c>
      <c r="Y284" s="145">
        <v>80327</v>
      </c>
      <c r="Z284" s="145">
        <v>68528</v>
      </c>
      <c r="AA284" s="145">
        <v>376435</v>
      </c>
      <c r="AB284" s="75">
        <v>1687682</v>
      </c>
      <c r="AC284" s="75">
        <v>1736809</v>
      </c>
      <c r="AF284"/>
      <c r="AG284"/>
      <c r="AH284" s="75">
        <v>343086</v>
      </c>
      <c r="AI284" s="75">
        <v>347526</v>
      </c>
      <c r="AJ284" s="75">
        <v>352795</v>
      </c>
      <c r="AK284" s="75">
        <v>357669</v>
      </c>
      <c r="AL284" s="75">
        <v>359370</v>
      </c>
      <c r="AM284" s="75">
        <v>361686</v>
      </c>
      <c r="AN284" s="75">
        <v>367947</v>
      </c>
      <c r="AO284" s="75">
        <v>1458934</v>
      </c>
      <c r="AP284" s="75">
        <v>1454234</v>
      </c>
      <c r="AQ284" s="75">
        <v>1559920000</v>
      </c>
      <c r="AR284" s="75">
        <v>1568376</v>
      </c>
      <c r="AS284" s="75">
        <v>1598329</v>
      </c>
      <c r="AT284" s="75">
        <v>1636771</v>
      </c>
      <c r="AU284" s="75">
        <v>1687682</v>
      </c>
      <c r="AV284" s="75">
        <v>1736809</v>
      </c>
    </row>
    <row r="285" spans="1:48" ht="12.5" x14ac:dyDescent="0.25">
      <c r="A285" s="75" t="s">
        <v>520</v>
      </c>
      <c r="B285" s="75" t="s">
        <v>230</v>
      </c>
      <c r="C285" s="145">
        <f t="shared" si="12"/>
        <v>2700.6</v>
      </c>
      <c r="D285" s="145">
        <f t="shared" si="13"/>
        <v>2514</v>
      </c>
      <c r="E285" s="145">
        <v>6965000</v>
      </c>
      <c r="F285" s="145">
        <f t="shared" si="14"/>
        <v>18590293.098903108</v>
      </c>
      <c r="G285" s="145">
        <v>4850</v>
      </c>
      <c r="H285" s="145">
        <v>2547</v>
      </c>
      <c r="I285" s="145">
        <v>2458</v>
      </c>
      <c r="J285" s="145">
        <v>4739</v>
      </c>
      <c r="K285" s="145">
        <v>6325</v>
      </c>
      <c r="L285" s="145">
        <v>4150</v>
      </c>
      <c r="M285" s="145">
        <v>982</v>
      </c>
      <c r="N285" s="145">
        <v>898</v>
      </c>
      <c r="O285" s="145">
        <v>777</v>
      </c>
      <c r="P285" s="145">
        <v>447</v>
      </c>
      <c r="Q285" s="145">
        <v>733</v>
      </c>
      <c r="R285" s="145">
        <v>557</v>
      </c>
      <c r="S285" s="145">
        <v>3312</v>
      </c>
      <c r="T285" s="145">
        <v>3564</v>
      </c>
      <c r="U285" s="145">
        <v>811</v>
      </c>
      <c r="V285" s="145">
        <v>704</v>
      </c>
      <c r="W285" s="145">
        <v>4625</v>
      </c>
      <c r="X285" s="145">
        <v>4541</v>
      </c>
      <c r="Y285" s="145">
        <v>2133</v>
      </c>
      <c r="Z285" s="145">
        <v>2993</v>
      </c>
      <c r="AA285" s="145">
        <v>50941</v>
      </c>
      <c r="AB285" s="75">
        <v>150741</v>
      </c>
      <c r="AC285" s="75">
        <v>147794</v>
      </c>
      <c r="AF285"/>
      <c r="AG285"/>
      <c r="AH285" s="75">
        <v>49013</v>
      </c>
      <c r="AI285" s="75">
        <v>49340</v>
      </c>
      <c r="AJ285" s="75">
        <v>49526</v>
      </c>
      <c r="AK285" s="75">
        <v>49644</v>
      </c>
      <c r="AL285" s="75">
        <v>49946</v>
      </c>
      <c r="AM285" s="75">
        <v>49988</v>
      </c>
      <c r="AN285" s="75">
        <v>50429</v>
      </c>
      <c r="AO285" s="75">
        <v>143241</v>
      </c>
      <c r="AP285" s="75">
        <v>137245</v>
      </c>
      <c r="AQ285" s="75">
        <v>147758000</v>
      </c>
      <c r="AR285" s="75">
        <v>152843</v>
      </c>
      <c r="AS285" s="75">
        <v>153524</v>
      </c>
      <c r="AT285" s="75">
        <v>151787</v>
      </c>
      <c r="AU285" s="75">
        <v>150741</v>
      </c>
      <c r="AV285" s="75">
        <v>147794</v>
      </c>
    </row>
    <row r="286" spans="1:48" ht="12.5" x14ac:dyDescent="0.25">
      <c r="A286" s="75" t="s">
        <v>522</v>
      </c>
      <c r="B286" s="75" t="s">
        <v>421</v>
      </c>
      <c r="C286" s="145">
        <f t="shared" si="12"/>
        <v>0</v>
      </c>
      <c r="D286" s="145">
        <f t="shared" si="13"/>
        <v>0</v>
      </c>
      <c r="E286" s="145">
        <v>1734000</v>
      </c>
      <c r="F286" s="145">
        <f t="shared" si="14"/>
        <v>3765066.1625449122</v>
      </c>
      <c r="G286" s="145">
        <v>0</v>
      </c>
      <c r="H286" s="145">
        <v>0</v>
      </c>
      <c r="I286" s="145">
        <v>0</v>
      </c>
      <c r="J286" s="145">
        <v>0</v>
      </c>
      <c r="K286" s="145">
        <v>0</v>
      </c>
      <c r="L286" s="145">
        <v>0</v>
      </c>
      <c r="M286" s="145">
        <v>0</v>
      </c>
      <c r="N286" s="145">
        <v>0</v>
      </c>
      <c r="O286" s="145">
        <v>0</v>
      </c>
      <c r="P286" s="145">
        <v>0</v>
      </c>
      <c r="Q286" s="145">
        <v>0</v>
      </c>
      <c r="R286" s="145">
        <v>0</v>
      </c>
      <c r="S286" s="145">
        <v>0</v>
      </c>
      <c r="T286" s="145">
        <v>0</v>
      </c>
      <c r="U286" s="145">
        <v>0</v>
      </c>
      <c r="V286" s="145">
        <v>0</v>
      </c>
      <c r="W286" s="145">
        <v>0</v>
      </c>
      <c r="X286" s="145">
        <v>0</v>
      </c>
      <c r="Y286" s="145">
        <v>0</v>
      </c>
      <c r="Z286" s="145">
        <v>0</v>
      </c>
      <c r="AA286" s="145">
        <v>10015</v>
      </c>
      <c r="AB286" s="75">
        <v>28471</v>
      </c>
      <c r="AC286" s="75">
        <v>27420</v>
      </c>
      <c r="AF286"/>
      <c r="AG286"/>
      <c r="AH286" s="75">
        <v>9703</v>
      </c>
      <c r="AI286" s="75">
        <v>9874</v>
      </c>
      <c r="AJ286" s="75">
        <v>10094</v>
      </c>
      <c r="AK286" s="75">
        <v>10119</v>
      </c>
      <c r="AL286" s="75">
        <v>10084</v>
      </c>
      <c r="AM286" s="75">
        <v>10124</v>
      </c>
      <c r="AN286" s="75">
        <v>10190</v>
      </c>
      <c r="AO286" s="75">
        <v>30324</v>
      </c>
      <c r="AP286" s="75">
        <v>28892</v>
      </c>
      <c r="AQ286" s="75">
        <v>26281000</v>
      </c>
      <c r="AR286" s="75">
        <v>41593</v>
      </c>
      <c r="AS286" s="75">
        <v>29471</v>
      </c>
      <c r="AT286" s="75">
        <v>28625</v>
      </c>
      <c r="AU286" s="75">
        <v>28471</v>
      </c>
      <c r="AV286" s="75">
        <v>27420</v>
      </c>
    </row>
    <row r="287" spans="1:48" ht="12.5" x14ac:dyDescent="0.25">
      <c r="A287" s="75" t="s">
        <v>522</v>
      </c>
      <c r="B287" s="75" t="s">
        <v>422</v>
      </c>
      <c r="C287" s="145">
        <f t="shared" si="12"/>
        <v>710.6</v>
      </c>
      <c r="D287" s="145">
        <f t="shared" si="13"/>
        <v>1457.8</v>
      </c>
      <c r="E287" s="145">
        <v>5249000</v>
      </c>
      <c r="F287" s="145">
        <f t="shared" si="14"/>
        <v>6014287.8289881786</v>
      </c>
      <c r="G287" s="145">
        <v>0</v>
      </c>
      <c r="H287" s="145">
        <v>147</v>
      </c>
      <c r="I287" s="145">
        <v>143</v>
      </c>
      <c r="J287" s="145">
        <v>-29</v>
      </c>
      <c r="K287" s="145">
        <v>351</v>
      </c>
      <c r="L287" s="145">
        <v>6724</v>
      </c>
      <c r="M287" s="145">
        <v>574</v>
      </c>
      <c r="N287" s="145">
        <v>1317</v>
      </c>
      <c r="O287" s="145">
        <v>6036</v>
      </c>
      <c r="P287" s="145">
        <v>6618</v>
      </c>
      <c r="Q287" s="145">
        <v>2</v>
      </c>
      <c r="R287" s="145">
        <v>-1226</v>
      </c>
      <c r="S287" s="145">
        <v>0</v>
      </c>
      <c r="T287" s="145">
        <v>371</v>
      </c>
      <c r="U287" s="145">
        <v>0</v>
      </c>
      <c r="V287" s="145">
        <v>278</v>
      </c>
      <c r="W287" s="145">
        <v>0</v>
      </c>
      <c r="X287" s="145">
        <v>231</v>
      </c>
      <c r="Y287" s="145">
        <v>0</v>
      </c>
      <c r="Z287" s="145">
        <v>147</v>
      </c>
      <c r="AA287" s="145">
        <v>16460</v>
      </c>
      <c r="AB287" s="75">
        <v>52941</v>
      </c>
      <c r="AC287" s="75">
        <v>47340</v>
      </c>
      <c r="AF287"/>
      <c r="AG287"/>
      <c r="AH287" s="75">
        <v>16440</v>
      </c>
      <c r="AI287" s="75">
        <v>16428</v>
      </c>
      <c r="AJ287" s="75">
        <v>16475</v>
      </c>
      <c r="AK287" s="75">
        <v>16356</v>
      </c>
      <c r="AL287" s="75">
        <v>16365</v>
      </c>
      <c r="AM287" s="75">
        <v>16172</v>
      </c>
      <c r="AN287" s="75">
        <v>16423</v>
      </c>
      <c r="AO287" s="75">
        <v>56221</v>
      </c>
      <c r="AP287" s="75">
        <v>56802</v>
      </c>
      <c r="AQ287" s="75">
        <v>54467000</v>
      </c>
      <c r="AR287" s="75">
        <v>53195</v>
      </c>
      <c r="AS287" s="75">
        <v>51641</v>
      </c>
      <c r="AT287" s="75">
        <v>52393</v>
      </c>
      <c r="AU287" s="75">
        <v>52941</v>
      </c>
      <c r="AV287" s="75">
        <v>47340</v>
      </c>
    </row>
    <row r="288" spans="1:48" ht="12.5" x14ac:dyDescent="0.25">
      <c r="A288" s="75" t="s">
        <v>513</v>
      </c>
      <c r="B288" s="75" t="s">
        <v>391</v>
      </c>
      <c r="C288" s="145">
        <f t="shared" si="12"/>
        <v>3088.6</v>
      </c>
      <c r="D288" s="145">
        <f t="shared" si="13"/>
        <v>2720.8</v>
      </c>
      <c r="E288" s="145">
        <v>5335000</v>
      </c>
      <c r="F288" s="145">
        <f t="shared" si="14"/>
        <v>11614656.392971173</v>
      </c>
      <c r="G288" s="145">
        <v>1875</v>
      </c>
      <c r="H288" s="145">
        <v>1890</v>
      </c>
      <c r="I288" s="145">
        <v>3533</v>
      </c>
      <c r="J288" s="145">
        <v>3966</v>
      </c>
      <c r="K288" s="145">
        <v>2963</v>
      </c>
      <c r="L288" s="145">
        <v>3150</v>
      </c>
      <c r="M288" s="145">
        <v>2947</v>
      </c>
      <c r="N288" s="145">
        <v>3468</v>
      </c>
      <c r="O288" s="145">
        <v>2460</v>
      </c>
      <c r="P288" s="145">
        <v>2377</v>
      </c>
      <c r="Q288" s="145">
        <v>1791</v>
      </c>
      <c r="R288" s="145">
        <v>1581</v>
      </c>
      <c r="S288" s="145">
        <v>4399</v>
      </c>
      <c r="T288" s="145">
        <v>3579</v>
      </c>
      <c r="U288" s="145">
        <v>3695</v>
      </c>
      <c r="V288" s="145">
        <v>1603</v>
      </c>
      <c r="W288" s="145">
        <v>2734</v>
      </c>
      <c r="X288" s="145">
        <v>1502</v>
      </c>
      <c r="Y288" s="145">
        <v>4489</v>
      </c>
      <c r="Z288" s="145">
        <v>4092</v>
      </c>
      <c r="AA288" s="145">
        <v>31958</v>
      </c>
      <c r="AB288" s="75">
        <v>89248</v>
      </c>
      <c r="AC288" s="75">
        <v>89828</v>
      </c>
      <c r="AF288"/>
      <c r="AG288"/>
      <c r="AH288" s="75">
        <v>30515</v>
      </c>
      <c r="AI288" s="75">
        <v>30658</v>
      </c>
      <c r="AJ288" s="75">
        <v>30892</v>
      </c>
      <c r="AK288" s="75">
        <v>31152</v>
      </c>
      <c r="AL288" s="75">
        <v>31221</v>
      </c>
      <c r="AM288" s="75">
        <v>31231</v>
      </c>
      <c r="AN288" s="75">
        <v>31527</v>
      </c>
      <c r="AO288" s="75">
        <v>79000</v>
      </c>
      <c r="AP288" s="75">
        <v>76633</v>
      </c>
      <c r="AQ288" s="75">
        <v>76902000</v>
      </c>
      <c r="AR288" s="75">
        <v>77474</v>
      </c>
      <c r="AS288" s="75">
        <v>84799</v>
      </c>
      <c r="AT288" s="75">
        <v>88332</v>
      </c>
      <c r="AU288" s="75">
        <v>89248</v>
      </c>
      <c r="AV288" s="75">
        <v>89828</v>
      </c>
    </row>
    <row r="289" spans="1:48" ht="12.5" x14ac:dyDescent="0.25">
      <c r="A289" s="75" t="s">
        <v>521</v>
      </c>
      <c r="B289" s="75" t="s">
        <v>124</v>
      </c>
      <c r="C289" s="145">
        <f t="shared" si="12"/>
        <v>2646.6</v>
      </c>
      <c r="D289" s="145">
        <f t="shared" si="13"/>
        <v>2693</v>
      </c>
      <c r="E289" s="145">
        <v>3565000</v>
      </c>
      <c r="F289" s="145">
        <f t="shared" si="14"/>
        <v>10216702.648897059</v>
      </c>
      <c r="G289" s="145">
        <v>1986</v>
      </c>
      <c r="H289" s="145">
        <v>1856</v>
      </c>
      <c r="I289" s="145">
        <v>4658</v>
      </c>
      <c r="J289" s="145">
        <v>4426</v>
      </c>
      <c r="K289" s="145">
        <v>5769</v>
      </c>
      <c r="L289" s="145">
        <v>7192</v>
      </c>
      <c r="M289" s="145">
        <v>2961</v>
      </c>
      <c r="N289" s="145">
        <v>2961</v>
      </c>
      <c r="O289" s="145">
        <v>1342</v>
      </c>
      <c r="P289" s="145">
        <v>1343</v>
      </c>
      <c r="Q289" s="145">
        <v>966</v>
      </c>
      <c r="R289" s="145">
        <v>566</v>
      </c>
      <c r="S289" s="145">
        <v>1394</v>
      </c>
      <c r="T289" s="145">
        <v>1643</v>
      </c>
      <c r="U289" s="145">
        <v>4636</v>
      </c>
      <c r="V289" s="145">
        <v>4636</v>
      </c>
      <c r="W289" s="145">
        <v>827</v>
      </c>
      <c r="X289" s="145">
        <v>827</v>
      </c>
      <c r="Y289" s="145">
        <v>1927</v>
      </c>
      <c r="Z289" s="145">
        <v>1480</v>
      </c>
      <c r="AA289" s="145">
        <v>27688</v>
      </c>
      <c r="AB289" s="75">
        <v>44687</v>
      </c>
      <c r="AC289" s="75">
        <v>55267</v>
      </c>
      <c r="AF289"/>
      <c r="AG289"/>
      <c r="AH289" s="75">
        <v>27526</v>
      </c>
      <c r="AI289" s="75">
        <v>27521</v>
      </c>
      <c r="AJ289" s="75">
        <v>27474</v>
      </c>
      <c r="AK289" s="75">
        <v>27397</v>
      </c>
      <c r="AL289" s="75">
        <v>27417</v>
      </c>
      <c r="AM289" s="75">
        <v>27472</v>
      </c>
      <c r="AN289" s="75">
        <v>27616</v>
      </c>
      <c r="AO289" s="75">
        <v>50938</v>
      </c>
      <c r="AP289" s="75">
        <v>48567</v>
      </c>
      <c r="AQ289" s="75">
        <v>45532000</v>
      </c>
      <c r="AR289" s="75">
        <v>42729</v>
      </c>
      <c r="AS289" s="75">
        <v>42246</v>
      </c>
      <c r="AT289" s="75">
        <v>42742</v>
      </c>
      <c r="AU289" s="75">
        <v>44687</v>
      </c>
      <c r="AV289" s="75">
        <v>55267</v>
      </c>
    </row>
    <row r="290" spans="1:48" ht="12.5" x14ac:dyDescent="0.25">
      <c r="A290" s="75" t="s">
        <v>520</v>
      </c>
      <c r="B290" s="75" t="s">
        <v>231</v>
      </c>
      <c r="C290" s="145">
        <f t="shared" si="12"/>
        <v>14151.6</v>
      </c>
      <c r="D290" s="145">
        <f t="shared" si="13"/>
        <v>13240.8</v>
      </c>
      <c r="E290" s="145">
        <v>11752000</v>
      </c>
      <c r="F290" s="145">
        <f t="shared" si="14"/>
        <v>25164654.973801266</v>
      </c>
      <c r="G290" s="145">
        <v>8063</v>
      </c>
      <c r="H290" s="145">
        <v>7905</v>
      </c>
      <c r="I290" s="145">
        <v>6968</v>
      </c>
      <c r="J290" s="145">
        <v>7706</v>
      </c>
      <c r="K290" s="145">
        <v>14017</v>
      </c>
      <c r="L290" s="145">
        <v>12061</v>
      </c>
      <c r="M290" s="145">
        <v>15987</v>
      </c>
      <c r="N290" s="145">
        <v>16089</v>
      </c>
      <c r="O290" s="145">
        <v>14521</v>
      </c>
      <c r="P290" s="145">
        <v>11626</v>
      </c>
      <c r="Q290" s="145">
        <v>16539</v>
      </c>
      <c r="R290" s="145">
        <v>14615</v>
      </c>
      <c r="S290" s="145">
        <v>12113</v>
      </c>
      <c r="T290" s="145">
        <v>11085</v>
      </c>
      <c r="U290" s="145">
        <v>28954</v>
      </c>
      <c r="V290" s="145">
        <v>28010</v>
      </c>
      <c r="W290" s="145">
        <v>12724</v>
      </c>
      <c r="X290" s="145">
        <v>12575</v>
      </c>
      <c r="Y290" s="145">
        <v>11630</v>
      </c>
      <c r="Z290" s="145">
        <v>10736</v>
      </c>
      <c r="AA290" s="145">
        <v>70339</v>
      </c>
      <c r="AB290" s="75">
        <v>238545</v>
      </c>
      <c r="AC290" s="75">
        <v>242009</v>
      </c>
      <c r="AF290"/>
      <c r="AG290"/>
      <c r="AH290" s="75">
        <v>64284</v>
      </c>
      <c r="AI290" s="75">
        <v>64918</v>
      </c>
      <c r="AJ290" s="75">
        <v>65599</v>
      </c>
      <c r="AK290" s="75">
        <v>66424</v>
      </c>
      <c r="AL290" s="75">
        <v>66912</v>
      </c>
      <c r="AM290" s="75">
        <v>67666</v>
      </c>
      <c r="AN290" s="75">
        <v>68525</v>
      </c>
      <c r="AO290" s="75">
        <v>229974</v>
      </c>
      <c r="AP290" s="75">
        <v>229186</v>
      </c>
      <c r="AQ290" s="75">
        <v>228122000</v>
      </c>
      <c r="AR290" s="75">
        <v>227871</v>
      </c>
      <c r="AS290" s="75">
        <v>229069</v>
      </c>
      <c r="AT290" s="75">
        <v>229288</v>
      </c>
      <c r="AU290" s="75">
        <v>238545</v>
      </c>
      <c r="AV290" s="75">
        <v>242009</v>
      </c>
    </row>
    <row r="291" spans="1:48" ht="12.5" x14ac:dyDescent="0.25">
      <c r="A291" s="75" t="s">
        <v>524</v>
      </c>
      <c r="B291" s="75" t="s">
        <v>339</v>
      </c>
      <c r="C291" s="145">
        <f t="shared" si="12"/>
        <v>5462.4</v>
      </c>
      <c r="D291" s="145">
        <f t="shared" si="13"/>
        <v>5603.9</v>
      </c>
      <c r="E291" s="145">
        <v>3851000</v>
      </c>
      <c r="F291" s="145">
        <f t="shared" si="14"/>
        <v>8125908.3022131901</v>
      </c>
      <c r="G291" s="145">
        <v>6156</v>
      </c>
      <c r="H291" s="145">
        <v>5593</v>
      </c>
      <c r="I291" s="145">
        <v>5891</v>
      </c>
      <c r="J291" s="145">
        <v>5519</v>
      </c>
      <c r="K291" s="145">
        <v>3800</v>
      </c>
      <c r="L291" s="145">
        <v>3983</v>
      </c>
      <c r="M291" s="145">
        <v>3494</v>
      </c>
      <c r="N291" s="145">
        <v>3443</v>
      </c>
      <c r="O291" s="145">
        <v>10891</v>
      </c>
      <c r="P291" s="145">
        <v>10773</v>
      </c>
      <c r="Q291" s="145">
        <v>8551</v>
      </c>
      <c r="R291" s="145">
        <v>9776</v>
      </c>
      <c r="S291" s="145">
        <v>4793</v>
      </c>
      <c r="T291" s="145">
        <v>5458</v>
      </c>
      <c r="U291" s="145">
        <v>2081</v>
      </c>
      <c r="V291" s="145">
        <v>2279</v>
      </c>
      <c r="W291" s="145">
        <v>5716</v>
      </c>
      <c r="X291" s="145">
        <v>5974</v>
      </c>
      <c r="Y291" s="145">
        <v>3251</v>
      </c>
      <c r="Z291" s="145">
        <v>3241</v>
      </c>
      <c r="AA291" s="145">
        <v>21944</v>
      </c>
      <c r="AB291" s="75">
        <v>65950</v>
      </c>
      <c r="AC291" s="75">
        <v>66304</v>
      </c>
      <c r="AF291"/>
      <c r="AG291"/>
      <c r="AH291" s="75">
        <v>21900</v>
      </c>
      <c r="AI291" s="75">
        <v>21863</v>
      </c>
      <c r="AJ291" s="75">
        <v>21839</v>
      </c>
      <c r="AK291" s="75">
        <v>21901</v>
      </c>
      <c r="AL291" s="75">
        <v>21953</v>
      </c>
      <c r="AM291" s="75">
        <v>21850</v>
      </c>
      <c r="AN291" s="75">
        <v>22045</v>
      </c>
      <c r="AO291" s="75">
        <v>40766</v>
      </c>
      <c r="AP291" s="75">
        <v>44156</v>
      </c>
      <c r="AQ291" s="75">
        <v>55474000</v>
      </c>
      <c r="AR291" s="75">
        <v>58889</v>
      </c>
      <c r="AS291" s="75">
        <v>63567</v>
      </c>
      <c r="AT291" s="75">
        <v>64657</v>
      </c>
      <c r="AU291" s="75">
        <v>65950</v>
      </c>
      <c r="AV291" s="75">
        <v>66304</v>
      </c>
    </row>
    <row r="292" spans="1:48" ht="12.5" x14ac:dyDescent="0.25">
      <c r="A292" s="75" t="s">
        <v>513</v>
      </c>
      <c r="B292" s="75" t="s">
        <v>392</v>
      </c>
      <c r="C292" s="145">
        <f t="shared" si="12"/>
        <v>12072.7</v>
      </c>
      <c r="D292" s="145">
        <f t="shared" si="13"/>
        <v>10079.6</v>
      </c>
      <c r="E292" s="145">
        <v>6824000</v>
      </c>
      <c r="F292" s="145">
        <f t="shared" si="14"/>
        <v>17037630.98623766</v>
      </c>
      <c r="G292" s="145">
        <v>13294</v>
      </c>
      <c r="H292" s="145">
        <v>12453</v>
      </c>
      <c r="I292" s="145">
        <v>0</v>
      </c>
      <c r="J292" s="145">
        <v>-4074</v>
      </c>
      <c r="K292" s="145">
        <v>13610</v>
      </c>
      <c r="L292" s="145">
        <v>2386</v>
      </c>
      <c r="M292" s="145">
        <v>9874</v>
      </c>
      <c r="N292" s="145">
        <v>8158</v>
      </c>
      <c r="O292" s="145">
        <v>12886</v>
      </c>
      <c r="P292" s="145">
        <v>12283</v>
      </c>
      <c r="Q292" s="145">
        <v>14911</v>
      </c>
      <c r="R292" s="145">
        <v>13392</v>
      </c>
      <c r="S292" s="145">
        <v>14104</v>
      </c>
      <c r="T292" s="145">
        <v>12015</v>
      </c>
      <c r="U292" s="145">
        <v>7365</v>
      </c>
      <c r="V292" s="145">
        <v>8044</v>
      </c>
      <c r="W292" s="145">
        <v>21893</v>
      </c>
      <c r="X292" s="145">
        <v>22422</v>
      </c>
      <c r="Y292" s="145">
        <v>12790</v>
      </c>
      <c r="Z292" s="145">
        <v>13717</v>
      </c>
      <c r="AA292" s="145">
        <v>47604</v>
      </c>
      <c r="AB292" s="75">
        <v>132856</v>
      </c>
      <c r="AC292" s="75">
        <v>143787</v>
      </c>
      <c r="AF292"/>
      <c r="AG292"/>
      <c r="AH292" s="75">
        <v>44720</v>
      </c>
      <c r="AI292" s="75">
        <v>44922</v>
      </c>
      <c r="AJ292" s="75">
        <v>45358</v>
      </c>
      <c r="AK292" s="75">
        <v>45481</v>
      </c>
      <c r="AL292" s="75">
        <v>45500</v>
      </c>
      <c r="AM292" s="75">
        <v>45813</v>
      </c>
      <c r="AN292" s="75">
        <v>46417</v>
      </c>
      <c r="AO292" s="75">
        <v>122275</v>
      </c>
      <c r="AP292" s="75">
        <v>123478</v>
      </c>
      <c r="AQ292" s="75">
        <v>123599000</v>
      </c>
      <c r="AR292" s="75">
        <v>126609</v>
      </c>
      <c r="AS292" s="75">
        <v>130543</v>
      </c>
      <c r="AT292" s="75">
        <v>131592</v>
      </c>
      <c r="AU292" s="75">
        <v>132856</v>
      </c>
      <c r="AV292" s="75">
        <v>143787</v>
      </c>
    </row>
    <row r="293" spans="1:48" ht="12.5" x14ac:dyDescent="0.25">
      <c r="A293" s="75" t="s">
        <v>514</v>
      </c>
      <c r="B293" s="75" t="s">
        <v>274</v>
      </c>
      <c r="C293" s="145">
        <f t="shared" si="12"/>
        <v>5497.8</v>
      </c>
      <c r="D293" s="145">
        <f t="shared" si="13"/>
        <v>5520.8</v>
      </c>
      <c r="E293" s="145">
        <v>10586000</v>
      </c>
      <c r="F293" s="145">
        <f t="shared" si="14"/>
        <v>25464774.333063789</v>
      </c>
      <c r="G293" s="145">
        <v>10575</v>
      </c>
      <c r="H293" s="145">
        <v>10859</v>
      </c>
      <c r="I293" s="145">
        <v>9118</v>
      </c>
      <c r="J293" s="145">
        <v>8198</v>
      </c>
      <c r="K293" s="145">
        <v>5471</v>
      </c>
      <c r="L293" s="145">
        <v>5519</v>
      </c>
      <c r="M293" s="145">
        <v>2431</v>
      </c>
      <c r="N293" s="145">
        <v>1248</v>
      </c>
      <c r="O293" s="145">
        <v>2946</v>
      </c>
      <c r="P293" s="145">
        <v>3166</v>
      </c>
      <c r="Q293" s="145">
        <v>3236</v>
      </c>
      <c r="R293" s="145">
        <v>5044</v>
      </c>
      <c r="S293" s="145">
        <v>12522</v>
      </c>
      <c r="T293" s="145">
        <v>11792</v>
      </c>
      <c r="U293" s="145">
        <v>1224</v>
      </c>
      <c r="V293" s="145">
        <v>1364</v>
      </c>
      <c r="W293" s="145">
        <v>2856</v>
      </c>
      <c r="X293" s="145">
        <v>3275</v>
      </c>
      <c r="Y293" s="145">
        <v>4599</v>
      </c>
      <c r="Z293" s="145">
        <v>4743</v>
      </c>
      <c r="AA293" s="145">
        <v>70004</v>
      </c>
      <c r="AB293" s="75">
        <v>197705</v>
      </c>
      <c r="AC293" s="75">
        <v>192091</v>
      </c>
      <c r="AF293"/>
      <c r="AG293"/>
      <c r="AH293" s="75">
        <v>67604</v>
      </c>
      <c r="AI293" s="75">
        <v>67810</v>
      </c>
      <c r="AJ293" s="75">
        <v>68356</v>
      </c>
      <c r="AK293" s="75">
        <v>68590</v>
      </c>
      <c r="AL293" s="75">
        <v>68617</v>
      </c>
      <c r="AM293" s="75">
        <v>68473</v>
      </c>
      <c r="AN293" s="75">
        <v>68790</v>
      </c>
      <c r="AO293" s="75">
        <v>171703</v>
      </c>
      <c r="AP293" s="75">
        <v>184822</v>
      </c>
      <c r="AQ293" s="75">
        <v>194427000</v>
      </c>
      <c r="AR293" s="75">
        <v>192789</v>
      </c>
      <c r="AS293" s="75">
        <v>201018</v>
      </c>
      <c r="AT293" s="75">
        <v>200156</v>
      </c>
      <c r="AU293" s="75">
        <v>197705</v>
      </c>
      <c r="AV293" s="75">
        <v>192091</v>
      </c>
    </row>
    <row r="294" spans="1:48" ht="12.5" x14ac:dyDescent="0.25">
      <c r="A294" s="75" t="s">
        <v>522</v>
      </c>
      <c r="B294" s="75" t="s">
        <v>423</v>
      </c>
      <c r="C294" s="145">
        <f t="shared" si="12"/>
        <v>19969.599999999999</v>
      </c>
      <c r="D294" s="145">
        <f t="shared" si="13"/>
        <v>20799.900000000001</v>
      </c>
      <c r="E294" s="145">
        <v>14646000</v>
      </c>
      <c r="F294" s="145">
        <f t="shared" si="14"/>
        <v>37980904.489172935</v>
      </c>
      <c r="G294" s="145">
        <v>53479</v>
      </c>
      <c r="H294" s="145">
        <v>52941</v>
      </c>
      <c r="I294" s="145">
        <v>45801</v>
      </c>
      <c r="J294" s="145">
        <v>47149</v>
      </c>
      <c r="K294" s="145">
        <v>21975</v>
      </c>
      <c r="L294" s="145">
        <v>23847</v>
      </c>
      <c r="M294" s="145">
        <v>11879</v>
      </c>
      <c r="N294" s="145">
        <v>13331</v>
      </c>
      <c r="O294" s="145">
        <v>9680</v>
      </c>
      <c r="P294" s="145">
        <v>19683</v>
      </c>
      <c r="Q294" s="145">
        <v>4729</v>
      </c>
      <c r="R294" s="145">
        <v>3716</v>
      </c>
      <c r="S294" s="145">
        <v>8346</v>
      </c>
      <c r="T294" s="145">
        <v>5878</v>
      </c>
      <c r="U294" s="145">
        <v>10898</v>
      </c>
      <c r="V294" s="145">
        <v>9831</v>
      </c>
      <c r="W294" s="145">
        <v>24165</v>
      </c>
      <c r="X294" s="145">
        <v>23474</v>
      </c>
      <c r="Y294" s="145">
        <v>8744</v>
      </c>
      <c r="Z294" s="145">
        <v>8149</v>
      </c>
      <c r="AA294" s="145">
        <v>103982</v>
      </c>
      <c r="AB294" s="75">
        <v>278593</v>
      </c>
      <c r="AC294" s="75">
        <v>277747</v>
      </c>
      <c r="AF294"/>
      <c r="AG294"/>
      <c r="AH294" s="75">
        <v>101023</v>
      </c>
      <c r="AI294" s="75">
        <v>101228</v>
      </c>
      <c r="AJ294" s="75">
        <v>101578</v>
      </c>
      <c r="AK294" s="75">
        <v>101869</v>
      </c>
      <c r="AL294" s="75">
        <v>101988</v>
      </c>
      <c r="AM294" s="75">
        <v>102128</v>
      </c>
      <c r="AN294" s="75">
        <v>103328</v>
      </c>
      <c r="AO294" s="75">
        <v>309042</v>
      </c>
      <c r="AP294" s="75">
        <v>297289</v>
      </c>
      <c r="AQ294" s="75">
        <v>325673000</v>
      </c>
      <c r="AR294" s="75">
        <v>318263</v>
      </c>
      <c r="AS294" s="75">
        <v>291322</v>
      </c>
      <c r="AT294" s="75">
        <v>286434</v>
      </c>
      <c r="AU294" s="75">
        <v>278593</v>
      </c>
      <c r="AV294" s="75">
        <v>277747</v>
      </c>
    </row>
    <row r="295" spans="1:48" ht="12.5" x14ac:dyDescent="0.25">
      <c r="A295" s="75" t="s">
        <v>522</v>
      </c>
      <c r="B295" s="75" t="s">
        <v>424</v>
      </c>
      <c r="C295" s="145">
        <f t="shared" si="12"/>
        <v>1843.8</v>
      </c>
      <c r="D295" s="145">
        <f t="shared" si="13"/>
        <v>1491.4</v>
      </c>
      <c r="E295" s="145">
        <v>8249000</v>
      </c>
      <c r="F295" s="145">
        <f t="shared" si="14"/>
        <v>16352972.076197637</v>
      </c>
      <c r="G295" s="145">
        <v>0</v>
      </c>
      <c r="H295" s="145">
        <v>229</v>
      </c>
      <c r="I295" s="145">
        <v>19099</v>
      </c>
      <c r="J295" s="145">
        <v>22625</v>
      </c>
      <c r="K295" s="145">
        <v>111</v>
      </c>
      <c r="L295" s="145">
        <v>-73</v>
      </c>
      <c r="M295" s="145">
        <v>-541</v>
      </c>
      <c r="N295" s="145">
        <v>-1207</v>
      </c>
      <c r="O295" s="145">
        <v>-599</v>
      </c>
      <c r="P295" s="145">
        <v>-1749</v>
      </c>
      <c r="Q295" s="145">
        <v>-123</v>
      </c>
      <c r="R295" s="145">
        <v>-885</v>
      </c>
      <c r="S295" s="145">
        <v>-201</v>
      </c>
      <c r="T295" s="145">
        <v>-1100</v>
      </c>
      <c r="U295" s="145">
        <v>547</v>
      </c>
      <c r="V295" s="145">
        <v>-800</v>
      </c>
      <c r="W295" s="145">
        <v>59</v>
      </c>
      <c r="X295" s="145">
        <v>-1929</v>
      </c>
      <c r="Y295" s="145">
        <v>86</v>
      </c>
      <c r="Z295" s="145">
        <v>-197</v>
      </c>
      <c r="AA295" s="145">
        <v>44810</v>
      </c>
      <c r="AB295" s="75">
        <v>126361</v>
      </c>
      <c r="AC295" s="75">
        <v>129345</v>
      </c>
      <c r="AF295"/>
      <c r="AG295"/>
      <c r="AH295" s="75">
        <v>43566</v>
      </c>
      <c r="AI295" s="75">
        <v>43346</v>
      </c>
      <c r="AJ295" s="75">
        <v>43312</v>
      </c>
      <c r="AK295" s="75">
        <v>43596</v>
      </c>
      <c r="AL295" s="75">
        <v>43713</v>
      </c>
      <c r="AM295" s="75">
        <v>43972</v>
      </c>
      <c r="AN295" s="75">
        <v>44628</v>
      </c>
      <c r="AO295" s="75">
        <v>102958</v>
      </c>
      <c r="AP295" s="75">
        <v>98547</v>
      </c>
      <c r="AQ295" s="75">
        <v>100384000</v>
      </c>
      <c r="AR295" s="75">
        <v>101651</v>
      </c>
      <c r="AS295" s="75">
        <v>112953</v>
      </c>
      <c r="AT295" s="75">
        <v>123779</v>
      </c>
      <c r="AU295" s="75">
        <v>126361</v>
      </c>
      <c r="AV295" s="75">
        <v>129345</v>
      </c>
    </row>
    <row r="296" spans="1:48" ht="12.5" x14ac:dyDescent="0.25">
      <c r="A296" s="75" t="s">
        <v>520</v>
      </c>
      <c r="B296" s="214" t="s">
        <v>598</v>
      </c>
      <c r="C296" s="145">
        <f t="shared" si="12"/>
        <v>6778.32</v>
      </c>
      <c r="D296" s="145">
        <f t="shared" si="13"/>
        <v>6553.8899999999994</v>
      </c>
      <c r="E296" s="216">
        <v>12243000</v>
      </c>
      <c r="F296" s="145">
        <f t="shared" si="14"/>
        <v>21864085.81214717</v>
      </c>
      <c r="G296" s="216">
        <v>5958</v>
      </c>
      <c r="H296" s="216">
        <v>5958</v>
      </c>
      <c r="I296" s="145">
        <v>6536</v>
      </c>
      <c r="J296" s="145">
        <v>5708</v>
      </c>
      <c r="K296" s="145">
        <v>5241</v>
      </c>
      <c r="L296" s="145">
        <v>5578</v>
      </c>
      <c r="M296" s="145">
        <v>4650</v>
      </c>
      <c r="N296" s="145">
        <v>4909</v>
      </c>
      <c r="O296" s="145">
        <v>0</v>
      </c>
      <c r="P296" s="145" t="s">
        <v>613</v>
      </c>
      <c r="Q296" s="145">
        <v>4650</v>
      </c>
      <c r="R296" s="145">
        <v>4909</v>
      </c>
      <c r="S296" s="145">
        <v>13841</v>
      </c>
      <c r="T296" s="145">
        <v>13383</v>
      </c>
      <c r="U296" s="145">
        <v>12576</v>
      </c>
      <c r="V296" s="145">
        <v>10745</v>
      </c>
      <c r="W296" s="145">
        <v>7678</v>
      </c>
      <c r="X296" s="145">
        <v>7733</v>
      </c>
      <c r="Y296" s="145">
        <v>6653.2</v>
      </c>
      <c r="Z296" s="145">
        <v>6615.9</v>
      </c>
      <c r="AA296" s="145">
        <v>62554</v>
      </c>
      <c r="AB296" s="75">
        <v>188863</v>
      </c>
      <c r="AC296" s="214">
        <v>217513</v>
      </c>
      <c r="AF296"/>
      <c r="AH296" s="75">
        <v>54455</v>
      </c>
      <c r="AI296" s="75">
        <v>54990</v>
      </c>
      <c r="AJ296" s="75">
        <v>55703</v>
      </c>
      <c r="AK296" s="75">
        <v>56740</v>
      </c>
      <c r="AL296" s="75">
        <v>57829</v>
      </c>
      <c r="AM296" s="75">
        <v>58791</v>
      </c>
      <c r="AN296" s="75">
        <v>60052</v>
      </c>
      <c r="AO296" s="75">
        <v>139568</v>
      </c>
      <c r="AP296" s="75">
        <v>152173</v>
      </c>
      <c r="AQ296" s="75">
        <v>138001000</v>
      </c>
      <c r="AR296" s="75">
        <v>140192</v>
      </c>
      <c r="AS296" s="214">
        <v>140192</v>
      </c>
      <c r="AT296" s="75">
        <v>0</v>
      </c>
      <c r="AU296" s="75">
        <v>188863</v>
      </c>
      <c r="AV296" s="75">
        <v>217513</v>
      </c>
    </row>
    <row r="297" spans="1:48" ht="12.5" x14ac:dyDescent="0.25">
      <c r="A297" s="75" t="s">
        <v>517</v>
      </c>
      <c r="B297" s="75" t="s">
        <v>318</v>
      </c>
      <c r="C297" s="145">
        <f t="shared" si="12"/>
        <v>10356.9</v>
      </c>
      <c r="D297" s="145">
        <f t="shared" si="13"/>
        <v>7534.4</v>
      </c>
      <c r="E297" s="145">
        <v>11805000</v>
      </c>
      <c r="F297" s="145">
        <f t="shared" si="14"/>
        <v>27579369.967223246</v>
      </c>
      <c r="G297" s="145">
        <v>10031</v>
      </c>
      <c r="H297" s="145">
        <v>9127</v>
      </c>
      <c r="I297" s="145">
        <v>30091</v>
      </c>
      <c r="J297" s="145">
        <v>29582</v>
      </c>
      <c r="K297" s="145">
        <v>16284</v>
      </c>
      <c r="L297" s="145">
        <v>10539</v>
      </c>
      <c r="M297" s="145">
        <v>7996</v>
      </c>
      <c r="N297" s="145">
        <v>5113</v>
      </c>
      <c r="O297" s="145">
        <v>13149</v>
      </c>
      <c r="P297" s="145">
        <v>8674</v>
      </c>
      <c r="Q297" s="145">
        <v>4589</v>
      </c>
      <c r="R297" s="145">
        <v>6822</v>
      </c>
      <c r="S297" s="145">
        <v>6309</v>
      </c>
      <c r="T297" s="145">
        <v>7194</v>
      </c>
      <c r="U297" s="145">
        <v>4603</v>
      </c>
      <c r="V297" s="145">
        <v>6522</v>
      </c>
      <c r="W297" s="145">
        <v>4297</v>
      </c>
      <c r="X297" s="145">
        <v>4376</v>
      </c>
      <c r="Y297" s="145">
        <v>6220</v>
      </c>
      <c r="Z297" s="145">
        <v>-12605</v>
      </c>
      <c r="AA297" s="145">
        <v>77234</v>
      </c>
      <c r="AB297" s="75">
        <v>291284</v>
      </c>
      <c r="AC297" s="75">
        <v>287473</v>
      </c>
      <c r="AF297"/>
      <c r="AG297"/>
      <c r="AH297" s="75">
        <v>72062</v>
      </c>
      <c r="AI297" s="75">
        <v>72051</v>
      </c>
      <c r="AJ297" s="75">
        <v>72455</v>
      </c>
      <c r="AK297" s="75">
        <v>73403</v>
      </c>
      <c r="AL297" s="75">
        <v>73924</v>
      </c>
      <c r="AM297" s="75">
        <v>74159</v>
      </c>
      <c r="AN297" s="75">
        <v>75079</v>
      </c>
      <c r="AO297" s="75">
        <v>327796</v>
      </c>
      <c r="AP297" s="75">
        <v>312995</v>
      </c>
      <c r="AQ297" s="75">
        <v>317777000</v>
      </c>
      <c r="AR297" s="75">
        <v>315240</v>
      </c>
      <c r="AS297" s="75">
        <v>310651</v>
      </c>
      <c r="AT297" s="75">
        <v>301124</v>
      </c>
      <c r="AU297" s="75">
        <v>291284</v>
      </c>
      <c r="AV297" s="75">
        <v>287473</v>
      </c>
    </row>
    <row r="298" spans="1:48" ht="12.5" x14ac:dyDescent="0.25">
      <c r="A298" s="75" t="s">
        <v>516</v>
      </c>
      <c r="B298" s="75" t="s">
        <v>137</v>
      </c>
      <c r="C298" s="145">
        <f t="shared" si="12"/>
        <v>39.9</v>
      </c>
      <c r="D298" s="145">
        <f t="shared" si="13"/>
        <v>37.700000000000003</v>
      </c>
      <c r="E298" s="145">
        <v>894000</v>
      </c>
      <c r="F298" s="145">
        <f t="shared" si="14"/>
        <v>444786.55970009038</v>
      </c>
      <c r="G298" s="145">
        <v>0</v>
      </c>
      <c r="H298" s="145">
        <v>0</v>
      </c>
      <c r="I298" s="145">
        <v>0</v>
      </c>
      <c r="J298" s="145">
        <v>0</v>
      </c>
      <c r="K298" s="145">
        <v>0</v>
      </c>
      <c r="L298" s="145">
        <v>0</v>
      </c>
      <c r="M298" s="145">
        <v>0</v>
      </c>
      <c r="N298" s="145">
        <v>0</v>
      </c>
      <c r="O298" s="145">
        <v>0</v>
      </c>
      <c r="P298" s="145">
        <v>0</v>
      </c>
      <c r="Q298" s="145">
        <v>399</v>
      </c>
      <c r="R298" s="145">
        <v>139</v>
      </c>
      <c r="S298" s="145">
        <v>0</v>
      </c>
      <c r="T298" s="145">
        <v>214</v>
      </c>
      <c r="U298" s="145">
        <v>0</v>
      </c>
      <c r="V298" s="145">
        <v>26</v>
      </c>
      <c r="W298" s="145">
        <v>0</v>
      </c>
      <c r="X298" s="145">
        <v>-2</v>
      </c>
      <c r="Y298" s="145">
        <v>0</v>
      </c>
      <c r="Z298" s="145">
        <v>0</v>
      </c>
      <c r="AA298" s="145">
        <v>1212</v>
      </c>
      <c r="AB298" s="75">
        <v>14334</v>
      </c>
      <c r="AC298" s="75">
        <v>23540</v>
      </c>
      <c r="AG298"/>
      <c r="AH298" s="75">
        <v>1088</v>
      </c>
      <c r="AI298" s="75">
        <v>1133</v>
      </c>
      <c r="AJ298" s="75">
        <v>1139</v>
      </c>
      <c r="AK298" s="75">
        <v>1161</v>
      </c>
      <c r="AL298" s="75">
        <v>1194</v>
      </c>
      <c r="AM298" s="75">
        <v>1196</v>
      </c>
      <c r="AN298" s="75">
        <v>1291</v>
      </c>
      <c r="AO298" s="75">
        <v>7825</v>
      </c>
      <c r="AP298" s="75">
        <v>12085</v>
      </c>
      <c r="AQ298" s="75">
        <v>11744000</v>
      </c>
      <c r="AR298" s="75">
        <v>11173</v>
      </c>
      <c r="AS298" s="75">
        <v>10734</v>
      </c>
      <c r="AT298" s="75">
        <v>10657</v>
      </c>
      <c r="AU298" s="75">
        <v>14334</v>
      </c>
      <c r="AV298" s="75">
        <v>23540</v>
      </c>
    </row>
    <row r="299" spans="1:48" ht="12.5" x14ac:dyDescent="0.25">
      <c r="A299" s="75" t="s">
        <v>524</v>
      </c>
      <c r="B299" s="75" t="s">
        <v>340</v>
      </c>
      <c r="C299" s="145">
        <f t="shared" si="12"/>
        <v>19083.400000000001</v>
      </c>
      <c r="D299" s="145">
        <f t="shared" si="13"/>
        <v>30558.9</v>
      </c>
      <c r="E299" s="145">
        <v>8687000</v>
      </c>
      <c r="F299" s="145">
        <f t="shared" si="14"/>
        <v>16573505.880463652</v>
      </c>
      <c r="G299" s="145">
        <v>16734</v>
      </c>
      <c r="H299" s="145">
        <v>15303</v>
      </c>
      <c r="I299" s="145">
        <v>21174</v>
      </c>
      <c r="J299" s="145">
        <v>104169</v>
      </c>
      <c r="K299" s="145">
        <v>9484</v>
      </c>
      <c r="L299" s="145">
        <v>82553</v>
      </c>
      <c r="M299" s="145">
        <v>9401</v>
      </c>
      <c r="N299" s="145">
        <v>7713</v>
      </c>
      <c r="O299" s="145">
        <v>46684</v>
      </c>
      <c r="P299" s="145">
        <v>25239</v>
      </c>
      <c r="Q299" s="145">
        <v>16091</v>
      </c>
      <c r="R299" s="145">
        <v>16090</v>
      </c>
      <c r="S299" s="145">
        <v>19309</v>
      </c>
      <c r="T299" s="145">
        <v>12630</v>
      </c>
      <c r="U299" s="145">
        <v>20910</v>
      </c>
      <c r="V299" s="145">
        <v>19447</v>
      </c>
      <c r="W299" s="145">
        <v>9440</v>
      </c>
      <c r="X299" s="145">
        <v>10198</v>
      </c>
      <c r="Y299" s="145">
        <v>21607</v>
      </c>
      <c r="Z299" s="145">
        <v>12247</v>
      </c>
      <c r="AA299" s="145">
        <v>45768</v>
      </c>
      <c r="AB299" s="75">
        <v>139806</v>
      </c>
      <c r="AC299" s="214">
        <v>141182</v>
      </c>
      <c r="AF299"/>
      <c r="AG299"/>
      <c r="AH299" s="75">
        <v>44399</v>
      </c>
      <c r="AI299" s="75">
        <v>44489</v>
      </c>
      <c r="AJ299" s="75">
        <v>44372</v>
      </c>
      <c r="AK299" s="75">
        <v>44466</v>
      </c>
      <c r="AL299" s="75">
        <v>44358</v>
      </c>
      <c r="AM299" s="75">
        <v>44565</v>
      </c>
      <c r="AN299" s="75">
        <v>45150</v>
      </c>
      <c r="AO299" s="75">
        <v>147622</v>
      </c>
      <c r="AP299" s="75">
        <v>134494</v>
      </c>
      <c r="AQ299" s="75">
        <v>147698000</v>
      </c>
      <c r="AR299" s="75">
        <v>144669</v>
      </c>
      <c r="AS299" s="75">
        <v>141873</v>
      </c>
      <c r="AT299" s="75">
        <v>0</v>
      </c>
      <c r="AU299" s="75">
        <v>139806</v>
      </c>
      <c r="AV299" s="75">
        <v>141182</v>
      </c>
    </row>
    <row r="300" spans="1:48" ht="12.5" x14ac:dyDescent="0.25">
      <c r="A300" s="75" t="s">
        <v>522</v>
      </c>
      <c r="B300" s="75" t="s">
        <v>425</v>
      </c>
      <c r="C300" s="145">
        <f t="shared" si="12"/>
        <v>103</v>
      </c>
      <c r="D300" s="145">
        <f t="shared" si="13"/>
        <v>122.4</v>
      </c>
      <c r="E300" s="145">
        <v>1908000</v>
      </c>
      <c r="F300" s="145">
        <f t="shared" si="14"/>
        <v>4620796.8263157383</v>
      </c>
      <c r="G300" s="145">
        <v>0</v>
      </c>
      <c r="H300" s="145">
        <v>0</v>
      </c>
      <c r="I300" s="145">
        <v>864</v>
      </c>
      <c r="J300" s="145">
        <v>864</v>
      </c>
      <c r="K300" s="145">
        <v>166</v>
      </c>
      <c r="L300" s="145">
        <v>219</v>
      </c>
      <c r="M300" s="145">
        <v>0</v>
      </c>
      <c r="N300" s="145">
        <v>0</v>
      </c>
      <c r="O300" s="145">
        <v>0</v>
      </c>
      <c r="P300" s="145">
        <v>0</v>
      </c>
      <c r="Q300" s="145">
        <v>0</v>
      </c>
      <c r="R300" s="145">
        <v>141</v>
      </c>
      <c r="S300" s="145">
        <v>0</v>
      </c>
      <c r="T300" s="145">
        <v>0</v>
      </c>
      <c r="U300" s="145">
        <v>0</v>
      </c>
      <c r="V300" s="145">
        <v>0</v>
      </c>
      <c r="W300" s="145">
        <v>0</v>
      </c>
      <c r="X300" s="145">
        <v>0</v>
      </c>
      <c r="Y300" s="145">
        <v>0</v>
      </c>
      <c r="Z300" s="145">
        <v>0</v>
      </c>
      <c r="AA300" s="145">
        <v>12583</v>
      </c>
      <c r="AB300" s="75">
        <v>39474</v>
      </c>
      <c r="AC300" s="75">
        <v>36756</v>
      </c>
      <c r="AF300"/>
      <c r="AG300"/>
      <c r="AH300" s="75">
        <v>12464</v>
      </c>
      <c r="AI300" s="75">
        <v>12391</v>
      </c>
      <c r="AJ300" s="75">
        <v>12452</v>
      </c>
      <c r="AK300" s="75">
        <v>12487</v>
      </c>
      <c r="AL300" s="75">
        <v>12466</v>
      </c>
      <c r="AM300" s="75">
        <v>12425</v>
      </c>
      <c r="AN300" s="75">
        <v>12405</v>
      </c>
      <c r="AO300" s="75">
        <v>28364</v>
      </c>
      <c r="AP300" s="75">
        <v>28620</v>
      </c>
      <c r="AQ300" s="75">
        <v>30692000</v>
      </c>
      <c r="AR300" s="75">
        <v>34717</v>
      </c>
      <c r="AS300" s="75">
        <v>38220</v>
      </c>
      <c r="AT300" s="75">
        <v>38410</v>
      </c>
      <c r="AU300" s="75">
        <v>39474</v>
      </c>
      <c r="AV300" s="75">
        <v>36756</v>
      </c>
    </row>
    <row r="301" spans="1:48" ht="12.5" x14ac:dyDescent="0.25">
      <c r="A301" s="75" t="s">
        <v>517</v>
      </c>
      <c r="B301" s="75" t="s">
        <v>827</v>
      </c>
      <c r="C301" s="145">
        <f t="shared" si="12"/>
        <v>24789.1</v>
      </c>
      <c r="D301" s="145">
        <f t="shared" si="13"/>
        <v>24459.9</v>
      </c>
      <c r="E301" s="145">
        <v>14579000</v>
      </c>
      <c r="F301" s="145">
        <f t="shared" si="14"/>
        <v>27238342.145112056</v>
      </c>
      <c r="G301" s="145">
        <v>1403</v>
      </c>
      <c r="H301" s="145">
        <v>497</v>
      </c>
      <c r="I301" s="145">
        <v>21880</v>
      </c>
      <c r="J301" s="145">
        <v>18756</v>
      </c>
      <c r="K301" s="145">
        <v>25596</v>
      </c>
      <c r="L301" s="145">
        <v>22833</v>
      </c>
      <c r="M301" s="145">
        <v>18915</v>
      </c>
      <c r="N301" s="145">
        <v>18016</v>
      </c>
      <c r="O301" s="145">
        <v>21175</v>
      </c>
      <c r="P301" s="145">
        <v>18299</v>
      </c>
      <c r="Q301" s="145">
        <v>28213</v>
      </c>
      <c r="R301" s="145">
        <v>32742</v>
      </c>
      <c r="S301" s="145">
        <v>47066</v>
      </c>
      <c r="T301" s="145">
        <v>49914</v>
      </c>
      <c r="U301" s="145">
        <v>45049</v>
      </c>
      <c r="V301" s="145">
        <v>43502</v>
      </c>
      <c r="W301" s="145">
        <v>33425</v>
      </c>
      <c r="X301" s="145">
        <v>32768</v>
      </c>
      <c r="Y301" s="145">
        <v>5169</v>
      </c>
      <c r="Z301" s="145">
        <v>7272</v>
      </c>
      <c r="AA301" s="145">
        <v>74544</v>
      </c>
      <c r="AB301" s="75">
        <v>325470</v>
      </c>
      <c r="AC301" s="75">
        <v>358216</v>
      </c>
      <c r="AF301"/>
      <c r="AG301"/>
      <c r="AH301" s="75">
        <v>69816</v>
      </c>
      <c r="AI301" s="75">
        <v>70313</v>
      </c>
      <c r="AJ301" s="75">
        <v>71853</v>
      </c>
      <c r="AK301" s="75">
        <v>72106</v>
      </c>
      <c r="AL301" s="75">
        <v>72651</v>
      </c>
      <c r="AM301" s="75">
        <v>73242</v>
      </c>
      <c r="AN301" s="75">
        <v>73945</v>
      </c>
      <c r="AO301" s="75">
        <v>302842</v>
      </c>
      <c r="AP301" s="75">
        <v>275047</v>
      </c>
      <c r="AQ301" s="75">
        <v>284081000</v>
      </c>
      <c r="AR301" s="75">
        <v>291989</v>
      </c>
      <c r="AS301" s="75">
        <v>290617</v>
      </c>
      <c r="AT301" s="75">
        <v>306411</v>
      </c>
      <c r="AU301" s="75">
        <v>325470</v>
      </c>
      <c r="AV301" s="75">
        <v>358216</v>
      </c>
    </row>
    <row r="302" spans="1:48" ht="12.5" x14ac:dyDescent="0.25">
      <c r="A302" s="75" t="s">
        <v>517</v>
      </c>
      <c r="B302" s="75" t="s">
        <v>319</v>
      </c>
      <c r="C302" s="145">
        <f t="shared" si="12"/>
        <v>2148.3000000000002</v>
      </c>
      <c r="D302" s="145">
        <f t="shared" si="13"/>
        <v>2076.1</v>
      </c>
      <c r="E302" s="145">
        <v>2728000</v>
      </c>
      <c r="F302" s="145">
        <f t="shared" si="14"/>
        <v>9530184.2632730063</v>
      </c>
      <c r="G302" s="145">
        <v>4713</v>
      </c>
      <c r="H302" s="145">
        <v>4747</v>
      </c>
      <c r="I302" s="145">
        <v>10409</v>
      </c>
      <c r="J302" s="145">
        <v>9935</v>
      </c>
      <c r="K302" s="145">
        <v>1150</v>
      </c>
      <c r="L302" s="145">
        <v>1233</v>
      </c>
      <c r="M302" s="145">
        <v>1055</v>
      </c>
      <c r="N302" s="145">
        <v>920</v>
      </c>
      <c r="O302" s="145">
        <v>547</v>
      </c>
      <c r="P302" s="145">
        <v>1029</v>
      </c>
      <c r="Q302" s="145">
        <v>1068</v>
      </c>
      <c r="R302" s="145">
        <v>429</v>
      </c>
      <c r="S302" s="145">
        <v>237</v>
      </c>
      <c r="T302" s="145">
        <v>263</v>
      </c>
      <c r="U302" s="145">
        <v>1412</v>
      </c>
      <c r="V302" s="145">
        <v>1406</v>
      </c>
      <c r="W302" s="145">
        <v>711</v>
      </c>
      <c r="X302" s="145">
        <v>640</v>
      </c>
      <c r="Y302" s="145">
        <v>181</v>
      </c>
      <c r="Z302" s="145">
        <v>159</v>
      </c>
      <c r="AA302" s="145">
        <v>25914</v>
      </c>
      <c r="AB302" s="75">
        <v>63378</v>
      </c>
      <c r="AC302" s="75">
        <v>63062</v>
      </c>
      <c r="AF302"/>
      <c r="AG302"/>
      <c r="AH302" s="75">
        <v>25319</v>
      </c>
      <c r="AI302" s="75">
        <v>25455</v>
      </c>
      <c r="AJ302" s="75">
        <v>25476</v>
      </c>
      <c r="AK302" s="75">
        <v>25598</v>
      </c>
      <c r="AL302" s="75">
        <v>25650</v>
      </c>
      <c r="AM302" s="75">
        <v>25626</v>
      </c>
      <c r="AN302" s="75">
        <v>25665</v>
      </c>
      <c r="AO302" s="75">
        <v>47303</v>
      </c>
      <c r="AP302" s="75">
        <v>47603</v>
      </c>
      <c r="AQ302" s="75">
        <v>58326000</v>
      </c>
      <c r="AR302" s="75">
        <v>65566</v>
      </c>
      <c r="AS302" s="75">
        <v>65159</v>
      </c>
      <c r="AT302" s="75">
        <v>64854</v>
      </c>
      <c r="AU302" s="75">
        <v>63378</v>
      </c>
      <c r="AV302" s="75">
        <v>63062</v>
      </c>
    </row>
    <row r="303" spans="1:48" ht="12.5" x14ac:dyDescent="0.25">
      <c r="A303" s="75" t="s">
        <v>515</v>
      </c>
      <c r="B303" s="75" t="s">
        <v>203</v>
      </c>
      <c r="C303" s="145">
        <f t="shared" si="12"/>
        <v>7555.4</v>
      </c>
      <c r="D303" s="145">
        <f t="shared" si="13"/>
        <v>6891.8</v>
      </c>
      <c r="E303" s="145">
        <v>3841000</v>
      </c>
      <c r="F303" s="145">
        <f t="shared" si="14"/>
        <v>9295890.3396851663</v>
      </c>
      <c r="G303" s="145">
        <v>15081</v>
      </c>
      <c r="H303" s="145">
        <v>15049</v>
      </c>
      <c r="I303" s="145">
        <v>8027</v>
      </c>
      <c r="J303" s="145">
        <v>8147</v>
      </c>
      <c r="K303" s="145">
        <v>6452</v>
      </c>
      <c r="L303" s="145">
        <v>6628</v>
      </c>
      <c r="M303" s="145">
        <v>11146</v>
      </c>
      <c r="N303" s="145">
        <v>9858</v>
      </c>
      <c r="O303" s="145">
        <v>7970</v>
      </c>
      <c r="P303" s="145">
        <v>7590</v>
      </c>
      <c r="Q303" s="145">
        <v>6357</v>
      </c>
      <c r="R303" s="145">
        <v>4968</v>
      </c>
      <c r="S303" s="145">
        <v>7033</v>
      </c>
      <c r="T303" s="145">
        <v>6089</v>
      </c>
      <c r="U303" s="145">
        <v>7830</v>
      </c>
      <c r="V303" s="145">
        <v>6174</v>
      </c>
      <c r="W303" s="145">
        <v>3836</v>
      </c>
      <c r="X303" s="145">
        <v>2615</v>
      </c>
      <c r="Y303" s="145">
        <v>1822</v>
      </c>
      <c r="Z303" s="145">
        <v>1800</v>
      </c>
      <c r="AA303" s="145">
        <v>25567</v>
      </c>
      <c r="AB303" s="75">
        <v>74686</v>
      </c>
      <c r="AC303" s="75">
        <v>87430</v>
      </c>
      <c r="AF303"/>
      <c r="AG303"/>
      <c r="AH303" s="75">
        <v>24200</v>
      </c>
      <c r="AI303" s="75">
        <v>24308</v>
      </c>
      <c r="AJ303" s="75">
        <v>24401</v>
      </c>
      <c r="AK303" s="75">
        <v>24562</v>
      </c>
      <c r="AL303" s="75">
        <v>24790</v>
      </c>
      <c r="AM303" s="75">
        <v>24996</v>
      </c>
      <c r="AN303" s="75">
        <v>25215</v>
      </c>
      <c r="AO303" s="75">
        <v>55125</v>
      </c>
      <c r="AP303" s="75">
        <v>47536</v>
      </c>
      <c r="AQ303" s="75">
        <v>61170000</v>
      </c>
      <c r="AR303" s="75">
        <v>62044</v>
      </c>
      <c r="AS303" s="75">
        <v>62412</v>
      </c>
      <c r="AT303" s="75">
        <v>64855</v>
      </c>
      <c r="AU303" s="75">
        <v>74686</v>
      </c>
      <c r="AV303" s="75">
        <v>87430</v>
      </c>
    </row>
    <row r="304" spans="1:48" ht="12.5" x14ac:dyDescent="0.25">
      <c r="A304" s="75" t="s">
        <v>513</v>
      </c>
      <c r="B304" s="75" t="s">
        <v>393</v>
      </c>
      <c r="C304" s="145">
        <f t="shared" si="12"/>
        <v>5765.4641576809972</v>
      </c>
      <c r="D304" s="145">
        <f t="shared" si="13"/>
        <v>4560.2260887830835</v>
      </c>
      <c r="E304" s="145">
        <v>6204000</v>
      </c>
      <c r="F304" s="145">
        <f t="shared" si="14"/>
        <v>11813620.280462435</v>
      </c>
      <c r="G304" s="145">
        <v>336</v>
      </c>
      <c r="H304" s="145">
        <v>300</v>
      </c>
      <c r="I304" s="145">
        <v>6573.1875087522758</v>
      </c>
      <c r="J304" s="145">
        <v>6612.1676235821315</v>
      </c>
      <c r="K304" s="145">
        <v>7600.9862064136669</v>
      </c>
      <c r="L304" s="145">
        <v>6394.4211595014704</v>
      </c>
      <c r="M304" s="145">
        <v>14349.580871026466</v>
      </c>
      <c r="N304" s="145">
        <v>9056.7944265509032</v>
      </c>
      <c r="O304" s="145">
        <v>3660.4516174205291</v>
      </c>
      <c r="P304" s="145">
        <v>2652.2464640806611</v>
      </c>
      <c r="Q304" s="145">
        <v>12278.673715165944</v>
      </c>
      <c r="R304" s="145">
        <v>10058.316692340008</v>
      </c>
      <c r="S304" s="145">
        <v>5003.7616580310878</v>
      </c>
      <c r="T304" s="145">
        <v>3282.3145217756619</v>
      </c>
      <c r="U304" s="145">
        <v>485</v>
      </c>
      <c r="V304" s="145">
        <v>422</v>
      </c>
      <c r="W304" s="145">
        <v>2111</v>
      </c>
      <c r="X304" s="145">
        <v>2010</v>
      </c>
      <c r="Y304" s="145">
        <v>5256</v>
      </c>
      <c r="Z304" s="145">
        <v>4814</v>
      </c>
      <c r="AA304" s="145">
        <v>33024</v>
      </c>
      <c r="AB304" s="75">
        <v>107673</v>
      </c>
      <c r="AC304" s="75">
        <v>123995</v>
      </c>
      <c r="AF304"/>
      <c r="AG304"/>
      <c r="AH304" s="75">
        <v>30899.04824254306</v>
      </c>
      <c r="AI304" s="75">
        <v>31211.432922559863</v>
      </c>
      <c r="AJ304" s="75">
        <v>31201.547192269991</v>
      </c>
      <c r="AK304" s="75">
        <v>31422.791345749894</v>
      </c>
      <c r="AL304" s="75">
        <v>31613.187368715866</v>
      </c>
      <c r="AM304" s="75">
        <v>31766</v>
      </c>
      <c r="AN304" s="75">
        <v>32113</v>
      </c>
      <c r="AO304" s="75">
        <v>84513.706203612935</v>
      </c>
      <c r="AP304" s="75">
        <v>91699.76263828596</v>
      </c>
      <c r="AQ304" s="75">
        <v>96016659.08136116</v>
      </c>
      <c r="AR304" s="75">
        <v>833191.60509732529</v>
      </c>
      <c r="AS304" s="75">
        <v>883162.13310460723</v>
      </c>
      <c r="AT304" s="75">
        <v>922401.07351911499</v>
      </c>
      <c r="AU304" s="75">
        <v>107673</v>
      </c>
      <c r="AV304" s="75">
        <v>123995</v>
      </c>
    </row>
    <row r="305" spans="1:48" ht="12.5" x14ac:dyDescent="0.25">
      <c r="A305" s="75" t="s">
        <v>516</v>
      </c>
      <c r="B305" s="75" t="s">
        <v>599</v>
      </c>
      <c r="C305" s="145">
        <f t="shared" si="12"/>
        <v>2674.9</v>
      </c>
      <c r="D305" s="145">
        <f t="shared" si="13"/>
        <v>2579.1</v>
      </c>
      <c r="E305" s="145">
        <v>4301000</v>
      </c>
      <c r="F305" s="145">
        <f t="shared" si="14"/>
        <v>17226553.705575157</v>
      </c>
      <c r="G305" s="145">
        <v>278</v>
      </c>
      <c r="H305" s="145">
        <v>499</v>
      </c>
      <c r="I305" s="145">
        <v>4653</v>
      </c>
      <c r="J305" s="145">
        <v>4421</v>
      </c>
      <c r="K305" s="145">
        <v>11429</v>
      </c>
      <c r="L305" s="145">
        <v>9520</v>
      </c>
      <c r="M305" s="145">
        <v>3913</v>
      </c>
      <c r="N305" s="145">
        <v>3295</v>
      </c>
      <c r="O305" s="145">
        <v>751</v>
      </c>
      <c r="P305" s="145">
        <v>1338</v>
      </c>
      <c r="Q305" s="145">
        <v>1145</v>
      </c>
      <c r="R305" s="145">
        <v>1142</v>
      </c>
      <c r="S305" s="145">
        <v>1209</v>
      </c>
      <c r="T305" s="145">
        <v>1371</v>
      </c>
      <c r="U305" s="265">
        <v>1341</v>
      </c>
      <c r="V305" s="265">
        <v>1597</v>
      </c>
      <c r="W305" s="145">
        <v>642</v>
      </c>
      <c r="X305" s="145">
        <v>916</v>
      </c>
      <c r="Y305" s="145">
        <v>1388</v>
      </c>
      <c r="Z305" s="145">
        <v>1692</v>
      </c>
      <c r="AA305" s="145">
        <v>46865</v>
      </c>
      <c r="AB305" s="75">
        <v>77974</v>
      </c>
      <c r="AC305" s="75">
        <v>78108</v>
      </c>
      <c r="AF305"/>
      <c r="AG305"/>
      <c r="AH305" s="75">
        <v>46301</v>
      </c>
      <c r="AI305" s="75">
        <v>46323.199999999997</v>
      </c>
      <c r="AJ305" s="75">
        <v>46133</v>
      </c>
      <c r="AK305" s="75">
        <v>46062</v>
      </c>
      <c r="AL305" s="75">
        <v>46149</v>
      </c>
      <c r="AM305" s="75">
        <v>46321</v>
      </c>
      <c r="AN305" s="75">
        <v>46718</v>
      </c>
      <c r="AO305" s="75">
        <v>80946.399999999994</v>
      </c>
      <c r="AP305" s="75">
        <v>79135</v>
      </c>
      <c r="AQ305" s="75">
        <v>85728600</v>
      </c>
      <c r="AR305" s="75">
        <v>85184.991174848314</v>
      </c>
      <c r="AS305" s="75">
        <v>84908</v>
      </c>
      <c r="AT305" s="75">
        <v>80486</v>
      </c>
      <c r="AU305" s="75">
        <v>77974</v>
      </c>
      <c r="AV305" s="75">
        <v>78108</v>
      </c>
    </row>
    <row r="306" spans="1:48" ht="12.5" x14ac:dyDescent="0.25">
      <c r="A306" s="75" t="s">
        <v>513</v>
      </c>
      <c r="B306" s="75" t="s">
        <v>394</v>
      </c>
      <c r="C306" s="145">
        <f t="shared" si="12"/>
        <v>2748.7</v>
      </c>
      <c r="D306" s="145">
        <f t="shared" si="13"/>
        <v>2470.1999999999998</v>
      </c>
      <c r="E306" s="145">
        <v>2226000</v>
      </c>
      <c r="F306" s="145">
        <f t="shared" si="14"/>
        <v>6556882.8044082727</v>
      </c>
      <c r="G306" s="145">
        <v>661</v>
      </c>
      <c r="H306" s="145">
        <v>661</v>
      </c>
      <c r="I306" s="145">
        <v>2583</v>
      </c>
      <c r="J306" s="145">
        <v>2596</v>
      </c>
      <c r="K306" s="145">
        <v>1485</v>
      </c>
      <c r="L306" s="145">
        <v>1455</v>
      </c>
      <c r="M306" s="145">
        <v>4238</v>
      </c>
      <c r="N306" s="145">
        <v>3298</v>
      </c>
      <c r="O306" s="145">
        <v>5907</v>
      </c>
      <c r="P306" s="145">
        <v>4673</v>
      </c>
      <c r="Q306" s="145">
        <v>3580</v>
      </c>
      <c r="R306" s="145">
        <v>3838</v>
      </c>
      <c r="S306" s="145">
        <v>3298</v>
      </c>
      <c r="T306" s="145">
        <v>2903</v>
      </c>
      <c r="U306" s="145">
        <v>2771</v>
      </c>
      <c r="V306" s="145">
        <v>2257</v>
      </c>
      <c r="W306" s="145">
        <v>1562</v>
      </c>
      <c r="X306" s="145">
        <v>1430</v>
      </c>
      <c r="Y306" s="145">
        <v>1402</v>
      </c>
      <c r="Z306" s="145">
        <v>1591</v>
      </c>
      <c r="AA306" s="145">
        <v>17894</v>
      </c>
      <c r="AB306" s="75">
        <v>35290</v>
      </c>
      <c r="AC306" s="75">
        <v>39390</v>
      </c>
      <c r="AG306"/>
      <c r="AH306" s="75">
        <v>16898</v>
      </c>
      <c r="AI306" s="75">
        <v>17077</v>
      </c>
      <c r="AJ306" s="75">
        <v>17253</v>
      </c>
      <c r="AK306" s="75">
        <v>17455</v>
      </c>
      <c r="AL306" s="75">
        <v>17544</v>
      </c>
      <c r="AM306" s="75">
        <v>17631</v>
      </c>
      <c r="AN306" s="75">
        <v>17980</v>
      </c>
      <c r="AO306" s="75">
        <v>19804</v>
      </c>
      <c r="AP306" s="75">
        <v>20604</v>
      </c>
      <c r="AQ306" s="75">
        <v>23503000</v>
      </c>
      <c r="AR306" s="75">
        <v>30753</v>
      </c>
      <c r="AS306" s="75">
        <v>33325</v>
      </c>
      <c r="AT306" s="75">
        <v>31768</v>
      </c>
      <c r="AU306" s="75">
        <v>35290</v>
      </c>
      <c r="AV306" s="75">
        <v>39390</v>
      </c>
    </row>
    <row r="307" spans="1:48" ht="12.5" x14ac:dyDescent="0.25">
      <c r="A307" s="75" t="s">
        <v>513</v>
      </c>
      <c r="B307" s="75" t="s">
        <v>395</v>
      </c>
      <c r="C307" s="145">
        <f t="shared" si="12"/>
        <v>9476</v>
      </c>
      <c r="D307" s="145">
        <f t="shared" si="13"/>
        <v>9372.2000000000007</v>
      </c>
      <c r="E307" s="145">
        <v>8275000</v>
      </c>
      <c r="F307" s="145">
        <f t="shared" si="14"/>
        <v>18353395.909497626</v>
      </c>
      <c r="G307" s="145">
        <v>5333</v>
      </c>
      <c r="H307" s="145">
        <v>5339</v>
      </c>
      <c r="I307" s="145">
        <v>20263</v>
      </c>
      <c r="J307" s="145">
        <v>17821</v>
      </c>
      <c r="K307" s="145">
        <v>15066</v>
      </c>
      <c r="L307" s="145">
        <v>13891</v>
      </c>
      <c r="M307" s="145">
        <v>15027</v>
      </c>
      <c r="N307" s="145">
        <v>13639</v>
      </c>
      <c r="O307" s="145">
        <v>6124</v>
      </c>
      <c r="P307" s="145">
        <v>6639</v>
      </c>
      <c r="Q307" s="145">
        <v>8419</v>
      </c>
      <c r="R307" s="145">
        <v>7456</v>
      </c>
      <c r="S307" s="145">
        <v>13144</v>
      </c>
      <c r="T307" s="145">
        <v>13599</v>
      </c>
      <c r="U307" s="145">
        <v>4308</v>
      </c>
      <c r="V307" s="145">
        <v>4243</v>
      </c>
      <c r="W307" s="145">
        <v>2915</v>
      </c>
      <c r="X307" s="145">
        <v>3029</v>
      </c>
      <c r="Y307" s="145">
        <v>4161</v>
      </c>
      <c r="Z307" s="145">
        <v>8066</v>
      </c>
      <c r="AA307" s="145">
        <v>51238</v>
      </c>
      <c r="AB307" s="75">
        <v>221105</v>
      </c>
      <c r="AC307" s="75">
        <v>229985</v>
      </c>
      <c r="AF307"/>
      <c r="AG307"/>
      <c r="AH307" s="75">
        <v>47417</v>
      </c>
      <c r="AI307" s="75">
        <v>47726</v>
      </c>
      <c r="AJ307" s="75">
        <v>48256</v>
      </c>
      <c r="AK307" s="75">
        <v>48653</v>
      </c>
      <c r="AL307" s="75">
        <v>48815</v>
      </c>
      <c r="AM307" s="75">
        <v>49351</v>
      </c>
      <c r="AN307" s="75">
        <v>49952</v>
      </c>
      <c r="AO307" s="75">
        <v>190395</v>
      </c>
      <c r="AP307" s="75">
        <v>190112</v>
      </c>
      <c r="AQ307" s="75">
        <v>206329000</v>
      </c>
      <c r="AR307" s="75">
        <v>216584</v>
      </c>
      <c r="AS307" s="75">
        <v>207050</v>
      </c>
      <c r="AT307" s="75">
        <v>222121</v>
      </c>
      <c r="AU307" s="75">
        <v>221105</v>
      </c>
      <c r="AV307" s="75">
        <v>229985</v>
      </c>
    </row>
    <row r="308" spans="1:48" ht="12.5" x14ac:dyDescent="0.25">
      <c r="A308" s="75" t="s">
        <v>517</v>
      </c>
      <c r="B308" s="75" t="s">
        <v>320</v>
      </c>
      <c r="C308" s="145">
        <f t="shared" si="12"/>
        <v>15941.1</v>
      </c>
      <c r="D308" s="145">
        <f t="shared" si="13"/>
        <v>16018.4</v>
      </c>
      <c r="E308" s="145">
        <v>4659000</v>
      </c>
      <c r="F308" s="145">
        <f t="shared" si="14"/>
        <v>11654449.170469426</v>
      </c>
      <c r="G308" s="145">
        <v>18118</v>
      </c>
      <c r="H308" s="145">
        <v>18484</v>
      </c>
      <c r="I308" s="145">
        <v>15387</v>
      </c>
      <c r="J308" s="145">
        <v>16008</v>
      </c>
      <c r="K308" s="145">
        <v>19480</v>
      </c>
      <c r="L308" s="145">
        <v>17702</v>
      </c>
      <c r="M308" s="145">
        <v>10429</v>
      </c>
      <c r="N308" s="145">
        <v>10664</v>
      </c>
      <c r="O308" s="145">
        <v>27465</v>
      </c>
      <c r="P308" s="145">
        <v>27398</v>
      </c>
      <c r="Q308" s="145">
        <v>8828</v>
      </c>
      <c r="R308" s="145">
        <v>12821</v>
      </c>
      <c r="S308" s="145">
        <v>13837</v>
      </c>
      <c r="T308" s="145">
        <v>13995</v>
      </c>
      <c r="U308" s="145">
        <v>21709</v>
      </c>
      <c r="V308" s="145">
        <v>19677</v>
      </c>
      <c r="W308" s="145">
        <v>18605</v>
      </c>
      <c r="X308" s="145">
        <v>18015</v>
      </c>
      <c r="Y308" s="145">
        <v>5553</v>
      </c>
      <c r="Z308" s="145">
        <v>5420</v>
      </c>
      <c r="AA308" s="145">
        <v>35043</v>
      </c>
      <c r="AB308" s="75">
        <v>96650</v>
      </c>
      <c r="AC308" s="75">
        <v>105764</v>
      </c>
      <c r="AF308"/>
      <c r="AG308"/>
      <c r="AH308" s="75">
        <v>26536</v>
      </c>
      <c r="AI308" s="75">
        <v>27557</v>
      </c>
      <c r="AJ308" s="75">
        <v>28311</v>
      </c>
      <c r="AK308" s="75">
        <v>29122</v>
      </c>
      <c r="AL308" s="75">
        <v>30479</v>
      </c>
      <c r="AM308" s="75">
        <v>31338</v>
      </c>
      <c r="AN308" s="75">
        <v>32601</v>
      </c>
      <c r="AO308" s="75">
        <v>54309</v>
      </c>
      <c r="AP308" s="75">
        <v>55152</v>
      </c>
      <c r="AQ308" s="75">
        <v>62274000</v>
      </c>
      <c r="AR308" s="214">
        <v>80526</v>
      </c>
      <c r="AS308" s="75">
        <v>80526</v>
      </c>
      <c r="AT308" s="75">
        <v>92474</v>
      </c>
      <c r="AU308" s="75">
        <v>96650</v>
      </c>
      <c r="AV308" s="75">
        <v>105764</v>
      </c>
    </row>
    <row r="309" spans="1:48" ht="12.5" x14ac:dyDescent="0.25">
      <c r="A309" s="75" t="s">
        <v>515</v>
      </c>
      <c r="B309" s="75" t="s">
        <v>204</v>
      </c>
      <c r="C309" s="145">
        <f t="shared" si="12"/>
        <v>1744.6</v>
      </c>
      <c r="D309" s="145">
        <f t="shared" si="13"/>
        <v>1518.1</v>
      </c>
      <c r="E309" s="145">
        <v>5118000</v>
      </c>
      <c r="F309" s="145">
        <f t="shared" si="14"/>
        <v>14847540.643366562</v>
      </c>
      <c r="G309" s="145">
        <v>23</v>
      </c>
      <c r="H309" s="145">
        <v>208</v>
      </c>
      <c r="I309" s="145">
        <v>6981</v>
      </c>
      <c r="J309" s="145">
        <v>6175</v>
      </c>
      <c r="K309" s="145">
        <v>1202</v>
      </c>
      <c r="L309" s="145">
        <v>1661</v>
      </c>
      <c r="M309" s="145">
        <v>6068</v>
      </c>
      <c r="N309" s="145">
        <v>4560</v>
      </c>
      <c r="O309" s="145">
        <v>236</v>
      </c>
      <c r="P309" s="145">
        <v>186</v>
      </c>
      <c r="Q309" s="145">
        <v>2178</v>
      </c>
      <c r="R309" s="145">
        <v>1370</v>
      </c>
      <c r="S309" s="145">
        <v>98</v>
      </c>
      <c r="T309" s="145">
        <v>275</v>
      </c>
      <c r="U309" s="145">
        <v>360</v>
      </c>
      <c r="V309" s="145">
        <v>229</v>
      </c>
      <c r="W309" s="145">
        <v>283</v>
      </c>
      <c r="X309" s="145">
        <v>332</v>
      </c>
      <c r="Y309" s="145">
        <v>17</v>
      </c>
      <c r="Z309" s="145">
        <v>185</v>
      </c>
      <c r="AA309" s="145">
        <v>42802</v>
      </c>
      <c r="AB309" s="75">
        <v>82464</v>
      </c>
      <c r="AC309" s="75">
        <v>81720</v>
      </c>
      <c r="AF309"/>
      <c r="AG309"/>
      <c r="AH309" s="75">
        <v>38497</v>
      </c>
      <c r="AI309" s="75">
        <v>38380</v>
      </c>
      <c r="AJ309" s="75">
        <v>38781</v>
      </c>
      <c r="AK309" s="75">
        <v>39607</v>
      </c>
      <c r="AL309" s="75">
        <v>39635</v>
      </c>
      <c r="AM309" s="75">
        <v>39924</v>
      </c>
      <c r="AN309" s="75">
        <v>40960</v>
      </c>
      <c r="AO309" s="75">
        <v>85652</v>
      </c>
      <c r="AP309" s="75">
        <v>71176</v>
      </c>
      <c r="AQ309" s="75">
        <v>87964000</v>
      </c>
      <c r="AR309" s="75">
        <v>85230</v>
      </c>
      <c r="AS309" s="75">
        <v>89860</v>
      </c>
      <c r="AT309" s="75">
        <v>83182</v>
      </c>
      <c r="AU309" s="75">
        <v>82464</v>
      </c>
      <c r="AV309" s="75">
        <v>81720</v>
      </c>
    </row>
    <row r="310" spans="1:48" ht="12.5" x14ac:dyDescent="0.25">
      <c r="A310" s="75" t="s">
        <v>517</v>
      </c>
      <c r="B310" s="75" t="s">
        <v>321</v>
      </c>
      <c r="C310" s="145">
        <f t="shared" si="12"/>
        <v>3.2</v>
      </c>
      <c r="D310" s="145">
        <f t="shared" si="13"/>
        <v>112.4</v>
      </c>
      <c r="E310" s="145">
        <v>3130000</v>
      </c>
      <c r="F310" s="145">
        <f t="shared" si="14"/>
        <v>10080217.141029222</v>
      </c>
      <c r="G310" s="145">
        <v>0</v>
      </c>
      <c r="H310" s="145">
        <v>81</v>
      </c>
      <c r="I310" s="145">
        <v>13</v>
      </c>
      <c r="J310" s="145">
        <v>441</v>
      </c>
      <c r="K310" s="145">
        <v>0</v>
      </c>
      <c r="L310" s="145">
        <v>440</v>
      </c>
      <c r="M310" s="145">
        <v>19</v>
      </c>
      <c r="N310" s="145">
        <v>15</v>
      </c>
      <c r="O310" s="145">
        <v>0</v>
      </c>
      <c r="P310" s="145">
        <v>28</v>
      </c>
      <c r="Q310" s="145">
        <v>0</v>
      </c>
      <c r="R310" s="145">
        <v>38</v>
      </c>
      <c r="S310" s="145">
        <v>0</v>
      </c>
      <c r="T310" s="145">
        <v>20</v>
      </c>
      <c r="U310" s="145">
        <v>0</v>
      </c>
      <c r="V310" s="145">
        <v>16</v>
      </c>
      <c r="W310" s="145">
        <v>0</v>
      </c>
      <c r="X310" s="145">
        <v>9</v>
      </c>
      <c r="Y310" s="145">
        <v>0</v>
      </c>
      <c r="Z310" s="145">
        <v>36</v>
      </c>
      <c r="AA310" s="145">
        <v>27534</v>
      </c>
      <c r="AB310" s="75">
        <v>36806</v>
      </c>
      <c r="AC310" s="75">
        <v>39719</v>
      </c>
      <c r="AF310"/>
      <c r="AG310"/>
      <c r="AH310" s="75">
        <v>26051</v>
      </c>
      <c r="AI310" s="75">
        <v>26102</v>
      </c>
      <c r="AJ310" s="75">
        <v>26189</v>
      </c>
      <c r="AK310" s="75">
        <v>26187</v>
      </c>
      <c r="AL310" s="75">
        <v>26949</v>
      </c>
      <c r="AM310" s="75">
        <v>27105</v>
      </c>
      <c r="AN310" s="75">
        <v>27093</v>
      </c>
      <c r="AO310" s="75">
        <v>40515</v>
      </c>
      <c r="AP310" s="75">
        <v>38431</v>
      </c>
      <c r="AQ310" s="75">
        <v>37291000</v>
      </c>
      <c r="AR310" s="75">
        <v>37238</v>
      </c>
      <c r="AS310" s="75">
        <v>37231</v>
      </c>
      <c r="AT310" s="75">
        <v>36989</v>
      </c>
      <c r="AU310" s="75">
        <v>36806</v>
      </c>
      <c r="AV310" s="75">
        <v>39719</v>
      </c>
    </row>
    <row r="311" spans="1:48" ht="12.5" x14ac:dyDescent="0.25">
      <c r="A311" s="75" t="s">
        <v>514</v>
      </c>
      <c r="B311" s="75" t="s">
        <v>275</v>
      </c>
      <c r="C311" s="145">
        <f t="shared" si="12"/>
        <v>0</v>
      </c>
      <c r="D311" s="145">
        <f t="shared" si="13"/>
        <v>0.6</v>
      </c>
      <c r="E311" s="145">
        <v>2620000</v>
      </c>
      <c r="F311" s="145">
        <f t="shared" si="14"/>
        <v>6447545.6400672803</v>
      </c>
      <c r="G311" s="145">
        <v>0</v>
      </c>
      <c r="H311" s="145">
        <v>0</v>
      </c>
      <c r="I311" s="145">
        <v>0</v>
      </c>
      <c r="J311" s="145">
        <v>3</v>
      </c>
      <c r="K311" s="145">
        <v>0</v>
      </c>
      <c r="L311" s="145">
        <v>3</v>
      </c>
      <c r="M311" s="145">
        <v>0</v>
      </c>
      <c r="N311" s="145">
        <v>0</v>
      </c>
      <c r="O311" s="145">
        <v>0</v>
      </c>
      <c r="P311" s="145">
        <v>0</v>
      </c>
      <c r="Q311" s="145">
        <v>0</v>
      </c>
      <c r="R311" s="145">
        <v>0</v>
      </c>
      <c r="S311" s="145">
        <v>0</v>
      </c>
      <c r="T311" s="145">
        <v>0</v>
      </c>
      <c r="U311" s="145">
        <v>0</v>
      </c>
      <c r="V311" s="145">
        <v>0</v>
      </c>
      <c r="W311" s="145">
        <v>0</v>
      </c>
      <c r="X311" s="145">
        <v>0</v>
      </c>
      <c r="Y311" s="145">
        <v>0</v>
      </c>
      <c r="Z311" s="145">
        <v>0</v>
      </c>
      <c r="AA311" s="145">
        <v>17547</v>
      </c>
      <c r="AB311" s="75">
        <v>32919</v>
      </c>
      <c r="AC311" s="75">
        <v>30507</v>
      </c>
      <c r="AF311"/>
      <c r="AG311"/>
      <c r="AH311" s="75">
        <v>17291</v>
      </c>
      <c r="AI311" s="75">
        <v>17260</v>
      </c>
      <c r="AJ311" s="75">
        <v>17306</v>
      </c>
      <c r="AK311" s="75">
        <v>17430</v>
      </c>
      <c r="AL311" s="75">
        <v>17312</v>
      </c>
      <c r="AM311" s="75">
        <v>17337</v>
      </c>
      <c r="AN311" s="75">
        <v>17609</v>
      </c>
      <c r="AO311" s="75">
        <v>26122</v>
      </c>
      <c r="AP311" s="75">
        <v>24887</v>
      </c>
      <c r="AQ311" s="75">
        <v>24695000</v>
      </c>
      <c r="AR311" s="75">
        <v>25903</v>
      </c>
      <c r="AS311" s="75">
        <v>29576</v>
      </c>
      <c r="AT311" s="75">
        <v>34081</v>
      </c>
      <c r="AU311" s="75">
        <v>32919</v>
      </c>
      <c r="AV311" s="75">
        <v>30507</v>
      </c>
    </row>
    <row r="312" spans="1:48" ht="12.5" x14ac:dyDescent="0.25">
      <c r="A312" s="75" t="s">
        <v>522</v>
      </c>
      <c r="B312" s="75" t="s">
        <v>426</v>
      </c>
      <c r="C312" s="145">
        <f t="shared" si="12"/>
        <v>5535.2</v>
      </c>
      <c r="D312" s="145">
        <f t="shared" si="13"/>
        <v>4847.8999999999996</v>
      </c>
      <c r="E312" s="145">
        <v>6235000</v>
      </c>
      <c r="F312" s="145">
        <f t="shared" si="14"/>
        <v>18722687.760486078</v>
      </c>
      <c r="G312" s="145">
        <v>1526</v>
      </c>
      <c r="H312" s="145">
        <v>1259</v>
      </c>
      <c r="I312" s="145">
        <v>5746</v>
      </c>
      <c r="J312" s="145">
        <v>5572</v>
      </c>
      <c r="K312" s="145">
        <v>7504</v>
      </c>
      <c r="L312" s="145">
        <v>7536</v>
      </c>
      <c r="M312" s="145">
        <v>4247</v>
      </c>
      <c r="N312" s="145">
        <v>4934</v>
      </c>
      <c r="O312" s="145">
        <v>4321</v>
      </c>
      <c r="P312" s="145">
        <v>3221</v>
      </c>
      <c r="Q312" s="145">
        <v>9791</v>
      </c>
      <c r="R312" s="145">
        <v>3115</v>
      </c>
      <c r="S312" s="145">
        <v>846</v>
      </c>
      <c r="T312" s="145">
        <v>3317</v>
      </c>
      <c r="U312" s="145">
        <v>6919</v>
      </c>
      <c r="V312" s="145">
        <v>6051</v>
      </c>
      <c r="W312" s="145">
        <v>11924</v>
      </c>
      <c r="X312" s="145">
        <v>13183</v>
      </c>
      <c r="Y312" s="145">
        <v>2528</v>
      </c>
      <c r="Z312" s="145">
        <v>291</v>
      </c>
      <c r="AA312" s="145">
        <v>51378</v>
      </c>
      <c r="AB312" s="75">
        <v>190294</v>
      </c>
      <c r="AC312" s="75">
        <v>180934</v>
      </c>
      <c r="AF312"/>
      <c r="AG312"/>
      <c r="AH312" s="75">
        <v>49576</v>
      </c>
      <c r="AI312" s="75">
        <v>49874</v>
      </c>
      <c r="AJ312" s="75">
        <v>49841</v>
      </c>
      <c r="AK312" s="75">
        <v>50138</v>
      </c>
      <c r="AL312" s="75">
        <v>50011</v>
      </c>
      <c r="AM312" s="75">
        <v>50344</v>
      </c>
      <c r="AN312" s="75">
        <v>50872</v>
      </c>
      <c r="AO312" s="75">
        <v>249921</v>
      </c>
      <c r="AP312" s="75">
        <v>189668</v>
      </c>
      <c r="AQ312" s="75">
        <v>193048000</v>
      </c>
      <c r="AR312" s="75">
        <v>174795</v>
      </c>
      <c r="AS312" s="75">
        <v>175344</v>
      </c>
      <c r="AT312" s="75">
        <v>184897</v>
      </c>
      <c r="AU312" s="75">
        <v>190294</v>
      </c>
      <c r="AV312" s="75">
        <v>180934</v>
      </c>
    </row>
    <row r="313" spans="1:48" ht="12.5" x14ac:dyDescent="0.25">
      <c r="A313" s="75" t="s">
        <v>515</v>
      </c>
      <c r="B313" s="75" t="s">
        <v>828</v>
      </c>
      <c r="C313" s="145">
        <f t="shared" si="12"/>
        <v>12955.8</v>
      </c>
      <c r="D313" s="145">
        <f t="shared" si="13"/>
        <v>11969.7</v>
      </c>
      <c r="E313" s="145">
        <v>4838000</v>
      </c>
      <c r="F313" s="145">
        <f t="shared" si="14"/>
        <v>19326645.430179179</v>
      </c>
      <c r="G313" s="145">
        <v>12874</v>
      </c>
      <c r="H313" s="145">
        <v>12638</v>
      </c>
      <c r="I313" s="145">
        <v>20772</v>
      </c>
      <c r="J313" s="145">
        <v>19804</v>
      </c>
      <c r="K313" s="145">
        <v>15453</v>
      </c>
      <c r="L313" s="145">
        <v>9021</v>
      </c>
      <c r="M313" s="145">
        <v>14084</v>
      </c>
      <c r="N313" s="145">
        <v>10875</v>
      </c>
      <c r="O313" s="145">
        <v>13477</v>
      </c>
      <c r="P313" s="145">
        <v>12071</v>
      </c>
      <c r="Q313" s="145">
        <v>10563</v>
      </c>
      <c r="R313" s="145">
        <v>9430</v>
      </c>
      <c r="S313" s="145">
        <v>12491</v>
      </c>
      <c r="T313" s="145">
        <v>11428</v>
      </c>
      <c r="U313" s="145">
        <v>11062</v>
      </c>
      <c r="V313" s="145">
        <v>10714</v>
      </c>
      <c r="W313" s="145">
        <v>15664</v>
      </c>
      <c r="X313" s="145">
        <v>18395</v>
      </c>
      <c r="Y313" s="145">
        <v>3118</v>
      </c>
      <c r="Z313" s="145">
        <v>5321</v>
      </c>
      <c r="AA313" s="145">
        <v>53263</v>
      </c>
      <c r="AB313" s="75">
        <v>110179</v>
      </c>
      <c r="AC313" s="75">
        <v>116887</v>
      </c>
      <c r="AF313"/>
      <c r="AG313"/>
      <c r="AH313" s="75">
        <v>50105</v>
      </c>
      <c r="AI313" s="75">
        <v>50361</v>
      </c>
      <c r="AJ313" s="75">
        <v>50661</v>
      </c>
      <c r="AK313" s="75">
        <v>51156</v>
      </c>
      <c r="AL313" s="75">
        <v>51496</v>
      </c>
      <c r="AM313" s="75">
        <v>51968</v>
      </c>
      <c r="AN313" s="75">
        <v>52720</v>
      </c>
      <c r="AO313" s="75">
        <v>98339</v>
      </c>
      <c r="AP313" s="75">
        <v>103121</v>
      </c>
      <c r="AQ313" s="75">
        <v>106456000</v>
      </c>
      <c r="AR313" s="75">
        <v>29959</v>
      </c>
      <c r="AS313" s="75">
        <v>33545</v>
      </c>
      <c r="AT313" s="75">
        <v>35078</v>
      </c>
      <c r="AU313" s="75">
        <v>110179</v>
      </c>
      <c r="AV313" s="75">
        <v>116887</v>
      </c>
    </row>
    <row r="314" spans="1:48" ht="12.5" x14ac:dyDescent="0.25">
      <c r="A314" s="75" t="s">
        <v>515</v>
      </c>
      <c r="B314" s="75" t="s">
        <v>205</v>
      </c>
      <c r="C314" s="145">
        <f t="shared" si="12"/>
        <v>2993.1</v>
      </c>
      <c r="D314" s="145">
        <f t="shared" si="13"/>
        <v>2626.2</v>
      </c>
      <c r="E314" s="145">
        <v>2095000</v>
      </c>
      <c r="F314" s="145">
        <f t="shared" si="14"/>
        <v>7320755.374327993</v>
      </c>
      <c r="G314" s="145">
        <v>139</v>
      </c>
      <c r="H314" s="145">
        <v>404</v>
      </c>
      <c r="I314" s="145">
        <v>7603</v>
      </c>
      <c r="J314" s="145">
        <v>6586</v>
      </c>
      <c r="K314" s="145">
        <v>1732</v>
      </c>
      <c r="L314" s="145">
        <v>1628</v>
      </c>
      <c r="M314" s="145">
        <v>5082</v>
      </c>
      <c r="N314" s="145">
        <v>4569</v>
      </c>
      <c r="O314" s="145">
        <v>1705</v>
      </c>
      <c r="P314" s="145">
        <v>1853</v>
      </c>
      <c r="Q314" s="145">
        <v>2818</v>
      </c>
      <c r="R314" s="145">
        <v>2664</v>
      </c>
      <c r="S314" s="145">
        <v>1436</v>
      </c>
      <c r="T314" s="145">
        <v>1657</v>
      </c>
      <c r="U314" s="145">
        <v>3748</v>
      </c>
      <c r="V314" s="145">
        <v>2740</v>
      </c>
      <c r="W314" s="145">
        <v>2045</v>
      </c>
      <c r="X314" s="145">
        <v>1763</v>
      </c>
      <c r="Y314" s="145">
        <v>3623</v>
      </c>
      <c r="Z314" s="145">
        <v>2398</v>
      </c>
      <c r="AA314" s="145">
        <v>20601</v>
      </c>
      <c r="AB314" s="75">
        <v>37826</v>
      </c>
      <c r="AC314" s="75">
        <v>37818</v>
      </c>
      <c r="AF314"/>
      <c r="AG314"/>
      <c r="AH314" s="75">
        <v>18816</v>
      </c>
      <c r="AI314" s="75">
        <v>18907</v>
      </c>
      <c r="AJ314" s="75">
        <v>19073</v>
      </c>
      <c r="AK314" s="75">
        <v>19318</v>
      </c>
      <c r="AL314" s="75">
        <v>19581</v>
      </c>
      <c r="AM314" s="75">
        <v>19685</v>
      </c>
      <c r="AN314" s="75">
        <v>20065</v>
      </c>
      <c r="AO314" s="75">
        <v>29728</v>
      </c>
      <c r="AP314" s="75">
        <v>31001</v>
      </c>
      <c r="AQ314" s="75">
        <v>29949000</v>
      </c>
      <c r="AR314" s="75">
        <v>115690</v>
      </c>
      <c r="AS314" s="75">
        <v>124549</v>
      </c>
      <c r="AT314" s="75">
        <v>110128</v>
      </c>
      <c r="AU314" s="75">
        <v>37826</v>
      </c>
      <c r="AV314" s="75">
        <v>37818</v>
      </c>
    </row>
    <row r="315" spans="1:48" ht="12.5" x14ac:dyDescent="0.25">
      <c r="A315" s="75" t="s">
        <v>521</v>
      </c>
      <c r="B315" s="75" t="s">
        <v>601</v>
      </c>
      <c r="C315" s="145">
        <f t="shared" si="12"/>
        <v>5021</v>
      </c>
      <c r="D315" s="145">
        <f t="shared" si="13"/>
        <v>4569.5</v>
      </c>
      <c r="E315" s="145">
        <v>9628000</v>
      </c>
      <c r="F315" s="145">
        <f t="shared" si="14"/>
        <v>23914715.486215979</v>
      </c>
      <c r="G315" s="145">
        <v>0</v>
      </c>
      <c r="H315" s="145">
        <v>381</v>
      </c>
      <c r="I315" s="145">
        <v>7337</v>
      </c>
      <c r="J315" s="145">
        <v>7061</v>
      </c>
      <c r="K315" s="145">
        <v>14300</v>
      </c>
      <c r="L315" s="145">
        <v>12949</v>
      </c>
      <c r="M315" s="145">
        <v>10919</v>
      </c>
      <c r="N315" s="145">
        <v>10207</v>
      </c>
      <c r="O315" s="145">
        <v>13506</v>
      </c>
      <c r="P315" s="145">
        <v>13132</v>
      </c>
      <c r="Q315" s="145">
        <v>244</v>
      </c>
      <c r="R315" s="145">
        <v>-668</v>
      </c>
      <c r="S315" s="145">
        <v>396</v>
      </c>
      <c r="T315" s="145">
        <v>77</v>
      </c>
      <c r="U315" s="145">
        <v>355</v>
      </c>
      <c r="V315" s="145">
        <v>-557</v>
      </c>
      <c r="W315" s="145">
        <v>954</v>
      </c>
      <c r="X315" s="145">
        <v>2453</v>
      </c>
      <c r="Y315" s="145">
        <v>2199</v>
      </c>
      <c r="Z315" s="145">
        <v>660</v>
      </c>
      <c r="AA315" s="145">
        <v>64834</v>
      </c>
      <c r="AB315" s="75">
        <v>177088</v>
      </c>
      <c r="AC315" s="75">
        <v>177436</v>
      </c>
      <c r="AF315"/>
      <c r="AG315"/>
      <c r="AH315" s="75">
        <v>61067</v>
      </c>
      <c r="AI315" s="75">
        <v>61233</v>
      </c>
      <c r="AJ315" s="75">
        <v>61464</v>
      </c>
      <c r="AK315" s="75">
        <v>63359</v>
      </c>
      <c r="AL315" s="75">
        <v>63678</v>
      </c>
      <c r="AM315" s="75">
        <v>64305</v>
      </c>
      <c r="AN315" s="75">
        <v>64946</v>
      </c>
      <c r="AO315" s="75">
        <v>174708</v>
      </c>
      <c r="AP315" s="75">
        <v>172710</v>
      </c>
      <c r="AQ315" s="75">
        <v>173331000</v>
      </c>
      <c r="AR315" s="75">
        <v>172335</v>
      </c>
      <c r="AS315" s="75">
        <v>175625</v>
      </c>
      <c r="AT315" s="75">
        <v>174124</v>
      </c>
      <c r="AU315" s="75">
        <v>177088</v>
      </c>
      <c r="AV315" s="75">
        <v>177436</v>
      </c>
    </row>
    <row r="316" spans="1:48" ht="12.5" x14ac:dyDescent="0.25">
      <c r="A316" s="75" t="s">
        <v>512</v>
      </c>
      <c r="B316" s="75" t="s">
        <v>114</v>
      </c>
      <c r="C316" s="145">
        <f t="shared" si="12"/>
        <v>1928.9</v>
      </c>
      <c r="D316" s="145">
        <f t="shared" si="13"/>
        <v>1675</v>
      </c>
      <c r="E316" s="145">
        <v>2230000</v>
      </c>
      <c r="F316" s="145">
        <f t="shared" si="14"/>
        <v>7382489.9637178043</v>
      </c>
      <c r="G316" s="145">
        <v>940</v>
      </c>
      <c r="H316" s="145">
        <v>940</v>
      </c>
      <c r="I316" s="145">
        <v>1975</v>
      </c>
      <c r="J316" s="145">
        <v>1690</v>
      </c>
      <c r="K316" s="145">
        <v>3677</v>
      </c>
      <c r="L316" s="145">
        <v>3640</v>
      </c>
      <c r="M316" s="145">
        <v>239</v>
      </c>
      <c r="N316" s="145">
        <v>199</v>
      </c>
      <c r="O316" s="145">
        <v>2249</v>
      </c>
      <c r="P316" s="145">
        <v>1841</v>
      </c>
      <c r="Q316" s="145">
        <v>2679</v>
      </c>
      <c r="R316" s="145">
        <v>2335</v>
      </c>
      <c r="S316" s="145">
        <v>3791</v>
      </c>
      <c r="T316" s="145">
        <v>2716</v>
      </c>
      <c r="U316" s="145">
        <v>742</v>
      </c>
      <c r="V316" s="145">
        <v>388</v>
      </c>
      <c r="W316" s="145">
        <v>1757</v>
      </c>
      <c r="X316" s="145">
        <v>2925</v>
      </c>
      <c r="Y316" s="145">
        <v>1240</v>
      </c>
      <c r="Z316" s="145">
        <v>76</v>
      </c>
      <c r="AA316" s="145">
        <v>19987</v>
      </c>
      <c r="AB316" s="75">
        <v>40588</v>
      </c>
      <c r="AC316" s="75">
        <v>39778</v>
      </c>
      <c r="AF316"/>
      <c r="AG316"/>
      <c r="AH316" s="75">
        <v>19088</v>
      </c>
      <c r="AI316" s="75">
        <v>19161</v>
      </c>
      <c r="AJ316" s="75">
        <v>19345</v>
      </c>
      <c r="AK316" s="75">
        <v>19480</v>
      </c>
      <c r="AL316" s="75">
        <v>19661</v>
      </c>
      <c r="AM316" s="75">
        <v>19851</v>
      </c>
      <c r="AN316" s="75">
        <v>19860</v>
      </c>
      <c r="AO316" s="75">
        <v>39596</v>
      </c>
      <c r="AP316" s="75">
        <v>34123</v>
      </c>
      <c r="AQ316" s="75">
        <v>36140000</v>
      </c>
      <c r="AR316" s="75">
        <v>35293</v>
      </c>
      <c r="AS316" s="75">
        <v>37595</v>
      </c>
      <c r="AT316" s="75">
        <v>40457</v>
      </c>
      <c r="AU316" s="75">
        <v>40588</v>
      </c>
      <c r="AV316" s="75">
        <v>39778</v>
      </c>
    </row>
    <row r="317" spans="1:48" ht="12.5" x14ac:dyDescent="0.25">
      <c r="A317" s="75" t="s">
        <v>515</v>
      </c>
      <c r="B317" s="75" t="s">
        <v>206</v>
      </c>
      <c r="C317" s="145">
        <f t="shared" si="12"/>
        <v>240.3</v>
      </c>
      <c r="D317" s="145">
        <f t="shared" si="13"/>
        <v>323.7</v>
      </c>
      <c r="E317" s="145">
        <v>1419000</v>
      </c>
      <c r="F317" s="145">
        <f t="shared" si="14"/>
        <v>5557972.5206670994</v>
      </c>
      <c r="G317" s="145">
        <v>173</v>
      </c>
      <c r="H317" s="145">
        <v>404</v>
      </c>
      <c r="I317" s="145">
        <v>389</v>
      </c>
      <c r="J317" s="145">
        <v>389</v>
      </c>
      <c r="K317" s="145">
        <v>419</v>
      </c>
      <c r="L317" s="145">
        <v>418</v>
      </c>
      <c r="M317" s="145">
        <v>222</v>
      </c>
      <c r="N317" s="145">
        <v>231</v>
      </c>
      <c r="O317" s="145">
        <v>706</v>
      </c>
      <c r="P317" s="145">
        <v>1043</v>
      </c>
      <c r="Q317" s="145">
        <v>174</v>
      </c>
      <c r="R317" s="145">
        <v>190</v>
      </c>
      <c r="S317" s="145">
        <v>181</v>
      </c>
      <c r="T317" s="145">
        <v>316</v>
      </c>
      <c r="U317" s="145">
        <v>75</v>
      </c>
      <c r="V317" s="145">
        <v>79</v>
      </c>
      <c r="W317" s="145">
        <v>45</v>
      </c>
      <c r="X317" s="145">
        <v>78</v>
      </c>
      <c r="Y317" s="145">
        <v>19</v>
      </c>
      <c r="Z317" s="145">
        <v>89</v>
      </c>
      <c r="AA317" s="145">
        <v>15202</v>
      </c>
      <c r="AB317" s="75">
        <v>28721</v>
      </c>
      <c r="AC317" s="75">
        <v>27854</v>
      </c>
      <c r="AF317"/>
      <c r="AG317"/>
      <c r="AH317" s="75">
        <v>14985</v>
      </c>
      <c r="AI317" s="75">
        <v>15022</v>
      </c>
      <c r="AJ317" s="75">
        <v>14937</v>
      </c>
      <c r="AK317" s="75">
        <v>14953</v>
      </c>
      <c r="AL317" s="75">
        <v>15014</v>
      </c>
      <c r="AM317" s="75">
        <v>14945</v>
      </c>
      <c r="AN317" s="75">
        <v>15114</v>
      </c>
      <c r="AO317" s="75">
        <v>25897</v>
      </c>
      <c r="AP317" s="75">
        <v>28646</v>
      </c>
      <c r="AQ317" s="75">
        <v>28140000</v>
      </c>
      <c r="AR317" s="75">
        <v>29964</v>
      </c>
      <c r="AS317" s="75">
        <v>28926</v>
      </c>
      <c r="AT317" s="75">
        <v>29017</v>
      </c>
      <c r="AU317" s="75">
        <v>28721</v>
      </c>
      <c r="AV317" s="75">
        <v>27854</v>
      </c>
    </row>
    <row r="318" spans="1:48" ht="12.5" x14ac:dyDescent="0.25">
      <c r="A318" s="75" t="s">
        <v>521</v>
      </c>
      <c r="B318" s="75" t="s">
        <v>602</v>
      </c>
      <c r="C318" s="145">
        <f t="shared" si="12"/>
        <v>40.5</v>
      </c>
      <c r="D318" s="145">
        <f t="shared" si="13"/>
        <v>50.4</v>
      </c>
      <c r="E318" s="145">
        <v>2939000</v>
      </c>
      <c r="F318" s="145">
        <f t="shared" si="14"/>
        <v>9888319.2607572768</v>
      </c>
      <c r="G318" s="145">
        <v>0</v>
      </c>
      <c r="H318" s="145">
        <v>34</v>
      </c>
      <c r="I318" s="145">
        <v>183</v>
      </c>
      <c r="J318" s="145">
        <v>262</v>
      </c>
      <c r="K318" s="145">
        <v>145</v>
      </c>
      <c r="L318" s="145">
        <v>143</v>
      </c>
      <c r="M318" s="145">
        <v>51</v>
      </c>
      <c r="N318" s="145">
        <v>69</v>
      </c>
      <c r="O318" s="145">
        <v>0</v>
      </c>
      <c r="P318" s="145">
        <v>0</v>
      </c>
      <c r="Q318" s="145">
        <v>0</v>
      </c>
      <c r="R318" s="145">
        <v>0</v>
      </c>
      <c r="S318" s="145">
        <v>0</v>
      </c>
      <c r="T318" s="145">
        <v>0</v>
      </c>
      <c r="U318" s="145">
        <v>0</v>
      </c>
      <c r="V318" s="145">
        <v>0</v>
      </c>
      <c r="W318" s="145">
        <v>0</v>
      </c>
      <c r="X318" s="145">
        <v>0</v>
      </c>
      <c r="Y318" s="145">
        <v>26</v>
      </c>
      <c r="Z318" s="145">
        <v>-4</v>
      </c>
      <c r="AA318" s="145">
        <v>27464</v>
      </c>
      <c r="AB318" s="75">
        <v>67952</v>
      </c>
      <c r="AC318" s="75">
        <v>68947</v>
      </c>
      <c r="AF318"/>
      <c r="AG318"/>
      <c r="AH318" s="75">
        <v>24857</v>
      </c>
      <c r="AI318" s="75">
        <v>24654</v>
      </c>
      <c r="AJ318" s="75">
        <v>25244</v>
      </c>
      <c r="AK318" s="75">
        <v>25663</v>
      </c>
      <c r="AL318" s="75">
        <v>26215</v>
      </c>
      <c r="AM318" s="75">
        <v>26589</v>
      </c>
      <c r="AN318" s="75">
        <v>26537</v>
      </c>
      <c r="AO318" s="75">
        <v>50488</v>
      </c>
      <c r="AP318" s="75">
        <v>52893</v>
      </c>
      <c r="AQ318" s="75">
        <v>53005000</v>
      </c>
      <c r="AR318" s="75">
        <v>53831</v>
      </c>
      <c r="AS318" s="75">
        <v>56037</v>
      </c>
      <c r="AT318" s="75">
        <v>60570</v>
      </c>
      <c r="AU318" s="75">
        <v>67952</v>
      </c>
      <c r="AV318" s="75">
        <v>68947</v>
      </c>
    </row>
    <row r="319" spans="1:48" ht="12.5" x14ac:dyDescent="0.25">
      <c r="A319" s="75" t="s">
        <v>517</v>
      </c>
      <c r="B319" s="75" t="s">
        <v>322</v>
      </c>
      <c r="C319" s="145">
        <f t="shared" si="12"/>
        <v>30409.599999999999</v>
      </c>
      <c r="D319" s="145">
        <f t="shared" si="13"/>
        <v>27152</v>
      </c>
      <c r="E319" s="145">
        <v>24559000</v>
      </c>
      <c r="F319" s="145">
        <f t="shared" si="14"/>
        <v>41833366.004167281</v>
      </c>
      <c r="G319" s="145">
        <v>25727</v>
      </c>
      <c r="H319" s="145">
        <v>23445</v>
      </c>
      <c r="I319" s="145">
        <v>46790</v>
      </c>
      <c r="J319" s="145">
        <v>47629</v>
      </c>
      <c r="K319" s="145">
        <v>40957</v>
      </c>
      <c r="L319" s="145">
        <v>32157</v>
      </c>
      <c r="M319" s="145">
        <v>20238</v>
      </c>
      <c r="N319" s="145">
        <v>16311</v>
      </c>
      <c r="O319" s="145">
        <v>41698</v>
      </c>
      <c r="P319" s="145">
        <v>39506</v>
      </c>
      <c r="Q319" s="145">
        <v>26146</v>
      </c>
      <c r="R319" s="145">
        <v>20578</v>
      </c>
      <c r="S319" s="145">
        <v>34516</v>
      </c>
      <c r="T319" s="145">
        <v>35454</v>
      </c>
      <c r="U319" s="145">
        <v>9860</v>
      </c>
      <c r="V319" s="145">
        <v>10639</v>
      </c>
      <c r="W319" s="145">
        <v>43730</v>
      </c>
      <c r="X319" s="145">
        <v>37919</v>
      </c>
      <c r="Y319" s="145">
        <v>14434</v>
      </c>
      <c r="Z319" s="145">
        <v>7882</v>
      </c>
      <c r="AA319" s="145">
        <v>116897</v>
      </c>
      <c r="AB319" s="75">
        <v>459043</v>
      </c>
      <c r="AC319" s="75">
        <v>460137</v>
      </c>
      <c r="AF319"/>
      <c r="AG319"/>
      <c r="AH319" s="75">
        <v>105636</v>
      </c>
      <c r="AI319" s="75">
        <v>107488</v>
      </c>
      <c r="AJ319" s="75">
        <v>108576</v>
      </c>
      <c r="AK319" s="75">
        <v>110252</v>
      </c>
      <c r="AL319" s="75">
        <v>111382</v>
      </c>
      <c r="AM319" s="75">
        <v>112487</v>
      </c>
      <c r="AN319" s="75">
        <v>114887</v>
      </c>
      <c r="AO319" s="75">
        <v>391274</v>
      </c>
      <c r="AP319" s="75">
        <v>399460</v>
      </c>
      <c r="AQ319" s="75">
        <v>403808000</v>
      </c>
      <c r="AR319" s="75">
        <v>437995</v>
      </c>
      <c r="AS319" s="75">
        <v>451234</v>
      </c>
      <c r="AT319" s="75">
        <v>455475</v>
      </c>
      <c r="AU319" s="75">
        <v>459043</v>
      </c>
      <c r="AV319" s="75">
        <v>460137</v>
      </c>
    </row>
    <row r="320" spans="1:48" ht="12.5" x14ac:dyDescent="0.25">
      <c r="A320" s="75" t="s">
        <v>516</v>
      </c>
      <c r="B320" s="75" t="s">
        <v>138</v>
      </c>
      <c r="C320" s="145">
        <f t="shared" si="12"/>
        <v>1469</v>
      </c>
      <c r="D320" s="145">
        <f t="shared" si="13"/>
        <v>1453.8</v>
      </c>
      <c r="E320" s="145">
        <v>5326000</v>
      </c>
      <c r="F320" s="145">
        <f t="shared" si="14"/>
        <v>9773403.6696641929</v>
      </c>
      <c r="G320" s="145">
        <v>0</v>
      </c>
      <c r="H320" s="145">
        <v>-164</v>
      </c>
      <c r="I320" s="145">
        <v>2095</v>
      </c>
      <c r="J320" s="145">
        <v>1985</v>
      </c>
      <c r="K320" s="145">
        <v>2273</v>
      </c>
      <c r="L320" s="145">
        <v>3176</v>
      </c>
      <c r="M320" s="145">
        <v>1346</v>
      </c>
      <c r="N320" s="145">
        <v>1345</v>
      </c>
      <c r="O320" s="145">
        <v>1818</v>
      </c>
      <c r="P320" s="145">
        <v>1682</v>
      </c>
      <c r="Q320" s="145">
        <v>2007</v>
      </c>
      <c r="R320" s="145">
        <v>1723</v>
      </c>
      <c r="S320" s="145">
        <v>1577</v>
      </c>
      <c r="T320" s="145">
        <v>1538</v>
      </c>
      <c r="U320" s="145">
        <v>1311</v>
      </c>
      <c r="V320" s="145">
        <v>1136</v>
      </c>
      <c r="W320" s="145">
        <v>1502</v>
      </c>
      <c r="X320" s="145">
        <v>1457</v>
      </c>
      <c r="Y320" s="145">
        <v>761</v>
      </c>
      <c r="Z320" s="145">
        <v>660</v>
      </c>
      <c r="AA320" s="145">
        <v>26595</v>
      </c>
      <c r="AB320" s="75">
        <v>63183</v>
      </c>
      <c r="AC320" s="75">
        <v>63261</v>
      </c>
      <c r="AF320"/>
      <c r="AG320"/>
      <c r="AH320" s="75">
        <v>25611</v>
      </c>
      <c r="AI320" s="75">
        <v>25720</v>
      </c>
      <c r="AJ320" s="75">
        <v>25837</v>
      </c>
      <c r="AK320" s="75">
        <v>25899</v>
      </c>
      <c r="AL320" s="75">
        <v>26130</v>
      </c>
      <c r="AM320" s="75">
        <v>26280</v>
      </c>
      <c r="AN320" s="75">
        <v>26467</v>
      </c>
      <c r="AO320" s="75">
        <v>68248</v>
      </c>
      <c r="AP320" s="75">
        <v>67432</v>
      </c>
      <c r="AQ320" s="75">
        <v>74683000</v>
      </c>
      <c r="AR320" s="75">
        <v>73088</v>
      </c>
      <c r="AS320" s="75">
        <v>74147</v>
      </c>
      <c r="AT320" s="75">
        <v>64229</v>
      </c>
      <c r="AU320" s="75">
        <v>63183</v>
      </c>
      <c r="AV320" s="75">
        <v>63261</v>
      </c>
    </row>
    <row r="321" spans="1:48" ht="12.5" x14ac:dyDescent="0.25">
      <c r="A321" s="75" t="s">
        <v>518</v>
      </c>
      <c r="B321" s="75" t="s">
        <v>160</v>
      </c>
      <c r="C321" s="145">
        <f t="shared" si="12"/>
        <v>4882.5</v>
      </c>
      <c r="D321" s="145">
        <f t="shared" si="13"/>
        <v>4773.7</v>
      </c>
      <c r="E321" s="145">
        <v>3247000</v>
      </c>
      <c r="F321" s="145">
        <f t="shared" si="14"/>
        <v>9164611.3634526152</v>
      </c>
      <c r="G321" s="145">
        <v>10649</v>
      </c>
      <c r="H321" s="145">
        <v>10649</v>
      </c>
      <c r="I321" s="145">
        <v>3130</v>
      </c>
      <c r="J321" s="145">
        <v>3791</v>
      </c>
      <c r="K321" s="145">
        <v>8412</v>
      </c>
      <c r="L321" s="145">
        <v>10594</v>
      </c>
      <c r="M321" s="145">
        <v>3292</v>
      </c>
      <c r="N321" s="145">
        <v>2542</v>
      </c>
      <c r="O321" s="145">
        <v>4716</v>
      </c>
      <c r="P321" s="145">
        <v>4227</v>
      </c>
      <c r="Q321" s="145">
        <v>2823</v>
      </c>
      <c r="R321" s="145">
        <v>2285</v>
      </c>
      <c r="S321" s="145">
        <v>2008</v>
      </c>
      <c r="T321" s="145">
        <v>2820</v>
      </c>
      <c r="U321" s="145">
        <v>1978</v>
      </c>
      <c r="V321" s="145">
        <v>1552</v>
      </c>
      <c r="W321" s="145">
        <v>1421</v>
      </c>
      <c r="X321" s="145">
        <v>935</v>
      </c>
      <c r="Y321" s="145">
        <v>10396</v>
      </c>
      <c r="Z321" s="145">
        <v>8342</v>
      </c>
      <c r="AA321" s="145">
        <v>25349</v>
      </c>
      <c r="AB321" s="75">
        <v>34092</v>
      </c>
      <c r="AC321" s="75">
        <v>33699</v>
      </c>
      <c r="AF321"/>
      <c r="AG321"/>
      <c r="AH321" s="75">
        <v>24219</v>
      </c>
      <c r="AI321" s="75">
        <v>24269</v>
      </c>
      <c r="AJ321" s="75">
        <v>24345</v>
      </c>
      <c r="AK321" s="75">
        <v>24413</v>
      </c>
      <c r="AL321" s="75">
        <v>24538</v>
      </c>
      <c r="AM321" s="75">
        <v>24643</v>
      </c>
      <c r="AN321" s="75">
        <v>24862</v>
      </c>
      <c r="AO321" s="75">
        <v>34006</v>
      </c>
      <c r="AP321" s="75">
        <v>30746</v>
      </c>
      <c r="AQ321" s="75">
        <v>33891000</v>
      </c>
      <c r="AR321" s="75">
        <v>34799</v>
      </c>
      <c r="AS321" s="75">
        <v>37173</v>
      </c>
      <c r="AT321" s="75">
        <v>36346</v>
      </c>
      <c r="AU321" s="75">
        <v>34092</v>
      </c>
      <c r="AV321" s="75">
        <v>33699</v>
      </c>
    </row>
    <row r="322" spans="1:48" ht="12.5" x14ac:dyDescent="0.25">
      <c r="A322" s="75" t="s">
        <v>515</v>
      </c>
      <c r="B322" s="75" t="s">
        <v>207</v>
      </c>
      <c r="C322" s="145">
        <f t="shared" si="12"/>
        <v>2604.5</v>
      </c>
      <c r="D322" s="145">
        <f t="shared" si="13"/>
        <v>2308.6</v>
      </c>
      <c r="E322" s="145">
        <v>4532000</v>
      </c>
      <c r="F322" s="145">
        <f t="shared" si="14"/>
        <v>15375259.814114412</v>
      </c>
      <c r="G322" s="145">
        <v>0</v>
      </c>
      <c r="H322" s="145">
        <v>50</v>
      </c>
      <c r="I322" s="145">
        <v>1370</v>
      </c>
      <c r="J322" s="145">
        <v>983</v>
      </c>
      <c r="K322" s="145">
        <v>5670</v>
      </c>
      <c r="L322" s="145">
        <v>6936</v>
      </c>
      <c r="M322" s="145">
        <v>4724</v>
      </c>
      <c r="N322" s="145">
        <v>3253</v>
      </c>
      <c r="O322" s="145">
        <v>2356</v>
      </c>
      <c r="P322" s="145">
        <v>1912</v>
      </c>
      <c r="Q322" s="145">
        <v>1012</v>
      </c>
      <c r="R322" s="145">
        <v>971</v>
      </c>
      <c r="S322" s="145">
        <v>-1681</v>
      </c>
      <c r="T322" s="145">
        <v>1187</v>
      </c>
      <c r="U322" s="145">
        <v>1911</v>
      </c>
      <c r="V322" s="145">
        <v>1777</v>
      </c>
      <c r="W322" s="145">
        <v>2689</v>
      </c>
      <c r="X322" s="145">
        <v>2754</v>
      </c>
      <c r="Y322" s="145">
        <v>7994</v>
      </c>
      <c r="Z322" s="145">
        <v>3263</v>
      </c>
      <c r="AA322" s="145">
        <v>41833</v>
      </c>
      <c r="AB322" s="75">
        <v>65924</v>
      </c>
      <c r="AC322" s="75">
        <v>70250</v>
      </c>
      <c r="AF322"/>
      <c r="AG322"/>
      <c r="AH322" s="75">
        <v>40878</v>
      </c>
      <c r="AI322" s="75">
        <v>40842</v>
      </c>
      <c r="AJ322" s="75">
        <v>40937</v>
      </c>
      <c r="AK322" s="75">
        <v>41080</v>
      </c>
      <c r="AL322" s="75">
        <v>41261</v>
      </c>
      <c r="AM322" s="75">
        <v>41343</v>
      </c>
      <c r="AN322" s="75">
        <v>41537</v>
      </c>
      <c r="AO322" s="75">
        <v>65766</v>
      </c>
      <c r="AP322" s="75">
        <v>67263</v>
      </c>
      <c r="AQ322" s="75">
        <v>67295000</v>
      </c>
      <c r="AR322" s="75">
        <v>72128</v>
      </c>
      <c r="AS322" s="75">
        <v>67145</v>
      </c>
      <c r="AT322" s="75">
        <v>66195</v>
      </c>
      <c r="AU322" s="75">
        <v>65924</v>
      </c>
      <c r="AV322" s="75">
        <v>70250</v>
      </c>
    </row>
    <row r="323" spans="1:48" ht="12.5" x14ac:dyDescent="0.25">
      <c r="A323" s="75" t="s">
        <v>514</v>
      </c>
      <c r="B323" s="75" t="s">
        <v>277</v>
      </c>
      <c r="C323" s="145">
        <f t="shared" ref="C323:C344" si="15">SUM(G323,I323,K323,M323,O323,Q323,S323,U323,W323,Y323)/10</f>
        <v>1067.4000000000001</v>
      </c>
      <c r="D323" s="145">
        <f t="shared" ref="D323:D344" si="16">SUM(H323,J323,L323,N323,P323,R323,T323,V323,X323,Z323)/10</f>
        <v>1232.0999999999999</v>
      </c>
      <c r="E323" s="145">
        <v>2661000</v>
      </c>
      <c r="F323" s="145">
        <f t="shared" ref="F323:F344" si="17">AM323*$AF$15</f>
        <v>9112546.0470997617</v>
      </c>
      <c r="G323" s="145">
        <v>0</v>
      </c>
      <c r="H323" s="145">
        <v>17</v>
      </c>
      <c r="I323" s="145">
        <v>1989</v>
      </c>
      <c r="J323" s="145">
        <v>1996</v>
      </c>
      <c r="K323" s="145">
        <v>3873</v>
      </c>
      <c r="L323" s="145">
        <v>4346</v>
      </c>
      <c r="M323" s="145">
        <v>0</v>
      </c>
      <c r="N323" s="145">
        <v>0</v>
      </c>
      <c r="O323" s="145">
        <v>252</v>
      </c>
      <c r="P323" s="145">
        <v>0</v>
      </c>
      <c r="Q323" s="145">
        <v>780</v>
      </c>
      <c r="R323" s="145">
        <v>780</v>
      </c>
      <c r="S323" s="145">
        <v>2118</v>
      </c>
      <c r="T323" s="145">
        <v>2239</v>
      </c>
      <c r="U323" s="145">
        <v>1637</v>
      </c>
      <c r="V323" s="145">
        <v>2137</v>
      </c>
      <c r="W323" s="145">
        <v>20</v>
      </c>
      <c r="X323" s="145">
        <v>718</v>
      </c>
      <c r="Y323" s="145">
        <v>5</v>
      </c>
      <c r="Z323" s="145">
        <v>88</v>
      </c>
      <c r="AA323" s="145">
        <v>24662</v>
      </c>
      <c r="AB323" s="75">
        <v>54322</v>
      </c>
      <c r="AC323" s="75">
        <v>56360</v>
      </c>
      <c r="AF323"/>
      <c r="AG323"/>
      <c r="AH323" s="75">
        <v>23442</v>
      </c>
      <c r="AI323" s="75">
        <v>23664</v>
      </c>
      <c r="AJ323" s="75">
        <v>24018</v>
      </c>
      <c r="AK323" s="75">
        <v>24321</v>
      </c>
      <c r="AL323" s="75">
        <v>24463</v>
      </c>
      <c r="AM323" s="75">
        <v>24503</v>
      </c>
      <c r="AN323" s="75">
        <v>24659</v>
      </c>
      <c r="AO323" s="75">
        <v>38756</v>
      </c>
      <c r="AP323" s="75">
        <v>38033</v>
      </c>
      <c r="AQ323" s="75">
        <v>39952000</v>
      </c>
      <c r="AR323" s="75">
        <v>44516</v>
      </c>
      <c r="AS323" s="75">
        <v>46406</v>
      </c>
      <c r="AT323" s="75">
        <v>49437</v>
      </c>
      <c r="AU323" s="75">
        <v>54322</v>
      </c>
      <c r="AV323" s="75">
        <v>56360</v>
      </c>
    </row>
    <row r="324" spans="1:48" ht="12.5" x14ac:dyDescent="0.25">
      <c r="A324" s="75" t="s">
        <v>520</v>
      </c>
      <c r="B324" s="75" t="s">
        <v>232</v>
      </c>
      <c r="C324" s="145">
        <f t="shared" si="15"/>
        <v>2071.6999999999998</v>
      </c>
      <c r="D324" s="145">
        <f t="shared" si="16"/>
        <v>2092.3000000000002</v>
      </c>
      <c r="E324" s="145">
        <v>2785000</v>
      </c>
      <c r="F324" s="145">
        <f t="shared" si="17"/>
        <v>8896474.9842354208</v>
      </c>
      <c r="G324" s="145">
        <v>779</v>
      </c>
      <c r="H324" s="145">
        <v>864</v>
      </c>
      <c r="I324" s="145">
        <v>5467</v>
      </c>
      <c r="J324" s="145">
        <v>5140</v>
      </c>
      <c r="K324" s="145">
        <v>2491</v>
      </c>
      <c r="L324" s="145">
        <v>2987</v>
      </c>
      <c r="M324" s="145">
        <v>1395</v>
      </c>
      <c r="N324" s="145">
        <v>1278</v>
      </c>
      <c r="O324" s="145">
        <v>3579</v>
      </c>
      <c r="P324" s="145">
        <v>2361</v>
      </c>
      <c r="Q324" s="145">
        <v>1795</v>
      </c>
      <c r="R324" s="145">
        <v>1806</v>
      </c>
      <c r="S324" s="145">
        <v>1213</v>
      </c>
      <c r="T324" s="145">
        <v>1929</v>
      </c>
      <c r="U324" s="145">
        <v>1738</v>
      </c>
      <c r="V324" s="145">
        <v>2138</v>
      </c>
      <c r="W324" s="145">
        <v>538</v>
      </c>
      <c r="X324" s="145">
        <v>1138</v>
      </c>
      <c r="Y324" s="145">
        <v>1722</v>
      </c>
      <c r="Z324" s="145">
        <v>1282</v>
      </c>
      <c r="AA324" s="145">
        <v>23826</v>
      </c>
      <c r="AB324" s="75">
        <v>52910</v>
      </c>
      <c r="AC324" s="75">
        <v>54293</v>
      </c>
      <c r="AF324"/>
      <c r="AG324"/>
      <c r="AH324" s="75">
        <v>23504</v>
      </c>
      <c r="AI324" s="75">
        <v>23692</v>
      </c>
      <c r="AJ324" s="75">
        <v>23763</v>
      </c>
      <c r="AK324" s="75">
        <v>23897</v>
      </c>
      <c r="AL324" s="75">
        <v>23925</v>
      </c>
      <c r="AM324" s="75">
        <v>23922</v>
      </c>
      <c r="AN324" s="75">
        <v>23995</v>
      </c>
      <c r="AO324" s="75">
        <v>44224</v>
      </c>
      <c r="AP324" s="75">
        <v>42526</v>
      </c>
      <c r="AQ324" s="75">
        <v>51760000</v>
      </c>
      <c r="AR324" s="75">
        <v>55452</v>
      </c>
      <c r="AS324" s="75">
        <v>54181</v>
      </c>
      <c r="AT324" s="75">
        <v>53222</v>
      </c>
      <c r="AU324" s="75">
        <v>52910</v>
      </c>
      <c r="AV324" s="75">
        <v>54293</v>
      </c>
    </row>
    <row r="325" spans="1:48" ht="12.5" x14ac:dyDescent="0.25">
      <c r="A325" s="75" t="s">
        <v>515</v>
      </c>
      <c r="B325" s="75" t="s">
        <v>208</v>
      </c>
      <c r="C325" s="145">
        <f t="shared" si="15"/>
        <v>2428.8000000000002</v>
      </c>
      <c r="D325" s="145">
        <f t="shared" si="16"/>
        <v>2684.8</v>
      </c>
      <c r="E325" s="145">
        <v>5856000</v>
      </c>
      <c r="F325" s="145">
        <f t="shared" si="17"/>
        <v>10850783.823051453</v>
      </c>
      <c r="G325" s="145">
        <v>99</v>
      </c>
      <c r="H325" s="145">
        <v>3263</v>
      </c>
      <c r="I325" s="145">
        <v>3315</v>
      </c>
      <c r="J325" s="145">
        <v>3285</v>
      </c>
      <c r="K325" s="145">
        <v>4748</v>
      </c>
      <c r="L325" s="145">
        <v>4381</v>
      </c>
      <c r="M325" s="145">
        <v>2605</v>
      </c>
      <c r="N325" s="145">
        <v>2795</v>
      </c>
      <c r="O325" s="145">
        <v>3891</v>
      </c>
      <c r="P325" s="145">
        <v>3328</v>
      </c>
      <c r="Q325" s="145">
        <v>2959</v>
      </c>
      <c r="R325" s="145">
        <v>2187</v>
      </c>
      <c r="S325" s="145">
        <v>2710</v>
      </c>
      <c r="T325" s="145">
        <v>2531</v>
      </c>
      <c r="U325" s="145">
        <v>1705</v>
      </c>
      <c r="V325" s="145">
        <v>1325</v>
      </c>
      <c r="W325" s="145">
        <v>1250</v>
      </c>
      <c r="X325" s="145">
        <v>2765</v>
      </c>
      <c r="Y325" s="145">
        <v>1006</v>
      </c>
      <c r="Z325" s="145">
        <v>988</v>
      </c>
      <c r="AA325" s="145">
        <v>29217</v>
      </c>
      <c r="AB325" s="75">
        <v>129362</v>
      </c>
      <c r="AC325" s="75">
        <v>129538</v>
      </c>
      <c r="AF325"/>
      <c r="AG325"/>
      <c r="AH325" s="75">
        <v>28904</v>
      </c>
      <c r="AI325" s="75">
        <v>29005</v>
      </c>
      <c r="AJ325" s="75">
        <v>28907</v>
      </c>
      <c r="AK325" s="75">
        <v>28851</v>
      </c>
      <c r="AL325" s="75">
        <v>29022</v>
      </c>
      <c r="AM325" s="75">
        <v>29177</v>
      </c>
      <c r="AN325" s="75">
        <v>29253</v>
      </c>
      <c r="AO325" s="75">
        <v>127461</v>
      </c>
      <c r="AP325" s="75">
        <v>123026</v>
      </c>
      <c r="AQ325" s="75">
        <v>129007000</v>
      </c>
      <c r="AR325" s="75">
        <v>130488</v>
      </c>
      <c r="AS325" s="75">
        <v>129757</v>
      </c>
      <c r="AT325" s="75">
        <v>129293</v>
      </c>
      <c r="AU325" s="75">
        <v>129362</v>
      </c>
      <c r="AV325" s="75">
        <v>129538</v>
      </c>
    </row>
    <row r="326" spans="1:48" ht="12.5" x14ac:dyDescent="0.25">
      <c r="A326" s="75" t="s">
        <v>513</v>
      </c>
      <c r="B326" s="75" t="s">
        <v>396</v>
      </c>
      <c r="C326" s="145">
        <f t="shared" si="15"/>
        <v>947.4</v>
      </c>
      <c r="D326" s="145">
        <f t="shared" si="16"/>
        <v>452.6</v>
      </c>
      <c r="E326" s="145">
        <v>2573000</v>
      </c>
      <c r="F326" s="145">
        <f t="shared" si="17"/>
        <v>8228179.4593348661</v>
      </c>
      <c r="G326" s="145">
        <v>1803</v>
      </c>
      <c r="H326" s="145">
        <v>704</v>
      </c>
      <c r="I326" s="145">
        <v>1873</v>
      </c>
      <c r="J326" s="145">
        <v>1435</v>
      </c>
      <c r="K326" s="145">
        <v>1625</v>
      </c>
      <c r="L326" s="145">
        <v>1240</v>
      </c>
      <c r="M326" s="145">
        <v>0</v>
      </c>
      <c r="N326" s="145">
        <v>0</v>
      </c>
      <c r="O326" s="145">
        <v>0</v>
      </c>
      <c r="P326" s="145">
        <v>0</v>
      </c>
      <c r="Q326" s="145">
        <v>1649</v>
      </c>
      <c r="R326" s="145">
        <v>1033</v>
      </c>
      <c r="S326" s="145">
        <v>739</v>
      </c>
      <c r="T326" s="145">
        <v>246</v>
      </c>
      <c r="U326" s="145">
        <v>1055</v>
      </c>
      <c r="V326" s="145">
        <v>177</v>
      </c>
      <c r="W326" s="145">
        <v>745</v>
      </c>
      <c r="X326" s="145">
        <v>-323</v>
      </c>
      <c r="Y326" s="145">
        <v>-15</v>
      </c>
      <c r="Z326" s="145">
        <v>14</v>
      </c>
      <c r="AA326" s="145">
        <v>22194</v>
      </c>
      <c r="AB326" s="75">
        <v>37202</v>
      </c>
      <c r="AC326" s="75">
        <v>35602</v>
      </c>
      <c r="AF326"/>
      <c r="AG326"/>
      <c r="AH326" s="75">
        <v>21833</v>
      </c>
      <c r="AI326" s="75">
        <v>21807</v>
      </c>
      <c r="AJ326" s="75">
        <v>21861</v>
      </c>
      <c r="AK326" s="75">
        <v>21879</v>
      </c>
      <c r="AL326" s="75">
        <v>22028</v>
      </c>
      <c r="AM326" s="75">
        <v>22125</v>
      </c>
      <c r="AN326" s="75">
        <v>22191</v>
      </c>
      <c r="AO326" s="75">
        <v>40660</v>
      </c>
      <c r="AP326" s="75">
        <v>37652</v>
      </c>
      <c r="AQ326" s="75">
        <v>36602000</v>
      </c>
      <c r="AR326" s="75">
        <v>36282</v>
      </c>
      <c r="AS326" s="75">
        <v>37262</v>
      </c>
      <c r="AT326" s="75">
        <v>38593</v>
      </c>
      <c r="AU326" s="75">
        <v>37202</v>
      </c>
      <c r="AV326" s="75">
        <v>35602</v>
      </c>
    </row>
    <row r="327" spans="1:48" ht="12.5" x14ac:dyDescent="0.25">
      <c r="A327" s="75" t="s">
        <v>520</v>
      </c>
      <c r="B327" s="75" t="s">
        <v>233</v>
      </c>
      <c r="C327" s="145">
        <f t="shared" si="15"/>
        <v>10568.2</v>
      </c>
      <c r="D327" s="145">
        <f t="shared" si="16"/>
        <v>8986.1</v>
      </c>
      <c r="E327" s="145">
        <v>12573000</v>
      </c>
      <c r="F327" s="145">
        <f t="shared" si="17"/>
        <v>19665441.881589532</v>
      </c>
      <c r="G327" s="145">
        <v>7141</v>
      </c>
      <c r="H327" s="145">
        <v>7139</v>
      </c>
      <c r="I327" s="145">
        <v>21374</v>
      </c>
      <c r="J327" s="145">
        <v>19210</v>
      </c>
      <c r="K327" s="145">
        <v>9226</v>
      </c>
      <c r="L327" s="145">
        <v>9460</v>
      </c>
      <c r="M327" s="145">
        <v>21414</v>
      </c>
      <c r="N327" s="145">
        <v>14572</v>
      </c>
      <c r="O327" s="145">
        <v>10403</v>
      </c>
      <c r="P327" s="145">
        <v>8507</v>
      </c>
      <c r="Q327" s="145">
        <v>893</v>
      </c>
      <c r="R327" s="145">
        <v>776</v>
      </c>
      <c r="S327" s="145">
        <v>8026</v>
      </c>
      <c r="T327" s="145">
        <v>7426</v>
      </c>
      <c r="U327" s="145">
        <v>5041</v>
      </c>
      <c r="V327" s="145">
        <v>4395</v>
      </c>
      <c r="W327" s="145">
        <v>16190</v>
      </c>
      <c r="X327" s="145">
        <v>14171</v>
      </c>
      <c r="Y327" s="145">
        <v>5974</v>
      </c>
      <c r="Z327" s="145">
        <v>4205</v>
      </c>
      <c r="AA327" s="145">
        <v>53974</v>
      </c>
      <c r="AB327" s="75">
        <v>261691</v>
      </c>
      <c r="AC327" s="75">
        <v>267561</v>
      </c>
      <c r="AF327"/>
      <c r="AG327"/>
      <c r="AH327" s="75">
        <v>51522</v>
      </c>
      <c r="AI327" s="75">
        <v>51765</v>
      </c>
      <c r="AJ327" s="75">
        <v>52204</v>
      </c>
      <c r="AK327" s="75">
        <v>52320</v>
      </c>
      <c r="AL327" s="75">
        <v>52694</v>
      </c>
      <c r="AM327" s="75">
        <v>52879</v>
      </c>
      <c r="AN327" s="75">
        <v>53244</v>
      </c>
      <c r="AO327" s="75">
        <v>192055</v>
      </c>
      <c r="AP327" s="75">
        <v>196759</v>
      </c>
      <c r="AQ327" s="75">
        <v>195326000</v>
      </c>
      <c r="AR327" s="75">
        <v>191295</v>
      </c>
      <c r="AS327" s="75">
        <v>224157</v>
      </c>
      <c r="AT327" s="75">
        <v>249264</v>
      </c>
      <c r="AU327" s="75">
        <v>261691</v>
      </c>
      <c r="AV327" s="75">
        <v>267561</v>
      </c>
    </row>
    <row r="328" spans="1:48" ht="12.5" x14ac:dyDescent="0.25">
      <c r="A328" s="75" t="s">
        <v>514</v>
      </c>
      <c r="B328" s="75" t="s">
        <v>278</v>
      </c>
      <c r="C328" s="145">
        <f t="shared" si="15"/>
        <v>137</v>
      </c>
      <c r="D328" s="145">
        <f t="shared" si="16"/>
        <v>253.2</v>
      </c>
      <c r="E328" s="145">
        <v>2631000</v>
      </c>
      <c r="F328" s="145">
        <f t="shared" si="17"/>
        <v>6091270.1181670409</v>
      </c>
      <c r="G328" s="145">
        <v>0</v>
      </c>
      <c r="H328" s="145">
        <v>0</v>
      </c>
      <c r="I328" s="145">
        <v>111</v>
      </c>
      <c r="J328" s="145">
        <v>408</v>
      </c>
      <c r="K328" s="145">
        <v>73</v>
      </c>
      <c r="L328" s="145">
        <v>1368</v>
      </c>
      <c r="M328" s="145">
        <v>245</v>
      </c>
      <c r="N328" s="145">
        <v>75</v>
      </c>
      <c r="O328" s="145">
        <v>941</v>
      </c>
      <c r="P328" s="145">
        <v>559</v>
      </c>
      <c r="Q328" s="145">
        <v>0</v>
      </c>
      <c r="R328" s="145">
        <v>104</v>
      </c>
      <c r="S328" s="145">
        <v>0</v>
      </c>
      <c r="T328" s="145">
        <v>0</v>
      </c>
      <c r="U328" s="145">
        <v>0</v>
      </c>
      <c r="V328" s="145">
        <v>18</v>
      </c>
      <c r="W328" s="145">
        <v>0</v>
      </c>
      <c r="X328" s="145">
        <v>0</v>
      </c>
      <c r="Y328" s="145">
        <v>0</v>
      </c>
      <c r="Z328" s="145">
        <v>0</v>
      </c>
      <c r="AA328" s="145">
        <v>16421</v>
      </c>
      <c r="AB328" s="75">
        <v>31114</v>
      </c>
      <c r="AC328" s="75">
        <v>31583</v>
      </c>
      <c r="AF328"/>
      <c r="AG328"/>
      <c r="AH328" s="75">
        <v>15804</v>
      </c>
      <c r="AI328" s="75">
        <v>16003</v>
      </c>
      <c r="AJ328" s="75">
        <v>16332</v>
      </c>
      <c r="AK328" s="75">
        <v>16293</v>
      </c>
      <c r="AL328" s="75">
        <v>16333</v>
      </c>
      <c r="AM328" s="75">
        <v>16379</v>
      </c>
      <c r="AN328" s="75">
        <v>16612</v>
      </c>
      <c r="AO328" s="75">
        <v>30433</v>
      </c>
      <c r="AP328" s="75">
        <v>30030</v>
      </c>
      <c r="AQ328" s="75">
        <v>29737000</v>
      </c>
      <c r="AR328" s="75">
        <v>29875</v>
      </c>
      <c r="AS328" s="75">
        <v>31188</v>
      </c>
      <c r="AT328" s="75">
        <v>31425</v>
      </c>
      <c r="AU328" s="75">
        <v>31114</v>
      </c>
      <c r="AV328" s="75">
        <v>31583</v>
      </c>
    </row>
    <row r="329" spans="1:48" ht="12.5" x14ac:dyDescent="0.25">
      <c r="A329" s="75" t="s">
        <v>520</v>
      </c>
      <c r="B329" s="75" t="s">
        <v>234</v>
      </c>
      <c r="C329" s="145">
        <f t="shared" si="15"/>
        <v>9723.7999999999993</v>
      </c>
      <c r="D329" s="145">
        <f t="shared" si="16"/>
        <v>9170</v>
      </c>
      <c r="E329" s="145">
        <v>1516000</v>
      </c>
      <c r="F329" s="145">
        <f t="shared" si="17"/>
        <v>5160788.5359181892</v>
      </c>
      <c r="G329" s="145">
        <v>7493</v>
      </c>
      <c r="H329" s="145">
        <v>7273</v>
      </c>
      <c r="I329" s="145">
        <v>11042</v>
      </c>
      <c r="J329" s="145">
        <v>10773</v>
      </c>
      <c r="K329" s="145">
        <v>11484</v>
      </c>
      <c r="L329" s="145">
        <v>11485</v>
      </c>
      <c r="M329" s="145">
        <v>7072</v>
      </c>
      <c r="N329" s="145">
        <v>5460</v>
      </c>
      <c r="O329" s="145">
        <v>7506</v>
      </c>
      <c r="P329" s="145">
        <v>7377</v>
      </c>
      <c r="Q329" s="145">
        <v>12940</v>
      </c>
      <c r="R329" s="145">
        <v>12596</v>
      </c>
      <c r="S329" s="145">
        <v>7712</v>
      </c>
      <c r="T329" s="145">
        <v>8009</v>
      </c>
      <c r="U329" s="145">
        <v>10730</v>
      </c>
      <c r="V329" s="145">
        <v>9670</v>
      </c>
      <c r="W329" s="145">
        <v>9471</v>
      </c>
      <c r="X329" s="145">
        <v>8689</v>
      </c>
      <c r="Y329" s="145">
        <v>11788</v>
      </c>
      <c r="Z329" s="145">
        <v>10368</v>
      </c>
      <c r="AA329" s="145">
        <v>14764</v>
      </c>
      <c r="AB329" s="75">
        <v>24041</v>
      </c>
      <c r="AC329" s="75">
        <v>22806</v>
      </c>
      <c r="AF329"/>
      <c r="AG329"/>
      <c r="AH329" s="75">
        <v>12701</v>
      </c>
      <c r="AI329" s="75">
        <v>13022</v>
      </c>
      <c r="AJ329" s="75">
        <v>13165</v>
      </c>
      <c r="AK329" s="75">
        <v>13334</v>
      </c>
      <c r="AL329" s="75">
        <v>13639</v>
      </c>
      <c r="AM329" s="75">
        <v>13877</v>
      </c>
      <c r="AN329" s="75">
        <v>14358</v>
      </c>
      <c r="AO329" s="75">
        <v>26189</v>
      </c>
      <c r="AP329" s="75">
        <v>26608</v>
      </c>
      <c r="AQ329" s="75">
        <v>23366000</v>
      </c>
      <c r="AR329" s="75">
        <v>23039</v>
      </c>
      <c r="AS329" s="75">
        <v>23089</v>
      </c>
      <c r="AT329" s="75">
        <v>22457</v>
      </c>
      <c r="AU329" s="75">
        <v>24041</v>
      </c>
      <c r="AV329" s="75">
        <v>22806</v>
      </c>
    </row>
    <row r="330" spans="1:48" ht="12.5" x14ac:dyDescent="0.25">
      <c r="A330" s="75" t="s">
        <v>514</v>
      </c>
      <c r="B330" s="75" t="s">
        <v>279</v>
      </c>
      <c r="C330" s="145">
        <f t="shared" si="15"/>
        <v>16963.7</v>
      </c>
      <c r="D330" s="145">
        <f t="shared" si="16"/>
        <v>16915.3</v>
      </c>
      <c r="E330" s="145">
        <v>34367000</v>
      </c>
      <c r="F330" s="145">
        <f t="shared" si="17"/>
        <v>58436251.598858617</v>
      </c>
      <c r="G330" s="145">
        <v>40473</v>
      </c>
      <c r="H330" s="145">
        <v>40962</v>
      </c>
      <c r="I330" s="145">
        <v>37879</v>
      </c>
      <c r="J330" s="145">
        <v>31240</v>
      </c>
      <c r="K330" s="145">
        <v>17680</v>
      </c>
      <c r="L330" s="145">
        <v>10280</v>
      </c>
      <c r="M330" s="145">
        <v>4919</v>
      </c>
      <c r="N330" s="145">
        <v>2180</v>
      </c>
      <c r="O330" s="145">
        <v>5525</v>
      </c>
      <c r="P330" s="145">
        <v>7808</v>
      </c>
      <c r="Q330" s="145">
        <v>7683</v>
      </c>
      <c r="R330" s="145">
        <v>4995</v>
      </c>
      <c r="S330" s="145">
        <v>14962</v>
      </c>
      <c r="T330" s="145">
        <v>16677</v>
      </c>
      <c r="U330" s="145">
        <v>21489</v>
      </c>
      <c r="V330" s="145">
        <v>24042</v>
      </c>
      <c r="W330" s="145">
        <v>16195</v>
      </c>
      <c r="X330" s="145">
        <v>27288</v>
      </c>
      <c r="Y330" s="145">
        <v>2832</v>
      </c>
      <c r="Z330" s="145">
        <v>3681</v>
      </c>
      <c r="AA330" s="145">
        <v>162784</v>
      </c>
      <c r="AB330" s="75">
        <v>744616</v>
      </c>
      <c r="AC330" s="75">
        <v>777981</v>
      </c>
      <c r="AF330"/>
      <c r="AG330"/>
      <c r="AH330" s="75">
        <v>153750</v>
      </c>
      <c r="AI330" s="75">
        <v>154826</v>
      </c>
      <c r="AJ330" s="75">
        <v>155799</v>
      </c>
      <c r="AK330" s="75">
        <v>156783</v>
      </c>
      <c r="AL330" s="75">
        <v>156901</v>
      </c>
      <c r="AM330" s="75">
        <v>157131</v>
      </c>
      <c r="AN330" s="75">
        <v>159618</v>
      </c>
      <c r="AO330" s="75">
        <v>614266</v>
      </c>
      <c r="AP330" s="75">
        <v>589253</v>
      </c>
      <c r="AQ330" s="75">
        <v>620133000</v>
      </c>
      <c r="AR330" s="75">
        <v>647822</v>
      </c>
      <c r="AS330" s="75">
        <v>677615</v>
      </c>
      <c r="AT330" s="75">
        <v>711335</v>
      </c>
      <c r="AU330" s="75">
        <v>744616</v>
      </c>
      <c r="AV330" s="75">
        <v>777981</v>
      </c>
    </row>
    <row r="331" spans="1:48" ht="12.5" x14ac:dyDescent="0.25">
      <c r="A331" s="75" t="s">
        <v>515</v>
      </c>
      <c r="B331" s="75" t="s">
        <v>209</v>
      </c>
      <c r="C331" s="145">
        <f t="shared" si="15"/>
        <v>6958</v>
      </c>
      <c r="D331" s="145">
        <f t="shared" si="16"/>
        <v>5790.1</v>
      </c>
      <c r="E331" s="145">
        <v>4025000</v>
      </c>
      <c r="F331" s="145">
        <f t="shared" si="17"/>
        <v>11139746.328809788</v>
      </c>
      <c r="G331" s="145">
        <v>2829</v>
      </c>
      <c r="H331" s="145">
        <v>2861</v>
      </c>
      <c r="I331" s="145">
        <v>5996</v>
      </c>
      <c r="J331" s="145">
        <v>6604</v>
      </c>
      <c r="K331" s="145">
        <v>14886</v>
      </c>
      <c r="L331" s="145">
        <v>9399</v>
      </c>
      <c r="M331" s="145">
        <v>4082</v>
      </c>
      <c r="N331" s="145">
        <v>2557</v>
      </c>
      <c r="O331" s="145">
        <v>12922</v>
      </c>
      <c r="P331" s="145">
        <v>10705</v>
      </c>
      <c r="Q331" s="145">
        <v>11459</v>
      </c>
      <c r="R331" s="145">
        <v>9672</v>
      </c>
      <c r="S331" s="145">
        <v>5396</v>
      </c>
      <c r="T331" s="145">
        <v>4286</v>
      </c>
      <c r="U331" s="145">
        <v>6228</v>
      </c>
      <c r="V331" s="145">
        <v>5072</v>
      </c>
      <c r="W331" s="145">
        <v>2756</v>
      </c>
      <c r="X331" s="145">
        <v>3035</v>
      </c>
      <c r="Y331" s="145">
        <v>3026</v>
      </c>
      <c r="Z331" s="145">
        <v>3710</v>
      </c>
      <c r="AA331" s="145">
        <v>30396</v>
      </c>
      <c r="AB331" s="75">
        <v>68913</v>
      </c>
      <c r="AC331" s="75">
        <v>79962</v>
      </c>
      <c r="AF331"/>
      <c r="AG331"/>
      <c r="AH331" s="75">
        <v>27727</v>
      </c>
      <c r="AI331" s="75">
        <v>28022</v>
      </c>
      <c r="AJ331" s="75">
        <v>28441</v>
      </c>
      <c r="AK331" s="75">
        <v>28844</v>
      </c>
      <c r="AL331" s="75">
        <v>29447</v>
      </c>
      <c r="AM331" s="75">
        <v>29954</v>
      </c>
      <c r="AN331" s="75">
        <v>30349</v>
      </c>
      <c r="AO331" s="75">
        <v>63429</v>
      </c>
      <c r="AP331" s="75">
        <v>53426</v>
      </c>
      <c r="AQ331" s="75">
        <v>49479000</v>
      </c>
      <c r="AR331" s="75">
        <v>56507</v>
      </c>
      <c r="AS331" s="75">
        <v>62765</v>
      </c>
      <c r="AT331" s="75">
        <v>60846</v>
      </c>
      <c r="AU331" s="75">
        <v>68913</v>
      </c>
      <c r="AV331" s="75">
        <v>79962</v>
      </c>
    </row>
    <row r="332" spans="1:48" ht="12.5" x14ac:dyDescent="0.25">
      <c r="A332" s="75" t="s">
        <v>514</v>
      </c>
      <c r="B332" s="75" t="s">
        <v>280</v>
      </c>
      <c r="C332" s="145">
        <f t="shared" si="15"/>
        <v>982.5</v>
      </c>
      <c r="D332" s="145">
        <f t="shared" si="16"/>
        <v>1246.0999999999999</v>
      </c>
      <c r="E332" s="145">
        <v>3133000</v>
      </c>
      <c r="F332" s="145">
        <f t="shared" si="17"/>
        <v>6360522.1827346534</v>
      </c>
      <c r="G332" s="145">
        <v>1022</v>
      </c>
      <c r="H332" s="145">
        <v>1014</v>
      </c>
      <c r="I332" s="145">
        <v>0</v>
      </c>
      <c r="J332" s="145">
        <v>0</v>
      </c>
      <c r="K332" s="145">
        <v>0</v>
      </c>
      <c r="L332" s="145">
        <v>0</v>
      </c>
      <c r="M332" s="145">
        <v>0</v>
      </c>
      <c r="N332" s="145">
        <v>0</v>
      </c>
      <c r="O332" s="145">
        <v>778</v>
      </c>
      <c r="P332" s="145">
        <v>778</v>
      </c>
      <c r="Q332" s="145">
        <v>1737</v>
      </c>
      <c r="R332" s="145">
        <v>2183</v>
      </c>
      <c r="S332" s="145">
        <v>1471</v>
      </c>
      <c r="T332" s="145">
        <v>1543</v>
      </c>
      <c r="U332" s="145">
        <v>1323</v>
      </c>
      <c r="V332" s="145">
        <v>1724</v>
      </c>
      <c r="W332" s="145">
        <v>1164</v>
      </c>
      <c r="X332" s="145">
        <v>3108</v>
      </c>
      <c r="Y332" s="145">
        <v>2330</v>
      </c>
      <c r="Z332" s="145">
        <v>2111</v>
      </c>
      <c r="AA332" s="145">
        <v>17370</v>
      </c>
      <c r="AB332" s="75">
        <v>53552</v>
      </c>
      <c r="AC332" s="75">
        <v>56221</v>
      </c>
      <c r="AF332"/>
      <c r="AG332"/>
      <c r="AH332" s="75">
        <v>16894</v>
      </c>
      <c r="AI332" s="75">
        <v>16966</v>
      </c>
      <c r="AJ332" s="75">
        <v>17004</v>
      </c>
      <c r="AK332" s="75">
        <v>17116</v>
      </c>
      <c r="AL332" s="75">
        <v>17168</v>
      </c>
      <c r="AM332" s="75">
        <v>17103</v>
      </c>
      <c r="AN332" s="75">
        <v>17542</v>
      </c>
      <c r="AO332" s="75">
        <v>58606</v>
      </c>
      <c r="AP332" s="75">
        <v>58513</v>
      </c>
      <c r="AQ332" s="75">
        <v>57123000</v>
      </c>
      <c r="AR332" s="75">
        <v>55778</v>
      </c>
      <c r="AS332" s="75">
        <v>53598</v>
      </c>
      <c r="AT332" s="75">
        <v>52397</v>
      </c>
      <c r="AU332" s="75">
        <v>53552</v>
      </c>
      <c r="AV332" s="75">
        <v>56221</v>
      </c>
    </row>
    <row r="333" spans="1:48" ht="12.5" x14ac:dyDescent="0.25">
      <c r="A333" s="75" t="s">
        <v>519</v>
      </c>
      <c r="B333" s="75" t="s">
        <v>432</v>
      </c>
      <c r="C333" s="145">
        <f t="shared" si="15"/>
        <v>3644.6</v>
      </c>
      <c r="D333" s="145">
        <f t="shared" si="16"/>
        <v>1241.4000000000001</v>
      </c>
      <c r="E333" s="145">
        <v>2055000</v>
      </c>
      <c r="F333" s="145">
        <f t="shared" si="17"/>
        <v>8680032.0262542721</v>
      </c>
      <c r="G333" s="145">
        <v>7960</v>
      </c>
      <c r="H333" s="145">
        <v>7969</v>
      </c>
      <c r="I333" s="145">
        <v>114</v>
      </c>
      <c r="J333" s="145">
        <v>572</v>
      </c>
      <c r="K333" s="145">
        <v>1115</v>
      </c>
      <c r="L333" s="145">
        <v>-183</v>
      </c>
      <c r="M333" s="145">
        <v>-1</v>
      </c>
      <c r="N333" s="145">
        <v>-1764</v>
      </c>
      <c r="O333" s="145">
        <v>0</v>
      </c>
      <c r="P333" s="145">
        <v>-4251</v>
      </c>
      <c r="Q333" s="145">
        <v>0</v>
      </c>
      <c r="R333" s="145">
        <v>-2388</v>
      </c>
      <c r="S333" s="145">
        <v>0</v>
      </c>
      <c r="T333" s="145">
        <v>-5096</v>
      </c>
      <c r="U333" s="145">
        <v>9708</v>
      </c>
      <c r="V333" s="145">
        <v>4579</v>
      </c>
      <c r="W333" s="145">
        <v>3210</v>
      </c>
      <c r="X333" s="145">
        <v>6534</v>
      </c>
      <c r="Y333" s="145">
        <v>14340</v>
      </c>
      <c r="Z333" s="145">
        <v>6442</v>
      </c>
      <c r="AA333" s="145">
        <v>24296</v>
      </c>
      <c r="AB333" s="75">
        <v>35410</v>
      </c>
      <c r="AC333" s="75">
        <v>44954</v>
      </c>
      <c r="AF333"/>
      <c r="AG333"/>
      <c r="AH333" s="75">
        <v>22459</v>
      </c>
      <c r="AI333" s="75">
        <v>22392</v>
      </c>
      <c r="AJ333" s="75">
        <v>22312</v>
      </c>
      <c r="AK333" s="75">
        <v>22674</v>
      </c>
      <c r="AL333" s="75">
        <v>22879</v>
      </c>
      <c r="AM333" s="75">
        <v>23340</v>
      </c>
      <c r="AN333" s="75">
        <v>23692</v>
      </c>
      <c r="AO333" s="75">
        <v>30272</v>
      </c>
      <c r="AP333" s="75">
        <v>27975</v>
      </c>
      <c r="AQ333" s="75">
        <v>26526000</v>
      </c>
      <c r="AR333" s="75">
        <v>27150</v>
      </c>
      <c r="AS333" s="75">
        <v>29106</v>
      </c>
      <c r="AT333" s="75">
        <v>30496</v>
      </c>
      <c r="AU333" s="75">
        <v>35410</v>
      </c>
      <c r="AV333" s="75">
        <v>44954</v>
      </c>
    </row>
    <row r="334" spans="1:48" ht="12.5" x14ac:dyDescent="0.25">
      <c r="A334" s="75" t="s">
        <v>520</v>
      </c>
      <c r="B334" s="75" t="s">
        <v>235</v>
      </c>
      <c r="C334" s="145">
        <f t="shared" si="15"/>
        <v>1064.5</v>
      </c>
      <c r="D334" s="145">
        <f t="shared" si="16"/>
        <v>1526.9</v>
      </c>
      <c r="E334" s="145">
        <v>8076000</v>
      </c>
      <c r="F334" s="145">
        <f t="shared" si="17"/>
        <v>24533177.065464519</v>
      </c>
      <c r="G334" s="145">
        <v>0</v>
      </c>
      <c r="H334" s="145">
        <v>577</v>
      </c>
      <c r="I334" s="145">
        <v>3623</v>
      </c>
      <c r="J334" s="145">
        <v>8395</v>
      </c>
      <c r="K334" s="145">
        <v>6925</v>
      </c>
      <c r="L334" s="145">
        <v>3525</v>
      </c>
      <c r="M334" s="145">
        <v>-2</v>
      </c>
      <c r="N334" s="145">
        <v>241</v>
      </c>
      <c r="O334" s="145">
        <v>8</v>
      </c>
      <c r="P334" s="145">
        <v>239</v>
      </c>
      <c r="Q334" s="145">
        <v>25</v>
      </c>
      <c r="R334" s="145">
        <v>364</v>
      </c>
      <c r="S334" s="145">
        <v>0</v>
      </c>
      <c r="T334" s="145">
        <v>364</v>
      </c>
      <c r="U334" s="145">
        <v>0</v>
      </c>
      <c r="V334" s="145">
        <v>496</v>
      </c>
      <c r="W334" s="145">
        <v>68</v>
      </c>
      <c r="X334" s="145">
        <v>539</v>
      </c>
      <c r="Y334" s="145">
        <v>-2</v>
      </c>
      <c r="Z334" s="145">
        <v>529</v>
      </c>
      <c r="AA334" s="145">
        <v>66740</v>
      </c>
      <c r="AB334" s="75">
        <v>170594</v>
      </c>
      <c r="AC334" s="75">
        <v>174350</v>
      </c>
      <c r="AF334"/>
      <c r="AG334"/>
      <c r="AH334" s="75">
        <v>62826</v>
      </c>
      <c r="AI334" s="75">
        <v>63340</v>
      </c>
      <c r="AJ334" s="75">
        <v>63960</v>
      </c>
      <c r="AK334" s="75">
        <v>64798</v>
      </c>
      <c r="AL334" s="75">
        <v>65043</v>
      </c>
      <c r="AM334" s="75">
        <v>65968</v>
      </c>
      <c r="AN334" s="75">
        <v>66629</v>
      </c>
      <c r="AO334" s="75">
        <v>125760</v>
      </c>
      <c r="AP334" s="75">
        <v>123923</v>
      </c>
      <c r="AQ334" s="75">
        <v>135774000</v>
      </c>
      <c r="AR334" s="75">
        <v>145365</v>
      </c>
      <c r="AS334" s="75">
        <v>151090</v>
      </c>
      <c r="AT334" s="75">
        <v>158383</v>
      </c>
      <c r="AU334" s="75">
        <v>170594</v>
      </c>
      <c r="AV334" s="75">
        <v>174350</v>
      </c>
    </row>
    <row r="335" spans="1:48" ht="12.5" x14ac:dyDescent="0.25">
      <c r="A335" s="75" t="s">
        <v>515</v>
      </c>
      <c r="B335" s="75" t="s">
        <v>210</v>
      </c>
      <c r="C335" s="145">
        <f t="shared" si="15"/>
        <v>8207.5</v>
      </c>
      <c r="D335" s="145">
        <f t="shared" si="16"/>
        <v>6243.8</v>
      </c>
      <c r="E335" s="145">
        <v>5987000</v>
      </c>
      <c r="F335" s="145">
        <f t="shared" si="17"/>
        <v>16602513.699574528</v>
      </c>
      <c r="G335" s="145">
        <v>-1231</v>
      </c>
      <c r="H335" s="145">
        <v>-2092</v>
      </c>
      <c r="I335" s="145">
        <v>8799</v>
      </c>
      <c r="J335" s="145">
        <v>7404</v>
      </c>
      <c r="K335" s="145">
        <v>12289</v>
      </c>
      <c r="L335" s="145">
        <v>11568</v>
      </c>
      <c r="M335" s="145">
        <v>10102</v>
      </c>
      <c r="N335" s="145">
        <v>9846</v>
      </c>
      <c r="O335" s="145">
        <v>17303</v>
      </c>
      <c r="P335" s="145">
        <v>11481</v>
      </c>
      <c r="Q335" s="145">
        <v>7621</v>
      </c>
      <c r="R335" s="145">
        <v>5183</v>
      </c>
      <c r="S335" s="145">
        <v>12759</v>
      </c>
      <c r="T335" s="145">
        <v>10673</v>
      </c>
      <c r="U335" s="145">
        <v>5479</v>
      </c>
      <c r="V335" s="145">
        <v>3363</v>
      </c>
      <c r="W335" s="145">
        <v>3077</v>
      </c>
      <c r="X335" s="145">
        <v>239</v>
      </c>
      <c r="Y335" s="145">
        <v>5877</v>
      </c>
      <c r="Z335" s="145">
        <v>4773</v>
      </c>
      <c r="AA335" s="145">
        <v>45212</v>
      </c>
      <c r="AB335" s="75">
        <v>153876</v>
      </c>
      <c r="AC335" s="75">
        <v>156072</v>
      </c>
      <c r="AF335"/>
      <c r="AG335"/>
      <c r="AH335" s="75">
        <v>43222</v>
      </c>
      <c r="AI335" s="75">
        <v>43411</v>
      </c>
      <c r="AJ335" s="75">
        <v>43507</v>
      </c>
      <c r="AK335" s="75">
        <v>43684</v>
      </c>
      <c r="AL335" s="75">
        <v>44096</v>
      </c>
      <c r="AM335" s="75">
        <v>44643</v>
      </c>
      <c r="AN335" s="75">
        <v>45042</v>
      </c>
      <c r="AO335" s="75">
        <v>113349</v>
      </c>
      <c r="AP335" s="75">
        <v>120042</v>
      </c>
      <c r="AQ335" s="75">
        <v>117700000</v>
      </c>
      <c r="AR335" s="75">
        <v>120051</v>
      </c>
      <c r="AS335" s="75">
        <v>122124</v>
      </c>
      <c r="AT335" s="75">
        <v>151319</v>
      </c>
      <c r="AU335" s="75">
        <v>153876</v>
      </c>
      <c r="AV335" s="75">
        <v>156072</v>
      </c>
    </row>
    <row r="336" spans="1:48" ht="12.5" x14ac:dyDescent="0.25">
      <c r="A336" s="75" t="s">
        <v>517</v>
      </c>
      <c r="B336" s="75" t="s">
        <v>324</v>
      </c>
      <c r="C336" s="145">
        <f t="shared" si="15"/>
        <v>11935.6</v>
      </c>
      <c r="D336" s="145">
        <f t="shared" si="16"/>
        <v>10120</v>
      </c>
      <c r="E336" s="145">
        <v>10430000</v>
      </c>
      <c r="F336" s="145">
        <f t="shared" si="17"/>
        <v>46767298.518833749</v>
      </c>
      <c r="G336" s="145">
        <v>11137</v>
      </c>
      <c r="H336" s="145">
        <v>10309</v>
      </c>
      <c r="I336" s="145">
        <v>14954</v>
      </c>
      <c r="J336" s="145">
        <v>13065</v>
      </c>
      <c r="K336" s="145">
        <v>8067</v>
      </c>
      <c r="L336" s="145">
        <v>11097</v>
      </c>
      <c r="M336" s="145">
        <v>15072</v>
      </c>
      <c r="N336" s="145">
        <v>7675</v>
      </c>
      <c r="O336" s="145">
        <v>7154</v>
      </c>
      <c r="P336" s="145">
        <v>8849</v>
      </c>
      <c r="Q336" s="145">
        <v>6920</v>
      </c>
      <c r="R336" s="145">
        <v>7971</v>
      </c>
      <c r="S336" s="145">
        <v>23386</v>
      </c>
      <c r="T336" s="145">
        <v>8682</v>
      </c>
      <c r="U336" s="145">
        <v>18664</v>
      </c>
      <c r="V336" s="145">
        <v>13366</v>
      </c>
      <c r="W336" s="145">
        <v>3148</v>
      </c>
      <c r="X336" s="145">
        <v>7646</v>
      </c>
      <c r="Y336" s="145">
        <v>10854</v>
      </c>
      <c r="Z336" s="145">
        <v>12540</v>
      </c>
      <c r="AA336" s="145">
        <v>129941</v>
      </c>
      <c r="AB336" s="75">
        <v>356098</v>
      </c>
      <c r="AC336" s="75">
        <v>361036</v>
      </c>
      <c r="AF336"/>
      <c r="AG336"/>
      <c r="AH336" s="75">
        <v>124745</v>
      </c>
      <c r="AI336" s="75">
        <v>124719</v>
      </c>
      <c r="AJ336" s="75">
        <v>124947</v>
      </c>
      <c r="AK336" s="75">
        <v>125320</v>
      </c>
      <c r="AL336" s="75">
        <v>125267</v>
      </c>
      <c r="AM336" s="75">
        <v>125754</v>
      </c>
      <c r="AN336" s="75">
        <v>126998</v>
      </c>
      <c r="AO336" s="75">
        <v>279446</v>
      </c>
      <c r="AP336" s="75">
        <v>283292</v>
      </c>
      <c r="AQ336" s="75">
        <v>298028000</v>
      </c>
      <c r="AR336" s="75">
        <v>333453</v>
      </c>
      <c r="AS336" s="75">
        <v>348088</v>
      </c>
      <c r="AT336" s="75">
        <v>352808</v>
      </c>
      <c r="AU336" s="75">
        <v>356098</v>
      </c>
      <c r="AV336" s="75">
        <v>361036</v>
      </c>
    </row>
    <row r="337" spans="1:48" ht="12.5" x14ac:dyDescent="0.25">
      <c r="A337" s="75" t="s">
        <v>517</v>
      </c>
      <c r="B337" s="75" t="s">
        <v>325</v>
      </c>
      <c r="C337" s="145">
        <f t="shared" si="15"/>
        <v>1506.3</v>
      </c>
      <c r="D337" s="145">
        <f t="shared" si="16"/>
        <v>1767.8</v>
      </c>
      <c r="E337" s="145">
        <v>1553000</v>
      </c>
      <c r="F337" s="145">
        <f t="shared" si="17"/>
        <v>3458252.6911798832</v>
      </c>
      <c r="G337" s="145">
        <v>0</v>
      </c>
      <c r="H337" s="145">
        <v>457</v>
      </c>
      <c r="I337" s="145">
        <v>694</v>
      </c>
      <c r="J337" s="145">
        <v>681</v>
      </c>
      <c r="K337" s="145">
        <v>-2229</v>
      </c>
      <c r="L337" s="145">
        <v>1438</v>
      </c>
      <c r="M337" s="145">
        <v>3760</v>
      </c>
      <c r="N337" s="145">
        <v>3688</v>
      </c>
      <c r="O337" s="145">
        <v>3807</v>
      </c>
      <c r="P337" s="145">
        <v>3152</v>
      </c>
      <c r="Q337" s="145">
        <v>603</v>
      </c>
      <c r="R337" s="145">
        <v>451</v>
      </c>
      <c r="S337" s="145">
        <v>3045</v>
      </c>
      <c r="T337" s="145">
        <v>3106</v>
      </c>
      <c r="U337" s="145">
        <v>3943</v>
      </c>
      <c r="V337" s="145">
        <v>3580</v>
      </c>
      <c r="W337" s="145">
        <v>1245</v>
      </c>
      <c r="X337" s="145">
        <v>656</v>
      </c>
      <c r="Y337" s="145">
        <v>195</v>
      </c>
      <c r="Z337" s="145">
        <v>469</v>
      </c>
      <c r="AA337" s="145">
        <v>10142</v>
      </c>
      <c r="AB337" s="75">
        <v>35162</v>
      </c>
      <c r="AC337" s="75">
        <v>33583</v>
      </c>
      <c r="AF337"/>
      <c r="AG337"/>
      <c r="AH337" s="75">
        <v>8371</v>
      </c>
      <c r="AI337" s="75">
        <v>8419</v>
      </c>
      <c r="AJ337" s="75">
        <v>8451</v>
      </c>
      <c r="AK337" s="75">
        <v>8582</v>
      </c>
      <c r="AL337" s="75">
        <v>8843</v>
      </c>
      <c r="AM337" s="75">
        <v>9299</v>
      </c>
      <c r="AN337" s="75">
        <v>9443</v>
      </c>
      <c r="AO337" s="75">
        <v>21115</v>
      </c>
      <c r="AP337" s="75">
        <v>17712</v>
      </c>
      <c r="AQ337" s="75">
        <v>23004000</v>
      </c>
      <c r="AR337" s="75">
        <v>23974</v>
      </c>
      <c r="AS337" s="75">
        <v>31184</v>
      </c>
      <c r="AT337" s="75">
        <v>34115</v>
      </c>
      <c r="AU337" s="75">
        <v>35162</v>
      </c>
      <c r="AV337" s="75">
        <v>33583</v>
      </c>
    </row>
    <row r="338" spans="1:48" ht="12.5" x14ac:dyDescent="0.25">
      <c r="A338" s="75" t="s">
        <v>517</v>
      </c>
      <c r="B338" s="75" t="s">
        <v>326</v>
      </c>
      <c r="C338" s="145">
        <f t="shared" si="15"/>
        <v>31968.2</v>
      </c>
      <c r="D338" s="145">
        <f t="shared" si="16"/>
        <v>29594.3</v>
      </c>
      <c r="E338" s="145">
        <v>7988000</v>
      </c>
      <c r="F338" s="145">
        <f t="shared" si="17"/>
        <v>17031308.769251958</v>
      </c>
      <c r="G338" s="145">
        <v>143191</v>
      </c>
      <c r="H338" s="145">
        <v>140930</v>
      </c>
      <c r="I338" s="145">
        <v>18087</v>
      </c>
      <c r="J338" s="145">
        <v>18747</v>
      </c>
      <c r="K338" s="145">
        <v>19012</v>
      </c>
      <c r="L338" s="145">
        <v>11927</v>
      </c>
      <c r="M338" s="145">
        <v>18365</v>
      </c>
      <c r="N338" s="145">
        <v>16549</v>
      </c>
      <c r="O338" s="145">
        <v>23014</v>
      </c>
      <c r="P338" s="145">
        <v>21807</v>
      </c>
      <c r="Q338" s="145">
        <v>20186</v>
      </c>
      <c r="R338" s="145">
        <v>18110</v>
      </c>
      <c r="S338" s="145">
        <v>20337</v>
      </c>
      <c r="T338" s="145">
        <v>14868</v>
      </c>
      <c r="U338" s="145">
        <v>28303</v>
      </c>
      <c r="V338" s="145">
        <v>25157</v>
      </c>
      <c r="W338" s="145">
        <v>7143</v>
      </c>
      <c r="X338" s="145">
        <v>6810</v>
      </c>
      <c r="Y338" s="145">
        <v>22044</v>
      </c>
      <c r="Z338" s="145">
        <v>21038</v>
      </c>
      <c r="AA338" s="145">
        <v>48705</v>
      </c>
      <c r="AB338" s="75">
        <v>164501</v>
      </c>
      <c r="AC338" s="75">
        <v>168195</v>
      </c>
      <c r="AF338"/>
      <c r="AG338"/>
      <c r="AH338" s="75">
        <v>41462</v>
      </c>
      <c r="AI338" s="75">
        <v>41895</v>
      </c>
      <c r="AJ338" s="75">
        <v>42767</v>
      </c>
      <c r="AK338" s="75">
        <v>43899</v>
      </c>
      <c r="AL338" s="75">
        <v>45064</v>
      </c>
      <c r="AM338" s="75">
        <v>45796</v>
      </c>
      <c r="AN338" s="75">
        <v>46981</v>
      </c>
      <c r="AO338" s="75">
        <v>133531</v>
      </c>
      <c r="AP338" s="75">
        <v>129173</v>
      </c>
      <c r="AQ338" s="75">
        <v>129724000</v>
      </c>
      <c r="AR338" s="75">
        <v>142654</v>
      </c>
      <c r="AS338" s="75">
        <v>153448</v>
      </c>
      <c r="AT338" s="75">
        <v>157270</v>
      </c>
      <c r="AU338" s="75">
        <v>164501</v>
      </c>
      <c r="AV338" s="75">
        <v>168195</v>
      </c>
    </row>
    <row r="339" spans="1:48" ht="12.5" x14ac:dyDescent="0.25">
      <c r="A339" s="75" t="s">
        <v>513</v>
      </c>
      <c r="B339" s="75" t="s">
        <v>397</v>
      </c>
      <c r="C339" s="145">
        <f t="shared" si="15"/>
        <v>1382</v>
      </c>
      <c r="D339" s="145">
        <f t="shared" si="16"/>
        <v>829.8</v>
      </c>
      <c r="E339" s="145">
        <v>2233000</v>
      </c>
      <c r="F339" s="145">
        <f t="shared" si="17"/>
        <v>8276897.7196364645</v>
      </c>
      <c r="G339" s="145">
        <v>0</v>
      </c>
      <c r="H339" s="145">
        <v>0</v>
      </c>
      <c r="I339" s="145">
        <v>-2456</v>
      </c>
      <c r="J339" s="145">
        <v>-2846</v>
      </c>
      <c r="K339" s="145">
        <v>3433</v>
      </c>
      <c r="L339" s="145">
        <v>2906</v>
      </c>
      <c r="M339" s="145">
        <v>2264</v>
      </c>
      <c r="N339" s="145">
        <v>1584</v>
      </c>
      <c r="O339" s="145">
        <v>3622</v>
      </c>
      <c r="P339" s="145">
        <v>2438</v>
      </c>
      <c r="Q339" s="145">
        <v>1696</v>
      </c>
      <c r="R339" s="145">
        <v>1614</v>
      </c>
      <c r="S339" s="145">
        <v>1077</v>
      </c>
      <c r="T339" s="145">
        <v>637</v>
      </c>
      <c r="U339" s="145">
        <v>2597</v>
      </c>
      <c r="V339" s="145">
        <v>1229</v>
      </c>
      <c r="W339" s="145">
        <v>914</v>
      </c>
      <c r="X339" s="145">
        <v>409</v>
      </c>
      <c r="Y339" s="145">
        <v>673</v>
      </c>
      <c r="Z339" s="145">
        <v>327</v>
      </c>
      <c r="AA339" s="145">
        <v>22804</v>
      </c>
      <c r="AB339" s="75">
        <v>42301</v>
      </c>
      <c r="AC339" s="75">
        <v>43119</v>
      </c>
      <c r="AF339"/>
      <c r="AG339"/>
      <c r="AH339" s="75">
        <v>21687</v>
      </c>
      <c r="AI339" s="75">
        <v>21524</v>
      </c>
      <c r="AJ339" s="75">
        <v>21624</v>
      </c>
      <c r="AK339" s="75">
        <v>21885</v>
      </c>
      <c r="AL339" s="75">
        <v>21988</v>
      </c>
      <c r="AM339" s="75">
        <v>22256</v>
      </c>
      <c r="AN339" s="75">
        <v>22518</v>
      </c>
      <c r="AO339" s="75">
        <v>27378</v>
      </c>
      <c r="AP339" s="75">
        <v>24863</v>
      </c>
      <c r="AQ339" s="75">
        <v>27263000</v>
      </c>
      <c r="AR339" s="75">
        <v>32705</v>
      </c>
      <c r="AS339" s="75">
        <v>35460</v>
      </c>
      <c r="AT339" s="75">
        <v>41284</v>
      </c>
      <c r="AU339" s="75">
        <v>42301</v>
      </c>
      <c r="AV339" s="75">
        <v>43119</v>
      </c>
    </row>
    <row r="340" spans="1:48" ht="12.5" x14ac:dyDescent="0.25">
      <c r="A340" s="75" t="s">
        <v>515</v>
      </c>
      <c r="B340" s="75" t="s">
        <v>211</v>
      </c>
      <c r="C340" s="145">
        <f t="shared" si="15"/>
        <v>12225.2</v>
      </c>
      <c r="D340" s="145">
        <f t="shared" si="16"/>
        <v>11582.6</v>
      </c>
      <c r="E340" s="145">
        <v>13277000</v>
      </c>
      <c r="F340" s="145">
        <f t="shared" si="17"/>
        <v>17972575.309888184</v>
      </c>
      <c r="G340" s="145">
        <v>4298</v>
      </c>
      <c r="H340" s="145">
        <v>4334</v>
      </c>
      <c r="I340" s="145">
        <v>4879</v>
      </c>
      <c r="J340" s="145">
        <v>6310</v>
      </c>
      <c r="K340" s="145">
        <v>13518</v>
      </c>
      <c r="L340" s="145">
        <v>15540</v>
      </c>
      <c r="M340" s="145">
        <v>15103</v>
      </c>
      <c r="N340" s="145">
        <v>14647</v>
      </c>
      <c r="O340" s="145">
        <v>17192</v>
      </c>
      <c r="P340" s="145">
        <v>14249</v>
      </c>
      <c r="Q340" s="145">
        <v>15639</v>
      </c>
      <c r="R340" s="145">
        <v>12812</v>
      </c>
      <c r="S340" s="145">
        <v>16597</v>
      </c>
      <c r="T340" s="145">
        <v>16315</v>
      </c>
      <c r="U340" s="145">
        <v>12759</v>
      </c>
      <c r="V340" s="145">
        <v>11248</v>
      </c>
      <c r="W340" s="145">
        <v>12739</v>
      </c>
      <c r="X340" s="145">
        <v>12148</v>
      </c>
      <c r="Y340" s="145">
        <v>9528</v>
      </c>
      <c r="Z340" s="145">
        <v>8223</v>
      </c>
      <c r="AA340" s="145">
        <v>49038</v>
      </c>
      <c r="AB340" s="75">
        <v>152185</v>
      </c>
      <c r="AC340" s="75">
        <v>156190</v>
      </c>
      <c r="AF340"/>
      <c r="AG340"/>
      <c r="AH340" s="75">
        <v>47318</v>
      </c>
      <c r="AI340" s="75">
        <v>47553</v>
      </c>
      <c r="AJ340" s="75">
        <v>47605</v>
      </c>
      <c r="AK340" s="75">
        <v>47912</v>
      </c>
      <c r="AL340" s="75">
        <v>48111</v>
      </c>
      <c r="AM340" s="75">
        <v>48327</v>
      </c>
      <c r="AN340" s="75">
        <v>48510</v>
      </c>
      <c r="AO340" s="75">
        <v>152343</v>
      </c>
      <c r="AP340" s="75">
        <v>161364</v>
      </c>
      <c r="AQ340" s="75">
        <v>150572000</v>
      </c>
      <c r="AR340" s="75">
        <v>151335</v>
      </c>
      <c r="AS340" s="75">
        <v>152789</v>
      </c>
      <c r="AT340" s="75">
        <v>149768</v>
      </c>
      <c r="AU340" s="75">
        <v>152185</v>
      </c>
      <c r="AV340" s="75">
        <v>156190</v>
      </c>
    </row>
    <row r="341" spans="1:48" ht="12.5" x14ac:dyDescent="0.25">
      <c r="A341" s="75" t="s">
        <v>518</v>
      </c>
      <c r="B341" s="75" t="s">
        <v>161</v>
      </c>
      <c r="C341" s="145">
        <f t="shared" si="15"/>
        <v>5009.1000000000004</v>
      </c>
      <c r="D341" s="145">
        <f t="shared" si="16"/>
        <v>4428.3999999999996</v>
      </c>
      <c r="E341" s="145">
        <v>3415000</v>
      </c>
      <c r="F341" s="145">
        <f t="shared" si="17"/>
        <v>8558794.2181754857</v>
      </c>
      <c r="G341" s="145">
        <v>2831</v>
      </c>
      <c r="H341" s="145">
        <v>3022</v>
      </c>
      <c r="I341" s="145">
        <v>5631</v>
      </c>
      <c r="J341" s="145">
        <v>5447</v>
      </c>
      <c r="K341" s="145">
        <v>8504</v>
      </c>
      <c r="L341" s="145">
        <v>5289</v>
      </c>
      <c r="M341" s="145">
        <v>3934</v>
      </c>
      <c r="N341" s="145">
        <v>3422</v>
      </c>
      <c r="O341" s="145">
        <v>8570</v>
      </c>
      <c r="P341" s="145">
        <v>6870</v>
      </c>
      <c r="Q341" s="145">
        <v>3238</v>
      </c>
      <c r="R341" s="145">
        <v>2743</v>
      </c>
      <c r="S341" s="145">
        <v>5943</v>
      </c>
      <c r="T341" s="145">
        <v>6151</v>
      </c>
      <c r="U341" s="145">
        <v>6282</v>
      </c>
      <c r="V341" s="145">
        <v>5841</v>
      </c>
      <c r="W341" s="145">
        <v>1227</v>
      </c>
      <c r="X341" s="145">
        <v>1860</v>
      </c>
      <c r="Y341" s="145">
        <v>3931</v>
      </c>
      <c r="Z341" s="145">
        <v>3639</v>
      </c>
      <c r="AA341" s="145">
        <v>23510</v>
      </c>
      <c r="AB341" s="75">
        <v>78363</v>
      </c>
      <c r="AC341" s="75">
        <v>69356</v>
      </c>
      <c r="AF341"/>
      <c r="AG341"/>
      <c r="AH341" s="75">
        <v>22308</v>
      </c>
      <c r="AI341" s="75">
        <v>22468</v>
      </c>
      <c r="AJ341" s="75">
        <v>22502</v>
      </c>
      <c r="AK341" s="75">
        <v>22679</v>
      </c>
      <c r="AL341" s="75">
        <v>22823</v>
      </c>
      <c r="AM341" s="75">
        <v>23014</v>
      </c>
      <c r="AN341" s="75">
        <v>23368</v>
      </c>
      <c r="AO341" s="75">
        <v>69857</v>
      </c>
      <c r="AP341" s="75">
        <v>67172</v>
      </c>
      <c r="AQ341" s="75">
        <v>80750000</v>
      </c>
      <c r="AR341" s="75">
        <v>68289</v>
      </c>
      <c r="AS341" s="75">
        <v>67264</v>
      </c>
      <c r="AT341" s="75">
        <v>68940</v>
      </c>
      <c r="AU341" s="75">
        <v>78363</v>
      </c>
      <c r="AV341" s="75">
        <v>69356</v>
      </c>
    </row>
    <row r="342" spans="1:48" ht="12.5" x14ac:dyDescent="0.25">
      <c r="A342" s="75" t="s">
        <v>517</v>
      </c>
      <c r="B342" s="75" t="s">
        <v>327</v>
      </c>
      <c r="C342" s="145">
        <f t="shared" si="15"/>
        <v>4936.8999999999996</v>
      </c>
      <c r="D342" s="145">
        <f t="shared" si="16"/>
        <v>5360.7</v>
      </c>
      <c r="E342" s="145">
        <v>8882000</v>
      </c>
      <c r="F342" s="145">
        <f t="shared" si="17"/>
        <v>16650488.169642514</v>
      </c>
      <c r="G342" s="145">
        <v>18735</v>
      </c>
      <c r="H342" s="145">
        <v>17817</v>
      </c>
      <c r="I342" s="145">
        <v>5003</v>
      </c>
      <c r="J342" s="145">
        <v>3867</v>
      </c>
      <c r="K342" s="145">
        <v>2557</v>
      </c>
      <c r="L342" s="145">
        <v>4515</v>
      </c>
      <c r="M342" s="145">
        <v>1879</v>
      </c>
      <c r="N342" s="145">
        <v>778</v>
      </c>
      <c r="O342" s="145">
        <v>3828</v>
      </c>
      <c r="P342" s="145">
        <v>2233</v>
      </c>
      <c r="Q342" s="145">
        <v>5039</v>
      </c>
      <c r="R342" s="145">
        <v>3970</v>
      </c>
      <c r="S342" s="145">
        <v>3838</v>
      </c>
      <c r="T342" s="145">
        <v>3692</v>
      </c>
      <c r="U342" s="145">
        <v>2661</v>
      </c>
      <c r="V342" s="145">
        <v>3411</v>
      </c>
      <c r="W342" s="145">
        <v>3475</v>
      </c>
      <c r="X342" s="145">
        <v>3765</v>
      </c>
      <c r="Y342" s="145">
        <v>2354</v>
      </c>
      <c r="Z342" s="145">
        <v>9559</v>
      </c>
      <c r="AA342" s="145">
        <v>44680</v>
      </c>
      <c r="AB342" s="75">
        <v>195385</v>
      </c>
      <c r="AC342" s="75">
        <v>205402</v>
      </c>
      <c r="AF342"/>
      <c r="AG342"/>
      <c r="AH342" s="75">
        <v>44423</v>
      </c>
      <c r="AI342" s="75">
        <v>44571</v>
      </c>
      <c r="AJ342" s="75">
        <v>44654</v>
      </c>
      <c r="AK342" s="75">
        <v>44721</v>
      </c>
      <c r="AL342" s="75">
        <v>44775</v>
      </c>
      <c r="AM342" s="75">
        <v>44772</v>
      </c>
      <c r="AN342" s="75">
        <v>45018</v>
      </c>
      <c r="AO342" s="75">
        <v>150640</v>
      </c>
      <c r="AP342" s="75">
        <v>158283</v>
      </c>
      <c r="AQ342" s="75">
        <v>166917000</v>
      </c>
      <c r="AR342" s="75">
        <v>176593</v>
      </c>
      <c r="AS342" s="75">
        <v>180329</v>
      </c>
      <c r="AT342" s="75">
        <v>187350</v>
      </c>
      <c r="AU342" s="75">
        <v>195385</v>
      </c>
      <c r="AV342" s="75">
        <v>205402</v>
      </c>
    </row>
    <row r="343" spans="1:48" ht="12.5" x14ac:dyDescent="0.25">
      <c r="A343" s="75" t="s">
        <v>518</v>
      </c>
      <c r="B343" s="75" t="s">
        <v>162</v>
      </c>
      <c r="C343" s="145">
        <f t="shared" si="15"/>
        <v>62217.599999999999</v>
      </c>
      <c r="D343" s="145">
        <f t="shared" si="16"/>
        <v>55095.4</v>
      </c>
      <c r="E343" s="145">
        <v>21833000</v>
      </c>
      <c r="F343" s="145">
        <f t="shared" si="17"/>
        <v>48586237.535132363</v>
      </c>
      <c r="G343" s="145">
        <v>115257</v>
      </c>
      <c r="H343" s="145">
        <v>115543</v>
      </c>
      <c r="I343" s="145">
        <v>36542</v>
      </c>
      <c r="J343" s="145">
        <v>25666</v>
      </c>
      <c r="K343" s="145">
        <v>36805</v>
      </c>
      <c r="L343" s="145">
        <v>19181</v>
      </c>
      <c r="M343" s="145">
        <v>84054</v>
      </c>
      <c r="N343" s="145">
        <v>68779</v>
      </c>
      <c r="O343" s="145">
        <v>58951</v>
      </c>
      <c r="P343" s="145">
        <v>56246</v>
      </c>
      <c r="Q343" s="145">
        <v>52781</v>
      </c>
      <c r="R343" s="145">
        <v>46481</v>
      </c>
      <c r="S343" s="145">
        <v>86348</v>
      </c>
      <c r="T343" s="145">
        <v>76931</v>
      </c>
      <c r="U343" s="145">
        <v>37423</v>
      </c>
      <c r="V343" s="145">
        <v>39278</v>
      </c>
      <c r="W343" s="145">
        <v>65613</v>
      </c>
      <c r="X343" s="145">
        <v>62878</v>
      </c>
      <c r="Y343" s="145">
        <v>48402</v>
      </c>
      <c r="Z343" s="145">
        <v>39971</v>
      </c>
      <c r="AA343" s="145">
        <v>133830</v>
      </c>
      <c r="AB343" s="75">
        <v>441035</v>
      </c>
      <c r="AC343" s="75">
        <v>446153</v>
      </c>
      <c r="AF343"/>
      <c r="AG343"/>
      <c r="AH343" s="75">
        <v>125525</v>
      </c>
      <c r="AI343" s="75">
        <v>126158</v>
      </c>
      <c r="AJ343" s="75">
        <v>127492</v>
      </c>
      <c r="AK343" s="75">
        <v>128707</v>
      </c>
      <c r="AL343" s="75">
        <v>129840</v>
      </c>
      <c r="AM343" s="75">
        <v>130645</v>
      </c>
      <c r="AN343" s="75">
        <v>132411</v>
      </c>
      <c r="AO343" s="75">
        <v>383464</v>
      </c>
      <c r="AP343" s="75">
        <v>400438</v>
      </c>
      <c r="AQ343" s="75">
        <v>434187000</v>
      </c>
      <c r="AR343" s="75">
        <v>441667</v>
      </c>
      <c r="AS343" s="75">
        <v>459002</v>
      </c>
      <c r="AT343" s="75">
        <v>453459</v>
      </c>
      <c r="AU343" s="75">
        <v>441035</v>
      </c>
      <c r="AV343" s="75">
        <v>446153</v>
      </c>
    </row>
    <row r="344" spans="1:48" ht="12.5" x14ac:dyDescent="0.25">
      <c r="B344" s="75" t="s">
        <v>440</v>
      </c>
      <c r="C344" s="145">
        <f t="shared" si="15"/>
        <v>3816860.9565495029</v>
      </c>
      <c r="D344" s="145">
        <f t="shared" si="16"/>
        <v>3308686.1080927039</v>
      </c>
      <c r="E344" s="145">
        <v>3131593000</v>
      </c>
      <c r="F344" s="145">
        <f t="shared" si="17"/>
        <v>6542153526.4120502</v>
      </c>
      <c r="G344" s="145">
        <f>SUM(G2:G343)</f>
        <v>3420272</v>
      </c>
      <c r="H344" s="145">
        <v>3077466</v>
      </c>
      <c r="I344" s="145">
        <f t="shared" ref="I344:X344" si="18">SUM(I2:I343)</f>
        <v>6065250.003360875</v>
      </c>
      <c r="J344" s="145">
        <f t="shared" si="18"/>
        <v>5596376.3674555384</v>
      </c>
      <c r="K344" s="145">
        <f t="shared" si="18"/>
        <v>4977738.7032628478</v>
      </c>
      <c r="L344" s="145">
        <f t="shared" si="18"/>
        <v>4561901.725248565</v>
      </c>
      <c r="M344" s="145">
        <f t="shared" si="18"/>
        <v>3994202.0544741638</v>
      </c>
      <c r="N344" s="145">
        <f t="shared" si="18"/>
        <v>3158184.0597955468</v>
      </c>
      <c r="O344" s="145">
        <f t="shared" si="18"/>
        <v>3847068.4210894839</v>
      </c>
      <c r="P344" s="145">
        <f t="shared" si="18"/>
        <v>3116407.6422069739</v>
      </c>
      <c r="Q344" s="145">
        <f t="shared" si="18"/>
        <v>3271406.7066237223</v>
      </c>
      <c r="R344" s="145">
        <f t="shared" si="18"/>
        <v>2604943.6098585632</v>
      </c>
      <c r="S344" s="145">
        <f t="shared" si="18"/>
        <v>3500460.4766839379</v>
      </c>
      <c r="T344" s="145">
        <f t="shared" si="18"/>
        <v>2783175.7763618538</v>
      </c>
      <c r="U344" s="145">
        <f t="shared" si="18"/>
        <v>3533504</v>
      </c>
      <c r="V344" s="145">
        <f t="shared" si="18"/>
        <v>3034010</v>
      </c>
      <c r="W344" s="145">
        <f t="shared" si="18"/>
        <v>3020372</v>
      </c>
      <c r="X344" s="145">
        <f t="shared" si="18"/>
        <v>2902767</v>
      </c>
      <c r="Y344" s="145">
        <f>SUM(Y2:Y343)</f>
        <v>2538335.2000000002</v>
      </c>
      <c r="Z344" s="145">
        <f>SUM(Z2:Z343)</f>
        <v>2251628.9</v>
      </c>
      <c r="AA344" s="145">
        <v>18045532</v>
      </c>
      <c r="AB344" s="75">
        <f>SUM(AB2:AB343)</f>
        <v>66489149</v>
      </c>
      <c r="AC344" s="75">
        <f>SUM(AC2:AC343)</f>
        <v>68657821</v>
      </c>
      <c r="AF344"/>
      <c r="AG344"/>
      <c r="AH344" s="75">
        <v>17089690</v>
      </c>
      <c r="AI344" s="75">
        <v>17184010</v>
      </c>
      <c r="AJ344" s="75">
        <v>17282733.12603277</v>
      </c>
      <c r="AK344" s="75">
        <v>17407631</v>
      </c>
      <c r="AL344" s="75">
        <f>SUM(AL2:AL343)</f>
        <v>17475394.949586891</v>
      </c>
      <c r="AM344" s="75">
        <f>SUM(AM2:AM343)</f>
        <v>17591394</v>
      </c>
      <c r="AN344" s="75">
        <v>17811291</v>
      </c>
      <c r="AO344" s="75">
        <f>SUM(AO2:AO343)</f>
        <v>57270477.182187364</v>
      </c>
      <c r="AP344" s="75">
        <f>SUM(AP2:AP343)</f>
        <v>57434930.853101812</v>
      </c>
      <c r="AQ344" s="75">
        <v>58858425065</v>
      </c>
      <c r="AR344" s="75">
        <f>SUM(AR2:AR343)</f>
        <v>61060251.841653109</v>
      </c>
      <c r="AS344" s="75">
        <f>SUM(AS2:AS343)</f>
        <v>62935058.112169161</v>
      </c>
      <c r="AT344" s="75">
        <f>SUM(AT2:AT343)</f>
        <v>64072856.231340155</v>
      </c>
      <c r="AU344" s="75">
        <v>66365802</v>
      </c>
      <c r="AV344" s="75">
        <v>68657821</v>
      </c>
    </row>
    <row r="345" spans="1:48" ht="12.5" x14ac:dyDescent="0.25">
      <c r="AF345"/>
      <c r="AG345"/>
    </row>
    <row r="346" spans="1:48" ht="12.5" x14ac:dyDescent="0.25">
      <c r="AF346"/>
      <c r="AG346"/>
    </row>
    <row r="347" spans="1:48" ht="12.5" x14ac:dyDescent="0.25">
      <c r="E347" s="145"/>
      <c r="AG347"/>
    </row>
    <row r="348" spans="1:48" ht="12.5" x14ac:dyDescent="0.25">
      <c r="E348" s="145"/>
      <c r="AF348"/>
      <c r="AG348"/>
    </row>
    <row r="349" spans="1:48" ht="12.5" x14ac:dyDescent="0.25">
      <c r="E349" s="145"/>
      <c r="AF349"/>
      <c r="AG349"/>
    </row>
    <row r="350" spans="1:48" ht="12.5" x14ac:dyDescent="0.25">
      <c r="E350" s="145"/>
      <c r="F350" s="75"/>
      <c r="AF350"/>
      <c r="AG350"/>
    </row>
    <row r="351" spans="1:48" ht="12.5" x14ac:dyDescent="0.25">
      <c r="AF351"/>
      <c r="AG351"/>
    </row>
    <row r="352" spans="1:48" ht="12.5" x14ac:dyDescent="0.25">
      <c r="E352" s="145"/>
      <c r="AF352"/>
      <c r="AG352"/>
    </row>
    <row r="353" spans="5:48" ht="12.5" x14ac:dyDescent="0.25">
      <c r="E353" s="145"/>
      <c r="AF353"/>
      <c r="AG353"/>
    </row>
    <row r="354" spans="5:48" ht="12.5" x14ac:dyDescent="0.25">
      <c r="E354" s="145"/>
      <c r="AF354"/>
      <c r="AG354"/>
    </row>
    <row r="355" spans="5:48" ht="12.5" x14ac:dyDescent="0.25">
      <c r="E355" s="145"/>
      <c r="AF355"/>
      <c r="AG355"/>
    </row>
    <row r="356" spans="5:48" ht="12.5" x14ac:dyDescent="0.25">
      <c r="E356" s="145"/>
      <c r="AF356"/>
      <c r="AG356"/>
    </row>
    <row r="357" spans="5:48" ht="12.5" x14ac:dyDescent="0.25">
      <c r="E357" s="145"/>
      <c r="AF357"/>
      <c r="AG357"/>
    </row>
    <row r="358" spans="5:48" ht="12.5" x14ac:dyDescent="0.25">
      <c r="F358" s="75"/>
      <c r="AF358"/>
      <c r="AG358"/>
    </row>
    <row r="359" spans="5:48" ht="12.5" x14ac:dyDescent="0.25">
      <c r="AG359"/>
    </row>
    <row r="360" spans="5:48" ht="12.5" x14ac:dyDescent="0.25">
      <c r="E360" s="145"/>
      <c r="AF360"/>
      <c r="AG360"/>
    </row>
    <row r="361" spans="5:48" ht="12.5" x14ac:dyDescent="0.25">
      <c r="E361" s="145"/>
      <c r="AF361"/>
      <c r="AG361"/>
    </row>
    <row r="362" spans="5:48" ht="13.25" customHeight="1" x14ac:dyDescent="0.25">
      <c r="F362" s="75"/>
      <c r="AF362"/>
    </row>
    <row r="363" spans="5:48" ht="12.5" x14ac:dyDescent="0.25">
      <c r="AF363"/>
      <c r="AG363"/>
    </row>
    <row r="364" spans="5:48" ht="12.5" x14ac:dyDescent="0.25">
      <c r="E364" s="145"/>
      <c r="AF364"/>
      <c r="AG364"/>
    </row>
    <row r="365" spans="5:48" ht="12.5" x14ac:dyDescent="0.25">
      <c r="E365" s="145"/>
      <c r="AF365"/>
      <c r="AG365"/>
    </row>
    <row r="366" spans="5:48" ht="12.5" x14ac:dyDescent="0.25">
      <c r="E366" s="145"/>
      <c r="AF366"/>
      <c r="AG366"/>
    </row>
    <row r="367" spans="5:48" ht="12.5" x14ac:dyDescent="0.25">
      <c r="E367" s="145"/>
      <c r="AF367"/>
      <c r="AG367"/>
      <c r="AV367" s="214"/>
    </row>
    <row r="368" spans="5:48" ht="12.5" x14ac:dyDescent="0.25">
      <c r="E368" s="145"/>
      <c r="AF368"/>
      <c r="AG368"/>
    </row>
    <row r="369" spans="5:33" x14ac:dyDescent="0.25">
      <c r="F369" s="75"/>
    </row>
    <row r="371" spans="5:33" ht="12.5" x14ac:dyDescent="0.25">
      <c r="E371" s="145"/>
      <c r="AF371"/>
      <c r="AG371"/>
    </row>
    <row r="373" spans="5:33" ht="12.5" x14ac:dyDescent="0.25">
      <c r="E373" s="145"/>
      <c r="AF373"/>
      <c r="AG373"/>
    </row>
    <row r="374" spans="5:33" x14ac:dyDescent="0.25">
      <c r="F374" s="75"/>
    </row>
    <row r="376" spans="5:33" ht="12.5" x14ac:dyDescent="0.25">
      <c r="E376" s="145"/>
      <c r="AF376"/>
      <c r="AG376"/>
    </row>
    <row r="377" spans="5:33" x14ac:dyDescent="0.25">
      <c r="F377" s="75"/>
    </row>
    <row r="379" spans="5:33" ht="12.5" x14ac:dyDescent="0.25">
      <c r="E379" s="145"/>
      <c r="AG379"/>
    </row>
    <row r="380" spans="5:33" x14ac:dyDescent="0.25">
      <c r="F380" s="75"/>
    </row>
    <row r="383" spans="5:33" x14ac:dyDescent="0.25">
      <c r="F383" s="75"/>
    </row>
    <row r="386" spans="32:33" ht="12.5" x14ac:dyDescent="0.25">
      <c r="AG386"/>
    </row>
    <row r="388" spans="32:33" ht="12.5" x14ac:dyDescent="0.25">
      <c r="AF388"/>
    </row>
    <row r="394" spans="32:33" ht="12.5" x14ac:dyDescent="0.25">
      <c r="AG394"/>
    </row>
    <row r="396" spans="32:33" ht="12.5" x14ac:dyDescent="0.25">
      <c r="AF396"/>
    </row>
  </sheetData>
  <sheetProtection algorithmName="SHA-512" hashValue="oDWUWF+y6Lot8knpM2luRF1M96STKWwjlGdruNHJBMvkM2vaqTlKeBo3BlbA4CU48FiH/K3iht+6KCObdrlZ9Q==" saltValue="D9FGt96GS4SZ4hihU+jxHw==" spinCount="100000" sheet="1" objects="1" scenarios="1"/>
  <pageMargins left="0.7" right="0.7" top="0.75" bottom="0.75" header="0.3" footer="0.3"/>
  <pageSetup paperSize="9" orientation="portrait" horizontalDpi="4294967293" verticalDpi="4294967293"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FC368-3F3C-41FF-A885-625B4ACF4E60}">
  <sheetPr codeName="Blad7"/>
  <dimension ref="A1:AA397"/>
  <sheetViews>
    <sheetView zoomScaleNormal="100" workbookViewId="0">
      <selection activeCell="B155" sqref="B155"/>
    </sheetView>
  </sheetViews>
  <sheetFormatPr defaultRowHeight="12.5" x14ac:dyDescent="0.25"/>
  <cols>
    <col min="1" max="1" width="8.90625" bestFit="1" customWidth="1"/>
    <col min="2" max="2" width="23.90625" bestFit="1" customWidth="1"/>
    <col min="3" max="3" width="13.1796875" customWidth="1"/>
    <col min="4" max="4" width="13.90625" bestFit="1" customWidth="1"/>
    <col min="5" max="5" width="19.90625" bestFit="1" customWidth="1"/>
    <col min="6" max="6" width="22" bestFit="1" customWidth="1"/>
    <col min="7" max="13" width="18.08984375" bestFit="1" customWidth="1"/>
    <col min="14" max="14" width="22.81640625" bestFit="1" customWidth="1"/>
    <col min="15" max="17" width="8.08984375" bestFit="1" customWidth="1"/>
    <col min="18" max="18" width="8.54296875" bestFit="1" customWidth="1"/>
    <col min="19" max="19" width="8.54296875" customWidth="1"/>
    <col min="20" max="22" width="8.08984375" bestFit="1" customWidth="1"/>
    <col min="23" max="24" width="9.90625" bestFit="1" customWidth="1"/>
    <col min="25" max="25" width="9.90625" style="101" bestFit="1" customWidth="1"/>
    <col min="26" max="26" width="21.81640625" style="101" bestFit="1" customWidth="1"/>
    <col min="29" max="29" width="27.7265625" bestFit="1" customWidth="1"/>
    <col min="30" max="30" width="15.81640625" bestFit="1" customWidth="1"/>
    <col min="32" max="32" width="20.7265625" bestFit="1" customWidth="1"/>
  </cols>
  <sheetData>
    <row r="1" spans="1:27" x14ac:dyDescent="0.25">
      <c r="A1" s="60" t="s">
        <v>549</v>
      </c>
      <c r="B1" s="75" t="s">
        <v>526</v>
      </c>
      <c r="C1" s="56" t="s">
        <v>538</v>
      </c>
      <c r="D1" s="56" t="s">
        <v>579</v>
      </c>
      <c r="E1" s="56" t="s">
        <v>539</v>
      </c>
      <c r="F1" s="56" t="s">
        <v>920</v>
      </c>
      <c r="G1" s="56" t="s">
        <v>667</v>
      </c>
      <c r="H1" s="56" t="s">
        <v>612</v>
      </c>
      <c r="I1" s="56" t="s">
        <v>558</v>
      </c>
      <c r="J1" s="56" t="s">
        <v>562</v>
      </c>
      <c r="K1" s="60" t="s">
        <v>561</v>
      </c>
      <c r="L1" s="60" t="s">
        <v>560</v>
      </c>
      <c r="M1" s="56" t="s">
        <v>559</v>
      </c>
      <c r="N1" s="56" t="s">
        <v>540</v>
      </c>
      <c r="O1" s="146" t="s">
        <v>537</v>
      </c>
      <c r="P1" s="212">
        <v>2020</v>
      </c>
      <c r="Q1" s="212">
        <v>2021</v>
      </c>
      <c r="R1" s="75">
        <v>2022</v>
      </c>
      <c r="S1" s="75">
        <v>2023</v>
      </c>
      <c r="T1" s="75">
        <v>2024</v>
      </c>
      <c r="U1" s="75">
        <v>2028</v>
      </c>
      <c r="V1" s="75">
        <v>2030</v>
      </c>
      <c r="W1" s="75"/>
      <c r="X1" s="75"/>
      <c r="Y1" s="145"/>
      <c r="Z1" s="75"/>
      <c r="AA1" s="75"/>
    </row>
    <row r="2" spans="1:27" x14ac:dyDescent="0.25">
      <c r="A2" t="s">
        <v>512</v>
      </c>
      <c r="B2" s="75" t="s">
        <v>104</v>
      </c>
      <c r="C2" s="59">
        <f>(SUM(V2,-T2)/6)/T2</f>
        <v>-1.5011309891013777E-2</v>
      </c>
      <c r="D2" t="s">
        <v>116</v>
      </c>
      <c r="E2" s="59">
        <f>SUM(H2,-M2)/(SUM(I2,J2,K2,L2,M2))</f>
        <v>2.3065833733781835E-2</v>
      </c>
      <c r="F2" s="129">
        <v>25936</v>
      </c>
      <c r="G2" s="129"/>
      <c r="H2" s="129">
        <v>2230</v>
      </c>
      <c r="I2" s="55">
        <v>2160</v>
      </c>
      <c r="J2" s="55">
        <v>2150</v>
      </c>
      <c r="K2" s="55">
        <v>2080</v>
      </c>
      <c r="L2" s="55">
        <v>2025</v>
      </c>
      <c r="M2" s="55">
        <v>1990</v>
      </c>
      <c r="N2" s="69" t="s">
        <v>104</v>
      </c>
      <c r="O2" s="129">
        <v>25442</v>
      </c>
      <c r="P2" s="129">
        <v>25399</v>
      </c>
      <c r="Q2" s="129">
        <v>25574</v>
      </c>
      <c r="R2" s="129">
        <v>25717</v>
      </c>
      <c r="S2" s="129">
        <v>25845</v>
      </c>
      <c r="T2" s="129">
        <v>25936</v>
      </c>
      <c r="U2" s="129">
        <v>23900</v>
      </c>
      <c r="V2" s="129">
        <v>23600</v>
      </c>
      <c r="W2" s="130"/>
      <c r="X2" s="130"/>
      <c r="Y2" s="129"/>
      <c r="Z2" s="129"/>
      <c r="AA2" s="129"/>
    </row>
    <row r="3" spans="1:27" x14ac:dyDescent="0.25">
      <c r="A3" t="s">
        <v>514</v>
      </c>
      <c r="B3" s="75" t="s">
        <v>236</v>
      </c>
      <c r="C3" s="59">
        <f t="shared" ref="C3:C66" si="0">(SUM(V3,-T3)/6)/T3</f>
        <v>9.5857548656488704E-4</v>
      </c>
      <c r="D3" t="s">
        <v>465</v>
      </c>
      <c r="E3" s="59">
        <f t="shared" ref="E3:E62" si="1">SUM(H3,-M3)/(SUM(I3,J3,K3,L3,M3))</f>
        <v>3.6155747836835603E-2</v>
      </c>
      <c r="F3" s="129">
        <v>33209</v>
      </c>
      <c r="G3" s="129"/>
      <c r="H3" s="129">
        <v>3615</v>
      </c>
      <c r="I3" s="55">
        <v>3445</v>
      </c>
      <c r="J3" s="55">
        <v>3355</v>
      </c>
      <c r="K3" s="55">
        <v>3260</v>
      </c>
      <c r="L3" s="55">
        <v>3090</v>
      </c>
      <c r="M3" s="55">
        <v>3030</v>
      </c>
      <c r="N3" s="69" t="s">
        <v>236</v>
      </c>
      <c r="O3" s="129">
        <v>31829</v>
      </c>
      <c r="P3" s="129">
        <v>31991</v>
      </c>
      <c r="Q3" s="129">
        <v>32445</v>
      </c>
      <c r="R3" s="129">
        <v>33068</v>
      </c>
      <c r="S3" s="129">
        <v>33279</v>
      </c>
      <c r="T3" s="129">
        <v>33209</v>
      </c>
      <c r="U3" s="129">
        <v>33000</v>
      </c>
      <c r="V3" s="129">
        <v>33400</v>
      </c>
      <c r="W3" s="130"/>
      <c r="X3" s="130"/>
      <c r="Y3" s="129"/>
      <c r="Z3" s="129"/>
      <c r="AA3" s="129"/>
    </row>
    <row r="4" spans="1:27" x14ac:dyDescent="0.25">
      <c r="A4" t="s">
        <v>515</v>
      </c>
      <c r="B4" s="75" t="s">
        <v>163</v>
      </c>
      <c r="C4" s="59">
        <f t="shared" si="0"/>
        <v>-2.8575588802737433E-3</v>
      </c>
      <c r="D4" t="s">
        <v>116</v>
      </c>
      <c r="E4" s="59">
        <f t="shared" si="1"/>
        <v>2.7932960893854747E-2</v>
      </c>
      <c r="F4" s="129">
        <v>27471</v>
      </c>
      <c r="G4" s="129"/>
      <c r="H4" s="129">
        <v>2140</v>
      </c>
      <c r="I4" s="55">
        <v>2075</v>
      </c>
      <c r="J4" s="55">
        <v>2030</v>
      </c>
      <c r="K4" s="55">
        <v>1985</v>
      </c>
      <c r="L4" s="55">
        <v>1890</v>
      </c>
      <c r="M4" s="55">
        <v>1865</v>
      </c>
      <c r="N4" s="69" t="s">
        <v>163</v>
      </c>
      <c r="O4" s="129">
        <v>27116</v>
      </c>
      <c r="P4" s="129">
        <v>27120</v>
      </c>
      <c r="Q4" s="129">
        <v>27100</v>
      </c>
      <c r="R4" s="129">
        <v>27249</v>
      </c>
      <c r="S4" s="129">
        <v>27308</v>
      </c>
      <c r="T4" s="129">
        <v>27471</v>
      </c>
      <c r="U4" s="129">
        <v>27100</v>
      </c>
      <c r="V4" s="129">
        <v>27000</v>
      </c>
      <c r="W4" s="130"/>
      <c r="X4" s="130"/>
      <c r="Y4" s="129"/>
      <c r="Z4" s="129"/>
      <c r="AA4" s="129"/>
    </row>
    <row r="5" spans="1:27" x14ac:dyDescent="0.25">
      <c r="A5" t="s">
        <v>516</v>
      </c>
      <c r="B5" s="75" t="s">
        <v>125</v>
      </c>
      <c r="C5" s="59">
        <f t="shared" si="0"/>
        <v>-4.1198236218983105E-3</v>
      </c>
      <c r="D5" t="s">
        <v>116</v>
      </c>
      <c r="E5" s="59">
        <f t="shared" si="1"/>
        <v>2.7113970588235295E-2</v>
      </c>
      <c r="F5" s="129">
        <v>28197</v>
      </c>
      <c r="G5" s="129"/>
      <c r="H5" s="129">
        <v>2360</v>
      </c>
      <c r="I5" s="55">
        <v>2285</v>
      </c>
      <c r="J5" s="55">
        <v>2260</v>
      </c>
      <c r="K5" s="55">
        <v>2170</v>
      </c>
      <c r="L5" s="55">
        <v>2100</v>
      </c>
      <c r="M5" s="55">
        <v>2065</v>
      </c>
      <c r="N5" s="69" t="s">
        <v>125</v>
      </c>
      <c r="O5" s="129">
        <v>27824</v>
      </c>
      <c r="P5" s="129">
        <v>27900</v>
      </c>
      <c r="Q5" s="129">
        <v>27960</v>
      </c>
      <c r="R5" s="129">
        <v>28143</v>
      </c>
      <c r="S5" s="129">
        <v>28226</v>
      </c>
      <c r="T5" s="129">
        <v>28197</v>
      </c>
      <c r="U5" s="129">
        <v>27600</v>
      </c>
      <c r="V5" s="129">
        <v>27500</v>
      </c>
      <c r="W5" s="130"/>
      <c r="X5" s="130"/>
      <c r="Y5" s="129"/>
      <c r="Z5" s="129"/>
      <c r="AA5" s="129"/>
    </row>
    <row r="6" spans="1:27" x14ac:dyDescent="0.25">
      <c r="A6" t="s">
        <v>517</v>
      </c>
      <c r="B6" s="75" t="s">
        <v>281</v>
      </c>
      <c r="C6" s="59">
        <f t="shared" si="0"/>
        <v>2.0826130620174182E-3</v>
      </c>
      <c r="D6" t="s">
        <v>465</v>
      </c>
      <c r="E6" s="59">
        <f t="shared" si="1"/>
        <v>2.7237354085603113E-2</v>
      </c>
      <c r="F6" s="129">
        <v>20247</v>
      </c>
      <c r="G6" s="129"/>
      <c r="H6" s="129">
        <v>1685</v>
      </c>
      <c r="I6" s="55">
        <v>1635</v>
      </c>
      <c r="J6" s="55">
        <v>1585</v>
      </c>
      <c r="K6" s="55">
        <v>1520</v>
      </c>
      <c r="L6" s="55">
        <v>1495</v>
      </c>
      <c r="M6" s="55">
        <v>1475</v>
      </c>
      <c r="N6" s="69" t="s">
        <v>281</v>
      </c>
      <c r="O6" s="129">
        <v>20168</v>
      </c>
      <c r="P6" s="129">
        <v>20136</v>
      </c>
      <c r="Q6" s="129">
        <v>20093</v>
      </c>
      <c r="R6" s="129">
        <v>20368</v>
      </c>
      <c r="S6" s="129">
        <v>20314</v>
      </c>
      <c r="T6" s="129">
        <v>20247</v>
      </c>
      <c r="U6" s="129">
        <v>20500</v>
      </c>
      <c r="V6" s="129">
        <v>20500</v>
      </c>
      <c r="W6" s="130"/>
      <c r="X6" s="130"/>
      <c r="Y6" s="129"/>
      <c r="Z6" s="129"/>
      <c r="AA6" s="129"/>
    </row>
    <row r="7" spans="1:27" x14ac:dyDescent="0.25">
      <c r="A7" t="s">
        <v>517</v>
      </c>
      <c r="B7" s="75" t="s">
        <v>282</v>
      </c>
      <c r="C7" s="59">
        <f t="shared" si="0"/>
        <v>-7.5502308748284031E-3</v>
      </c>
      <c r="D7" t="s">
        <v>465</v>
      </c>
      <c r="E7" s="59">
        <f t="shared" si="1"/>
        <v>3.028664142779881E-2</v>
      </c>
      <c r="F7" s="129">
        <v>26710</v>
      </c>
      <c r="G7" s="129"/>
      <c r="H7" s="129">
        <v>1995</v>
      </c>
      <c r="I7" s="55">
        <v>1960</v>
      </c>
      <c r="J7" s="55">
        <v>1930</v>
      </c>
      <c r="K7" s="55">
        <v>1855</v>
      </c>
      <c r="L7" s="55">
        <v>1785</v>
      </c>
      <c r="M7" s="55">
        <v>1715</v>
      </c>
      <c r="N7" s="69" t="s">
        <v>282</v>
      </c>
      <c r="O7" s="129">
        <v>25560</v>
      </c>
      <c r="P7" s="129">
        <v>25814</v>
      </c>
      <c r="Q7" s="129">
        <v>25929</v>
      </c>
      <c r="R7" s="129">
        <v>26361</v>
      </c>
      <c r="S7" s="129">
        <v>26428</v>
      </c>
      <c r="T7" s="129">
        <v>26710</v>
      </c>
      <c r="U7" s="129">
        <v>25300</v>
      </c>
      <c r="V7" s="129">
        <v>25500</v>
      </c>
      <c r="W7" s="130"/>
      <c r="X7" s="130"/>
      <c r="Y7" s="129"/>
      <c r="Z7" s="129"/>
      <c r="AA7" s="129"/>
    </row>
    <row r="8" spans="1:27" x14ac:dyDescent="0.25">
      <c r="A8" t="s">
        <v>514</v>
      </c>
      <c r="B8" s="75" t="s">
        <v>237</v>
      </c>
      <c r="C8" s="59">
        <f t="shared" si="0"/>
        <v>3.9510699030903063E-3</v>
      </c>
      <c r="D8" t="s">
        <v>439</v>
      </c>
      <c r="E8" s="59">
        <f t="shared" si="1"/>
        <v>3.701973607380591E-2</v>
      </c>
      <c r="F8" s="129">
        <v>112923</v>
      </c>
      <c r="G8" s="129"/>
      <c r="H8" s="129">
        <v>9830</v>
      </c>
      <c r="I8" s="55">
        <v>9405</v>
      </c>
      <c r="J8" s="55">
        <v>9100</v>
      </c>
      <c r="K8" s="55">
        <v>8840</v>
      </c>
      <c r="L8" s="55">
        <v>7225</v>
      </c>
      <c r="M8" s="55">
        <v>8245</v>
      </c>
      <c r="N8" s="69" t="s">
        <v>237</v>
      </c>
      <c r="O8" s="129">
        <v>109398</v>
      </c>
      <c r="P8" s="129">
        <v>109896</v>
      </c>
      <c r="Q8" s="129">
        <v>110770</v>
      </c>
      <c r="R8" s="129">
        <v>111822</v>
      </c>
      <c r="S8" s="129">
        <v>112304</v>
      </c>
      <c r="T8" s="129">
        <v>112923</v>
      </c>
      <c r="U8" s="129">
        <v>114300</v>
      </c>
      <c r="V8" s="129">
        <v>115600</v>
      </c>
      <c r="W8" s="130"/>
      <c r="X8" s="130"/>
      <c r="Y8" s="129"/>
      <c r="Z8" s="129"/>
      <c r="AA8" s="129"/>
    </row>
    <row r="9" spans="1:27" x14ac:dyDescent="0.25">
      <c r="A9" t="s">
        <v>518</v>
      </c>
      <c r="B9" s="75" t="s">
        <v>139</v>
      </c>
      <c r="C9" s="59">
        <f t="shared" si="0"/>
        <v>1.4447773972602739E-3</v>
      </c>
      <c r="D9" t="s">
        <v>439</v>
      </c>
      <c r="E9" s="59">
        <f t="shared" si="1"/>
        <v>2.3981324278438031E-2</v>
      </c>
      <c r="F9" s="129">
        <v>74752</v>
      </c>
      <c r="G9" s="129"/>
      <c r="H9" s="129">
        <v>5125</v>
      </c>
      <c r="I9" s="55">
        <v>4945</v>
      </c>
      <c r="J9" s="55">
        <v>4870</v>
      </c>
      <c r="K9" s="55">
        <v>4680</v>
      </c>
      <c r="L9" s="55">
        <v>4505</v>
      </c>
      <c r="M9" s="55">
        <v>4560</v>
      </c>
      <c r="N9" s="69" t="s">
        <v>139</v>
      </c>
      <c r="O9" s="129">
        <v>73105</v>
      </c>
      <c r="P9" s="129">
        <v>73132</v>
      </c>
      <c r="Q9" s="129">
        <v>73152</v>
      </c>
      <c r="R9" s="129">
        <v>73972</v>
      </c>
      <c r="S9" s="129">
        <v>74317</v>
      </c>
      <c r="T9" s="129">
        <v>74752</v>
      </c>
      <c r="U9" s="129">
        <v>74900</v>
      </c>
      <c r="V9" s="129">
        <v>75400</v>
      </c>
      <c r="W9" s="130"/>
      <c r="X9" s="130"/>
      <c r="Y9" s="129"/>
      <c r="Z9" s="129"/>
      <c r="AA9" s="129"/>
    </row>
    <row r="10" spans="1:27" x14ac:dyDescent="0.25">
      <c r="A10" t="s">
        <v>519</v>
      </c>
      <c r="B10" s="75" t="s">
        <v>427</v>
      </c>
      <c r="C10" s="59">
        <f t="shared" si="0"/>
        <v>9.8227120268327747E-3</v>
      </c>
      <c r="D10" t="s">
        <v>439</v>
      </c>
      <c r="E10" s="59">
        <f t="shared" si="1"/>
        <v>4.6253010341408128E-2</v>
      </c>
      <c r="F10" s="129">
        <v>229570</v>
      </c>
      <c r="G10" s="129"/>
      <c r="H10" s="129">
        <v>16250</v>
      </c>
      <c r="I10" s="55">
        <v>15290</v>
      </c>
      <c r="J10" s="55">
        <v>14840</v>
      </c>
      <c r="K10" s="55">
        <v>14165</v>
      </c>
      <c r="L10" s="55">
        <v>13310</v>
      </c>
      <c r="M10" s="55">
        <v>12985</v>
      </c>
      <c r="N10" s="69" t="s">
        <v>427</v>
      </c>
      <c r="O10" s="129">
        <v>211639</v>
      </c>
      <c r="P10" s="129">
        <v>214715</v>
      </c>
      <c r="Q10" s="129">
        <v>217843</v>
      </c>
      <c r="R10" s="129">
        <v>222919</v>
      </c>
      <c r="S10" s="129">
        <v>226500</v>
      </c>
      <c r="T10" s="129">
        <v>229570</v>
      </c>
      <c r="U10" s="129">
        <v>236500</v>
      </c>
      <c r="V10" s="129">
        <v>243100</v>
      </c>
      <c r="W10" s="130"/>
      <c r="X10" s="130"/>
      <c r="Y10" s="129"/>
      <c r="Z10" s="129"/>
      <c r="AA10" s="129"/>
    </row>
    <row r="11" spans="1:27" x14ac:dyDescent="0.25">
      <c r="A11" t="s">
        <v>517</v>
      </c>
      <c r="B11" s="75" t="s">
        <v>283</v>
      </c>
      <c r="C11" s="59">
        <f t="shared" si="0"/>
        <v>1.3469147961916611E-2</v>
      </c>
      <c r="D11" t="s">
        <v>465</v>
      </c>
      <c r="E11" s="59">
        <f t="shared" si="1"/>
        <v>2.8309276043415016E-2</v>
      </c>
      <c r="F11" s="129">
        <v>115746</v>
      </c>
      <c r="G11" s="129"/>
      <c r="H11" s="129">
        <v>9790</v>
      </c>
      <c r="I11" s="55">
        <v>9415</v>
      </c>
      <c r="J11" s="55">
        <v>9240</v>
      </c>
      <c r="K11" s="55">
        <v>8910</v>
      </c>
      <c r="L11" s="55">
        <v>8595</v>
      </c>
      <c r="M11" s="55">
        <v>8525</v>
      </c>
      <c r="N11" s="69" t="s">
        <v>283</v>
      </c>
      <c r="O11" s="129">
        <v>111792</v>
      </c>
      <c r="P11" s="129">
        <v>112587</v>
      </c>
      <c r="Q11" s="129">
        <v>112905</v>
      </c>
      <c r="R11" s="129">
        <v>114174</v>
      </c>
      <c r="S11" s="129">
        <v>114966</v>
      </c>
      <c r="T11" s="129">
        <v>115746</v>
      </c>
      <c r="U11" s="129">
        <v>122200</v>
      </c>
      <c r="V11" s="129">
        <v>125100</v>
      </c>
      <c r="W11" s="130"/>
      <c r="X11" s="130"/>
      <c r="Y11" s="129"/>
      <c r="Z11" s="129"/>
      <c r="AA11" s="129"/>
    </row>
    <row r="12" spans="1:27" x14ac:dyDescent="0.25">
      <c r="A12" t="s">
        <v>513</v>
      </c>
      <c r="B12" s="75" t="s">
        <v>341</v>
      </c>
      <c r="C12" s="59">
        <f t="shared" si="0"/>
        <v>-6.5017443704408493E-3</v>
      </c>
      <c r="D12" t="s">
        <v>465</v>
      </c>
      <c r="E12" s="59">
        <f t="shared" si="1"/>
        <v>3.3789954337899546E-2</v>
      </c>
      <c r="F12" s="129">
        <v>10510</v>
      </c>
      <c r="G12" s="129"/>
      <c r="H12" s="129">
        <v>1215</v>
      </c>
      <c r="I12" s="55">
        <v>1160</v>
      </c>
      <c r="J12" s="55">
        <v>1125</v>
      </c>
      <c r="K12" s="55">
        <v>1120</v>
      </c>
      <c r="L12" s="55">
        <v>1040</v>
      </c>
      <c r="M12" s="55">
        <v>1030</v>
      </c>
      <c r="N12" s="69" t="s">
        <v>341</v>
      </c>
      <c r="O12" s="129">
        <v>10212</v>
      </c>
      <c r="P12" s="129">
        <v>10373</v>
      </c>
      <c r="Q12" s="129">
        <v>10428</v>
      </c>
      <c r="R12" s="129">
        <v>10462</v>
      </c>
      <c r="S12" s="129">
        <v>10455</v>
      </c>
      <c r="T12" s="129">
        <v>10510</v>
      </c>
      <c r="U12" s="129">
        <v>10200</v>
      </c>
      <c r="V12" s="129">
        <v>10100</v>
      </c>
      <c r="W12" s="130"/>
      <c r="X12" s="130"/>
      <c r="Y12" s="129"/>
      <c r="Z12" s="129"/>
      <c r="AA12" s="129"/>
    </row>
    <row r="13" spans="1:27" x14ac:dyDescent="0.25">
      <c r="A13" t="s">
        <v>513</v>
      </c>
      <c r="B13" s="75" t="s">
        <v>591</v>
      </c>
      <c r="C13" s="59">
        <f t="shared" si="0"/>
        <v>-3.8590756378825025E-4</v>
      </c>
      <c r="D13" t="s">
        <v>465</v>
      </c>
      <c r="E13" s="59">
        <f t="shared" si="1"/>
        <v>2.7695716395864108E-2</v>
      </c>
      <c r="F13" s="129">
        <v>58736</v>
      </c>
      <c r="G13" s="129"/>
      <c r="H13" s="129">
        <v>5880</v>
      </c>
      <c r="I13" s="55">
        <v>5655</v>
      </c>
      <c r="J13" s="55">
        <v>5600</v>
      </c>
      <c r="K13" s="55">
        <v>5440</v>
      </c>
      <c r="L13" s="55">
        <v>5255</v>
      </c>
      <c r="M13" s="55">
        <v>5130</v>
      </c>
      <c r="N13" s="69" t="s">
        <v>591</v>
      </c>
      <c r="O13" s="129">
        <v>55978</v>
      </c>
      <c r="P13" s="129">
        <v>56352</v>
      </c>
      <c r="Q13" s="129">
        <v>57008</v>
      </c>
      <c r="R13" s="129">
        <v>57733</v>
      </c>
      <c r="S13" s="129">
        <v>58277</v>
      </c>
      <c r="T13" s="129">
        <v>58736</v>
      </c>
      <c r="U13" s="129">
        <v>58200</v>
      </c>
      <c r="V13" s="129">
        <v>58600</v>
      </c>
      <c r="W13" s="130"/>
      <c r="X13" s="130"/>
      <c r="Y13" s="129"/>
      <c r="Z13" s="129"/>
      <c r="AA13" s="129"/>
    </row>
    <row r="14" spans="1:27" x14ac:dyDescent="0.25">
      <c r="A14" t="s">
        <v>516</v>
      </c>
      <c r="B14" s="75" t="s">
        <v>126</v>
      </c>
      <c r="C14" s="59">
        <f t="shared" si="0"/>
        <v>4.0714473338586818E-3</v>
      </c>
      <c r="D14" t="s">
        <v>439</v>
      </c>
      <c r="E14" s="59">
        <f t="shared" si="1"/>
        <v>1.5841584158415842E-2</v>
      </c>
      <c r="F14" s="129">
        <v>3807</v>
      </c>
      <c r="G14" s="129"/>
      <c r="H14" s="129">
        <v>525</v>
      </c>
      <c r="I14" s="55">
        <v>520</v>
      </c>
      <c r="J14" s="55">
        <v>525</v>
      </c>
      <c r="K14" s="55">
        <v>505</v>
      </c>
      <c r="L14" s="55">
        <v>490</v>
      </c>
      <c r="M14" s="55">
        <v>485</v>
      </c>
      <c r="N14" s="69" t="s">
        <v>126</v>
      </c>
      <c r="O14" s="129">
        <v>3723</v>
      </c>
      <c r="P14" s="129">
        <v>3746</v>
      </c>
      <c r="Q14" s="129">
        <v>3755</v>
      </c>
      <c r="R14" s="129">
        <v>3844</v>
      </c>
      <c r="S14" s="129">
        <v>3839</v>
      </c>
      <c r="T14" s="129">
        <v>3807</v>
      </c>
      <c r="U14" s="129">
        <v>3900</v>
      </c>
      <c r="V14" s="129">
        <v>3900</v>
      </c>
      <c r="W14" s="130"/>
      <c r="X14" s="130"/>
      <c r="Y14" s="129"/>
      <c r="Z14" s="129"/>
      <c r="AA14" s="129"/>
    </row>
    <row r="15" spans="1:27" x14ac:dyDescent="0.25">
      <c r="A15" t="s">
        <v>520</v>
      </c>
      <c r="B15" s="75" t="s">
        <v>212</v>
      </c>
      <c r="C15" s="59">
        <f t="shared" si="0"/>
        <v>3.1535117261649623E-3</v>
      </c>
      <c r="D15" t="s">
        <v>439</v>
      </c>
      <c r="E15" s="59">
        <f t="shared" si="1"/>
        <v>3.9339903018926953E-2</v>
      </c>
      <c r="F15" s="129">
        <v>163310</v>
      </c>
      <c r="G15" s="129"/>
      <c r="H15" s="129">
        <v>14330</v>
      </c>
      <c r="I15" s="55">
        <v>13735</v>
      </c>
      <c r="J15" s="55">
        <v>13375</v>
      </c>
      <c r="K15" s="55">
        <v>12785</v>
      </c>
      <c r="L15" s="55">
        <v>12220</v>
      </c>
      <c r="M15" s="55">
        <v>11815</v>
      </c>
      <c r="N15" s="69" t="s">
        <v>212</v>
      </c>
      <c r="O15" s="129">
        <v>157310</v>
      </c>
      <c r="P15" s="129">
        <v>157462</v>
      </c>
      <c r="Q15" s="129">
        <v>158586</v>
      </c>
      <c r="R15" s="129">
        <v>160747</v>
      </c>
      <c r="S15" s="129">
        <v>161852</v>
      </c>
      <c r="T15" s="129">
        <v>163310</v>
      </c>
      <c r="U15" s="129">
        <v>164600</v>
      </c>
      <c r="V15" s="129">
        <v>166400</v>
      </c>
      <c r="W15" s="130"/>
      <c r="X15" s="130"/>
      <c r="Y15" s="129"/>
      <c r="Z15" s="129"/>
      <c r="AA15" s="129"/>
    </row>
    <row r="16" spans="1:27" x14ac:dyDescent="0.25">
      <c r="A16" t="s">
        <v>514</v>
      </c>
      <c r="B16" s="75" t="s">
        <v>238</v>
      </c>
      <c r="C16" s="59">
        <f t="shared" si="0"/>
        <v>1.6061282538092955E-2</v>
      </c>
      <c r="D16" t="s">
        <v>465</v>
      </c>
      <c r="E16" s="59">
        <f t="shared" si="1"/>
        <v>4.8005598320503849E-2</v>
      </c>
      <c r="F16" s="129">
        <v>95862</v>
      </c>
      <c r="G16" s="129"/>
      <c r="H16" s="129">
        <v>8375</v>
      </c>
      <c r="I16" s="55">
        <v>7790</v>
      </c>
      <c r="J16" s="55">
        <v>7455</v>
      </c>
      <c r="K16" s="55">
        <v>7085</v>
      </c>
      <c r="L16" s="55">
        <v>6735</v>
      </c>
      <c r="M16" s="55">
        <v>6660</v>
      </c>
      <c r="N16" s="69" t="s">
        <v>238</v>
      </c>
      <c r="O16" s="129">
        <v>91907</v>
      </c>
      <c r="P16" s="129">
        <v>90829</v>
      </c>
      <c r="Q16" s="129">
        <v>92363</v>
      </c>
      <c r="R16" s="129">
        <v>94431</v>
      </c>
      <c r="S16" s="129">
        <v>95014</v>
      </c>
      <c r="T16" s="129">
        <v>95862</v>
      </c>
      <c r="U16" s="129">
        <v>103200</v>
      </c>
      <c r="V16" s="129">
        <v>105100</v>
      </c>
      <c r="W16" s="130"/>
      <c r="X16" s="130"/>
      <c r="Y16" s="129"/>
      <c r="Z16" s="129"/>
      <c r="AA16" s="129"/>
    </row>
    <row r="17" spans="1:27" x14ac:dyDescent="0.25">
      <c r="A17" t="s">
        <v>514</v>
      </c>
      <c r="B17" s="75" t="s">
        <v>239</v>
      </c>
      <c r="C17" s="59">
        <f t="shared" si="0"/>
        <v>1.3875397657387906E-2</v>
      </c>
      <c r="D17" t="s">
        <v>439</v>
      </c>
      <c r="E17" s="59">
        <f t="shared" si="1"/>
        <v>4.2446440218754704E-2</v>
      </c>
      <c r="F17" s="129">
        <v>935793</v>
      </c>
      <c r="G17" s="129"/>
      <c r="H17" s="129">
        <f>SUM(H15:H16)</f>
        <v>22705</v>
      </c>
      <c r="I17" s="129">
        <f t="shared" ref="I17" si="2">SUM(I15:I16)</f>
        <v>21525</v>
      </c>
      <c r="J17" s="129">
        <f t="shared" ref="J17" si="3">SUM(J15:J16)</f>
        <v>20830</v>
      </c>
      <c r="K17" s="129">
        <f t="shared" ref="K17" si="4">SUM(K15:K16)</f>
        <v>19870</v>
      </c>
      <c r="L17" s="129">
        <f t="shared" ref="L17" si="5">SUM(L15:L16)</f>
        <v>18955</v>
      </c>
      <c r="M17" s="129">
        <f t="shared" ref="M17" si="6">SUM(M15:M16)</f>
        <v>18475</v>
      </c>
      <c r="N17" s="69" t="s">
        <v>239</v>
      </c>
      <c r="O17" s="129">
        <v>893122</v>
      </c>
      <c r="P17" s="129">
        <v>893783</v>
      </c>
      <c r="Q17" s="129">
        <v>904704</v>
      </c>
      <c r="R17" s="129">
        <v>921468</v>
      </c>
      <c r="S17" s="129">
        <v>931298</v>
      </c>
      <c r="T17" s="129">
        <v>935793</v>
      </c>
      <c r="U17" s="129">
        <v>988500</v>
      </c>
      <c r="V17" s="129">
        <v>1013700</v>
      </c>
      <c r="W17" s="129"/>
      <c r="X17" s="129"/>
      <c r="Y17" s="129"/>
      <c r="Z17" s="129"/>
      <c r="AA17" s="129"/>
    </row>
    <row r="18" spans="1:27" x14ac:dyDescent="0.25">
      <c r="A18" t="s">
        <v>515</v>
      </c>
      <c r="B18" s="75" t="s">
        <v>164</v>
      </c>
      <c r="C18" s="59">
        <f t="shared" si="0"/>
        <v>7.6499587691248967E-3</v>
      </c>
      <c r="D18" t="s">
        <v>439</v>
      </c>
      <c r="E18" s="59">
        <f t="shared" si="1"/>
        <v>3.0246389124893799E-2</v>
      </c>
      <c r="F18" s="129">
        <v>168563</v>
      </c>
      <c r="G18" s="129"/>
      <c r="H18" s="129">
        <v>12940</v>
      </c>
      <c r="I18" s="55">
        <v>12520</v>
      </c>
      <c r="J18" s="55">
        <v>12115</v>
      </c>
      <c r="K18" s="55">
        <v>11695</v>
      </c>
      <c r="L18" s="55">
        <v>11360</v>
      </c>
      <c r="M18" s="55">
        <v>11160</v>
      </c>
      <c r="N18" s="69" t="s">
        <v>164</v>
      </c>
      <c r="O18" s="129">
        <v>163776</v>
      </c>
      <c r="P18" s="129">
        <v>164781</v>
      </c>
      <c r="Q18" s="129">
        <v>165586</v>
      </c>
      <c r="R18" s="129">
        <v>167225</v>
      </c>
      <c r="S18" s="129">
        <v>168211</v>
      </c>
      <c r="T18" s="129">
        <v>168563</v>
      </c>
      <c r="U18" s="129">
        <v>173700</v>
      </c>
      <c r="V18" s="129">
        <v>176300</v>
      </c>
      <c r="W18" s="130"/>
      <c r="X18" s="130"/>
      <c r="Y18" s="129"/>
      <c r="Z18" s="129"/>
      <c r="AA18" s="129"/>
    </row>
    <row r="19" spans="1:27" x14ac:dyDescent="0.25">
      <c r="A19" t="s">
        <v>515</v>
      </c>
      <c r="B19" s="75" t="s">
        <v>165</v>
      </c>
      <c r="C19" s="59">
        <f t="shared" si="0"/>
        <v>7.2828436757982774E-3</v>
      </c>
      <c r="D19" t="s">
        <v>439</v>
      </c>
      <c r="E19" s="59">
        <f t="shared" si="1"/>
        <v>3.7350884409707942E-2</v>
      </c>
      <c r="F19" s="129">
        <v>169302</v>
      </c>
      <c r="G19" s="129"/>
      <c r="H19" s="129">
        <v>13635</v>
      </c>
      <c r="I19" s="55">
        <v>13010</v>
      </c>
      <c r="J19" s="55">
        <v>12690</v>
      </c>
      <c r="K19" s="55">
        <v>12110</v>
      </c>
      <c r="L19" s="55">
        <v>11600</v>
      </c>
      <c r="M19" s="55">
        <v>11365</v>
      </c>
      <c r="N19" s="69" t="s">
        <v>165</v>
      </c>
      <c r="O19" s="129">
        <v>161326</v>
      </c>
      <c r="P19" s="129">
        <v>162424</v>
      </c>
      <c r="Q19" s="129">
        <v>163964</v>
      </c>
      <c r="R19" s="129">
        <v>165712</v>
      </c>
      <c r="S19" s="129">
        <v>167632</v>
      </c>
      <c r="T19" s="129">
        <v>169302</v>
      </c>
      <c r="U19" s="129">
        <v>173700</v>
      </c>
      <c r="V19" s="129">
        <v>176700</v>
      </c>
      <c r="W19" s="130"/>
      <c r="X19" s="130"/>
      <c r="Y19" s="129"/>
      <c r="Z19" s="129"/>
      <c r="AA19" s="129"/>
    </row>
    <row r="20" spans="1:27" x14ac:dyDescent="0.25">
      <c r="A20" t="s">
        <v>512</v>
      </c>
      <c r="B20" s="75" t="s">
        <v>105</v>
      </c>
      <c r="C20" s="59">
        <f t="shared" si="0"/>
        <v>7.2211568056443408E-4</v>
      </c>
      <c r="D20" t="s">
        <v>439</v>
      </c>
      <c r="E20" s="59">
        <f t="shared" si="1"/>
        <v>3.1563126252505007E-2</v>
      </c>
      <c r="F20" s="129">
        <v>70395</v>
      </c>
      <c r="G20" s="129"/>
      <c r="H20" s="129">
        <v>4365</v>
      </c>
      <c r="I20" s="55">
        <v>4250</v>
      </c>
      <c r="J20" s="55">
        <v>4150</v>
      </c>
      <c r="K20" s="55">
        <v>4000</v>
      </c>
      <c r="L20" s="55">
        <v>3825</v>
      </c>
      <c r="M20" s="55">
        <v>3735</v>
      </c>
      <c r="N20" s="69" t="s">
        <v>105</v>
      </c>
      <c r="O20" s="129">
        <v>68571</v>
      </c>
      <c r="P20" s="129">
        <v>68836</v>
      </c>
      <c r="Q20" s="129">
        <v>68954</v>
      </c>
      <c r="R20" s="129">
        <v>69450</v>
      </c>
      <c r="S20" s="129">
        <v>69701</v>
      </c>
      <c r="T20" s="129">
        <v>70395</v>
      </c>
      <c r="U20" s="129">
        <v>70400</v>
      </c>
      <c r="V20" s="129">
        <v>70700</v>
      </c>
      <c r="W20" s="130"/>
      <c r="X20" s="130"/>
      <c r="Y20" s="129"/>
      <c r="Z20" s="129"/>
      <c r="AA20" s="129"/>
    </row>
    <row r="21" spans="1:27" x14ac:dyDescent="0.25">
      <c r="A21" t="s">
        <v>513</v>
      </c>
      <c r="B21" s="75" t="s">
        <v>342</v>
      </c>
      <c r="C21" s="59">
        <f t="shared" si="0"/>
        <v>2.0126509488211618E-3</v>
      </c>
      <c r="D21" t="s">
        <v>465</v>
      </c>
      <c r="E21" s="59">
        <f t="shared" si="1"/>
        <v>2.2498519834221433E-2</v>
      </c>
      <c r="F21" s="129">
        <v>17390</v>
      </c>
      <c r="G21" s="129"/>
      <c r="H21" s="129">
        <v>1820</v>
      </c>
      <c r="I21" s="55">
        <v>1760</v>
      </c>
      <c r="J21" s="55">
        <v>1725</v>
      </c>
      <c r="K21" s="55">
        <v>1685</v>
      </c>
      <c r="L21" s="55">
        <v>1645</v>
      </c>
      <c r="M21" s="55">
        <v>1630</v>
      </c>
      <c r="N21" s="69" t="s">
        <v>342</v>
      </c>
      <c r="O21" s="129">
        <v>16728</v>
      </c>
      <c r="P21" s="129">
        <v>16817</v>
      </c>
      <c r="Q21" s="129">
        <v>17068</v>
      </c>
      <c r="R21" s="129">
        <v>17253</v>
      </c>
      <c r="S21" s="129">
        <v>17302</v>
      </c>
      <c r="T21" s="129">
        <v>17390</v>
      </c>
      <c r="U21" s="129">
        <v>17400</v>
      </c>
      <c r="V21" s="129">
        <v>17600</v>
      </c>
      <c r="W21" s="130"/>
      <c r="X21" s="130"/>
      <c r="Y21" s="129"/>
      <c r="Z21" s="129"/>
      <c r="AA21" s="129"/>
    </row>
    <row r="22" spans="1:27" x14ac:dyDescent="0.25">
      <c r="A22" t="s">
        <v>513</v>
      </c>
      <c r="B22" s="75" t="s">
        <v>343</v>
      </c>
      <c r="C22" s="59">
        <f t="shared" si="0"/>
        <v>2.1975479990747168E-3</v>
      </c>
      <c r="D22" t="s">
        <v>465</v>
      </c>
      <c r="E22" s="59">
        <f t="shared" si="1"/>
        <v>2.2754491017964073E-2</v>
      </c>
      <c r="F22" s="129">
        <v>7205</v>
      </c>
      <c r="G22" s="129"/>
      <c r="H22" s="129">
        <v>895</v>
      </c>
      <c r="I22" s="55">
        <v>865</v>
      </c>
      <c r="J22" s="55">
        <v>855</v>
      </c>
      <c r="K22" s="55">
        <v>840</v>
      </c>
      <c r="L22" s="55">
        <v>815</v>
      </c>
      <c r="M22" s="55">
        <v>800</v>
      </c>
      <c r="N22" s="69" t="s">
        <v>343</v>
      </c>
      <c r="O22" s="129">
        <v>6856</v>
      </c>
      <c r="P22" s="129">
        <v>6899</v>
      </c>
      <c r="Q22" s="129">
        <v>6931</v>
      </c>
      <c r="R22" s="129">
        <v>7075</v>
      </c>
      <c r="S22" s="129">
        <v>7076</v>
      </c>
      <c r="T22" s="129">
        <v>7205</v>
      </c>
      <c r="U22" s="129">
        <v>7300</v>
      </c>
      <c r="V22" s="129">
        <v>7300</v>
      </c>
      <c r="W22" s="130"/>
      <c r="X22" s="130"/>
      <c r="Y22" s="129"/>
      <c r="Z22" s="129"/>
      <c r="AA22" s="129"/>
    </row>
    <row r="23" spans="1:27" x14ac:dyDescent="0.25">
      <c r="A23" t="s">
        <v>520</v>
      </c>
      <c r="B23" s="75" t="s">
        <v>213</v>
      </c>
      <c r="C23" s="59">
        <f t="shared" si="0"/>
        <v>-1.8991278569632484E-3</v>
      </c>
      <c r="D23" t="s">
        <v>116</v>
      </c>
      <c r="E23" s="59">
        <f t="shared" si="1"/>
        <v>3.1490296594653973E-2</v>
      </c>
      <c r="F23" s="129">
        <v>25187</v>
      </c>
      <c r="G23" s="129"/>
      <c r="H23" s="129">
        <v>3015</v>
      </c>
      <c r="I23" s="55">
        <v>2910</v>
      </c>
      <c r="J23" s="55">
        <v>2810</v>
      </c>
      <c r="K23" s="55">
        <v>2730</v>
      </c>
      <c r="L23" s="55">
        <v>2620</v>
      </c>
      <c r="M23" s="55">
        <v>2585</v>
      </c>
      <c r="N23" s="69" t="s">
        <v>213</v>
      </c>
      <c r="O23" s="129">
        <v>24838</v>
      </c>
      <c r="P23" s="129">
        <v>24792</v>
      </c>
      <c r="Q23" s="129">
        <v>24879</v>
      </c>
      <c r="R23" s="129">
        <v>25008</v>
      </c>
      <c r="S23" s="129">
        <v>25065</v>
      </c>
      <c r="T23" s="129">
        <v>25187</v>
      </c>
      <c r="U23" s="129">
        <v>24800</v>
      </c>
      <c r="V23" s="129">
        <v>24900</v>
      </c>
      <c r="W23" s="130"/>
      <c r="X23" s="130"/>
      <c r="Y23" s="129"/>
      <c r="Z23" s="129"/>
      <c r="AA23" s="129"/>
    </row>
    <row r="24" spans="1:27" x14ac:dyDescent="0.25">
      <c r="A24" t="s">
        <v>517</v>
      </c>
      <c r="B24" s="75" t="s">
        <v>284</v>
      </c>
      <c r="C24" s="59">
        <f t="shared" si="0"/>
        <v>-9.1967276121451705E-4</v>
      </c>
      <c r="D24" t="s">
        <v>465</v>
      </c>
      <c r="E24" s="59">
        <f t="shared" si="1"/>
        <v>2.6533996683250415E-2</v>
      </c>
      <c r="F24" s="129">
        <v>48568</v>
      </c>
      <c r="G24" s="129"/>
      <c r="H24" s="129">
        <v>4575</v>
      </c>
      <c r="I24" s="55">
        <v>4470</v>
      </c>
      <c r="J24" s="55">
        <v>4385</v>
      </c>
      <c r="K24" s="55">
        <v>4180</v>
      </c>
      <c r="L24" s="55">
        <v>4055</v>
      </c>
      <c r="M24" s="55">
        <v>4015</v>
      </c>
      <c r="N24" s="69" t="s">
        <v>284</v>
      </c>
      <c r="O24" s="129">
        <v>48741</v>
      </c>
      <c r="P24" s="129">
        <v>48643</v>
      </c>
      <c r="Q24" s="129">
        <v>48723</v>
      </c>
      <c r="R24" s="129">
        <v>48805</v>
      </c>
      <c r="S24" s="129">
        <v>48690</v>
      </c>
      <c r="T24" s="129">
        <v>48568</v>
      </c>
      <c r="U24" s="129">
        <v>48100</v>
      </c>
      <c r="V24" s="129">
        <v>48300</v>
      </c>
      <c r="W24" s="130"/>
      <c r="X24" s="130"/>
      <c r="Y24" s="129"/>
      <c r="Z24" s="129"/>
      <c r="AA24" s="129"/>
    </row>
    <row r="25" spans="1:27" x14ac:dyDescent="0.25">
      <c r="A25" t="s">
        <v>515</v>
      </c>
      <c r="B25" s="75" t="s">
        <v>166</v>
      </c>
      <c r="C25" s="59">
        <f t="shared" si="0"/>
        <v>1.0924635845471818E-2</v>
      </c>
      <c r="D25" t="s">
        <v>465</v>
      </c>
      <c r="E25" s="59">
        <f t="shared" si="1"/>
        <v>3.4541723666210673E-2</v>
      </c>
      <c r="F25" s="129">
        <v>63160</v>
      </c>
      <c r="G25" s="129"/>
      <c r="H25" s="129">
        <v>6510</v>
      </c>
      <c r="I25" s="55">
        <v>6190</v>
      </c>
      <c r="J25" s="55">
        <v>6070</v>
      </c>
      <c r="K25" s="55">
        <v>5830</v>
      </c>
      <c r="L25" s="55">
        <v>5650</v>
      </c>
      <c r="M25" s="55">
        <v>5500</v>
      </c>
      <c r="N25" s="69" t="s">
        <v>166</v>
      </c>
      <c r="O25" s="129">
        <v>58938</v>
      </c>
      <c r="P25" s="129">
        <v>59992</v>
      </c>
      <c r="Q25" s="129">
        <v>60586</v>
      </c>
      <c r="R25" s="129">
        <v>61649</v>
      </c>
      <c r="S25" s="129">
        <v>62592</v>
      </c>
      <c r="T25" s="129">
        <v>63160</v>
      </c>
      <c r="U25" s="129">
        <v>66100</v>
      </c>
      <c r="V25" s="129">
        <v>67300</v>
      </c>
      <c r="W25" s="130"/>
      <c r="X25" s="130"/>
      <c r="Y25" s="129"/>
      <c r="Z25" s="129"/>
      <c r="AA25" s="129"/>
    </row>
    <row r="26" spans="1:27" x14ac:dyDescent="0.25">
      <c r="A26" t="s">
        <v>522</v>
      </c>
      <c r="B26" s="75" t="s">
        <v>826</v>
      </c>
      <c r="C26" s="59">
        <f t="shared" si="0"/>
        <v>-2.5135939263363086E-3</v>
      </c>
      <c r="D26" t="s">
        <v>116</v>
      </c>
      <c r="E26" s="59">
        <f t="shared" si="1"/>
        <v>2.7181688125894134E-2</v>
      </c>
      <c r="F26" s="129">
        <v>16245</v>
      </c>
      <c r="G26" s="129"/>
      <c r="H26" s="129">
        <v>1525</v>
      </c>
      <c r="I26" s="55">
        <v>1470</v>
      </c>
      <c r="J26" s="55">
        <v>1445</v>
      </c>
      <c r="K26" s="55">
        <v>1370</v>
      </c>
      <c r="L26" s="55">
        <v>1370</v>
      </c>
      <c r="M26" s="55">
        <v>1335</v>
      </c>
      <c r="N26" s="69" t="s">
        <v>398</v>
      </c>
      <c r="O26" s="129">
        <v>15895</v>
      </c>
      <c r="P26" s="129">
        <v>15875</v>
      </c>
      <c r="Q26" s="129">
        <v>15814</v>
      </c>
      <c r="R26" s="129">
        <v>16133</v>
      </c>
      <c r="S26" s="129">
        <v>16215</v>
      </c>
      <c r="T26" s="129">
        <v>16245</v>
      </c>
      <c r="U26" s="129">
        <v>15900</v>
      </c>
      <c r="V26" s="129">
        <v>16000</v>
      </c>
      <c r="W26" s="130"/>
      <c r="X26" s="130"/>
      <c r="Y26" s="129"/>
      <c r="Z26" s="129"/>
      <c r="AA26" s="129"/>
    </row>
    <row r="27" spans="1:27" x14ac:dyDescent="0.25">
      <c r="A27" t="s">
        <v>522</v>
      </c>
      <c r="B27" s="75" t="s">
        <v>592</v>
      </c>
      <c r="C27" s="59">
        <f t="shared" si="0"/>
        <v>-7.9896883230495767E-3</v>
      </c>
      <c r="D27" t="s">
        <v>116</v>
      </c>
      <c r="E27" s="59">
        <f t="shared" si="1"/>
        <v>2.1011673151750974E-2</v>
      </c>
      <c r="F27" s="129">
        <v>35817</v>
      </c>
      <c r="G27" s="129"/>
      <c r="H27" s="129">
        <v>2735</v>
      </c>
      <c r="I27" s="55">
        <v>2685</v>
      </c>
      <c r="J27" s="55">
        <v>2605</v>
      </c>
      <c r="K27" s="55">
        <v>2585</v>
      </c>
      <c r="L27" s="55">
        <v>2510</v>
      </c>
      <c r="M27" s="55">
        <v>2465</v>
      </c>
      <c r="N27" s="69" t="s">
        <v>592</v>
      </c>
      <c r="O27" s="129">
        <v>35965</v>
      </c>
      <c r="P27" s="129">
        <v>36065</v>
      </c>
      <c r="Q27" s="129">
        <v>35923</v>
      </c>
      <c r="R27" s="129">
        <v>35959</v>
      </c>
      <c r="S27" s="129">
        <v>35896</v>
      </c>
      <c r="T27" s="129">
        <v>35817</v>
      </c>
      <c r="U27" s="129">
        <v>34400</v>
      </c>
      <c r="V27" s="129">
        <v>34100</v>
      </c>
      <c r="W27" s="130"/>
      <c r="X27" s="130"/>
      <c r="Y27" s="129"/>
      <c r="Z27" s="129"/>
      <c r="AA27" s="129"/>
    </row>
    <row r="28" spans="1:27" x14ac:dyDescent="0.25">
      <c r="A28" t="s">
        <v>522</v>
      </c>
      <c r="B28" s="75" t="s">
        <v>399</v>
      </c>
      <c r="C28" s="59">
        <f t="shared" si="0"/>
        <v>3.3887861983980284E-3</v>
      </c>
      <c r="D28" t="s">
        <v>116</v>
      </c>
      <c r="E28" s="59">
        <f t="shared" si="1"/>
        <v>1.9347037484885126E-2</v>
      </c>
      <c r="F28" s="129">
        <v>13525</v>
      </c>
      <c r="G28" s="129"/>
      <c r="H28" s="129">
        <v>885</v>
      </c>
      <c r="I28" s="55">
        <v>870</v>
      </c>
      <c r="J28" s="55">
        <v>840</v>
      </c>
      <c r="K28" s="55">
        <v>820</v>
      </c>
      <c r="L28" s="55">
        <v>800</v>
      </c>
      <c r="M28" s="55">
        <v>805</v>
      </c>
      <c r="N28" s="69" t="s">
        <v>399</v>
      </c>
      <c r="O28" s="129">
        <v>13485</v>
      </c>
      <c r="P28" s="129">
        <v>13450</v>
      </c>
      <c r="Q28" s="129">
        <v>13412</v>
      </c>
      <c r="R28" s="129">
        <v>13449</v>
      </c>
      <c r="S28" s="129">
        <v>13394</v>
      </c>
      <c r="T28" s="129">
        <v>13525</v>
      </c>
      <c r="U28" s="129">
        <v>13700</v>
      </c>
      <c r="V28" s="129">
        <v>13800</v>
      </c>
      <c r="W28" s="130"/>
      <c r="X28" s="130"/>
      <c r="Y28" s="129"/>
      <c r="Z28" s="129"/>
      <c r="AA28" s="129"/>
    </row>
    <row r="29" spans="1:27" x14ac:dyDescent="0.25">
      <c r="A29" t="s">
        <v>515</v>
      </c>
      <c r="B29" s="75" t="s">
        <v>523</v>
      </c>
      <c r="C29" s="59">
        <f t="shared" si="0"/>
        <v>-3.5437057036787041E-3</v>
      </c>
      <c r="D29" t="s">
        <v>116</v>
      </c>
      <c r="E29" s="59">
        <f t="shared" si="1"/>
        <v>3.3158107561665991E-2</v>
      </c>
      <c r="F29" s="129">
        <v>35556</v>
      </c>
      <c r="G29" s="129"/>
      <c r="H29" s="129">
        <v>2750</v>
      </c>
      <c r="I29" s="55">
        <v>2655</v>
      </c>
      <c r="J29" s="55">
        <v>2515</v>
      </c>
      <c r="K29" s="55">
        <v>2475</v>
      </c>
      <c r="L29" s="55">
        <v>2380</v>
      </c>
      <c r="M29" s="55">
        <v>2340</v>
      </c>
      <c r="N29" s="69" t="s">
        <v>523</v>
      </c>
      <c r="O29" s="129">
        <v>34936</v>
      </c>
      <c r="P29" s="129">
        <v>35010</v>
      </c>
      <c r="Q29" s="129">
        <v>34946</v>
      </c>
      <c r="R29" s="129">
        <v>35421</v>
      </c>
      <c r="S29" s="129">
        <v>35474</v>
      </c>
      <c r="T29" s="129">
        <v>35556</v>
      </c>
      <c r="U29" s="129">
        <v>34800</v>
      </c>
      <c r="V29" s="129">
        <v>34800</v>
      </c>
      <c r="W29" s="130"/>
      <c r="X29" s="130"/>
      <c r="Y29" s="129"/>
      <c r="Z29" s="129"/>
      <c r="AA29" s="129"/>
    </row>
    <row r="30" spans="1:27" x14ac:dyDescent="0.25">
      <c r="A30" t="s">
        <v>513</v>
      </c>
      <c r="B30" s="75" t="s">
        <v>344</v>
      </c>
      <c r="C30" s="59">
        <f t="shared" si="0"/>
        <v>2.0768431983385254E-3</v>
      </c>
      <c r="D30" t="s">
        <v>465</v>
      </c>
      <c r="E30" s="59">
        <f t="shared" si="1"/>
        <v>2.5128205128205128E-2</v>
      </c>
      <c r="F30" s="129">
        <v>19260</v>
      </c>
      <c r="G30" s="129"/>
      <c r="H30" s="129">
        <v>2115</v>
      </c>
      <c r="I30" s="55">
        <v>2055</v>
      </c>
      <c r="J30" s="55">
        <v>2000</v>
      </c>
      <c r="K30" s="55">
        <v>1925</v>
      </c>
      <c r="L30" s="55">
        <v>1900</v>
      </c>
      <c r="M30" s="55">
        <v>1870</v>
      </c>
      <c r="N30" s="69" t="s">
        <v>344</v>
      </c>
      <c r="O30" s="129">
        <v>18663</v>
      </c>
      <c r="P30" s="129">
        <v>18754</v>
      </c>
      <c r="Q30" s="129">
        <v>18875</v>
      </c>
      <c r="R30" s="129">
        <v>19088</v>
      </c>
      <c r="S30" s="129">
        <v>19196</v>
      </c>
      <c r="T30" s="129">
        <v>19260</v>
      </c>
      <c r="U30" s="129">
        <v>19300</v>
      </c>
      <c r="V30" s="129">
        <v>19500</v>
      </c>
      <c r="W30" s="130"/>
      <c r="X30" s="130"/>
      <c r="Y30" s="129"/>
      <c r="Z30" s="129"/>
      <c r="AA30" s="129"/>
    </row>
    <row r="31" spans="1:27" x14ac:dyDescent="0.25">
      <c r="A31" t="s">
        <v>522</v>
      </c>
      <c r="B31" s="75" t="s">
        <v>434</v>
      </c>
      <c r="C31" s="59">
        <f t="shared" si="0"/>
        <v>-2.0796652121768864E-3</v>
      </c>
      <c r="D31" t="s">
        <v>116</v>
      </c>
      <c r="E31" s="59">
        <f t="shared" si="1"/>
        <v>2.2797927461139896E-2</v>
      </c>
      <c r="F31" s="129">
        <v>13063</v>
      </c>
      <c r="G31" s="129"/>
      <c r="H31" s="129">
        <v>1025</v>
      </c>
      <c r="I31" s="55">
        <v>1005</v>
      </c>
      <c r="J31" s="55">
        <v>995</v>
      </c>
      <c r="K31" s="55">
        <v>970</v>
      </c>
      <c r="L31" s="55">
        <v>940</v>
      </c>
      <c r="M31" s="55">
        <v>915</v>
      </c>
      <c r="N31" s="69" t="s">
        <v>434</v>
      </c>
      <c r="O31" s="129">
        <v>13098</v>
      </c>
      <c r="P31" s="129">
        <v>13108</v>
      </c>
      <c r="Q31" s="129">
        <v>13106</v>
      </c>
      <c r="R31" s="129">
        <v>13119</v>
      </c>
      <c r="S31" s="129">
        <v>13154</v>
      </c>
      <c r="T31" s="129">
        <v>13063</v>
      </c>
      <c r="U31" s="129">
        <v>12900</v>
      </c>
      <c r="V31" s="129">
        <v>12900</v>
      </c>
      <c r="W31" s="130"/>
      <c r="X31" s="130"/>
      <c r="Y31" s="129"/>
      <c r="Z31" s="129"/>
      <c r="AA31" s="129"/>
    </row>
    <row r="32" spans="1:27" x14ac:dyDescent="0.25">
      <c r="A32" t="s">
        <v>514</v>
      </c>
      <c r="B32" s="75" t="s">
        <v>435</v>
      </c>
      <c r="C32" s="59">
        <f t="shared" si="0"/>
        <v>-1.0094891984655764E-4</v>
      </c>
      <c r="D32" t="s">
        <v>465</v>
      </c>
      <c r="E32" s="59">
        <f t="shared" si="1"/>
        <v>2.7528809218950064E-2</v>
      </c>
      <c r="F32" s="129">
        <v>29718</v>
      </c>
      <c r="G32" s="129"/>
      <c r="H32" s="129">
        <v>3425</v>
      </c>
      <c r="I32" s="55">
        <v>3295</v>
      </c>
      <c r="J32" s="55">
        <v>3215</v>
      </c>
      <c r="K32" s="55">
        <v>3085</v>
      </c>
      <c r="L32" s="55">
        <v>3030</v>
      </c>
      <c r="M32" s="55">
        <v>2995</v>
      </c>
      <c r="N32" s="69" t="s">
        <v>435</v>
      </c>
      <c r="O32" s="129">
        <v>29860</v>
      </c>
      <c r="P32" s="129">
        <v>29715</v>
      </c>
      <c r="Q32" s="129">
        <v>29737</v>
      </c>
      <c r="R32" s="129">
        <v>30143</v>
      </c>
      <c r="S32" s="129">
        <v>29932</v>
      </c>
      <c r="T32" s="129">
        <v>29718</v>
      </c>
      <c r="U32" s="129">
        <v>29500</v>
      </c>
      <c r="V32" s="129">
        <v>29700</v>
      </c>
      <c r="W32" s="130"/>
      <c r="X32" s="130"/>
      <c r="Y32" s="129"/>
      <c r="Z32" s="129"/>
      <c r="AA32" s="129"/>
    </row>
    <row r="33" spans="1:27" x14ac:dyDescent="0.25">
      <c r="A33" t="s">
        <v>513</v>
      </c>
      <c r="B33" s="75" t="s">
        <v>345</v>
      </c>
      <c r="C33" s="59">
        <f t="shared" si="0"/>
        <v>-2.6489688959781248E-3</v>
      </c>
      <c r="D33" t="s">
        <v>439</v>
      </c>
      <c r="E33" s="59">
        <f t="shared" si="1"/>
        <v>1.7930438539641391E-2</v>
      </c>
      <c r="F33" s="129">
        <v>70216</v>
      </c>
      <c r="G33" s="129"/>
      <c r="H33" s="129">
        <v>4910</v>
      </c>
      <c r="I33" s="55">
        <v>4790</v>
      </c>
      <c r="J33" s="55">
        <v>4700</v>
      </c>
      <c r="K33" s="55">
        <v>4645</v>
      </c>
      <c r="L33" s="55">
        <v>4515</v>
      </c>
      <c r="M33" s="55">
        <v>4495</v>
      </c>
      <c r="N33" s="69" t="s">
        <v>345</v>
      </c>
      <c r="O33" s="129">
        <v>67485</v>
      </c>
      <c r="P33" s="129">
        <v>67514</v>
      </c>
      <c r="Q33" s="129">
        <v>67880</v>
      </c>
      <c r="R33" s="129">
        <v>68872</v>
      </c>
      <c r="S33" s="129">
        <v>69694</v>
      </c>
      <c r="T33" s="129">
        <v>70216</v>
      </c>
      <c r="U33" s="129">
        <v>68800</v>
      </c>
      <c r="V33" s="129">
        <v>69100</v>
      </c>
      <c r="W33" s="130"/>
      <c r="X33" s="130"/>
      <c r="Y33" s="129"/>
      <c r="Z33" s="129"/>
      <c r="AA33" s="129"/>
    </row>
    <row r="34" spans="1:27" x14ac:dyDescent="0.25">
      <c r="A34" t="s">
        <v>515</v>
      </c>
      <c r="B34" s="75" t="s">
        <v>167</v>
      </c>
      <c r="C34" s="59">
        <f t="shared" si="0"/>
        <v>-6.5343108237329809E-3</v>
      </c>
      <c r="D34" t="s">
        <v>116</v>
      </c>
      <c r="E34" s="59">
        <f t="shared" si="1"/>
        <v>2.0303194369247428E-2</v>
      </c>
      <c r="F34" s="129">
        <v>43922</v>
      </c>
      <c r="G34" s="129"/>
      <c r="H34" s="129">
        <v>3920</v>
      </c>
      <c r="I34" s="55">
        <v>3855</v>
      </c>
      <c r="J34" s="55">
        <v>3765</v>
      </c>
      <c r="K34" s="55">
        <v>3690</v>
      </c>
      <c r="L34" s="55">
        <v>3615</v>
      </c>
      <c r="M34" s="55">
        <v>3545</v>
      </c>
      <c r="N34" s="69" t="s">
        <v>167</v>
      </c>
      <c r="O34" s="129">
        <v>43783</v>
      </c>
      <c r="P34" s="129">
        <v>43846</v>
      </c>
      <c r="Q34" s="129">
        <v>43850</v>
      </c>
      <c r="R34" s="129">
        <v>44037</v>
      </c>
      <c r="S34" s="129">
        <v>43933</v>
      </c>
      <c r="T34" s="129">
        <v>43922</v>
      </c>
      <c r="U34" s="129">
        <v>42500</v>
      </c>
      <c r="V34" s="129">
        <v>42200</v>
      </c>
      <c r="W34" s="130"/>
      <c r="X34" s="130"/>
      <c r="Y34" s="129"/>
      <c r="Z34" s="129"/>
      <c r="AA34" s="129"/>
    </row>
    <row r="35" spans="1:27" x14ac:dyDescent="0.25">
      <c r="A35" t="s">
        <v>513</v>
      </c>
      <c r="B35" s="75" t="s">
        <v>346</v>
      </c>
      <c r="C35" s="59">
        <f t="shared" si="0"/>
        <v>4.1899155885300366E-4</v>
      </c>
      <c r="D35" t="s">
        <v>465</v>
      </c>
      <c r="E35" s="59">
        <f t="shared" si="1"/>
        <v>2.9650547123190964E-2</v>
      </c>
      <c r="F35" s="129">
        <v>32618</v>
      </c>
      <c r="G35" s="129"/>
      <c r="H35" s="129">
        <v>3110</v>
      </c>
      <c r="I35" s="55">
        <v>2990</v>
      </c>
      <c r="J35" s="55">
        <v>2910</v>
      </c>
      <c r="K35" s="55">
        <v>2820</v>
      </c>
      <c r="L35" s="55">
        <v>2755</v>
      </c>
      <c r="M35" s="55">
        <v>2690</v>
      </c>
      <c r="N35" s="69" t="s">
        <v>346</v>
      </c>
      <c r="O35" s="129">
        <v>31200</v>
      </c>
      <c r="P35" s="129">
        <v>31455</v>
      </c>
      <c r="Q35" s="129">
        <v>31698</v>
      </c>
      <c r="R35" s="129">
        <v>32262</v>
      </c>
      <c r="S35" s="129">
        <v>32527</v>
      </c>
      <c r="T35" s="129">
        <v>32618</v>
      </c>
      <c r="U35" s="129">
        <v>32400</v>
      </c>
      <c r="V35" s="129">
        <v>32700.000000000004</v>
      </c>
      <c r="W35" s="130"/>
      <c r="X35" s="130"/>
      <c r="Y35" s="129"/>
      <c r="Z35" s="129"/>
      <c r="AA35" s="129"/>
    </row>
    <row r="36" spans="1:27" x14ac:dyDescent="0.25">
      <c r="A36" t="s">
        <v>513</v>
      </c>
      <c r="B36" s="75" t="s">
        <v>347</v>
      </c>
      <c r="C36" s="59">
        <f t="shared" si="0"/>
        <v>2.3589873204431528E-3</v>
      </c>
      <c r="D36" t="s">
        <v>465</v>
      </c>
      <c r="E36" s="59">
        <f t="shared" si="1"/>
        <v>2.9838022165387893E-2</v>
      </c>
      <c r="F36" s="129">
        <v>31652</v>
      </c>
      <c r="G36" s="129"/>
      <c r="H36" s="129">
        <v>2575</v>
      </c>
      <c r="I36" s="55">
        <v>2500</v>
      </c>
      <c r="J36" s="55">
        <v>2450</v>
      </c>
      <c r="K36" s="55">
        <v>2325</v>
      </c>
      <c r="L36" s="55">
        <v>2230</v>
      </c>
      <c r="M36" s="55">
        <v>2225</v>
      </c>
      <c r="N36" s="69" t="s">
        <v>347</v>
      </c>
      <c r="O36" s="129">
        <v>29968</v>
      </c>
      <c r="P36" s="129">
        <v>30216</v>
      </c>
      <c r="Q36" s="129">
        <v>30606</v>
      </c>
      <c r="R36" s="129">
        <v>30893</v>
      </c>
      <c r="S36" s="129">
        <v>31223</v>
      </c>
      <c r="T36" s="129">
        <v>31652</v>
      </c>
      <c r="U36" s="129">
        <v>31700</v>
      </c>
      <c r="V36" s="129">
        <v>32100</v>
      </c>
      <c r="W36" s="130"/>
      <c r="X36" s="130"/>
      <c r="Y36" s="129"/>
      <c r="Z36" s="129"/>
      <c r="AA36" s="129"/>
    </row>
    <row r="37" spans="1:27" x14ac:dyDescent="0.25">
      <c r="A37" t="s">
        <v>515</v>
      </c>
      <c r="B37" s="75" t="s">
        <v>168</v>
      </c>
      <c r="C37" s="59">
        <f t="shared" si="0"/>
        <v>-3.3779572707102433E-3</v>
      </c>
      <c r="D37" t="s">
        <v>465</v>
      </c>
      <c r="E37" s="59">
        <f t="shared" si="1"/>
        <v>3.4003091190108192E-2</v>
      </c>
      <c r="F37" s="129">
        <v>26742</v>
      </c>
      <c r="G37" s="129"/>
      <c r="H37" s="129">
        <v>2165</v>
      </c>
      <c r="I37" s="55">
        <v>2060</v>
      </c>
      <c r="J37" s="55">
        <v>2010</v>
      </c>
      <c r="K37" s="55">
        <v>1945</v>
      </c>
      <c r="L37" s="55">
        <v>1855</v>
      </c>
      <c r="M37" s="55">
        <v>1835</v>
      </c>
      <c r="N37" s="69" t="s">
        <v>168</v>
      </c>
      <c r="O37" s="129">
        <v>25866</v>
      </c>
      <c r="P37" s="129">
        <v>26157</v>
      </c>
      <c r="Q37" s="129">
        <v>26232</v>
      </c>
      <c r="R37" s="129">
        <v>26576</v>
      </c>
      <c r="S37" s="129">
        <v>26725</v>
      </c>
      <c r="T37" s="129">
        <v>26742</v>
      </c>
      <c r="U37" s="129">
        <v>26100</v>
      </c>
      <c r="V37" s="129">
        <v>26200</v>
      </c>
      <c r="W37" s="130"/>
      <c r="X37" s="130"/>
      <c r="Y37" s="129"/>
      <c r="Z37" s="129"/>
      <c r="AA37" s="129"/>
    </row>
    <row r="38" spans="1:27" x14ac:dyDescent="0.25">
      <c r="A38" t="s">
        <v>514</v>
      </c>
      <c r="B38" s="75" t="s">
        <v>241</v>
      </c>
      <c r="C38" s="59">
        <f t="shared" si="0"/>
        <v>1.2382281130101151E-2</v>
      </c>
      <c r="D38" t="s">
        <v>116</v>
      </c>
      <c r="E38" s="59">
        <f t="shared" si="1"/>
        <v>2.4270442068766253E-2</v>
      </c>
      <c r="F38" s="129">
        <v>43005</v>
      </c>
      <c r="G38" s="129"/>
      <c r="H38" s="129">
        <v>3765</v>
      </c>
      <c r="I38" s="55">
        <v>3575</v>
      </c>
      <c r="J38" s="55">
        <v>3545</v>
      </c>
      <c r="K38" s="55">
        <v>3475</v>
      </c>
      <c r="L38" s="55">
        <v>3365</v>
      </c>
      <c r="M38" s="55">
        <v>3345</v>
      </c>
      <c r="N38" s="69" t="s">
        <v>241</v>
      </c>
      <c r="O38" s="129">
        <v>41569</v>
      </c>
      <c r="P38" s="129">
        <v>41863</v>
      </c>
      <c r="Q38" s="129">
        <v>42092</v>
      </c>
      <c r="R38" s="129">
        <v>42707</v>
      </c>
      <c r="S38" s="129">
        <v>42866</v>
      </c>
      <c r="T38" s="129">
        <v>43005</v>
      </c>
      <c r="U38" s="129">
        <v>45500</v>
      </c>
      <c r="V38" s="129">
        <v>46200</v>
      </c>
      <c r="W38" s="130"/>
      <c r="X38" s="130"/>
      <c r="Y38" s="129"/>
      <c r="Z38" s="129"/>
      <c r="AA38" s="129"/>
    </row>
    <row r="39" spans="1:27" x14ac:dyDescent="0.25">
      <c r="A39" t="s">
        <v>513</v>
      </c>
      <c r="B39" s="75" t="s">
        <v>348</v>
      </c>
      <c r="C39" s="59">
        <f t="shared" si="0"/>
        <v>-8.6470877560410628E-4</v>
      </c>
      <c r="D39" t="s">
        <v>465</v>
      </c>
      <c r="E39" s="59">
        <f t="shared" si="1"/>
        <v>2.7835051546391754E-2</v>
      </c>
      <c r="F39" s="129">
        <v>21009</v>
      </c>
      <c r="G39" s="129"/>
      <c r="H39" s="129">
        <v>2120</v>
      </c>
      <c r="I39" s="55">
        <v>2040</v>
      </c>
      <c r="J39" s="55">
        <v>1985</v>
      </c>
      <c r="K39" s="55">
        <v>1930</v>
      </c>
      <c r="L39" s="55">
        <v>1895</v>
      </c>
      <c r="M39" s="55">
        <v>1850</v>
      </c>
      <c r="N39" s="69" t="s">
        <v>348</v>
      </c>
      <c r="O39" s="129">
        <v>20401</v>
      </c>
      <c r="P39" s="129">
        <v>20529</v>
      </c>
      <c r="Q39" s="129">
        <v>20717</v>
      </c>
      <c r="R39" s="129">
        <v>21010</v>
      </c>
      <c r="S39" s="129">
        <v>20985</v>
      </c>
      <c r="T39" s="129">
        <v>21009</v>
      </c>
      <c r="U39" s="129">
        <v>20900</v>
      </c>
      <c r="V39" s="129">
        <v>20900</v>
      </c>
      <c r="W39" s="130"/>
      <c r="X39" s="130"/>
      <c r="Y39" s="129"/>
      <c r="Z39" s="129"/>
      <c r="AA39" s="129"/>
    </row>
    <row r="40" spans="1:27" x14ac:dyDescent="0.25">
      <c r="A40" t="s">
        <v>514</v>
      </c>
      <c r="B40" s="75" t="s">
        <v>242</v>
      </c>
      <c r="C40" s="59">
        <f t="shared" si="0"/>
        <v>-4.5170257123002084E-3</v>
      </c>
      <c r="D40" t="s">
        <v>465</v>
      </c>
      <c r="E40" s="59">
        <f t="shared" si="1"/>
        <v>6.3086104006820118E-2</v>
      </c>
      <c r="F40" s="129">
        <v>12951</v>
      </c>
      <c r="G40" s="129"/>
      <c r="H40" s="129">
        <v>1445</v>
      </c>
      <c r="I40" s="55">
        <v>1320</v>
      </c>
      <c r="J40" s="55">
        <v>1240</v>
      </c>
      <c r="K40" s="55">
        <v>1140</v>
      </c>
      <c r="L40" s="55">
        <v>1090</v>
      </c>
      <c r="M40" s="55">
        <v>1075</v>
      </c>
      <c r="N40" s="69" t="s">
        <v>242</v>
      </c>
      <c r="O40" s="129">
        <v>11509</v>
      </c>
      <c r="P40" s="129">
        <v>11954</v>
      </c>
      <c r="Q40" s="129">
        <v>12358</v>
      </c>
      <c r="R40" s="129">
        <v>12491</v>
      </c>
      <c r="S40" s="129">
        <v>12724</v>
      </c>
      <c r="T40" s="129">
        <v>12951</v>
      </c>
      <c r="U40" s="129">
        <v>12600</v>
      </c>
      <c r="V40" s="129">
        <v>12600</v>
      </c>
      <c r="W40" s="130"/>
      <c r="X40" s="130"/>
      <c r="Y40" s="129"/>
      <c r="Z40" s="129"/>
      <c r="AA40" s="129"/>
    </row>
    <row r="41" spans="1:27" x14ac:dyDescent="0.25">
      <c r="A41" t="s">
        <v>514</v>
      </c>
      <c r="B41" s="75" t="s">
        <v>243</v>
      </c>
      <c r="C41" s="59">
        <f t="shared" si="0"/>
        <v>-2.7067520388980764E-3</v>
      </c>
      <c r="D41" t="s">
        <v>465</v>
      </c>
      <c r="E41" s="59">
        <f t="shared" si="1"/>
        <v>3.8102959059586543E-2</v>
      </c>
      <c r="F41" s="129">
        <v>23583</v>
      </c>
      <c r="G41" s="129"/>
      <c r="H41" s="129">
        <v>2760</v>
      </c>
      <c r="I41" s="55">
        <v>2630</v>
      </c>
      <c r="J41" s="55">
        <v>2565</v>
      </c>
      <c r="K41" s="55">
        <v>2480</v>
      </c>
      <c r="L41" s="55">
        <v>2370</v>
      </c>
      <c r="M41" s="55">
        <v>2290</v>
      </c>
      <c r="N41" s="69" t="s">
        <v>243</v>
      </c>
      <c r="O41" s="129">
        <v>23554</v>
      </c>
      <c r="P41" s="129">
        <v>23478</v>
      </c>
      <c r="Q41" s="129">
        <v>23732</v>
      </c>
      <c r="R41" s="129">
        <v>23934</v>
      </c>
      <c r="S41" s="129">
        <v>23786</v>
      </c>
      <c r="T41" s="129">
        <v>23583</v>
      </c>
      <c r="U41" s="129">
        <v>23300</v>
      </c>
      <c r="V41" s="129">
        <v>23200</v>
      </c>
      <c r="W41" s="130"/>
      <c r="X41" s="130"/>
      <c r="Y41" s="129"/>
      <c r="Z41" s="129"/>
      <c r="AA41" s="129"/>
    </row>
    <row r="42" spans="1:27" x14ac:dyDescent="0.25">
      <c r="A42" t="s">
        <v>517</v>
      </c>
      <c r="B42" s="75" t="s">
        <v>285</v>
      </c>
      <c r="C42" s="59">
        <f t="shared" si="0"/>
        <v>1.2538061973849184E-3</v>
      </c>
      <c r="D42" t="s">
        <v>465</v>
      </c>
      <c r="E42" s="59">
        <f t="shared" si="1"/>
        <v>3.9243769693497563E-2</v>
      </c>
      <c r="F42" s="129">
        <v>37220</v>
      </c>
      <c r="G42" s="129"/>
      <c r="H42" s="129">
        <v>3915</v>
      </c>
      <c r="I42" s="55">
        <v>3745</v>
      </c>
      <c r="J42" s="55">
        <v>3670</v>
      </c>
      <c r="K42" s="55">
        <v>3480</v>
      </c>
      <c r="L42" s="55">
        <v>3330</v>
      </c>
      <c r="M42" s="55">
        <v>3230</v>
      </c>
      <c r="N42" s="69" t="s">
        <v>285</v>
      </c>
      <c r="O42" s="129">
        <v>34852</v>
      </c>
      <c r="P42" s="129">
        <v>35278</v>
      </c>
      <c r="Q42" s="129">
        <v>35730</v>
      </c>
      <c r="R42" s="129">
        <v>36329</v>
      </c>
      <c r="S42" s="129">
        <v>36569</v>
      </c>
      <c r="T42" s="129">
        <v>37220</v>
      </c>
      <c r="U42" s="129">
        <v>37400</v>
      </c>
      <c r="V42" s="129">
        <v>37500</v>
      </c>
      <c r="W42" s="130"/>
      <c r="X42" s="130"/>
      <c r="Y42" s="129"/>
      <c r="Z42" s="129"/>
      <c r="AA42" s="129"/>
    </row>
    <row r="43" spans="1:27" x14ac:dyDescent="0.25">
      <c r="A43" t="s">
        <v>513</v>
      </c>
      <c r="B43" s="75" t="s">
        <v>349</v>
      </c>
      <c r="C43" s="59">
        <f t="shared" si="0"/>
        <v>-2.34127330366751E-3</v>
      </c>
      <c r="D43" t="s">
        <v>465</v>
      </c>
      <c r="E43" s="59">
        <f t="shared" si="1"/>
        <v>2.8790786948176585E-2</v>
      </c>
      <c r="F43" s="129">
        <v>11461</v>
      </c>
      <c r="G43" s="129"/>
      <c r="H43" s="129">
        <v>1165</v>
      </c>
      <c r="I43" s="55">
        <v>1115</v>
      </c>
      <c r="J43" s="55">
        <v>1055</v>
      </c>
      <c r="K43" s="55">
        <v>1010</v>
      </c>
      <c r="L43" s="55">
        <v>1015</v>
      </c>
      <c r="M43" s="55">
        <v>1015</v>
      </c>
      <c r="N43" s="69" t="s">
        <v>349</v>
      </c>
      <c r="O43" s="129">
        <v>10778</v>
      </c>
      <c r="P43" s="129">
        <v>10959</v>
      </c>
      <c r="Q43" s="129">
        <v>11021</v>
      </c>
      <c r="R43" s="129">
        <v>11162</v>
      </c>
      <c r="S43" s="129">
        <v>11293</v>
      </c>
      <c r="T43" s="129">
        <v>11461</v>
      </c>
      <c r="U43" s="129">
        <v>11200</v>
      </c>
      <c r="V43" s="129">
        <v>11300</v>
      </c>
      <c r="W43" s="130"/>
      <c r="X43" s="130"/>
      <c r="Y43" s="129"/>
      <c r="Z43" s="129"/>
      <c r="AA43" s="129"/>
    </row>
    <row r="44" spans="1:27" x14ac:dyDescent="0.25">
      <c r="A44" t="s">
        <v>512</v>
      </c>
      <c r="B44" s="75" t="s">
        <v>106</v>
      </c>
      <c r="C44" s="59">
        <f t="shared" si="0"/>
        <v>-5.4506371871641335E-3</v>
      </c>
      <c r="D44" t="s">
        <v>116</v>
      </c>
      <c r="E44" s="59">
        <f t="shared" si="1"/>
        <v>2.5024061597690085E-2</v>
      </c>
      <c r="F44" s="129">
        <v>26052</v>
      </c>
      <c r="G44" s="129"/>
      <c r="H44" s="129">
        <v>2250</v>
      </c>
      <c r="I44" s="55">
        <v>2210</v>
      </c>
      <c r="J44" s="55">
        <v>2145</v>
      </c>
      <c r="K44" s="55">
        <v>2040</v>
      </c>
      <c r="L44" s="55">
        <v>2005</v>
      </c>
      <c r="M44" s="55">
        <v>1990</v>
      </c>
      <c r="N44" s="69" t="s">
        <v>106</v>
      </c>
      <c r="O44" s="129">
        <v>25516</v>
      </c>
      <c r="P44" s="129">
        <v>25598</v>
      </c>
      <c r="Q44" s="129">
        <v>25678</v>
      </c>
      <c r="R44" s="129">
        <v>25908</v>
      </c>
      <c r="S44" s="129">
        <v>26014</v>
      </c>
      <c r="T44" s="129">
        <v>26052</v>
      </c>
      <c r="U44" s="129">
        <v>25200</v>
      </c>
      <c r="V44" s="129">
        <v>25200</v>
      </c>
      <c r="W44" s="130"/>
      <c r="X44" s="130"/>
      <c r="Y44" s="129"/>
      <c r="Z44" s="129"/>
      <c r="AA44" s="129"/>
    </row>
    <row r="45" spans="1:27" x14ac:dyDescent="0.25">
      <c r="A45" t="s">
        <v>518</v>
      </c>
      <c r="B45" s="75" t="s">
        <v>140</v>
      </c>
      <c r="C45" s="59">
        <f t="shared" si="0"/>
        <v>-1.6034710431993963E-3</v>
      </c>
      <c r="D45" t="s">
        <v>116</v>
      </c>
      <c r="E45" s="59">
        <f t="shared" si="1"/>
        <v>3.6292935839274142E-2</v>
      </c>
      <c r="F45" s="129">
        <v>24738</v>
      </c>
      <c r="G45" s="129"/>
      <c r="H45" s="129">
        <v>1680</v>
      </c>
      <c r="I45" s="55">
        <v>1655</v>
      </c>
      <c r="J45" s="55">
        <v>1670</v>
      </c>
      <c r="K45" s="55">
        <v>1560</v>
      </c>
      <c r="L45" s="55">
        <v>1430</v>
      </c>
      <c r="M45" s="55">
        <v>1400</v>
      </c>
      <c r="N45" s="69" t="s">
        <v>140</v>
      </c>
      <c r="O45" s="129">
        <v>23330</v>
      </c>
      <c r="P45" s="129">
        <v>23668</v>
      </c>
      <c r="Q45" s="129">
        <v>24002</v>
      </c>
      <c r="R45" s="129">
        <v>24526</v>
      </c>
      <c r="S45" s="129">
        <v>24639</v>
      </c>
      <c r="T45" s="129">
        <v>24738</v>
      </c>
      <c r="U45" s="129">
        <v>24300</v>
      </c>
      <c r="V45" s="129">
        <v>24500</v>
      </c>
      <c r="W45" s="130"/>
      <c r="X45" s="130"/>
      <c r="Y45" s="129"/>
      <c r="Z45" s="129"/>
      <c r="AA45" s="129"/>
    </row>
    <row r="46" spans="1:27" x14ac:dyDescent="0.25">
      <c r="A46" t="s">
        <v>524</v>
      </c>
      <c r="B46" s="75" t="s">
        <v>328</v>
      </c>
      <c r="C46" s="59">
        <f t="shared" si="0"/>
        <v>4.1293725948026118E-3</v>
      </c>
      <c r="D46" t="s">
        <v>465</v>
      </c>
      <c r="E46" s="59">
        <f t="shared" si="1"/>
        <v>2.445236882322975E-2</v>
      </c>
      <c r="F46" s="129">
        <v>23127</v>
      </c>
      <c r="G46" s="129"/>
      <c r="H46" s="129">
        <v>2115</v>
      </c>
      <c r="I46" s="55">
        <v>2055</v>
      </c>
      <c r="J46" s="55">
        <v>2015</v>
      </c>
      <c r="K46" s="55">
        <v>1970</v>
      </c>
      <c r="L46" s="55">
        <v>1900</v>
      </c>
      <c r="M46" s="55">
        <v>1875</v>
      </c>
      <c r="N46" s="69" t="s">
        <v>328</v>
      </c>
      <c r="O46" s="129">
        <v>22741</v>
      </c>
      <c r="P46" s="129">
        <v>22818</v>
      </c>
      <c r="Q46" s="129">
        <v>22843</v>
      </c>
      <c r="R46" s="129">
        <v>23155</v>
      </c>
      <c r="S46" s="129">
        <v>23121</v>
      </c>
      <c r="T46" s="129">
        <v>23127</v>
      </c>
      <c r="U46" s="129">
        <v>23500</v>
      </c>
      <c r="V46" s="129">
        <v>23700</v>
      </c>
      <c r="W46" s="130"/>
      <c r="X46" s="130"/>
      <c r="Y46" s="129"/>
      <c r="Z46" s="129"/>
      <c r="AA46" s="129"/>
    </row>
    <row r="47" spans="1:27" x14ac:dyDescent="0.25">
      <c r="A47" t="s">
        <v>513</v>
      </c>
      <c r="B47" s="75" t="s">
        <v>351</v>
      </c>
      <c r="C47" s="59">
        <f t="shared" si="0"/>
        <v>3.2275024096737447E-3</v>
      </c>
      <c r="D47" t="s">
        <v>116</v>
      </c>
      <c r="E47" s="59">
        <v>2.6023661599622498E-2</v>
      </c>
      <c r="F47" s="129">
        <v>34237</v>
      </c>
      <c r="G47" s="129"/>
      <c r="H47" s="129">
        <v>2928.3356672734913</v>
      </c>
      <c r="I47" s="61">
        <v>2858.550623162022</v>
      </c>
      <c r="J47" s="61">
        <v>2772.5290575549643</v>
      </c>
      <c r="K47" s="61">
        <v>2670.0021005461422</v>
      </c>
      <c r="L47" s="61">
        <v>2584.7332306399662</v>
      </c>
      <c r="M47" s="61">
        <v>2577.9589693320263</v>
      </c>
      <c r="N47" s="69" t="s">
        <v>351</v>
      </c>
      <c r="O47" s="129">
        <v>32967.333426690937</v>
      </c>
      <c r="P47" s="129">
        <v>33.007547962470241</v>
      </c>
      <c r="Q47" s="129">
        <v>33142</v>
      </c>
      <c r="R47" s="129">
        <v>33761</v>
      </c>
      <c r="S47" s="129">
        <v>33979</v>
      </c>
      <c r="T47" s="129">
        <v>34237</v>
      </c>
      <c r="U47" s="129">
        <v>34500</v>
      </c>
      <c r="V47" s="129">
        <v>34900</v>
      </c>
      <c r="W47" s="130"/>
      <c r="X47" s="130"/>
      <c r="Y47" s="129"/>
      <c r="Z47" s="129"/>
      <c r="AA47" s="129"/>
    </row>
    <row r="48" spans="1:27" x14ac:dyDescent="0.25">
      <c r="A48" s="71" t="s">
        <v>513</v>
      </c>
      <c r="B48" s="75" t="s">
        <v>352</v>
      </c>
      <c r="C48" s="59">
        <f t="shared" si="0"/>
        <v>6.5013009662807904E-3</v>
      </c>
      <c r="D48" t="s">
        <v>439</v>
      </c>
      <c r="E48" s="59">
        <f t="shared" si="1"/>
        <v>3.5600325345679786E-2</v>
      </c>
      <c r="F48" s="129">
        <v>188834</v>
      </c>
      <c r="G48" s="129"/>
      <c r="H48" s="129">
        <v>17800</v>
      </c>
      <c r="I48" s="55">
        <v>17040</v>
      </c>
      <c r="J48" s="55">
        <v>16570</v>
      </c>
      <c r="K48" s="55">
        <v>16040</v>
      </c>
      <c r="L48" s="55">
        <v>15310</v>
      </c>
      <c r="M48" s="55">
        <v>14955</v>
      </c>
      <c r="N48" s="69" t="s">
        <v>352</v>
      </c>
      <c r="O48" s="129">
        <v>184437</v>
      </c>
      <c r="P48" s="129">
        <v>184126</v>
      </c>
      <c r="Q48" s="129">
        <v>184706</v>
      </c>
      <c r="R48" s="129">
        <v>186475</v>
      </c>
      <c r="S48" s="129">
        <v>188078</v>
      </c>
      <c r="T48" s="129">
        <v>188834</v>
      </c>
      <c r="U48" s="129">
        <v>193400</v>
      </c>
      <c r="V48" s="129">
        <v>196200</v>
      </c>
      <c r="W48" s="130"/>
      <c r="X48" s="130"/>
      <c r="Y48" s="129"/>
      <c r="Z48" s="129"/>
      <c r="AA48" s="129"/>
    </row>
    <row r="49" spans="1:27" x14ac:dyDescent="0.25">
      <c r="A49" t="s">
        <v>515</v>
      </c>
      <c r="B49" s="75" t="s">
        <v>169</v>
      </c>
      <c r="C49" s="59">
        <f t="shared" si="0"/>
        <v>-6.5126225456161304E-3</v>
      </c>
      <c r="D49" t="s">
        <v>465</v>
      </c>
      <c r="E49" s="59">
        <f t="shared" si="1"/>
        <v>2.5871459694989107E-2</v>
      </c>
      <c r="F49" s="129">
        <v>36007</v>
      </c>
      <c r="G49" s="129"/>
      <c r="H49" s="129">
        <v>3980</v>
      </c>
      <c r="I49" s="55">
        <v>3875</v>
      </c>
      <c r="J49" s="55">
        <v>3765</v>
      </c>
      <c r="K49" s="55">
        <v>3655</v>
      </c>
      <c r="L49" s="55">
        <v>3560</v>
      </c>
      <c r="M49" s="55">
        <v>3505</v>
      </c>
      <c r="N49" s="69" t="s">
        <v>169</v>
      </c>
      <c r="O49" s="129">
        <v>36028</v>
      </c>
      <c r="P49" s="129">
        <v>36087</v>
      </c>
      <c r="Q49" s="129">
        <v>36075</v>
      </c>
      <c r="R49" s="129">
        <v>36279</v>
      </c>
      <c r="S49" s="129">
        <v>36119</v>
      </c>
      <c r="T49" s="129">
        <v>36007</v>
      </c>
      <c r="U49" s="129">
        <v>34900</v>
      </c>
      <c r="V49" s="129">
        <v>34600</v>
      </c>
      <c r="W49" s="130"/>
      <c r="X49" s="130"/>
      <c r="Y49" s="129"/>
      <c r="Z49" s="129"/>
      <c r="AA49" s="129"/>
    </row>
    <row r="50" spans="1:27" x14ac:dyDescent="0.25">
      <c r="A50" t="s">
        <v>515</v>
      </c>
      <c r="B50" s="75" t="s">
        <v>170</v>
      </c>
      <c r="C50" s="59">
        <f t="shared" si="0"/>
        <v>-3.8484310242747183E-3</v>
      </c>
      <c r="D50" t="s">
        <v>116</v>
      </c>
      <c r="E50" s="59">
        <f t="shared" si="1"/>
        <v>2.4783147459727387E-2</v>
      </c>
      <c r="F50" s="129">
        <v>21394</v>
      </c>
      <c r="G50" s="129"/>
      <c r="H50" s="129">
        <v>1735</v>
      </c>
      <c r="I50" s="55">
        <v>1710</v>
      </c>
      <c r="J50" s="55">
        <v>1680</v>
      </c>
      <c r="K50" s="55">
        <v>1600</v>
      </c>
      <c r="L50" s="55">
        <v>1545</v>
      </c>
      <c r="M50" s="55">
        <v>1535</v>
      </c>
      <c r="N50" s="69" t="s">
        <v>170</v>
      </c>
      <c r="O50" s="129">
        <v>20770</v>
      </c>
      <c r="P50" s="129">
        <v>20884</v>
      </c>
      <c r="Q50" s="129">
        <v>20888</v>
      </c>
      <c r="R50" s="129">
        <v>21105</v>
      </c>
      <c r="S50" s="129">
        <v>21286</v>
      </c>
      <c r="T50" s="129">
        <v>21394</v>
      </c>
      <c r="U50" s="129">
        <v>20900</v>
      </c>
      <c r="V50" s="129">
        <v>20900</v>
      </c>
      <c r="W50" s="130"/>
      <c r="X50" s="130"/>
      <c r="Y50" s="129"/>
      <c r="Z50" s="129"/>
      <c r="AA50" s="129"/>
    </row>
    <row r="51" spans="1:27" x14ac:dyDescent="0.25">
      <c r="A51" t="s">
        <v>522</v>
      </c>
      <c r="B51" s="75" t="s">
        <v>400</v>
      </c>
      <c r="C51" s="59">
        <f t="shared" si="0"/>
        <v>5.2607363820178473E-3</v>
      </c>
      <c r="D51" t="s">
        <v>439</v>
      </c>
      <c r="E51" s="59">
        <f t="shared" si="1"/>
        <v>2.5773195876288658E-2</v>
      </c>
      <c r="F51" s="129">
        <v>27531</v>
      </c>
      <c r="G51" s="129"/>
      <c r="H51" s="129">
        <v>1500</v>
      </c>
      <c r="I51" s="55">
        <v>1440</v>
      </c>
      <c r="J51" s="55">
        <v>1370</v>
      </c>
      <c r="K51" s="55">
        <v>1315</v>
      </c>
      <c r="L51" s="55">
        <v>1340</v>
      </c>
      <c r="M51" s="55">
        <v>1325</v>
      </c>
      <c r="N51" s="69" t="s">
        <v>400</v>
      </c>
      <c r="O51" s="129">
        <v>27853</v>
      </c>
      <c r="P51" s="129">
        <v>27670</v>
      </c>
      <c r="Q51" s="129">
        <v>27676</v>
      </c>
      <c r="R51" s="129">
        <v>27677</v>
      </c>
      <c r="S51" s="129">
        <v>27770</v>
      </c>
      <c r="T51" s="129">
        <v>27531</v>
      </c>
      <c r="U51" s="129">
        <v>28400</v>
      </c>
      <c r="V51" s="129">
        <v>28400</v>
      </c>
      <c r="W51" s="130"/>
      <c r="X51" s="130"/>
      <c r="Y51" s="129"/>
      <c r="Z51" s="129"/>
      <c r="AA51" s="129"/>
    </row>
    <row r="52" spans="1:27" x14ac:dyDescent="0.25">
      <c r="A52" t="s">
        <v>520</v>
      </c>
      <c r="B52" s="75" t="s">
        <v>214</v>
      </c>
      <c r="C52" s="59">
        <f t="shared" si="0"/>
        <v>2.2418770345801857E-3</v>
      </c>
      <c r="D52" t="s">
        <v>465</v>
      </c>
      <c r="E52" s="59">
        <f t="shared" si="1"/>
        <v>3.6764705882352942E-2</v>
      </c>
      <c r="F52" s="129">
        <v>16281</v>
      </c>
      <c r="G52" s="129"/>
      <c r="H52" s="129">
        <v>1670</v>
      </c>
      <c r="I52" s="55">
        <v>1625</v>
      </c>
      <c r="J52" s="55">
        <v>1550</v>
      </c>
      <c r="K52" s="55">
        <v>1495</v>
      </c>
      <c r="L52" s="55">
        <v>1415</v>
      </c>
      <c r="M52" s="55">
        <v>1395</v>
      </c>
      <c r="N52" s="69" t="s">
        <v>214</v>
      </c>
      <c r="O52" s="129">
        <v>15183</v>
      </c>
      <c r="P52" s="129">
        <v>15341</v>
      </c>
      <c r="Q52" s="129">
        <v>15592</v>
      </c>
      <c r="R52" s="129">
        <v>16022</v>
      </c>
      <c r="S52" s="129">
        <v>16108</v>
      </c>
      <c r="T52" s="129">
        <v>16281</v>
      </c>
      <c r="U52" s="129">
        <v>16300</v>
      </c>
      <c r="V52" s="129">
        <v>16500</v>
      </c>
      <c r="W52" s="130"/>
      <c r="X52" s="130"/>
      <c r="Y52" s="129"/>
      <c r="Z52" s="129"/>
      <c r="AA52" s="129"/>
    </row>
    <row r="53" spans="1:27" x14ac:dyDescent="0.25">
      <c r="A53" t="s">
        <v>520</v>
      </c>
      <c r="B53" s="75" t="s">
        <v>215</v>
      </c>
      <c r="C53" s="59">
        <f t="shared" si="0"/>
        <v>1.0356985456148084E-2</v>
      </c>
      <c r="D53" t="s">
        <v>465</v>
      </c>
      <c r="E53" s="59">
        <f t="shared" si="1"/>
        <v>3.4355179704016914E-2</v>
      </c>
      <c r="F53" s="129">
        <v>22690</v>
      </c>
      <c r="G53" s="129"/>
      <c r="H53" s="129">
        <v>2100</v>
      </c>
      <c r="I53" s="55">
        <v>2020</v>
      </c>
      <c r="J53" s="55">
        <v>1970</v>
      </c>
      <c r="K53" s="55">
        <v>1880</v>
      </c>
      <c r="L53" s="55">
        <v>1815</v>
      </c>
      <c r="M53" s="55">
        <v>1775</v>
      </c>
      <c r="N53" s="69" t="s">
        <v>215</v>
      </c>
      <c r="O53" s="129">
        <v>21873</v>
      </c>
      <c r="P53" s="129">
        <v>22019</v>
      </c>
      <c r="Q53" s="129">
        <v>22329</v>
      </c>
      <c r="R53" s="129">
        <v>22510</v>
      </c>
      <c r="S53" s="129">
        <v>22619</v>
      </c>
      <c r="T53" s="129">
        <v>22690</v>
      </c>
      <c r="U53" s="129">
        <v>23700</v>
      </c>
      <c r="V53" s="129">
        <v>24100</v>
      </c>
      <c r="W53" s="130"/>
      <c r="X53" s="130"/>
      <c r="Y53" s="129"/>
      <c r="Z53" s="129"/>
      <c r="AA53" s="129"/>
    </row>
    <row r="54" spans="1:27" x14ac:dyDescent="0.25">
      <c r="A54" t="s">
        <v>515</v>
      </c>
      <c r="B54" s="75" t="s">
        <v>171</v>
      </c>
      <c r="C54" s="59">
        <f t="shared" si="0"/>
        <v>8.4834620150605281E-3</v>
      </c>
      <c r="D54" t="s">
        <v>465</v>
      </c>
      <c r="E54" s="59">
        <f t="shared" si="1"/>
        <v>2.058029689608637E-2</v>
      </c>
      <c r="F54" s="129">
        <v>27976</v>
      </c>
      <c r="G54" s="129"/>
      <c r="H54" s="129">
        <v>3170</v>
      </c>
      <c r="I54" s="55">
        <v>3090</v>
      </c>
      <c r="J54" s="55">
        <v>3005</v>
      </c>
      <c r="K54" s="55">
        <v>2975</v>
      </c>
      <c r="L54" s="55">
        <v>2885</v>
      </c>
      <c r="M54" s="55">
        <v>2865</v>
      </c>
      <c r="N54" s="69" t="s">
        <v>171</v>
      </c>
      <c r="O54" s="129">
        <v>26715</v>
      </c>
      <c r="P54" s="129">
        <v>27009</v>
      </c>
      <c r="Q54" s="129">
        <v>27165</v>
      </c>
      <c r="R54" s="129">
        <v>27722</v>
      </c>
      <c r="S54" s="129">
        <v>27773</v>
      </c>
      <c r="T54" s="129">
        <v>27976</v>
      </c>
      <c r="U54" s="129">
        <v>28900</v>
      </c>
      <c r="V54" s="129">
        <v>29400</v>
      </c>
      <c r="W54" s="130"/>
      <c r="X54" s="130"/>
      <c r="Y54" s="129"/>
      <c r="Z54" s="129"/>
      <c r="AA54" s="129"/>
    </row>
    <row r="55" spans="1:27" x14ac:dyDescent="0.25">
      <c r="A55" t="s">
        <v>517</v>
      </c>
      <c r="B55" s="75" t="s">
        <v>287</v>
      </c>
      <c r="C55" s="59">
        <f t="shared" si="0"/>
        <v>1.0363121847984896E-3</v>
      </c>
      <c r="D55" t="s">
        <v>116</v>
      </c>
      <c r="E55" s="59">
        <f t="shared" si="1"/>
        <v>2.9903072798515156E-2</v>
      </c>
      <c r="F55" s="129">
        <v>68673</v>
      </c>
      <c r="G55" s="129"/>
      <c r="H55" s="129">
        <v>5385</v>
      </c>
      <c r="I55" s="55">
        <v>5080</v>
      </c>
      <c r="J55" s="55">
        <v>4980</v>
      </c>
      <c r="K55" s="55">
        <v>4815</v>
      </c>
      <c r="L55" s="55">
        <v>4710</v>
      </c>
      <c r="M55" s="55">
        <v>4660</v>
      </c>
      <c r="N55" s="69" t="s">
        <v>287</v>
      </c>
      <c r="O55" s="129">
        <v>67113</v>
      </c>
      <c r="P55" s="129">
        <v>67319</v>
      </c>
      <c r="Q55" s="129">
        <v>67186</v>
      </c>
      <c r="R55" s="129">
        <v>67531</v>
      </c>
      <c r="S55" s="129">
        <v>67925</v>
      </c>
      <c r="T55" s="129">
        <v>68673</v>
      </c>
      <c r="U55" s="129">
        <v>68700</v>
      </c>
      <c r="V55" s="129">
        <v>69100</v>
      </c>
      <c r="W55" s="130"/>
      <c r="X55" s="130"/>
      <c r="Y55" s="129"/>
      <c r="Z55" s="129"/>
      <c r="AA55" s="129"/>
    </row>
    <row r="56" spans="1:27" x14ac:dyDescent="0.25">
      <c r="A56" t="s">
        <v>514</v>
      </c>
      <c r="B56" s="75" t="s">
        <v>244</v>
      </c>
      <c r="C56" s="59">
        <f t="shared" si="0"/>
        <v>-9.831767533318768E-4</v>
      </c>
      <c r="D56" t="s">
        <v>465</v>
      </c>
      <c r="E56" s="59">
        <f t="shared" si="1"/>
        <v>3.6816269284712481E-2</v>
      </c>
      <c r="F56" s="129">
        <v>36616</v>
      </c>
      <c r="G56" s="129"/>
      <c r="H56" s="129">
        <v>3175</v>
      </c>
      <c r="I56" s="55">
        <v>3055</v>
      </c>
      <c r="J56" s="55">
        <v>2970</v>
      </c>
      <c r="K56" s="55">
        <v>2835</v>
      </c>
      <c r="L56" s="55">
        <v>2750</v>
      </c>
      <c r="M56" s="55">
        <v>2650</v>
      </c>
      <c r="N56" s="69" t="s">
        <v>244</v>
      </c>
      <c r="O56" s="129">
        <v>35966</v>
      </c>
      <c r="P56" s="129">
        <v>36086</v>
      </c>
      <c r="Q56" s="129">
        <v>36249</v>
      </c>
      <c r="R56" s="129">
        <v>36349</v>
      </c>
      <c r="S56" s="129">
        <v>36366</v>
      </c>
      <c r="T56" s="129">
        <v>36616</v>
      </c>
      <c r="U56" s="129">
        <v>36300</v>
      </c>
      <c r="V56" s="129">
        <v>36400</v>
      </c>
      <c r="W56" s="130"/>
      <c r="X56" s="130"/>
      <c r="Y56" s="129"/>
      <c r="Z56" s="129"/>
      <c r="AA56" s="129"/>
    </row>
    <row r="57" spans="1:27" x14ac:dyDescent="0.25">
      <c r="A57" t="s">
        <v>512</v>
      </c>
      <c r="B57" s="75" t="s">
        <v>107</v>
      </c>
      <c r="C57" s="59">
        <f t="shared" si="0"/>
        <v>-9.1446414631426338E-3</v>
      </c>
      <c r="D57" t="s">
        <v>116</v>
      </c>
      <c r="E57" s="59">
        <f t="shared" si="1"/>
        <v>1.6967126193001062E-2</v>
      </c>
      <c r="F57" s="129">
        <v>35868</v>
      </c>
      <c r="G57" s="129"/>
      <c r="H57" s="129">
        <v>2980</v>
      </c>
      <c r="I57" s="55">
        <v>2920</v>
      </c>
      <c r="J57" s="55">
        <v>2865</v>
      </c>
      <c r="K57" s="55">
        <v>2830</v>
      </c>
      <c r="L57" s="55">
        <v>2790</v>
      </c>
      <c r="M57" s="55">
        <v>2740</v>
      </c>
      <c r="N57" s="69" t="s">
        <v>107</v>
      </c>
      <c r="O57" s="129">
        <v>35356</v>
      </c>
      <c r="P57" s="129">
        <v>35317</v>
      </c>
      <c r="Q57" s="129">
        <v>35515</v>
      </c>
      <c r="R57" s="129">
        <v>35706</v>
      </c>
      <c r="S57" s="129">
        <v>35725</v>
      </c>
      <c r="T57" s="129">
        <v>35868</v>
      </c>
      <c r="U57" s="129">
        <v>34200</v>
      </c>
      <c r="V57" s="129">
        <v>33900</v>
      </c>
      <c r="W57" s="130"/>
      <c r="X57" s="130"/>
      <c r="Y57" s="129"/>
      <c r="Z57" s="129"/>
      <c r="AA57" s="129"/>
    </row>
    <row r="58" spans="1:27" x14ac:dyDescent="0.25">
      <c r="A58" t="s">
        <v>513</v>
      </c>
      <c r="B58" s="75" t="s">
        <v>353</v>
      </c>
      <c r="C58" s="59">
        <f t="shared" si="0"/>
        <v>-4.1323581274820978E-3</v>
      </c>
      <c r="D58" t="s">
        <v>465</v>
      </c>
      <c r="E58" s="59">
        <f t="shared" si="1"/>
        <v>2.328042328042328E-2</v>
      </c>
      <c r="F58" s="129">
        <v>21739</v>
      </c>
      <c r="G58" s="129"/>
      <c r="H58" s="129">
        <v>2030</v>
      </c>
      <c r="I58" s="55">
        <v>1965</v>
      </c>
      <c r="J58" s="55">
        <v>1925</v>
      </c>
      <c r="K58" s="55">
        <v>1885</v>
      </c>
      <c r="L58" s="55">
        <v>1865</v>
      </c>
      <c r="M58" s="55">
        <v>1810</v>
      </c>
      <c r="N58" s="69" t="s">
        <v>353</v>
      </c>
      <c r="O58" s="129">
        <v>21119</v>
      </c>
      <c r="P58" s="129">
        <v>21001</v>
      </c>
      <c r="Q58" s="129">
        <v>20668</v>
      </c>
      <c r="R58" s="129">
        <v>20881</v>
      </c>
      <c r="S58" s="129">
        <v>20841</v>
      </c>
      <c r="T58" s="129">
        <v>21739</v>
      </c>
      <c r="U58" s="129">
        <v>21200</v>
      </c>
      <c r="V58" s="129">
        <v>21200</v>
      </c>
      <c r="W58" s="130"/>
      <c r="X58" s="130"/>
      <c r="Y58" s="129"/>
      <c r="Z58" s="129"/>
      <c r="AA58" s="129"/>
    </row>
    <row r="59" spans="1:27" x14ac:dyDescent="0.25">
      <c r="A59" t="s">
        <v>515</v>
      </c>
      <c r="B59" s="75" t="s">
        <v>172</v>
      </c>
      <c r="C59" s="59">
        <f t="shared" si="0"/>
        <v>3.8897875196690101E-3</v>
      </c>
      <c r="D59" t="s">
        <v>116</v>
      </c>
      <c r="E59" s="59">
        <f t="shared" si="1"/>
        <v>2.6418362927674317E-2</v>
      </c>
      <c r="F59" s="129">
        <v>30293</v>
      </c>
      <c r="G59" s="129"/>
      <c r="H59" s="129">
        <v>2505</v>
      </c>
      <c r="I59" s="55">
        <v>2410</v>
      </c>
      <c r="J59" s="55">
        <v>2385</v>
      </c>
      <c r="K59" s="55">
        <v>2320</v>
      </c>
      <c r="L59" s="55">
        <v>2230</v>
      </c>
      <c r="M59" s="55">
        <v>2200</v>
      </c>
      <c r="N59" s="69" t="s">
        <v>172</v>
      </c>
      <c r="O59" s="129">
        <v>28920</v>
      </c>
      <c r="P59" s="129">
        <v>29121</v>
      </c>
      <c r="Q59" s="129">
        <v>29387</v>
      </c>
      <c r="R59" s="129">
        <v>29739</v>
      </c>
      <c r="S59" s="129">
        <v>29944</v>
      </c>
      <c r="T59" s="129">
        <v>30293</v>
      </c>
      <c r="U59" s="129">
        <v>30600</v>
      </c>
      <c r="V59" s="129">
        <v>31000</v>
      </c>
      <c r="W59" s="130"/>
      <c r="X59" s="130"/>
      <c r="Y59" s="129"/>
      <c r="Z59" s="129"/>
      <c r="AA59" s="129"/>
    </row>
    <row r="60" spans="1:27" x14ac:dyDescent="0.25">
      <c r="A60" t="s">
        <v>518</v>
      </c>
      <c r="B60" s="75" t="s">
        <v>141</v>
      </c>
      <c r="C60" s="59">
        <f t="shared" si="0"/>
        <v>-3.0559160538196177E-3</v>
      </c>
      <c r="D60" t="s">
        <v>465</v>
      </c>
      <c r="E60" s="59">
        <f t="shared" si="1"/>
        <v>3.5535117056856184E-2</v>
      </c>
      <c r="F60" s="129">
        <v>30051</v>
      </c>
      <c r="G60" s="129"/>
      <c r="H60" s="129">
        <v>2665</v>
      </c>
      <c r="I60" s="55">
        <v>2560</v>
      </c>
      <c r="J60" s="55">
        <v>2470</v>
      </c>
      <c r="K60" s="55">
        <v>2385</v>
      </c>
      <c r="L60" s="55">
        <v>2305</v>
      </c>
      <c r="M60" s="55">
        <v>2240</v>
      </c>
      <c r="N60" s="69" t="s">
        <v>141</v>
      </c>
      <c r="O60" s="129">
        <v>28592</v>
      </c>
      <c r="P60" s="129">
        <v>28901</v>
      </c>
      <c r="Q60" s="129">
        <v>29158</v>
      </c>
      <c r="R60" s="129">
        <v>29609</v>
      </c>
      <c r="S60" s="129">
        <v>29683</v>
      </c>
      <c r="T60" s="129">
        <v>30051</v>
      </c>
      <c r="U60" s="129">
        <v>29400</v>
      </c>
      <c r="V60" s="129">
        <v>29500</v>
      </c>
      <c r="W60" s="130"/>
      <c r="X60" s="130"/>
      <c r="Y60" s="129"/>
      <c r="Z60" s="129"/>
      <c r="AA60" s="129"/>
    </row>
    <row r="61" spans="1:27" x14ac:dyDescent="0.25">
      <c r="A61" t="s">
        <v>516</v>
      </c>
      <c r="B61" s="75" t="s">
        <v>127</v>
      </c>
      <c r="C61" s="59">
        <f t="shared" si="0"/>
        <v>-8.1687393318702756E-3</v>
      </c>
      <c r="D61" t="s">
        <v>116</v>
      </c>
      <c r="E61" s="59">
        <f t="shared" si="1"/>
        <v>2.5498007968127491E-2</v>
      </c>
      <c r="F61" s="129">
        <v>19138</v>
      </c>
      <c r="G61" s="129"/>
      <c r="H61" s="129">
        <v>1360</v>
      </c>
      <c r="I61" s="55">
        <v>1330</v>
      </c>
      <c r="J61" s="55">
        <v>1295</v>
      </c>
      <c r="K61" s="55">
        <v>1245</v>
      </c>
      <c r="L61" s="55">
        <v>1205</v>
      </c>
      <c r="M61" s="55">
        <v>1200</v>
      </c>
      <c r="N61" s="69" t="s">
        <v>127</v>
      </c>
      <c r="O61" s="129">
        <v>18945</v>
      </c>
      <c r="P61" s="129">
        <v>18943</v>
      </c>
      <c r="Q61" s="129">
        <v>18961</v>
      </c>
      <c r="R61" s="129">
        <v>19194</v>
      </c>
      <c r="S61" s="129">
        <v>19135</v>
      </c>
      <c r="T61" s="129">
        <v>19138</v>
      </c>
      <c r="U61" s="129">
        <v>18400</v>
      </c>
      <c r="V61" s="129">
        <v>18200</v>
      </c>
      <c r="W61" s="130"/>
      <c r="X61" s="130"/>
      <c r="Y61" s="129"/>
      <c r="Z61" s="129"/>
      <c r="AA61" s="129"/>
    </row>
    <row r="62" spans="1:27" x14ac:dyDescent="0.25">
      <c r="A62" t="s">
        <v>520</v>
      </c>
      <c r="B62" s="75" t="s">
        <v>216</v>
      </c>
      <c r="C62" s="59">
        <f t="shared" si="0"/>
        <v>-1.8800140049626279E-3</v>
      </c>
      <c r="D62" t="s">
        <v>465</v>
      </c>
      <c r="E62" s="59">
        <f t="shared" si="1"/>
        <v>3.0375508251614447E-2</v>
      </c>
      <c r="F62" s="129">
        <v>43794</v>
      </c>
      <c r="G62" s="129"/>
      <c r="H62" s="129">
        <v>4580</v>
      </c>
      <c r="I62" s="55">
        <v>4455</v>
      </c>
      <c r="J62" s="55">
        <v>4320</v>
      </c>
      <c r="K62" s="55">
        <v>4160</v>
      </c>
      <c r="L62" s="55">
        <v>4025</v>
      </c>
      <c r="M62" s="55">
        <v>3945</v>
      </c>
      <c r="N62" s="69" t="s">
        <v>216</v>
      </c>
      <c r="O62" s="129">
        <v>43123</v>
      </c>
      <c r="P62" s="129">
        <v>43384</v>
      </c>
      <c r="Q62" s="129">
        <v>43508</v>
      </c>
      <c r="R62" s="129">
        <v>43882</v>
      </c>
      <c r="S62" s="129">
        <v>43718</v>
      </c>
      <c r="T62" s="129">
        <v>43794</v>
      </c>
      <c r="U62" s="129">
        <v>43200</v>
      </c>
      <c r="V62" s="129">
        <v>43300</v>
      </c>
      <c r="W62" s="130"/>
      <c r="X62" s="130"/>
      <c r="Y62" s="129"/>
      <c r="Z62" s="129"/>
      <c r="AA62" s="129"/>
    </row>
    <row r="63" spans="1:27" x14ac:dyDescent="0.25">
      <c r="A63" t="s">
        <v>516</v>
      </c>
      <c r="B63" s="75" t="s">
        <v>525</v>
      </c>
      <c r="C63" s="59">
        <f t="shared" si="0"/>
        <v>-7.4472565761764366E-3</v>
      </c>
      <c r="D63" t="s">
        <v>116</v>
      </c>
      <c r="E63" s="59">
        <f t="shared" ref="E63:E125" si="7">SUM(H63,-M63)/(SUM(I63,J63,K63,L63,M63))</f>
        <v>2.0095693779904306E-2</v>
      </c>
      <c r="F63" s="129">
        <v>52234</v>
      </c>
      <c r="G63" s="129"/>
      <c r="H63" s="129">
        <v>5610</v>
      </c>
      <c r="I63" s="55">
        <v>5450</v>
      </c>
      <c r="J63" s="55">
        <v>5325</v>
      </c>
      <c r="K63" s="55">
        <v>5155</v>
      </c>
      <c r="L63" s="55">
        <v>5110</v>
      </c>
      <c r="M63" s="55">
        <v>5085</v>
      </c>
      <c r="N63" s="69" t="s">
        <v>525</v>
      </c>
      <c r="O63" s="129">
        <v>51561</v>
      </c>
      <c r="P63" s="129">
        <v>51778</v>
      </c>
      <c r="Q63" s="129">
        <v>51595</v>
      </c>
      <c r="R63" s="129">
        <v>52009</v>
      </c>
      <c r="S63" s="129">
        <v>51929</v>
      </c>
      <c r="T63" s="129">
        <v>52234</v>
      </c>
      <c r="U63" s="129">
        <v>50300</v>
      </c>
      <c r="V63" s="129">
        <v>49900</v>
      </c>
      <c r="W63" s="130"/>
      <c r="X63" s="130"/>
      <c r="Y63" s="129"/>
      <c r="Z63" s="129"/>
      <c r="AA63" s="129"/>
    </row>
    <row r="64" spans="1:27" x14ac:dyDescent="0.25">
      <c r="A64" t="s">
        <v>520</v>
      </c>
      <c r="B64" s="75" t="s">
        <v>217</v>
      </c>
      <c r="C64" s="59">
        <f t="shared" si="0"/>
        <v>-3.3533664314955142E-3</v>
      </c>
      <c r="D64" t="s">
        <v>465</v>
      </c>
      <c r="E64" s="59">
        <f t="shared" si="7"/>
        <v>2.911392405063291E-2</v>
      </c>
      <c r="F64" s="129">
        <v>45924</v>
      </c>
      <c r="G64" s="129"/>
      <c r="H64" s="129">
        <v>5225</v>
      </c>
      <c r="I64" s="55">
        <v>5000</v>
      </c>
      <c r="J64" s="55">
        <v>4880</v>
      </c>
      <c r="K64" s="55">
        <v>4720</v>
      </c>
      <c r="L64" s="55">
        <v>4565</v>
      </c>
      <c r="M64" s="55">
        <v>4535</v>
      </c>
      <c r="N64" s="69" t="s">
        <v>217</v>
      </c>
      <c r="O64" s="129">
        <v>44435</v>
      </c>
      <c r="P64" s="129">
        <v>44720</v>
      </c>
      <c r="Q64" s="129">
        <v>44950</v>
      </c>
      <c r="R64" s="129">
        <v>45557</v>
      </c>
      <c r="S64" s="129">
        <v>45813</v>
      </c>
      <c r="T64" s="129">
        <v>45924</v>
      </c>
      <c r="U64" s="129">
        <v>45000</v>
      </c>
      <c r="V64" s="129">
        <v>45000</v>
      </c>
      <c r="W64" s="130"/>
      <c r="X64" s="130"/>
      <c r="Y64" s="129"/>
      <c r="Z64" s="129"/>
      <c r="AA64" s="129"/>
    </row>
    <row r="65" spans="1:27" x14ac:dyDescent="0.25">
      <c r="A65" t="s">
        <v>512</v>
      </c>
      <c r="B65" s="75" t="s">
        <v>115</v>
      </c>
      <c r="C65" s="59">
        <f t="shared" si="0"/>
        <v>-6.5207108588418144E-3</v>
      </c>
      <c r="D65" t="s">
        <v>465</v>
      </c>
      <c r="E65" s="59">
        <f t="shared" si="7"/>
        <v>3.534923339011925E-2</v>
      </c>
      <c r="F65" s="129">
        <v>24665</v>
      </c>
      <c r="G65" s="129"/>
      <c r="H65" s="129">
        <v>2600</v>
      </c>
      <c r="I65" s="55">
        <v>2515</v>
      </c>
      <c r="J65" s="55">
        <v>2475</v>
      </c>
      <c r="K65" s="55">
        <v>2345</v>
      </c>
      <c r="L65" s="55">
        <v>2220</v>
      </c>
      <c r="M65" s="55">
        <v>2185</v>
      </c>
      <c r="N65" s="69" t="s">
        <v>115</v>
      </c>
      <c r="O65" s="129">
        <v>24291</v>
      </c>
      <c r="P65" s="129">
        <v>24374</v>
      </c>
      <c r="Q65" s="129">
        <v>24514</v>
      </c>
      <c r="R65" s="129">
        <v>24595</v>
      </c>
      <c r="S65" s="129">
        <v>24580</v>
      </c>
      <c r="T65" s="129">
        <v>24665</v>
      </c>
      <c r="U65" s="129">
        <v>23800</v>
      </c>
      <c r="V65" s="129">
        <v>23700</v>
      </c>
      <c r="W65" s="130"/>
      <c r="X65" s="130"/>
      <c r="Y65" s="129"/>
      <c r="Z65" s="129"/>
      <c r="AA65" s="129"/>
    </row>
    <row r="66" spans="1:27" x14ac:dyDescent="0.25">
      <c r="A66" t="s">
        <v>517</v>
      </c>
      <c r="B66" s="75" t="s">
        <v>288</v>
      </c>
      <c r="C66" s="59">
        <f t="shared" si="0"/>
        <v>1.3723568974693958E-2</v>
      </c>
      <c r="D66" t="s">
        <v>116</v>
      </c>
      <c r="E66" s="59">
        <f t="shared" si="7"/>
        <v>3.1612368856985089E-2</v>
      </c>
      <c r="F66" s="129">
        <v>110224</v>
      </c>
      <c r="G66" s="129"/>
      <c r="H66" s="129">
        <v>7995</v>
      </c>
      <c r="I66" s="55">
        <v>7665</v>
      </c>
      <c r="J66" s="55">
        <v>7530</v>
      </c>
      <c r="K66" s="55">
        <v>7185</v>
      </c>
      <c r="L66" s="55">
        <v>6990</v>
      </c>
      <c r="M66" s="55">
        <v>6850</v>
      </c>
      <c r="N66" s="69" t="s">
        <v>288</v>
      </c>
      <c r="O66" s="129">
        <v>103808</v>
      </c>
      <c r="P66" s="129">
        <v>103581</v>
      </c>
      <c r="Q66" s="129">
        <v>104533</v>
      </c>
      <c r="R66" s="129">
        <v>106083</v>
      </c>
      <c r="S66" s="129">
        <v>109577</v>
      </c>
      <c r="T66" s="129">
        <v>110224</v>
      </c>
      <c r="U66" s="129">
        <v>117600</v>
      </c>
      <c r="V66" s="129">
        <v>119300</v>
      </c>
      <c r="W66" s="130"/>
      <c r="X66" s="130"/>
      <c r="Y66" s="129"/>
      <c r="Z66" s="129"/>
      <c r="AA66" s="129"/>
    </row>
    <row r="67" spans="1:27" x14ac:dyDescent="0.25">
      <c r="A67" t="s">
        <v>514</v>
      </c>
      <c r="B67" s="75" t="s">
        <v>245</v>
      </c>
      <c r="C67" s="59">
        <f t="shared" ref="C67:C130" si="8">(SUM(V67,-T67)/6)/T67</f>
        <v>-6.9278969199541079E-3</v>
      </c>
      <c r="D67" t="s">
        <v>439</v>
      </c>
      <c r="E67" s="59">
        <f t="shared" si="7"/>
        <v>2.019473494410386E-2</v>
      </c>
      <c r="F67" s="129">
        <v>56655</v>
      </c>
      <c r="G67" s="129"/>
      <c r="H67" s="129">
        <v>2975</v>
      </c>
      <c r="I67" s="55">
        <v>2875</v>
      </c>
      <c r="J67" s="55">
        <v>2825</v>
      </c>
      <c r="K67" s="55">
        <v>2765</v>
      </c>
      <c r="L67" s="55">
        <v>2705</v>
      </c>
      <c r="M67" s="55">
        <v>2695</v>
      </c>
      <c r="N67" s="69" t="s">
        <v>245</v>
      </c>
      <c r="O67" s="129">
        <v>56218</v>
      </c>
      <c r="P67" s="129">
        <v>56582</v>
      </c>
      <c r="Q67" s="129">
        <v>56338</v>
      </c>
      <c r="R67" s="129">
        <v>56541</v>
      </c>
      <c r="S67" s="129">
        <v>56432</v>
      </c>
      <c r="T67" s="129">
        <v>56655</v>
      </c>
      <c r="U67" s="129">
        <v>54700</v>
      </c>
      <c r="V67" s="129">
        <v>54300</v>
      </c>
      <c r="W67" s="130"/>
      <c r="X67" s="130"/>
      <c r="Y67" s="129"/>
      <c r="Z67" s="129"/>
      <c r="AA67" s="129"/>
    </row>
    <row r="68" spans="1:27" x14ac:dyDescent="0.25">
      <c r="A68" t="s">
        <v>513</v>
      </c>
      <c r="B68" s="75" t="s">
        <v>355</v>
      </c>
      <c r="C68" s="59">
        <f t="shared" si="8"/>
        <v>5.9901761111776687E-5</v>
      </c>
      <c r="D68" t="s">
        <v>116</v>
      </c>
      <c r="E68" s="59">
        <f t="shared" si="7"/>
        <v>2.4092297251442144E-2</v>
      </c>
      <c r="F68" s="129">
        <v>33388</v>
      </c>
      <c r="G68" s="129"/>
      <c r="H68" s="129">
        <v>3200</v>
      </c>
      <c r="I68" s="55">
        <v>3070</v>
      </c>
      <c r="J68" s="55">
        <v>3035</v>
      </c>
      <c r="K68" s="55">
        <v>2930</v>
      </c>
      <c r="L68" s="55">
        <v>2855</v>
      </c>
      <c r="M68" s="55">
        <v>2845</v>
      </c>
      <c r="N68" s="69" t="s">
        <v>355</v>
      </c>
      <c r="O68" s="129">
        <v>32457</v>
      </c>
      <c r="P68" s="129">
        <v>32437</v>
      </c>
      <c r="Q68" s="129">
        <v>32602</v>
      </c>
      <c r="R68" s="129">
        <v>32982</v>
      </c>
      <c r="S68" s="129">
        <v>33180</v>
      </c>
      <c r="T68" s="129">
        <v>33388</v>
      </c>
      <c r="U68" s="129">
        <v>33200</v>
      </c>
      <c r="V68" s="129">
        <v>33400</v>
      </c>
      <c r="W68" s="130"/>
      <c r="X68" s="130"/>
      <c r="Y68" s="129"/>
      <c r="Z68" s="129"/>
      <c r="AA68" s="129"/>
    </row>
    <row r="69" spans="1:27" x14ac:dyDescent="0.25">
      <c r="A69" t="s">
        <v>518</v>
      </c>
      <c r="B69" s="75" t="s">
        <v>142</v>
      </c>
      <c r="C69" s="59">
        <f t="shared" si="8"/>
        <v>4.3128381639038291E-3</v>
      </c>
      <c r="D69" t="s">
        <v>439</v>
      </c>
      <c r="E69" s="59">
        <f t="shared" si="7"/>
        <v>3.3402001177163035E-2</v>
      </c>
      <c r="F69" s="129">
        <v>104301</v>
      </c>
      <c r="G69" s="129"/>
      <c r="H69" s="129">
        <v>7555</v>
      </c>
      <c r="I69" s="55">
        <v>7240</v>
      </c>
      <c r="J69" s="55">
        <v>7045</v>
      </c>
      <c r="K69" s="55">
        <v>6790</v>
      </c>
      <c r="L69" s="55">
        <v>6485</v>
      </c>
      <c r="M69" s="55">
        <v>6420</v>
      </c>
      <c r="N69" s="69" t="s">
        <v>142</v>
      </c>
      <c r="O69" s="129">
        <v>100662</v>
      </c>
      <c r="P69" s="129">
        <v>101236</v>
      </c>
      <c r="Q69" s="129">
        <v>101415</v>
      </c>
      <c r="R69" s="129">
        <v>102805</v>
      </c>
      <c r="S69" s="129">
        <v>103405</v>
      </c>
      <c r="T69" s="129">
        <v>104301</v>
      </c>
      <c r="U69" s="129">
        <v>105700</v>
      </c>
      <c r="V69" s="129">
        <v>107000</v>
      </c>
      <c r="W69" s="130"/>
      <c r="X69" s="130"/>
      <c r="Y69" s="129"/>
      <c r="Z69" s="129"/>
      <c r="AA69" s="129"/>
    </row>
    <row r="70" spans="1:27" x14ac:dyDescent="0.25">
      <c r="A70" t="s">
        <v>514</v>
      </c>
      <c r="B70" s="75" t="s">
        <v>246</v>
      </c>
      <c r="C70" s="59">
        <f t="shared" si="8"/>
        <v>2.1269344880121884E-2</v>
      </c>
      <c r="D70" t="s">
        <v>116</v>
      </c>
      <c r="E70" s="59">
        <f t="shared" si="7"/>
        <v>5.7656826568265686E-2</v>
      </c>
      <c r="F70" s="129">
        <v>33256</v>
      </c>
      <c r="G70" s="129"/>
      <c r="H70" s="129">
        <v>2595</v>
      </c>
      <c r="I70" s="55">
        <v>2305</v>
      </c>
      <c r="J70" s="55">
        <v>2315</v>
      </c>
      <c r="K70" s="55">
        <v>2210</v>
      </c>
      <c r="L70" s="55">
        <v>2040</v>
      </c>
      <c r="M70" s="55">
        <v>1970</v>
      </c>
      <c r="N70" s="69" t="s">
        <v>246</v>
      </c>
      <c r="O70" s="129">
        <v>30767</v>
      </c>
      <c r="P70" s="129">
        <v>31334</v>
      </c>
      <c r="Q70" s="129">
        <v>31820</v>
      </c>
      <c r="R70" s="129">
        <v>32744</v>
      </c>
      <c r="S70" s="129">
        <v>32977</v>
      </c>
      <c r="T70" s="129">
        <v>33256</v>
      </c>
      <c r="U70" s="129">
        <v>36300</v>
      </c>
      <c r="V70" s="129">
        <v>37500</v>
      </c>
      <c r="W70" s="130"/>
      <c r="X70" s="130"/>
      <c r="Y70" s="129"/>
      <c r="Z70" s="129"/>
      <c r="AA70" s="129"/>
    </row>
    <row r="71" spans="1:27" x14ac:dyDescent="0.25">
      <c r="A71" t="s">
        <v>514</v>
      </c>
      <c r="B71" s="75" t="s">
        <v>772</v>
      </c>
      <c r="C71" s="59">
        <f t="shared" si="8"/>
        <v>2.488658695612247E-3</v>
      </c>
      <c r="D71" t="s">
        <v>116</v>
      </c>
      <c r="E71" s="59">
        <v>3.3172195365894316E-2</v>
      </c>
      <c r="F71" s="129">
        <v>90745</v>
      </c>
      <c r="G71" s="129"/>
      <c r="H71" s="129">
        <v>6660</v>
      </c>
      <c r="I71" s="55">
        <v>6380</v>
      </c>
      <c r="J71" s="55">
        <v>6205</v>
      </c>
      <c r="K71" s="55">
        <v>5970</v>
      </c>
      <c r="L71" s="55">
        <v>5775</v>
      </c>
      <c r="M71" s="55">
        <v>5665</v>
      </c>
      <c r="N71" s="69" t="s">
        <v>772</v>
      </c>
      <c r="O71" s="129">
        <v>85709</v>
      </c>
      <c r="P71" s="129">
        <v>86722</v>
      </c>
      <c r="Q71" s="129">
        <v>87654</v>
      </c>
      <c r="R71" s="129">
        <v>89105</v>
      </c>
      <c r="S71" s="129">
        <v>90076</v>
      </c>
      <c r="T71" s="129">
        <v>90745</v>
      </c>
      <c r="U71" s="129">
        <v>91000</v>
      </c>
      <c r="V71" s="129">
        <v>92100</v>
      </c>
      <c r="W71" s="130"/>
      <c r="X71" s="130"/>
      <c r="Y71" s="129"/>
      <c r="Z71" s="129"/>
      <c r="AA71" s="129"/>
    </row>
    <row r="72" spans="1:27" x14ac:dyDescent="0.25">
      <c r="A72" t="s">
        <v>518</v>
      </c>
      <c r="B72" s="75" t="s">
        <v>143</v>
      </c>
      <c r="C72" s="59">
        <f t="shared" si="8"/>
        <v>-6.4042603609333875E-3</v>
      </c>
      <c r="D72" t="s">
        <v>465</v>
      </c>
      <c r="E72" s="59">
        <f t="shared" si="7"/>
        <v>3.0546623794212219E-2</v>
      </c>
      <c r="F72" s="129">
        <v>26727</v>
      </c>
      <c r="G72" s="129"/>
      <c r="H72" s="129">
        <v>2730</v>
      </c>
      <c r="I72" s="55">
        <v>2630</v>
      </c>
      <c r="J72" s="55">
        <v>2590</v>
      </c>
      <c r="K72" s="55">
        <v>2470</v>
      </c>
      <c r="L72" s="55">
        <v>2400</v>
      </c>
      <c r="M72" s="55">
        <v>2350</v>
      </c>
      <c r="N72" s="69" t="s">
        <v>143</v>
      </c>
      <c r="O72" s="129">
        <v>26473</v>
      </c>
      <c r="P72" s="129">
        <v>26606</v>
      </c>
      <c r="Q72" s="129">
        <v>26591</v>
      </c>
      <c r="R72" s="129">
        <v>26745</v>
      </c>
      <c r="S72" s="129">
        <v>26739</v>
      </c>
      <c r="T72" s="129">
        <v>26727</v>
      </c>
      <c r="U72" s="129">
        <v>25900</v>
      </c>
      <c r="V72" s="129">
        <v>25700</v>
      </c>
      <c r="W72" s="130"/>
      <c r="X72" s="130"/>
      <c r="Y72" s="129"/>
      <c r="Z72" s="129"/>
      <c r="AA72" s="129"/>
    </row>
    <row r="73" spans="1:27" x14ac:dyDescent="0.25">
      <c r="A73" t="s">
        <v>515</v>
      </c>
      <c r="B73" s="75" t="s">
        <v>173</v>
      </c>
      <c r="C73" s="59">
        <f t="shared" si="8"/>
        <v>2.6978417266187052E-3</v>
      </c>
      <c r="D73" t="s">
        <v>439</v>
      </c>
      <c r="E73" s="59">
        <f t="shared" si="7"/>
        <v>2.1592442645074223E-2</v>
      </c>
      <c r="F73" s="129">
        <v>11120</v>
      </c>
      <c r="G73" s="129"/>
      <c r="H73" s="129">
        <v>795</v>
      </c>
      <c r="I73" s="55">
        <v>765</v>
      </c>
      <c r="J73" s="55">
        <v>765</v>
      </c>
      <c r="K73" s="55">
        <v>755</v>
      </c>
      <c r="L73" s="55">
        <v>705</v>
      </c>
      <c r="M73" s="55">
        <v>715</v>
      </c>
      <c r="N73" s="69" t="s">
        <v>173</v>
      </c>
      <c r="O73" s="129">
        <v>11077</v>
      </c>
      <c r="P73" s="129">
        <v>11064</v>
      </c>
      <c r="Q73" s="129">
        <v>11034</v>
      </c>
      <c r="R73" s="129">
        <v>11081</v>
      </c>
      <c r="S73" s="129">
        <v>11079</v>
      </c>
      <c r="T73" s="129">
        <v>11120</v>
      </c>
      <c r="U73" s="129">
        <v>11200</v>
      </c>
      <c r="V73" s="129">
        <v>11300</v>
      </c>
      <c r="W73" s="130"/>
      <c r="X73" s="130"/>
      <c r="Y73" s="129"/>
      <c r="Z73" s="129"/>
      <c r="AA73" s="129"/>
    </row>
    <row r="74" spans="1:27" x14ac:dyDescent="0.25">
      <c r="A74" t="s">
        <v>515</v>
      </c>
      <c r="B74" s="75" t="s">
        <v>174</v>
      </c>
      <c r="C74" s="59">
        <f t="shared" si="8"/>
        <v>-1.529255688220568E-3</v>
      </c>
      <c r="D74" t="s">
        <v>439</v>
      </c>
      <c r="E74" s="59">
        <f t="shared" si="7"/>
        <v>2.8074866310160429E-2</v>
      </c>
      <c r="F74" s="129">
        <v>60051</v>
      </c>
      <c r="G74" s="129"/>
      <c r="H74" s="129">
        <v>4905</v>
      </c>
      <c r="I74" s="55">
        <v>4745</v>
      </c>
      <c r="J74" s="55">
        <v>4600</v>
      </c>
      <c r="K74" s="55">
        <v>4530</v>
      </c>
      <c r="L74" s="55">
        <v>4290</v>
      </c>
      <c r="M74" s="55">
        <v>4275</v>
      </c>
      <c r="N74" s="69" t="s">
        <v>174</v>
      </c>
      <c r="O74" s="129">
        <v>57962</v>
      </c>
      <c r="P74" s="129">
        <v>58270</v>
      </c>
      <c r="Q74" s="129">
        <v>58547</v>
      </c>
      <c r="R74" s="129">
        <v>59213</v>
      </c>
      <c r="S74" s="129">
        <v>59623</v>
      </c>
      <c r="T74" s="129">
        <v>60051</v>
      </c>
      <c r="U74" s="129">
        <v>59300</v>
      </c>
      <c r="V74" s="129">
        <v>59500</v>
      </c>
      <c r="W74" s="130"/>
      <c r="X74" s="130"/>
      <c r="Y74" s="129"/>
      <c r="Z74" s="129"/>
      <c r="AA74" s="129"/>
    </row>
    <row r="75" spans="1:27" x14ac:dyDescent="0.25">
      <c r="A75" t="s">
        <v>513</v>
      </c>
      <c r="B75" s="75" t="s">
        <v>356</v>
      </c>
      <c r="C75" s="59">
        <f t="shared" si="8"/>
        <v>3.839409879678336E-3</v>
      </c>
      <c r="D75" t="s">
        <v>465</v>
      </c>
      <c r="E75" s="59">
        <f t="shared" si="7"/>
        <v>2.9880478087649404E-2</v>
      </c>
      <c r="F75" s="129">
        <v>27565</v>
      </c>
      <c r="G75" s="129"/>
      <c r="H75" s="129">
        <v>2210</v>
      </c>
      <c r="I75" s="55">
        <v>2140</v>
      </c>
      <c r="J75" s="55">
        <v>2065</v>
      </c>
      <c r="K75" s="55">
        <v>1990</v>
      </c>
      <c r="L75" s="55">
        <v>1935</v>
      </c>
      <c r="M75" s="55">
        <v>1910</v>
      </c>
      <c r="N75" s="69" t="s">
        <v>356</v>
      </c>
      <c r="O75" s="129">
        <v>26175</v>
      </c>
      <c r="P75" s="129">
        <v>26368</v>
      </c>
      <c r="Q75" s="129">
        <v>26475</v>
      </c>
      <c r="R75" s="129">
        <v>27207</v>
      </c>
      <c r="S75" s="129">
        <v>27095</v>
      </c>
      <c r="T75" s="129">
        <v>27565</v>
      </c>
      <c r="U75" s="129">
        <v>27900</v>
      </c>
      <c r="V75" s="129">
        <v>28200</v>
      </c>
      <c r="W75" s="130"/>
      <c r="X75" s="130"/>
      <c r="Y75" s="129"/>
      <c r="Z75" s="129"/>
      <c r="AA75" s="129"/>
    </row>
    <row r="76" spans="1:27" x14ac:dyDescent="0.25">
      <c r="A76" t="s">
        <v>517</v>
      </c>
      <c r="B76" s="75" t="s">
        <v>289</v>
      </c>
      <c r="C76" s="59">
        <f t="shared" si="8"/>
        <v>4.1420086231925349E-3</v>
      </c>
      <c r="D76" t="s">
        <v>439</v>
      </c>
      <c r="E76" s="59">
        <f t="shared" si="7"/>
        <v>2.9209213963429115E-2</v>
      </c>
      <c r="F76" s="129">
        <v>122847</v>
      </c>
      <c r="G76" s="129"/>
      <c r="H76" s="129">
        <v>9195</v>
      </c>
      <c r="I76" s="55">
        <v>8795</v>
      </c>
      <c r="J76" s="55">
        <v>8805</v>
      </c>
      <c r="K76" s="55">
        <v>8435</v>
      </c>
      <c r="L76" s="55">
        <v>8110</v>
      </c>
      <c r="M76" s="55">
        <v>7965</v>
      </c>
      <c r="N76" s="69" t="s">
        <v>289</v>
      </c>
      <c r="O76" s="129">
        <v>119232</v>
      </c>
      <c r="P76" s="129">
        <v>119115</v>
      </c>
      <c r="Q76" s="129">
        <v>119513</v>
      </c>
      <c r="R76" s="129">
        <v>121449</v>
      </c>
      <c r="S76" s="129">
        <v>122070</v>
      </c>
      <c r="T76" s="129">
        <v>122847</v>
      </c>
      <c r="U76" s="129">
        <v>124300</v>
      </c>
      <c r="V76" s="129">
        <v>125900</v>
      </c>
      <c r="W76" s="130"/>
      <c r="X76" s="130"/>
      <c r="Y76" s="129"/>
      <c r="Z76" s="129"/>
      <c r="AA76" s="129"/>
    </row>
    <row r="77" spans="1:27" x14ac:dyDescent="0.25">
      <c r="A77" t="s">
        <v>514</v>
      </c>
      <c r="B77" s="75" t="s">
        <v>247</v>
      </c>
      <c r="C77" s="59">
        <f t="shared" si="8"/>
        <v>-4.7595801806199654E-3</v>
      </c>
      <c r="D77" t="s">
        <v>465</v>
      </c>
      <c r="E77" s="59">
        <f t="shared" si="7"/>
        <v>2.6330532212885154E-2</v>
      </c>
      <c r="F77" s="129">
        <v>20485</v>
      </c>
      <c r="G77" s="129"/>
      <c r="H77" s="129">
        <v>1955</v>
      </c>
      <c r="I77" s="55">
        <v>1870</v>
      </c>
      <c r="J77" s="55">
        <v>1840</v>
      </c>
      <c r="K77" s="55">
        <v>1770</v>
      </c>
      <c r="L77" s="55">
        <v>1725</v>
      </c>
      <c r="M77" s="55">
        <v>1720</v>
      </c>
      <c r="N77" s="69" t="s">
        <v>247</v>
      </c>
      <c r="O77" s="129">
        <v>19724</v>
      </c>
      <c r="P77" s="129">
        <v>19838</v>
      </c>
      <c r="Q77" s="129">
        <v>19978</v>
      </c>
      <c r="R77" s="129">
        <v>20377</v>
      </c>
      <c r="S77" s="129">
        <v>20496</v>
      </c>
      <c r="T77" s="129">
        <v>20485</v>
      </c>
      <c r="U77" s="129">
        <v>19900</v>
      </c>
      <c r="V77" s="129">
        <v>19900</v>
      </c>
      <c r="W77" s="130"/>
      <c r="X77" s="130"/>
      <c r="Y77" s="129"/>
      <c r="Z77" s="129"/>
      <c r="AA77" s="129"/>
    </row>
    <row r="78" spans="1:27" x14ac:dyDescent="0.25">
      <c r="A78" t="s">
        <v>513</v>
      </c>
      <c r="B78" s="75" t="s">
        <v>357</v>
      </c>
      <c r="C78" s="59">
        <f t="shared" si="8"/>
        <v>6.2439622063570604E-4</v>
      </c>
      <c r="D78" t="s">
        <v>465</v>
      </c>
      <c r="E78" s="59">
        <f t="shared" si="7"/>
        <v>2.6282853566958697E-2</v>
      </c>
      <c r="F78" s="129">
        <v>28294</v>
      </c>
      <c r="G78" s="129"/>
      <c r="H78" s="129">
        <v>2595</v>
      </c>
      <c r="I78" s="55">
        <v>2525</v>
      </c>
      <c r="J78" s="55">
        <v>2480</v>
      </c>
      <c r="K78" s="55">
        <v>2405</v>
      </c>
      <c r="L78" s="55">
        <v>2295</v>
      </c>
      <c r="M78" s="55">
        <v>2280</v>
      </c>
      <c r="N78" s="69" t="s">
        <v>357</v>
      </c>
      <c r="O78" s="129">
        <v>27257</v>
      </c>
      <c r="P78" s="129">
        <v>27325</v>
      </c>
      <c r="Q78" s="129">
        <v>27473</v>
      </c>
      <c r="R78" s="129">
        <v>27989</v>
      </c>
      <c r="S78" s="129">
        <v>28192</v>
      </c>
      <c r="T78" s="129">
        <v>28294</v>
      </c>
      <c r="U78" s="129">
        <v>28200</v>
      </c>
      <c r="V78" s="129">
        <v>28400</v>
      </c>
      <c r="W78" s="130"/>
      <c r="X78" s="130"/>
      <c r="Y78" s="129"/>
      <c r="Z78" s="129"/>
      <c r="AA78" s="129"/>
    </row>
    <row r="79" spans="1:27" x14ac:dyDescent="0.25">
      <c r="A79" t="s">
        <v>519</v>
      </c>
      <c r="B79" s="75" t="s">
        <v>428</v>
      </c>
      <c r="C79" s="59">
        <f t="shared" si="8"/>
        <v>-5.8782464036123546E-3</v>
      </c>
      <c r="D79" t="s">
        <v>465</v>
      </c>
      <c r="E79" s="59">
        <f t="shared" si="7"/>
        <v>2.8366762177650429E-2</v>
      </c>
      <c r="F79" s="129">
        <v>44883</v>
      </c>
      <c r="G79" s="129"/>
      <c r="H79" s="129">
        <v>3800</v>
      </c>
      <c r="I79" s="55">
        <v>3670</v>
      </c>
      <c r="J79" s="55">
        <v>3605</v>
      </c>
      <c r="K79" s="55">
        <v>3480</v>
      </c>
      <c r="L79" s="55">
        <v>3390</v>
      </c>
      <c r="M79" s="55">
        <v>3305</v>
      </c>
      <c r="N79" s="69" t="s">
        <v>428</v>
      </c>
      <c r="O79" s="129">
        <v>41532</v>
      </c>
      <c r="P79" s="129">
        <v>42011</v>
      </c>
      <c r="Q79" s="129">
        <v>42902</v>
      </c>
      <c r="R79" s="129">
        <v>43580</v>
      </c>
      <c r="S79" s="129">
        <v>44354</v>
      </c>
      <c r="T79" s="129">
        <v>44883</v>
      </c>
      <c r="U79" s="129">
        <v>43200</v>
      </c>
      <c r="V79" s="129">
        <v>43300</v>
      </c>
      <c r="W79" s="130"/>
      <c r="X79" s="130"/>
      <c r="Y79" s="129"/>
      <c r="Z79" s="129"/>
      <c r="AA79" s="129"/>
    </row>
    <row r="80" spans="1:27" x14ac:dyDescent="0.25">
      <c r="A80" t="s">
        <v>515</v>
      </c>
      <c r="B80" s="75" t="s">
        <v>175</v>
      </c>
      <c r="C80" s="59">
        <f t="shared" si="8"/>
        <v>-2.0930389575315646E-3</v>
      </c>
      <c r="D80" t="s">
        <v>116</v>
      </c>
      <c r="E80" s="59">
        <f t="shared" si="7"/>
        <v>3.1356509884117249E-2</v>
      </c>
      <c r="F80" s="129">
        <v>19748</v>
      </c>
      <c r="G80" s="129"/>
      <c r="H80" s="129">
        <v>1605</v>
      </c>
      <c r="I80" s="55">
        <v>1545</v>
      </c>
      <c r="J80" s="55">
        <v>1520</v>
      </c>
      <c r="K80" s="55">
        <v>1480</v>
      </c>
      <c r="L80" s="55">
        <v>1415</v>
      </c>
      <c r="M80" s="55">
        <v>1375</v>
      </c>
      <c r="N80" s="69" t="s">
        <v>175</v>
      </c>
      <c r="O80" s="129">
        <v>18920</v>
      </c>
      <c r="P80" s="129">
        <v>18991</v>
      </c>
      <c r="Q80" s="129">
        <v>19177</v>
      </c>
      <c r="R80" s="129">
        <v>19511</v>
      </c>
      <c r="S80" s="129">
        <v>19590</v>
      </c>
      <c r="T80" s="129">
        <v>19748</v>
      </c>
      <c r="U80" s="129">
        <v>19400</v>
      </c>
      <c r="V80" s="129">
        <v>19500</v>
      </c>
      <c r="W80" s="130"/>
      <c r="X80" s="130"/>
      <c r="Y80" s="129"/>
      <c r="Z80" s="129"/>
      <c r="AA80" s="129"/>
    </row>
    <row r="81" spans="1:27" x14ac:dyDescent="0.25">
      <c r="A81" t="s">
        <v>515</v>
      </c>
      <c r="B81" s="75" t="s">
        <v>176</v>
      </c>
      <c r="C81" s="59">
        <f t="shared" si="8"/>
        <v>-1.5839916589806312E-3</v>
      </c>
      <c r="D81" t="s">
        <v>465</v>
      </c>
      <c r="E81" s="59">
        <f t="shared" si="7"/>
        <v>2.40831964969896E-2</v>
      </c>
      <c r="F81" s="129">
        <v>24937</v>
      </c>
      <c r="G81" s="129"/>
      <c r="H81" s="129">
        <v>1995</v>
      </c>
      <c r="I81" s="55">
        <v>1905</v>
      </c>
      <c r="J81" s="55">
        <v>1865</v>
      </c>
      <c r="K81" s="55">
        <v>1840</v>
      </c>
      <c r="L81" s="55">
        <v>1750</v>
      </c>
      <c r="M81" s="55">
        <v>1775</v>
      </c>
      <c r="N81" s="69" t="s">
        <v>176</v>
      </c>
      <c r="O81" s="129">
        <v>25183</v>
      </c>
      <c r="P81" s="129">
        <v>25066</v>
      </c>
      <c r="Q81" s="129">
        <v>24944</v>
      </c>
      <c r="R81" s="129">
        <v>24939</v>
      </c>
      <c r="S81" s="129">
        <v>24872</v>
      </c>
      <c r="T81" s="129">
        <v>24937</v>
      </c>
      <c r="U81" s="129">
        <v>24600</v>
      </c>
      <c r="V81" s="129">
        <v>24700</v>
      </c>
      <c r="W81" s="130"/>
      <c r="X81" s="130"/>
      <c r="Y81" s="129"/>
      <c r="Z81" s="129"/>
      <c r="AA81" s="129"/>
    </row>
    <row r="82" spans="1:27" x14ac:dyDescent="0.25">
      <c r="A82" t="s">
        <v>522</v>
      </c>
      <c r="B82" s="75" t="s">
        <v>401</v>
      </c>
      <c r="C82" s="59">
        <f t="shared" si="8"/>
        <v>-1.0189115772730559E-2</v>
      </c>
      <c r="D82" t="s">
        <v>116</v>
      </c>
      <c r="E82" s="59">
        <f t="shared" si="7"/>
        <v>1.9953051643192488E-2</v>
      </c>
      <c r="F82" s="129">
        <v>32273</v>
      </c>
      <c r="G82" s="129"/>
      <c r="H82" s="129">
        <v>2725</v>
      </c>
      <c r="I82" s="55">
        <v>2680</v>
      </c>
      <c r="J82" s="55">
        <v>2625</v>
      </c>
      <c r="K82" s="55">
        <v>2510</v>
      </c>
      <c r="L82" s="55">
        <v>2495</v>
      </c>
      <c r="M82" s="55">
        <v>2470</v>
      </c>
      <c r="N82" s="69" t="s">
        <v>401</v>
      </c>
      <c r="O82" s="129">
        <v>31692</v>
      </c>
      <c r="P82" s="129">
        <v>31751</v>
      </c>
      <c r="Q82" s="129">
        <v>31739</v>
      </c>
      <c r="R82" s="129">
        <v>31975</v>
      </c>
      <c r="S82" s="129">
        <v>32041</v>
      </c>
      <c r="T82" s="129">
        <v>32273</v>
      </c>
      <c r="U82" s="129">
        <v>30700</v>
      </c>
      <c r="V82" s="129">
        <v>30300</v>
      </c>
      <c r="W82" s="130"/>
      <c r="X82" s="130"/>
      <c r="Y82" s="129"/>
      <c r="Z82" s="129"/>
      <c r="AA82" s="129"/>
    </row>
    <row r="83" spans="1:27" x14ac:dyDescent="0.25">
      <c r="A83" t="s">
        <v>514</v>
      </c>
      <c r="B83" s="75" t="s">
        <v>248</v>
      </c>
      <c r="C83" s="59">
        <f t="shared" si="8"/>
        <v>2.4678063445057654E-4</v>
      </c>
      <c r="D83" t="s">
        <v>465</v>
      </c>
      <c r="E83" s="59">
        <f t="shared" si="7"/>
        <v>3.1275060144346431E-2</v>
      </c>
      <c r="F83" s="129">
        <v>37145</v>
      </c>
      <c r="G83" s="129"/>
      <c r="H83" s="129">
        <v>4145</v>
      </c>
      <c r="I83" s="55">
        <v>3970</v>
      </c>
      <c r="J83" s="55">
        <v>3870</v>
      </c>
      <c r="K83" s="55">
        <v>3715</v>
      </c>
      <c r="L83" s="55">
        <v>3590</v>
      </c>
      <c r="M83" s="55">
        <v>3560</v>
      </c>
      <c r="N83" s="69" t="s">
        <v>248</v>
      </c>
      <c r="O83" s="129">
        <v>36199</v>
      </c>
      <c r="P83" s="129">
        <v>36268</v>
      </c>
      <c r="Q83" s="129">
        <v>36465</v>
      </c>
      <c r="R83" s="129">
        <v>36761</v>
      </c>
      <c r="S83" s="129">
        <v>36917</v>
      </c>
      <c r="T83" s="129">
        <v>37145</v>
      </c>
      <c r="U83" s="129">
        <v>37100</v>
      </c>
      <c r="V83" s="129">
        <v>37200</v>
      </c>
      <c r="W83" s="130"/>
      <c r="X83" s="130"/>
      <c r="Y83" s="129"/>
      <c r="Z83" s="129"/>
      <c r="AA83" s="129"/>
    </row>
    <row r="84" spans="1:27" x14ac:dyDescent="0.25">
      <c r="A84" t="s">
        <v>515</v>
      </c>
      <c r="B84" s="75" t="s">
        <v>177</v>
      </c>
      <c r="C84" s="59">
        <f t="shared" si="8"/>
        <v>1.1585735515818728E-2</v>
      </c>
      <c r="D84" t="s">
        <v>439</v>
      </c>
      <c r="E84" s="59">
        <f t="shared" si="7"/>
        <v>3.7408287692466673E-2</v>
      </c>
      <c r="F84" s="129">
        <v>124262</v>
      </c>
      <c r="G84" s="129"/>
      <c r="H84" s="129">
        <v>10830</v>
      </c>
      <c r="I84" s="55">
        <v>10335</v>
      </c>
      <c r="J84" s="55">
        <v>10100</v>
      </c>
      <c r="K84" s="55">
        <v>9685</v>
      </c>
      <c r="L84" s="55">
        <v>9245</v>
      </c>
      <c r="M84" s="55">
        <v>9020</v>
      </c>
      <c r="N84" s="69" t="s">
        <v>177</v>
      </c>
      <c r="O84" s="129">
        <v>117159</v>
      </c>
      <c r="P84" s="129">
        <v>118530</v>
      </c>
      <c r="Q84" s="129">
        <v>119997</v>
      </c>
      <c r="R84" s="129">
        <v>122029</v>
      </c>
      <c r="S84" s="129">
        <v>123532</v>
      </c>
      <c r="T84" s="129">
        <v>124262</v>
      </c>
      <c r="U84" s="129">
        <v>130400</v>
      </c>
      <c r="V84" s="129">
        <v>132900</v>
      </c>
      <c r="W84" s="130"/>
      <c r="X84" s="130"/>
      <c r="Y84" s="129"/>
      <c r="Z84" s="129"/>
      <c r="AA84" s="129"/>
    </row>
    <row r="85" spans="1:27" x14ac:dyDescent="0.25">
      <c r="A85" t="s">
        <v>520</v>
      </c>
      <c r="B85" s="75" t="s">
        <v>218</v>
      </c>
      <c r="C85" s="59">
        <f t="shared" si="8"/>
        <v>2.904536449414056E-3</v>
      </c>
      <c r="D85" t="s">
        <v>465</v>
      </c>
      <c r="E85" s="59">
        <f t="shared" si="7"/>
        <v>2.8518859245630176E-2</v>
      </c>
      <c r="F85" s="129">
        <v>9927</v>
      </c>
      <c r="G85" s="129"/>
      <c r="H85" s="129">
        <v>1180</v>
      </c>
      <c r="I85" s="55">
        <v>1125</v>
      </c>
      <c r="J85" s="55">
        <v>1130</v>
      </c>
      <c r="K85" s="55">
        <v>1090</v>
      </c>
      <c r="L85" s="55">
        <v>1065</v>
      </c>
      <c r="M85" s="55">
        <v>1025</v>
      </c>
      <c r="N85" s="69" t="s">
        <v>218</v>
      </c>
      <c r="O85" s="129">
        <v>9231</v>
      </c>
      <c r="P85" s="129">
        <v>9362</v>
      </c>
      <c r="Q85" s="129">
        <v>9449</v>
      </c>
      <c r="R85" s="129">
        <v>9600</v>
      </c>
      <c r="S85" s="129">
        <v>9755</v>
      </c>
      <c r="T85" s="129">
        <v>9927</v>
      </c>
      <c r="U85" s="129">
        <v>9900</v>
      </c>
      <c r="V85" s="129">
        <v>10100</v>
      </c>
      <c r="W85" s="130"/>
      <c r="X85" s="130"/>
      <c r="Y85" s="129"/>
      <c r="Z85" s="129"/>
      <c r="AA85" s="129"/>
    </row>
    <row r="86" spans="1:27" x14ac:dyDescent="0.25">
      <c r="A86" t="s">
        <v>521</v>
      </c>
      <c r="B86" s="75" t="s">
        <v>719</v>
      </c>
      <c r="C86" s="59">
        <f t="shared" si="8"/>
        <v>-1.3065405127976257E-2</v>
      </c>
      <c r="D86" t="s">
        <v>439</v>
      </c>
      <c r="E86" s="59">
        <v>4.7716428084526247E-3</v>
      </c>
      <c r="F86" s="129">
        <v>44813</v>
      </c>
      <c r="G86" s="129"/>
      <c r="H86" s="129">
        <v>3000</v>
      </c>
      <c r="I86" s="55">
        <v>3020</v>
      </c>
      <c r="J86" s="55">
        <v>2985</v>
      </c>
      <c r="K86" s="55">
        <v>2890</v>
      </c>
      <c r="L86" s="55">
        <v>2845</v>
      </c>
      <c r="M86" s="55">
        <v>2930</v>
      </c>
      <c r="N86" s="69" t="s">
        <v>719</v>
      </c>
      <c r="O86" s="129">
        <v>45885</v>
      </c>
      <c r="P86" s="129">
        <v>46</v>
      </c>
      <c r="Q86" s="129">
        <v>45443</v>
      </c>
      <c r="R86" s="129">
        <v>45403</v>
      </c>
      <c r="S86" s="129">
        <v>45106</v>
      </c>
      <c r="T86" s="129">
        <v>44813</v>
      </c>
      <c r="U86" s="129">
        <v>42200</v>
      </c>
      <c r="V86" s="129">
        <v>41300</v>
      </c>
      <c r="W86" s="130"/>
      <c r="X86" s="130"/>
      <c r="Y86" s="129"/>
      <c r="Z86" s="129"/>
      <c r="AA86" s="129"/>
    </row>
    <row r="87" spans="1:27" x14ac:dyDescent="0.25">
      <c r="A87" t="s">
        <v>513</v>
      </c>
      <c r="B87" s="75" t="s">
        <v>358</v>
      </c>
      <c r="C87" s="59">
        <f t="shared" si="8"/>
        <v>-4.8146876583778841E-3</v>
      </c>
      <c r="D87" t="s">
        <v>465</v>
      </c>
      <c r="E87" s="59">
        <f t="shared" si="7"/>
        <v>2.8291621327529923E-2</v>
      </c>
      <c r="F87" s="129">
        <v>20389</v>
      </c>
      <c r="G87" s="129"/>
      <c r="H87" s="129">
        <v>2020</v>
      </c>
      <c r="I87" s="55">
        <v>1935</v>
      </c>
      <c r="J87" s="55">
        <v>1875</v>
      </c>
      <c r="K87" s="55">
        <v>1835</v>
      </c>
      <c r="L87" s="55">
        <v>1785</v>
      </c>
      <c r="M87" s="55">
        <v>1760</v>
      </c>
      <c r="N87" s="69" t="s">
        <v>358</v>
      </c>
      <c r="O87" s="129">
        <v>19277</v>
      </c>
      <c r="P87" s="129">
        <v>19528</v>
      </c>
      <c r="Q87" s="129">
        <v>19822</v>
      </c>
      <c r="R87" s="129">
        <v>20007</v>
      </c>
      <c r="S87" s="129">
        <v>20199</v>
      </c>
      <c r="T87" s="129">
        <v>20389</v>
      </c>
      <c r="U87" s="129">
        <v>19800</v>
      </c>
      <c r="V87" s="129">
        <v>19800</v>
      </c>
      <c r="W87" s="130"/>
      <c r="X87" s="130"/>
      <c r="Y87" s="129"/>
      <c r="Z87" s="129"/>
      <c r="AA87" s="129"/>
    </row>
    <row r="88" spans="1:27" x14ac:dyDescent="0.25">
      <c r="A88" t="s">
        <v>522</v>
      </c>
      <c r="B88" s="75" t="s">
        <v>402</v>
      </c>
      <c r="C88" s="59">
        <f t="shared" si="8"/>
        <v>-4.9656226126814362E-3</v>
      </c>
      <c r="D88" t="s">
        <v>465</v>
      </c>
      <c r="E88" s="59">
        <f t="shared" si="7"/>
        <v>3.81246780010304E-2</v>
      </c>
      <c r="F88" s="129">
        <v>26180</v>
      </c>
      <c r="G88" s="129"/>
      <c r="H88" s="129">
        <v>2195</v>
      </c>
      <c r="I88" s="55">
        <v>2075</v>
      </c>
      <c r="J88" s="55">
        <v>2030</v>
      </c>
      <c r="K88" s="55">
        <v>1925</v>
      </c>
      <c r="L88" s="55">
        <v>1850</v>
      </c>
      <c r="M88" s="55">
        <v>1825</v>
      </c>
      <c r="N88" s="69" t="s">
        <v>402</v>
      </c>
      <c r="O88" s="129">
        <v>25743</v>
      </c>
      <c r="P88" s="129">
        <v>25900</v>
      </c>
      <c r="Q88" s="129">
        <v>25855</v>
      </c>
      <c r="R88" s="129">
        <v>25987</v>
      </c>
      <c r="S88" s="129">
        <v>26034</v>
      </c>
      <c r="T88" s="129">
        <v>26180</v>
      </c>
      <c r="U88" s="129">
        <v>25400</v>
      </c>
      <c r="V88" s="129">
        <v>25400</v>
      </c>
      <c r="W88" s="130"/>
      <c r="X88" s="130"/>
      <c r="Y88" s="129"/>
      <c r="Z88" s="129"/>
      <c r="AA88" s="129"/>
    </row>
    <row r="89" spans="1:27" x14ac:dyDescent="0.25">
      <c r="A89" t="s">
        <v>513</v>
      </c>
      <c r="B89" s="75" t="s">
        <v>359</v>
      </c>
      <c r="C89" s="59">
        <f t="shared" si="8"/>
        <v>1.5890797444195501E-2</v>
      </c>
      <c r="D89" t="s">
        <v>439</v>
      </c>
      <c r="E89" s="59">
        <f t="shared" si="7"/>
        <v>3.8883132464416208E-2</v>
      </c>
      <c r="F89" s="129">
        <v>249054</v>
      </c>
      <c r="G89" s="129"/>
      <c r="H89" s="129">
        <v>20745</v>
      </c>
      <c r="I89" s="55">
        <v>19600</v>
      </c>
      <c r="J89" s="55">
        <v>19080</v>
      </c>
      <c r="K89" s="55">
        <v>18375</v>
      </c>
      <c r="L89" s="55">
        <v>17450</v>
      </c>
      <c r="M89" s="55">
        <v>17180</v>
      </c>
      <c r="N89" s="69" t="s">
        <v>359</v>
      </c>
      <c r="O89" s="129">
        <v>234525</v>
      </c>
      <c r="P89" s="129">
        <v>235691</v>
      </c>
      <c r="Q89" s="129">
        <v>238305</v>
      </c>
      <c r="R89" s="129">
        <v>243710</v>
      </c>
      <c r="S89" s="129">
        <v>246417</v>
      </c>
      <c r="T89" s="129">
        <v>249054</v>
      </c>
      <c r="U89" s="129">
        <v>267900</v>
      </c>
      <c r="V89" s="129">
        <v>272800</v>
      </c>
      <c r="W89" s="130"/>
      <c r="X89" s="130"/>
      <c r="Y89" s="129"/>
      <c r="Z89" s="129"/>
      <c r="AA89" s="129"/>
    </row>
    <row r="90" spans="1:27" x14ac:dyDescent="0.25">
      <c r="A90" t="s">
        <v>515</v>
      </c>
      <c r="B90" s="75" t="s">
        <v>178</v>
      </c>
      <c r="C90" s="59">
        <f t="shared" si="8"/>
        <v>-7.1818042365672376E-4</v>
      </c>
      <c r="D90" t="s">
        <v>465</v>
      </c>
      <c r="E90" s="59">
        <f t="shared" si="7"/>
        <v>2.9815146094215862E-2</v>
      </c>
      <c r="F90" s="129">
        <v>23903</v>
      </c>
      <c r="G90" s="129"/>
      <c r="H90" s="129">
        <v>1810</v>
      </c>
      <c r="I90" s="55">
        <v>1790</v>
      </c>
      <c r="J90" s="55">
        <v>1750</v>
      </c>
      <c r="K90" s="55">
        <v>1660</v>
      </c>
      <c r="L90" s="55">
        <v>1625</v>
      </c>
      <c r="M90" s="55">
        <v>1560</v>
      </c>
      <c r="N90" s="69" t="s">
        <v>178</v>
      </c>
      <c r="O90" s="129">
        <v>23154</v>
      </c>
      <c r="P90" s="129">
        <v>23429</v>
      </c>
      <c r="Q90" s="129">
        <v>23739</v>
      </c>
      <c r="R90" s="129">
        <v>24041</v>
      </c>
      <c r="S90" s="129">
        <v>23906</v>
      </c>
      <c r="T90" s="129">
        <v>23903</v>
      </c>
      <c r="U90" s="129">
        <v>23800</v>
      </c>
      <c r="V90" s="129">
        <v>23800</v>
      </c>
      <c r="W90" s="130"/>
      <c r="X90" s="130"/>
      <c r="Y90" s="129"/>
      <c r="Z90" s="129"/>
      <c r="AA90" s="129"/>
    </row>
    <row r="91" spans="1:27" x14ac:dyDescent="0.25">
      <c r="A91" t="s">
        <v>512</v>
      </c>
      <c r="B91" s="75" t="s">
        <v>108</v>
      </c>
      <c r="C91" s="59">
        <f t="shared" si="8"/>
        <v>-3.1875391225607277E-3</v>
      </c>
      <c r="D91" t="s">
        <v>439</v>
      </c>
      <c r="E91" s="59">
        <f t="shared" si="7"/>
        <v>2.1410925061762284E-2</v>
      </c>
      <c r="F91" s="129">
        <v>109698</v>
      </c>
      <c r="G91" s="129"/>
      <c r="H91" s="129">
        <v>7780</v>
      </c>
      <c r="I91" s="55">
        <v>7545</v>
      </c>
      <c r="J91" s="55">
        <v>7490</v>
      </c>
      <c r="K91" s="55">
        <v>7305</v>
      </c>
      <c r="L91" s="55">
        <v>7090</v>
      </c>
      <c r="M91" s="55">
        <v>7000</v>
      </c>
      <c r="N91" s="69" t="s">
        <v>108</v>
      </c>
      <c r="O91" s="129">
        <v>107056</v>
      </c>
      <c r="P91" s="129">
        <v>107024</v>
      </c>
      <c r="Q91" s="129">
        <v>107860</v>
      </c>
      <c r="R91" s="129">
        <v>108765</v>
      </c>
      <c r="S91" s="129">
        <v>109346</v>
      </c>
      <c r="T91" s="129">
        <v>109698</v>
      </c>
      <c r="U91" s="129">
        <v>107500</v>
      </c>
      <c r="V91" s="129">
        <v>107600</v>
      </c>
      <c r="W91" s="130"/>
      <c r="X91" s="130"/>
      <c r="Y91" s="129"/>
      <c r="Z91" s="129"/>
      <c r="AA91" s="129"/>
    </row>
    <row r="92" spans="1:27" x14ac:dyDescent="0.25">
      <c r="A92" t="s">
        <v>514</v>
      </c>
      <c r="B92" s="75" t="s">
        <v>249</v>
      </c>
      <c r="C92" s="59">
        <f t="shared" si="8"/>
        <v>4.92667480408286E-3</v>
      </c>
      <c r="D92" t="s">
        <v>116</v>
      </c>
      <c r="E92" s="59">
        <f t="shared" si="7"/>
        <v>2.3485784919653894E-2</v>
      </c>
      <c r="F92" s="129">
        <v>18843</v>
      </c>
      <c r="G92" s="129"/>
      <c r="H92" s="129">
        <v>1745</v>
      </c>
      <c r="I92" s="55">
        <v>1685</v>
      </c>
      <c r="J92" s="55">
        <v>1660</v>
      </c>
      <c r="K92" s="55">
        <v>1605</v>
      </c>
      <c r="L92" s="55">
        <v>1585</v>
      </c>
      <c r="M92" s="55">
        <v>1555</v>
      </c>
      <c r="N92" s="69" t="s">
        <v>249</v>
      </c>
      <c r="O92" s="129">
        <v>18611</v>
      </c>
      <c r="P92" s="129">
        <v>18637</v>
      </c>
      <c r="Q92" s="129">
        <v>18620</v>
      </c>
      <c r="R92" s="129">
        <v>18880</v>
      </c>
      <c r="S92" s="129">
        <v>18895</v>
      </c>
      <c r="T92" s="129">
        <v>18843</v>
      </c>
      <c r="U92" s="129">
        <v>19300</v>
      </c>
      <c r="V92" s="129">
        <v>19400</v>
      </c>
      <c r="W92" s="130"/>
      <c r="X92" s="130"/>
      <c r="Y92" s="129"/>
      <c r="Z92" s="129"/>
      <c r="AA92" s="129"/>
    </row>
    <row r="93" spans="1:27" x14ac:dyDescent="0.25">
      <c r="A93" t="s">
        <v>518</v>
      </c>
      <c r="B93" s="75" t="s">
        <v>144</v>
      </c>
      <c r="C93" s="59">
        <f t="shared" si="8"/>
        <v>6.7380408245398971E-3</v>
      </c>
      <c r="D93" t="s">
        <v>439</v>
      </c>
      <c r="E93" s="59">
        <f t="shared" si="7"/>
        <v>2.3368481048731831E-2</v>
      </c>
      <c r="F93" s="129">
        <v>162337</v>
      </c>
      <c r="G93" s="129"/>
      <c r="H93" s="129">
        <v>11325</v>
      </c>
      <c r="I93" s="55">
        <v>11010</v>
      </c>
      <c r="J93" s="55">
        <v>10780</v>
      </c>
      <c r="K93" s="55">
        <v>10535</v>
      </c>
      <c r="L93" s="55">
        <v>10215</v>
      </c>
      <c r="M93" s="55">
        <v>10095</v>
      </c>
      <c r="N93" s="69" t="s">
        <v>144</v>
      </c>
      <c r="O93" s="129">
        <v>159939</v>
      </c>
      <c r="P93" s="129">
        <v>159732</v>
      </c>
      <c r="Q93" s="129">
        <v>160558</v>
      </c>
      <c r="R93" s="129">
        <v>161303</v>
      </c>
      <c r="S93" s="129">
        <v>161738</v>
      </c>
      <c r="T93" s="129">
        <v>162337</v>
      </c>
      <c r="U93" s="129">
        <v>167600</v>
      </c>
      <c r="V93" s="129">
        <v>168900</v>
      </c>
      <c r="W93" s="130"/>
      <c r="X93" s="130"/>
      <c r="Y93" s="129"/>
      <c r="Z93" s="129"/>
      <c r="AA93" s="129"/>
    </row>
    <row r="94" spans="1:27" x14ac:dyDescent="0.25">
      <c r="A94" t="s">
        <v>515</v>
      </c>
      <c r="B94" s="75" t="s">
        <v>179</v>
      </c>
      <c r="C94" s="59">
        <f t="shared" si="8"/>
        <v>4.6361309470455241E-3</v>
      </c>
      <c r="D94" t="s">
        <v>116</v>
      </c>
      <c r="E94" s="59">
        <f t="shared" si="7"/>
        <v>1.7718715393133997E-2</v>
      </c>
      <c r="F94" s="129">
        <v>33469</v>
      </c>
      <c r="G94" s="129"/>
      <c r="H94" s="129">
        <v>2860</v>
      </c>
      <c r="I94" s="55">
        <v>2825</v>
      </c>
      <c r="J94" s="55">
        <v>2775</v>
      </c>
      <c r="K94" s="55">
        <v>2640</v>
      </c>
      <c r="L94" s="55">
        <v>2685</v>
      </c>
      <c r="M94" s="55">
        <v>2620</v>
      </c>
      <c r="N94" s="69" t="s">
        <v>179</v>
      </c>
      <c r="O94" s="129">
        <v>33183</v>
      </c>
      <c r="P94" s="129">
        <v>33198</v>
      </c>
      <c r="Q94" s="129">
        <v>33260</v>
      </c>
      <c r="R94" s="129">
        <v>33283</v>
      </c>
      <c r="S94" s="129">
        <v>33168</v>
      </c>
      <c r="T94" s="129">
        <v>33469</v>
      </c>
      <c r="U94" s="129">
        <v>34100</v>
      </c>
      <c r="V94" s="129">
        <v>34400</v>
      </c>
      <c r="W94" s="130"/>
      <c r="X94" s="130"/>
      <c r="Y94" s="129"/>
      <c r="Z94" s="129"/>
      <c r="AA94" s="129"/>
    </row>
    <row r="95" spans="1:27" x14ac:dyDescent="0.25">
      <c r="A95" t="s">
        <v>515</v>
      </c>
      <c r="B95" s="75" t="s">
        <v>180</v>
      </c>
      <c r="C95" s="59">
        <f t="shared" si="8"/>
        <v>3.9878645666678522E-3</v>
      </c>
      <c r="D95" t="s">
        <v>116</v>
      </c>
      <c r="E95" s="59">
        <f t="shared" si="7"/>
        <v>2.4822695035460994E-2</v>
      </c>
      <c r="F95" s="129">
        <v>28127</v>
      </c>
      <c r="G95" s="129"/>
      <c r="H95" s="129">
        <v>2445</v>
      </c>
      <c r="I95" s="55">
        <v>2370</v>
      </c>
      <c r="J95" s="55">
        <v>2325</v>
      </c>
      <c r="K95" s="55">
        <v>2250</v>
      </c>
      <c r="L95" s="55">
        <v>2170</v>
      </c>
      <c r="M95" s="55">
        <v>2165</v>
      </c>
      <c r="N95" s="69" t="s">
        <v>180</v>
      </c>
      <c r="O95" s="129">
        <v>26983</v>
      </c>
      <c r="P95" s="129">
        <v>27016</v>
      </c>
      <c r="Q95" s="129">
        <v>27260</v>
      </c>
      <c r="R95" s="129">
        <v>27494</v>
      </c>
      <c r="S95" s="129">
        <v>27856</v>
      </c>
      <c r="T95" s="129">
        <v>28127</v>
      </c>
      <c r="U95" s="129">
        <v>28400</v>
      </c>
      <c r="V95" s="129">
        <v>28800</v>
      </c>
      <c r="W95" s="130"/>
      <c r="X95" s="130"/>
      <c r="Y95" s="129"/>
      <c r="Z95" s="129"/>
      <c r="AA95" s="129"/>
    </row>
    <row r="96" spans="1:27" x14ac:dyDescent="0.25">
      <c r="A96" t="s">
        <v>513</v>
      </c>
      <c r="B96" s="75" t="s">
        <v>360</v>
      </c>
      <c r="C96" s="59">
        <f t="shared" si="8"/>
        <v>-1.0078797874289904E-3</v>
      </c>
      <c r="D96" t="s">
        <v>116</v>
      </c>
      <c r="E96" s="59">
        <f t="shared" si="7"/>
        <v>2.6638089406001226E-2</v>
      </c>
      <c r="F96" s="129">
        <v>45475</v>
      </c>
      <c r="G96" s="129"/>
      <c r="H96" s="129">
        <v>3525</v>
      </c>
      <c r="I96" s="55">
        <v>3390</v>
      </c>
      <c r="J96" s="55">
        <v>3370</v>
      </c>
      <c r="K96" s="55">
        <v>3315</v>
      </c>
      <c r="L96" s="55">
        <v>3165</v>
      </c>
      <c r="M96" s="55">
        <v>3090</v>
      </c>
      <c r="N96" s="69" t="s">
        <v>360</v>
      </c>
      <c r="O96" s="129">
        <v>43888</v>
      </c>
      <c r="P96" s="129">
        <v>43869</v>
      </c>
      <c r="Q96" s="129">
        <v>44150</v>
      </c>
      <c r="R96" s="129">
        <v>44587</v>
      </c>
      <c r="S96" s="129">
        <v>45237</v>
      </c>
      <c r="T96" s="129">
        <v>45475</v>
      </c>
      <c r="U96" s="129">
        <v>45000</v>
      </c>
      <c r="V96" s="129">
        <v>45200</v>
      </c>
      <c r="W96" s="130"/>
      <c r="X96" s="130"/>
      <c r="Y96" s="129"/>
      <c r="Z96" s="129"/>
      <c r="AA96" s="129"/>
    </row>
    <row r="97" spans="1:27" x14ac:dyDescent="0.25">
      <c r="A97" t="s">
        <v>513</v>
      </c>
      <c r="B97" s="75" t="s">
        <v>361</v>
      </c>
      <c r="C97" s="59">
        <f t="shared" si="8"/>
        <v>-1.8832391713747647E-3</v>
      </c>
      <c r="D97" t="s">
        <v>116</v>
      </c>
      <c r="E97" s="59">
        <f t="shared" si="7"/>
        <v>2.3978201634877384E-2</v>
      </c>
      <c r="F97" s="129">
        <v>21948</v>
      </c>
      <c r="G97" s="129"/>
      <c r="H97" s="129">
        <v>1990</v>
      </c>
      <c r="I97" s="55">
        <v>1875</v>
      </c>
      <c r="J97" s="55">
        <v>1890</v>
      </c>
      <c r="K97" s="55">
        <v>1825</v>
      </c>
      <c r="L97" s="55">
        <v>1815</v>
      </c>
      <c r="M97" s="55">
        <v>1770</v>
      </c>
      <c r="N97" s="69" t="s">
        <v>361</v>
      </c>
      <c r="O97" s="129">
        <v>21553</v>
      </c>
      <c r="P97" s="129">
        <v>21770</v>
      </c>
      <c r="Q97" s="129">
        <v>21950</v>
      </c>
      <c r="R97" s="129">
        <v>22099</v>
      </c>
      <c r="S97" s="129">
        <v>22060</v>
      </c>
      <c r="T97" s="129">
        <v>21948</v>
      </c>
      <c r="U97" s="129">
        <v>21800</v>
      </c>
      <c r="V97" s="129">
        <v>21700</v>
      </c>
      <c r="W97" s="130"/>
      <c r="X97" s="130"/>
      <c r="Y97" s="129"/>
      <c r="Z97" s="129"/>
      <c r="AA97" s="129"/>
    </row>
    <row r="98" spans="1:27" x14ac:dyDescent="0.25">
      <c r="A98" t="s">
        <v>513</v>
      </c>
      <c r="B98" s="75" t="s">
        <v>362</v>
      </c>
      <c r="C98" s="59">
        <f t="shared" si="8"/>
        <v>-1.0834457663845619E-3</v>
      </c>
      <c r="D98" t="s">
        <v>116</v>
      </c>
      <c r="E98" s="59">
        <f t="shared" si="7"/>
        <v>2.0202020202020204E-2</v>
      </c>
      <c r="F98" s="129">
        <v>40765</v>
      </c>
      <c r="G98" s="129"/>
      <c r="H98" s="129">
        <v>3040</v>
      </c>
      <c r="I98" s="55">
        <v>2995</v>
      </c>
      <c r="J98" s="55">
        <v>2955</v>
      </c>
      <c r="K98" s="55">
        <v>2865</v>
      </c>
      <c r="L98" s="55">
        <v>2790</v>
      </c>
      <c r="M98" s="55">
        <v>2750</v>
      </c>
      <c r="N98" s="69" t="s">
        <v>362</v>
      </c>
      <c r="O98" s="129">
        <v>39743</v>
      </c>
      <c r="P98" s="129">
        <v>40066</v>
      </c>
      <c r="Q98" s="129">
        <v>40116</v>
      </c>
      <c r="R98" s="129">
        <v>40463</v>
      </c>
      <c r="S98" s="129">
        <v>40733</v>
      </c>
      <c r="T98" s="129">
        <v>40765</v>
      </c>
      <c r="U98" s="129">
        <v>40300</v>
      </c>
      <c r="V98" s="129">
        <v>40500</v>
      </c>
      <c r="W98" s="130"/>
      <c r="X98" s="130"/>
      <c r="Y98" s="129"/>
      <c r="Z98" s="129"/>
      <c r="AA98" s="129"/>
    </row>
    <row r="99" spans="1:27" x14ac:dyDescent="0.25">
      <c r="A99" t="s">
        <v>513</v>
      </c>
      <c r="B99" s="75" t="s">
        <v>363</v>
      </c>
      <c r="C99" s="59">
        <f t="shared" si="8"/>
        <v>4.5770702522145408E-3</v>
      </c>
      <c r="D99" t="s">
        <v>116</v>
      </c>
      <c r="E99" s="59">
        <f t="shared" si="7"/>
        <v>2.6158445440956652E-2</v>
      </c>
      <c r="F99" s="129">
        <v>31534</v>
      </c>
      <c r="G99" s="129"/>
      <c r="H99" s="129">
        <v>2885</v>
      </c>
      <c r="I99" s="55">
        <v>2840</v>
      </c>
      <c r="J99" s="55">
        <v>2735</v>
      </c>
      <c r="K99" s="55">
        <v>2685</v>
      </c>
      <c r="L99" s="55">
        <v>2585</v>
      </c>
      <c r="M99" s="55">
        <v>2535</v>
      </c>
      <c r="N99" s="69" t="s">
        <v>363</v>
      </c>
      <c r="O99" s="129">
        <v>30706</v>
      </c>
      <c r="P99" s="129">
        <v>30760</v>
      </c>
      <c r="Q99" s="129">
        <v>31037</v>
      </c>
      <c r="R99" s="129">
        <v>31380</v>
      </c>
      <c r="S99" s="129">
        <v>31435</v>
      </c>
      <c r="T99" s="129">
        <v>31534</v>
      </c>
      <c r="U99" s="129">
        <v>32100</v>
      </c>
      <c r="V99" s="129">
        <v>32400</v>
      </c>
      <c r="W99" s="130"/>
      <c r="X99" s="130"/>
      <c r="Y99" s="129"/>
      <c r="Z99" s="129"/>
      <c r="AA99" s="129"/>
    </row>
    <row r="100" spans="1:27" x14ac:dyDescent="0.25">
      <c r="A100" t="s">
        <v>522</v>
      </c>
      <c r="B100" s="75" t="s">
        <v>403</v>
      </c>
      <c r="C100" s="59">
        <f t="shared" si="8"/>
        <v>-3.5895705636469289E-3</v>
      </c>
      <c r="D100" t="s">
        <v>116</v>
      </c>
      <c r="E100" s="59">
        <f t="shared" si="7"/>
        <v>2.4057738572574178E-2</v>
      </c>
      <c r="F100" s="129">
        <v>17783</v>
      </c>
      <c r="G100" s="129"/>
      <c r="H100" s="129">
        <v>1350</v>
      </c>
      <c r="I100" s="55">
        <v>1290</v>
      </c>
      <c r="J100" s="55">
        <v>1285</v>
      </c>
      <c r="K100" s="55">
        <v>1245</v>
      </c>
      <c r="L100" s="55">
        <v>1215</v>
      </c>
      <c r="M100" s="55">
        <v>1200</v>
      </c>
      <c r="N100" s="69" t="s">
        <v>403</v>
      </c>
      <c r="O100" s="129">
        <v>16945</v>
      </c>
      <c r="P100" s="129">
        <v>17035</v>
      </c>
      <c r="Q100" s="129">
        <v>17245</v>
      </c>
      <c r="R100" s="129">
        <v>17763</v>
      </c>
      <c r="S100" s="129">
        <v>17789</v>
      </c>
      <c r="T100" s="129">
        <v>17783</v>
      </c>
      <c r="U100" s="129">
        <v>17300</v>
      </c>
      <c r="V100" s="129">
        <v>17400</v>
      </c>
      <c r="W100" s="130"/>
      <c r="X100" s="130"/>
      <c r="Y100" s="129"/>
      <c r="Z100" s="129"/>
      <c r="AA100" s="129"/>
    </row>
    <row r="101" spans="1:27" x14ac:dyDescent="0.25">
      <c r="A101" t="s">
        <v>513</v>
      </c>
      <c r="B101" s="75" t="s">
        <v>364</v>
      </c>
      <c r="C101" s="59">
        <f t="shared" si="8"/>
        <v>-1.8116575210000816E-3</v>
      </c>
      <c r="D101" t="s">
        <v>116</v>
      </c>
      <c r="E101" s="59">
        <f t="shared" si="7"/>
        <v>3.0969030969030968E-2</v>
      </c>
      <c r="F101" s="129">
        <v>28611</v>
      </c>
      <c r="G101" s="129"/>
      <c r="H101" s="129">
        <v>2225</v>
      </c>
      <c r="I101" s="55">
        <v>2115</v>
      </c>
      <c r="J101" s="55">
        <v>2045</v>
      </c>
      <c r="K101" s="55">
        <v>1995</v>
      </c>
      <c r="L101" s="55">
        <v>1940</v>
      </c>
      <c r="M101" s="55">
        <v>1915</v>
      </c>
      <c r="N101" s="69" t="s">
        <v>364</v>
      </c>
      <c r="O101" s="129">
        <v>26453</v>
      </c>
      <c r="P101" s="129">
        <v>26723</v>
      </c>
      <c r="Q101" s="129">
        <v>26592</v>
      </c>
      <c r="R101" s="129">
        <v>26829</v>
      </c>
      <c r="S101" s="129">
        <v>27343</v>
      </c>
      <c r="T101" s="129">
        <v>28611</v>
      </c>
      <c r="U101" s="129">
        <v>28600</v>
      </c>
      <c r="V101" s="129">
        <v>28300</v>
      </c>
      <c r="W101" s="130"/>
      <c r="X101" s="130"/>
      <c r="Y101" s="129"/>
      <c r="Z101" s="129"/>
      <c r="AA101" s="129"/>
    </row>
    <row r="102" spans="1:27" x14ac:dyDescent="0.25">
      <c r="A102" t="s">
        <v>517</v>
      </c>
      <c r="B102" s="75" t="s">
        <v>290</v>
      </c>
      <c r="C102" s="59">
        <f t="shared" si="8"/>
        <v>-5.7717846562468072E-3</v>
      </c>
      <c r="D102" t="s">
        <v>465</v>
      </c>
      <c r="E102" s="59">
        <f t="shared" si="7"/>
        <v>2.9347028613352897E-2</v>
      </c>
      <c r="F102" s="129">
        <v>52208</v>
      </c>
      <c r="G102" s="129"/>
      <c r="H102" s="129">
        <v>4445</v>
      </c>
      <c r="I102" s="55">
        <v>4340</v>
      </c>
      <c r="J102" s="55">
        <v>4245</v>
      </c>
      <c r="K102" s="55">
        <v>4065</v>
      </c>
      <c r="L102" s="55">
        <v>3950</v>
      </c>
      <c r="M102" s="55">
        <v>3845</v>
      </c>
      <c r="N102" s="69" t="s">
        <v>290</v>
      </c>
      <c r="O102" s="129">
        <v>50044</v>
      </c>
      <c r="P102" s="129">
        <v>50589</v>
      </c>
      <c r="Q102" s="129">
        <v>51044</v>
      </c>
      <c r="R102" s="129">
        <v>51557</v>
      </c>
      <c r="S102" s="129">
        <v>51867</v>
      </c>
      <c r="T102" s="129">
        <v>52208</v>
      </c>
      <c r="U102" s="129">
        <v>50500</v>
      </c>
      <c r="V102" s="129">
        <v>50400</v>
      </c>
      <c r="W102" s="130"/>
      <c r="X102" s="130"/>
      <c r="Y102" s="129"/>
      <c r="Z102" s="129"/>
      <c r="AA102" s="129"/>
    </row>
    <row r="103" spans="1:27" x14ac:dyDescent="0.25">
      <c r="A103" t="s">
        <v>524</v>
      </c>
      <c r="B103" s="75" t="s">
        <v>329</v>
      </c>
      <c r="C103" s="59">
        <f t="shared" si="8"/>
        <v>-2.5960539979231569E-3</v>
      </c>
      <c r="D103" t="s">
        <v>439</v>
      </c>
      <c r="E103" s="59">
        <f t="shared" si="7"/>
        <v>3.1309297912713474E-2</v>
      </c>
      <c r="F103" s="129">
        <v>40125</v>
      </c>
      <c r="G103" s="129"/>
      <c r="H103" s="129">
        <v>3495</v>
      </c>
      <c r="I103" s="55">
        <v>3360</v>
      </c>
      <c r="J103" s="55">
        <v>3255</v>
      </c>
      <c r="K103" s="55">
        <v>3165</v>
      </c>
      <c r="L103" s="55">
        <v>3030</v>
      </c>
      <c r="M103" s="55">
        <v>3000</v>
      </c>
      <c r="N103" s="69" t="s">
        <v>329</v>
      </c>
      <c r="O103" s="129">
        <v>38079</v>
      </c>
      <c r="P103" s="129">
        <v>38594</v>
      </c>
      <c r="Q103" s="129">
        <v>38948</v>
      </c>
      <c r="R103" s="129">
        <v>39430</v>
      </c>
      <c r="S103" s="129">
        <v>39682</v>
      </c>
      <c r="T103" s="129">
        <v>40125</v>
      </c>
      <c r="U103" s="129">
        <v>39400</v>
      </c>
      <c r="V103" s="129">
        <v>39500</v>
      </c>
      <c r="W103" s="130"/>
      <c r="X103" s="130"/>
      <c r="Y103" s="129"/>
      <c r="Z103" s="129"/>
      <c r="AA103" s="129"/>
    </row>
    <row r="104" spans="1:27" x14ac:dyDescent="0.25">
      <c r="A104" t="s">
        <v>513</v>
      </c>
      <c r="B104" s="75" t="s">
        <v>365</v>
      </c>
      <c r="C104" s="59">
        <f t="shared" si="8"/>
        <v>2.3097992723110257E-3</v>
      </c>
      <c r="D104" t="s">
        <v>465</v>
      </c>
      <c r="E104" s="59">
        <f t="shared" si="7"/>
        <v>2.9933481152993349E-2</v>
      </c>
      <c r="F104" s="129">
        <v>24461</v>
      </c>
      <c r="G104" s="129"/>
      <c r="H104" s="129">
        <v>1970</v>
      </c>
      <c r="I104" s="55">
        <v>1915</v>
      </c>
      <c r="J104" s="55">
        <v>1850</v>
      </c>
      <c r="K104" s="55">
        <v>1795</v>
      </c>
      <c r="L104" s="55">
        <v>1760</v>
      </c>
      <c r="M104" s="55">
        <v>1700</v>
      </c>
      <c r="N104" s="69" t="s">
        <v>365</v>
      </c>
      <c r="O104" s="129">
        <v>23889</v>
      </c>
      <c r="P104" s="129">
        <v>23952</v>
      </c>
      <c r="Q104" s="129">
        <v>23986</v>
      </c>
      <c r="R104" s="129">
        <v>24175</v>
      </c>
      <c r="S104" s="129">
        <v>24327</v>
      </c>
      <c r="T104" s="129">
        <v>24461</v>
      </c>
      <c r="U104" s="129">
        <v>24600</v>
      </c>
      <c r="V104" s="129">
        <v>24800</v>
      </c>
      <c r="W104" s="130"/>
      <c r="X104" s="130"/>
      <c r="Y104" s="129"/>
      <c r="Z104" s="129"/>
      <c r="AA104" s="129"/>
    </row>
    <row r="105" spans="1:27" x14ac:dyDescent="0.25">
      <c r="A105" t="s">
        <v>514</v>
      </c>
      <c r="B105" s="75" t="s">
        <v>486</v>
      </c>
      <c r="C105" s="59">
        <f t="shared" si="8"/>
        <v>-4.9577972629681229E-3</v>
      </c>
      <c r="D105" t="s">
        <v>465</v>
      </c>
      <c r="E105" s="59">
        <f t="shared" si="7"/>
        <v>3.0080497104928682E-2</v>
      </c>
      <c r="F105" s="129">
        <v>61015</v>
      </c>
      <c r="G105" s="129"/>
      <c r="H105" s="129">
        <v>7775</v>
      </c>
      <c r="I105" s="55">
        <v>7540</v>
      </c>
      <c r="J105" s="55">
        <v>7345</v>
      </c>
      <c r="K105" s="55">
        <v>7050</v>
      </c>
      <c r="L105" s="55">
        <v>6760</v>
      </c>
      <c r="M105" s="55">
        <v>6710</v>
      </c>
      <c r="N105" s="69" t="s">
        <v>486</v>
      </c>
      <c r="O105" s="129">
        <v>58078</v>
      </c>
      <c r="P105" s="129">
        <v>58524</v>
      </c>
      <c r="Q105" s="129">
        <v>58846</v>
      </c>
      <c r="R105" s="129">
        <v>60366</v>
      </c>
      <c r="S105" s="129">
        <v>60370</v>
      </c>
      <c r="T105" s="129">
        <v>61015</v>
      </c>
      <c r="U105" s="129">
        <v>59100</v>
      </c>
      <c r="V105" s="129">
        <v>59200</v>
      </c>
      <c r="W105" s="130"/>
      <c r="X105" s="130"/>
      <c r="Y105" s="129"/>
      <c r="Z105" s="129"/>
      <c r="AA105" s="129"/>
    </row>
    <row r="106" spans="1:27" x14ac:dyDescent="0.25">
      <c r="A106" t="s">
        <v>517</v>
      </c>
      <c r="B106" s="75" t="s">
        <v>291</v>
      </c>
      <c r="C106" s="59">
        <f t="shared" si="8"/>
        <v>7.0695631284532759E-3</v>
      </c>
      <c r="D106" t="s">
        <v>439</v>
      </c>
      <c r="E106" s="59">
        <f t="shared" si="7"/>
        <v>3.0116358658453114E-2</v>
      </c>
      <c r="F106" s="129">
        <v>38852</v>
      </c>
      <c r="G106" s="129"/>
      <c r="H106" s="129">
        <v>3195</v>
      </c>
      <c r="I106" s="55">
        <v>3070</v>
      </c>
      <c r="J106" s="55">
        <v>2985</v>
      </c>
      <c r="K106" s="55">
        <v>2955</v>
      </c>
      <c r="L106" s="55">
        <v>2845</v>
      </c>
      <c r="M106" s="55">
        <v>2755</v>
      </c>
      <c r="N106" s="69" t="s">
        <v>291</v>
      </c>
      <c r="O106" s="129">
        <v>36961</v>
      </c>
      <c r="P106" s="129">
        <v>37410</v>
      </c>
      <c r="Q106" s="129">
        <v>37622</v>
      </c>
      <c r="R106" s="129">
        <v>38477</v>
      </c>
      <c r="S106" s="129">
        <v>38671</v>
      </c>
      <c r="T106" s="129">
        <v>38852</v>
      </c>
      <c r="U106" s="129">
        <v>40200</v>
      </c>
      <c r="V106" s="129">
        <v>40500</v>
      </c>
      <c r="W106" s="130"/>
      <c r="X106" s="130"/>
      <c r="Y106" s="129"/>
      <c r="Z106" s="129"/>
      <c r="AA106" s="129"/>
    </row>
    <row r="107" spans="1:27" x14ac:dyDescent="0.25">
      <c r="A107" t="s">
        <v>517</v>
      </c>
      <c r="B107" s="75" t="s">
        <v>292</v>
      </c>
      <c r="C107" s="59">
        <f t="shared" si="8"/>
        <v>1.6907076408487508E-2</v>
      </c>
      <c r="D107" t="s">
        <v>439</v>
      </c>
      <c r="E107" s="59">
        <f t="shared" si="7"/>
        <v>3.6902601330913491E-2</v>
      </c>
      <c r="F107" s="129">
        <v>76536</v>
      </c>
      <c r="G107" s="129"/>
      <c r="H107" s="129">
        <v>5670</v>
      </c>
      <c r="I107" s="55">
        <v>5310</v>
      </c>
      <c r="J107" s="55">
        <v>5100</v>
      </c>
      <c r="K107" s="55">
        <v>4940</v>
      </c>
      <c r="L107" s="55">
        <v>4690</v>
      </c>
      <c r="M107" s="55">
        <v>4755</v>
      </c>
      <c r="N107" s="69" t="s">
        <v>292</v>
      </c>
      <c r="O107" s="129">
        <v>73456</v>
      </c>
      <c r="P107" s="129">
        <v>73681</v>
      </c>
      <c r="Q107" s="129">
        <v>74134</v>
      </c>
      <c r="R107" s="129">
        <v>75304</v>
      </c>
      <c r="S107" s="129">
        <v>75758</v>
      </c>
      <c r="T107" s="129">
        <v>76536</v>
      </c>
      <c r="U107" s="129">
        <v>82800</v>
      </c>
      <c r="V107" s="129">
        <v>84300</v>
      </c>
      <c r="W107" s="130"/>
      <c r="X107" s="130"/>
      <c r="Y107" s="129"/>
      <c r="Z107" s="129"/>
      <c r="AA107" s="129"/>
    </row>
    <row r="108" spans="1:27" x14ac:dyDescent="0.25">
      <c r="A108" t="s">
        <v>521</v>
      </c>
      <c r="B108" s="75" t="s">
        <v>721</v>
      </c>
      <c r="C108" s="59">
        <f t="shared" si="8"/>
        <v>1.1092411573198499E-2</v>
      </c>
      <c r="D108" t="s">
        <v>439</v>
      </c>
      <c r="E108" s="59">
        <f t="shared" si="7"/>
        <v>3.6593360748554744E-2</v>
      </c>
      <c r="F108" s="61">
        <v>244807</v>
      </c>
      <c r="G108" s="55"/>
      <c r="H108" s="55">
        <v>18750</v>
      </c>
      <c r="I108" s="55">
        <v>17925</v>
      </c>
      <c r="J108" s="55">
        <v>17495</v>
      </c>
      <c r="K108" s="55">
        <v>16775</v>
      </c>
      <c r="L108" s="55">
        <v>16020</v>
      </c>
      <c r="M108" s="55">
        <v>15680</v>
      </c>
      <c r="N108" s="69" t="s">
        <v>119</v>
      </c>
      <c r="O108" s="130">
        <v>233053</v>
      </c>
      <c r="P108" s="129">
        <v>233273</v>
      </c>
      <c r="Q108" s="129">
        <v>234977</v>
      </c>
      <c r="R108" s="129">
        <v>238179</v>
      </c>
      <c r="S108" s="129">
        <v>243768</v>
      </c>
      <c r="T108" s="129">
        <v>244807</v>
      </c>
      <c r="U108" s="129">
        <v>256700</v>
      </c>
      <c r="V108" s="129">
        <v>261100.00000000003</v>
      </c>
      <c r="W108" s="130"/>
      <c r="X108" s="130"/>
      <c r="Y108" s="129"/>
      <c r="Z108" s="129"/>
      <c r="AA108" s="129"/>
    </row>
    <row r="109" spans="1:27" x14ac:dyDescent="0.25">
      <c r="A109" t="s">
        <v>522</v>
      </c>
      <c r="B109" s="75" t="s">
        <v>404</v>
      </c>
      <c r="C109" s="59">
        <f t="shared" si="8"/>
        <v>-2.5684931506849314E-3</v>
      </c>
      <c r="D109" t="s">
        <v>116</v>
      </c>
      <c r="E109" s="59">
        <f t="shared" si="7"/>
        <v>2.4691358024691357E-2</v>
      </c>
      <c r="F109" s="129">
        <v>14016</v>
      </c>
      <c r="G109" s="129"/>
      <c r="H109" s="129">
        <v>1300</v>
      </c>
      <c r="I109" s="55">
        <v>1280</v>
      </c>
      <c r="J109" s="55">
        <v>1260</v>
      </c>
      <c r="K109" s="55">
        <v>1220</v>
      </c>
      <c r="L109" s="55">
        <v>1165</v>
      </c>
      <c r="M109" s="55">
        <v>1150</v>
      </c>
      <c r="N109" s="69" t="s">
        <v>404</v>
      </c>
      <c r="O109" s="129">
        <v>14183</v>
      </c>
      <c r="P109" s="129">
        <v>14206</v>
      </c>
      <c r="Q109" s="129">
        <v>14185</v>
      </c>
      <c r="R109" s="129">
        <v>14204</v>
      </c>
      <c r="S109" s="129">
        <v>14054</v>
      </c>
      <c r="T109" s="129">
        <v>14016</v>
      </c>
      <c r="U109" s="129">
        <v>13900</v>
      </c>
      <c r="V109" s="129">
        <v>13800</v>
      </c>
      <c r="W109" s="130"/>
      <c r="X109" s="130"/>
      <c r="Y109" s="129"/>
      <c r="Z109" s="129"/>
      <c r="AA109" s="129"/>
    </row>
    <row r="110" spans="1:27" x14ac:dyDescent="0.25">
      <c r="A110" t="s">
        <v>518</v>
      </c>
      <c r="B110" s="75" t="s">
        <v>145</v>
      </c>
      <c r="C110" s="59">
        <f t="shared" si="8"/>
        <v>-5.6626622080942352E-3</v>
      </c>
      <c r="D110" t="s">
        <v>116</v>
      </c>
      <c r="E110" s="59">
        <f t="shared" si="7"/>
        <v>2.8205128205128206E-2</v>
      </c>
      <c r="F110" s="129">
        <v>24223</v>
      </c>
      <c r="G110" s="129"/>
      <c r="H110" s="129">
        <v>2130</v>
      </c>
      <c r="I110" s="55">
        <v>2050</v>
      </c>
      <c r="J110" s="55">
        <v>2015</v>
      </c>
      <c r="K110" s="55">
        <v>1940</v>
      </c>
      <c r="L110" s="55">
        <v>1890</v>
      </c>
      <c r="M110" s="55">
        <v>1855</v>
      </c>
      <c r="N110" s="69" t="s">
        <v>145</v>
      </c>
      <c r="O110" s="129">
        <v>24326</v>
      </c>
      <c r="P110" s="129">
        <v>24229</v>
      </c>
      <c r="Q110" s="129">
        <v>24267</v>
      </c>
      <c r="R110" s="129">
        <v>24503</v>
      </c>
      <c r="S110" s="129">
        <v>24359</v>
      </c>
      <c r="T110" s="129">
        <v>24223</v>
      </c>
      <c r="U110" s="129">
        <v>23500</v>
      </c>
      <c r="V110" s="129">
        <v>23400</v>
      </c>
      <c r="W110" s="130"/>
      <c r="X110" s="130"/>
      <c r="Y110" s="129"/>
      <c r="Z110" s="129"/>
      <c r="AA110" s="129"/>
    </row>
    <row r="111" spans="1:27" x14ac:dyDescent="0.25">
      <c r="A111" t="s">
        <v>514</v>
      </c>
      <c r="B111" s="75" t="s">
        <v>250</v>
      </c>
      <c r="C111" s="59">
        <f t="shared" si="8"/>
        <v>1.8029903254177661E-2</v>
      </c>
      <c r="D111" t="s">
        <v>439</v>
      </c>
      <c r="E111" s="59">
        <f t="shared" si="7"/>
        <v>4.7366299381886592E-2</v>
      </c>
      <c r="F111" s="129">
        <v>168655</v>
      </c>
      <c r="G111" s="129"/>
      <c r="H111" s="129">
        <v>17100</v>
      </c>
      <c r="I111" s="55">
        <v>16280</v>
      </c>
      <c r="J111" s="55">
        <v>15750</v>
      </c>
      <c r="K111" s="55">
        <v>14830</v>
      </c>
      <c r="L111" s="55">
        <v>13985</v>
      </c>
      <c r="M111" s="55">
        <v>13575</v>
      </c>
      <c r="N111" s="69" t="s">
        <v>250</v>
      </c>
      <c r="O111" s="129">
        <v>162994</v>
      </c>
      <c r="P111" s="129">
        <v>162543</v>
      </c>
      <c r="Q111" s="129">
        <v>162889</v>
      </c>
      <c r="R111" s="129">
        <v>165358</v>
      </c>
      <c r="S111" s="129">
        <v>167636</v>
      </c>
      <c r="T111" s="129">
        <v>168655</v>
      </c>
      <c r="U111" s="129">
        <v>183000</v>
      </c>
      <c r="V111" s="129">
        <v>186900</v>
      </c>
      <c r="W111" s="130"/>
      <c r="X111" s="130"/>
      <c r="Y111" s="129"/>
      <c r="Z111" s="129"/>
      <c r="AA111" s="129"/>
    </row>
    <row r="112" spans="1:27" x14ac:dyDescent="0.25">
      <c r="A112" t="s">
        <v>514</v>
      </c>
      <c r="B112" s="75" t="s">
        <v>251</v>
      </c>
      <c r="C112" s="59">
        <f t="shared" si="8"/>
        <v>1.3799782108703546E-2</v>
      </c>
      <c r="D112" t="s">
        <v>465</v>
      </c>
      <c r="E112" s="59">
        <f t="shared" si="7"/>
        <v>3.1937734836285564E-2</v>
      </c>
      <c r="F112" s="61">
        <v>165220</v>
      </c>
      <c r="G112" s="55"/>
      <c r="H112" s="55">
        <v>16505</v>
      </c>
      <c r="I112" s="55">
        <v>15650</v>
      </c>
      <c r="J112" s="55">
        <v>15415</v>
      </c>
      <c r="K112" s="55">
        <v>14935</v>
      </c>
      <c r="L112" s="55">
        <v>14395</v>
      </c>
      <c r="M112" s="55">
        <v>14125</v>
      </c>
      <c r="N112" s="69" t="s">
        <v>251</v>
      </c>
      <c r="O112" s="130">
        <v>155884</v>
      </c>
      <c r="P112" s="129">
        <v>157789</v>
      </c>
      <c r="Q112" s="129">
        <v>159334</v>
      </c>
      <c r="R112" s="129">
        <v>162269</v>
      </c>
      <c r="S112" s="129">
        <v>163128</v>
      </c>
      <c r="T112" s="129">
        <v>165220</v>
      </c>
      <c r="U112" s="129">
        <v>173500</v>
      </c>
      <c r="V112" s="129">
        <v>178900</v>
      </c>
      <c r="W112" s="130"/>
      <c r="X112" s="130"/>
      <c r="Y112" s="129"/>
      <c r="Z112" s="129"/>
      <c r="AA112" s="129"/>
    </row>
    <row r="113" spans="1:27" x14ac:dyDescent="0.25">
      <c r="A113" t="s">
        <v>513</v>
      </c>
      <c r="B113" s="75" t="s">
        <v>368</v>
      </c>
      <c r="C113" s="59">
        <f t="shared" si="8"/>
        <v>-3.9924298002190252E-3</v>
      </c>
      <c r="D113" t="s">
        <v>116</v>
      </c>
      <c r="E113" s="59">
        <f t="shared" si="7"/>
        <v>2.3809523809523808E-2</v>
      </c>
      <c r="F113" s="129">
        <v>31351</v>
      </c>
      <c r="G113" s="129"/>
      <c r="H113" s="129">
        <v>2780</v>
      </c>
      <c r="I113" s="55">
        <v>2635</v>
      </c>
      <c r="J113" s="55">
        <v>2615</v>
      </c>
      <c r="K113" s="55">
        <v>2585</v>
      </c>
      <c r="L113" s="55">
        <v>2500</v>
      </c>
      <c r="M113" s="55">
        <v>2475</v>
      </c>
      <c r="N113" s="69" t="s">
        <v>368</v>
      </c>
      <c r="O113" s="129">
        <v>30262</v>
      </c>
      <c r="P113" s="129">
        <v>30430</v>
      </c>
      <c r="Q113" s="129">
        <v>30765</v>
      </c>
      <c r="R113" s="129">
        <v>31043</v>
      </c>
      <c r="S113" s="129">
        <v>31183</v>
      </c>
      <c r="T113" s="129">
        <v>31351</v>
      </c>
      <c r="U113" s="129">
        <v>30600</v>
      </c>
      <c r="V113" s="129">
        <v>30600</v>
      </c>
      <c r="W113" s="130"/>
      <c r="X113" s="130"/>
      <c r="Y113" s="129"/>
      <c r="Z113" s="129"/>
      <c r="AA113" s="129"/>
    </row>
    <row r="114" spans="1:27" x14ac:dyDescent="0.25">
      <c r="A114" t="s">
        <v>518</v>
      </c>
      <c r="B114" s="75" t="s">
        <v>146</v>
      </c>
      <c r="C114" s="59">
        <f t="shared" si="8"/>
        <v>-7.6812302582133715E-3</v>
      </c>
      <c r="D114" t="s">
        <v>116</v>
      </c>
      <c r="E114" s="59">
        <f t="shared" si="7"/>
        <v>2.3910614525139665E-2</v>
      </c>
      <c r="F114" s="129">
        <v>63423</v>
      </c>
      <c r="G114" s="129"/>
      <c r="H114" s="129">
        <v>4830</v>
      </c>
      <c r="I114" s="55">
        <v>4720</v>
      </c>
      <c r="J114" s="55">
        <v>4590</v>
      </c>
      <c r="K114" s="55">
        <v>4455</v>
      </c>
      <c r="L114" s="55">
        <v>4315</v>
      </c>
      <c r="M114" s="55">
        <v>4295</v>
      </c>
      <c r="N114" s="69" t="s">
        <v>146</v>
      </c>
      <c r="O114" s="129">
        <v>60922</v>
      </c>
      <c r="P114" s="129">
        <v>61357</v>
      </c>
      <c r="Q114" s="129">
        <v>61795</v>
      </c>
      <c r="R114" s="129">
        <v>62505</v>
      </c>
      <c r="S114" s="129">
        <v>62932</v>
      </c>
      <c r="T114" s="129">
        <v>63423</v>
      </c>
      <c r="U114" s="129">
        <v>60700</v>
      </c>
      <c r="V114" s="129">
        <v>60500</v>
      </c>
      <c r="W114" s="130"/>
      <c r="X114" s="130"/>
      <c r="Y114" s="129"/>
      <c r="Z114" s="129"/>
      <c r="AA114" s="129"/>
    </row>
    <row r="115" spans="1:27" x14ac:dyDescent="0.25">
      <c r="A115" t="s">
        <v>515</v>
      </c>
      <c r="B115" s="75" t="s">
        <v>181</v>
      </c>
      <c r="C115" s="59">
        <f t="shared" si="8"/>
        <v>7.0900738965448372E-3</v>
      </c>
      <c r="D115" t="s">
        <v>439</v>
      </c>
      <c r="E115" s="59">
        <f t="shared" si="7"/>
        <v>3.4284067991933162E-2</v>
      </c>
      <c r="F115" s="129">
        <v>50070</v>
      </c>
      <c r="G115" s="129"/>
      <c r="H115" s="129">
        <v>3840</v>
      </c>
      <c r="I115" s="55">
        <v>3690</v>
      </c>
      <c r="J115" s="55">
        <v>3580</v>
      </c>
      <c r="K115" s="55">
        <v>3510</v>
      </c>
      <c r="L115" s="55">
        <v>3330</v>
      </c>
      <c r="M115" s="55">
        <v>3245</v>
      </c>
      <c r="N115" s="69" t="s">
        <v>181</v>
      </c>
      <c r="O115" s="129">
        <v>48349</v>
      </c>
      <c r="P115" s="129">
        <v>48726</v>
      </c>
      <c r="Q115" s="129">
        <v>48859</v>
      </c>
      <c r="R115" s="129">
        <v>48910</v>
      </c>
      <c r="S115" s="129">
        <v>49387</v>
      </c>
      <c r="T115" s="129">
        <v>50070</v>
      </c>
      <c r="U115" s="129">
        <v>51800</v>
      </c>
      <c r="V115" s="129">
        <v>52200</v>
      </c>
      <c r="W115" s="130"/>
      <c r="X115" s="130"/>
      <c r="Y115" s="129"/>
      <c r="Z115" s="129"/>
      <c r="AA115" s="129"/>
    </row>
    <row r="116" spans="1:27" x14ac:dyDescent="0.25">
      <c r="A116" t="s">
        <v>517</v>
      </c>
      <c r="B116" s="75" t="s">
        <v>293</v>
      </c>
      <c r="C116" s="59">
        <f t="shared" si="8"/>
        <v>3.259088849384782E-3</v>
      </c>
      <c r="D116" t="s">
        <v>465</v>
      </c>
      <c r="E116" s="59">
        <f t="shared" si="7"/>
        <v>3.1880286271958359E-2</v>
      </c>
      <c r="F116" s="129">
        <v>19126</v>
      </c>
      <c r="G116" s="129"/>
      <c r="H116" s="129">
        <v>1690</v>
      </c>
      <c r="I116" s="55">
        <v>1640</v>
      </c>
      <c r="J116" s="55">
        <v>1605</v>
      </c>
      <c r="K116" s="55">
        <v>1525</v>
      </c>
      <c r="L116" s="55">
        <v>1470</v>
      </c>
      <c r="M116" s="55">
        <v>1445</v>
      </c>
      <c r="N116" s="69" t="s">
        <v>293</v>
      </c>
      <c r="O116" s="129">
        <v>18275</v>
      </c>
      <c r="P116" s="129">
        <v>18413</v>
      </c>
      <c r="Q116" s="129">
        <v>18511</v>
      </c>
      <c r="R116" s="129">
        <v>18681</v>
      </c>
      <c r="S116" s="129">
        <v>18762</v>
      </c>
      <c r="T116" s="129">
        <v>19126</v>
      </c>
      <c r="U116" s="129">
        <v>19300</v>
      </c>
      <c r="V116" s="129">
        <v>19500</v>
      </c>
      <c r="W116" s="130"/>
      <c r="X116" s="130"/>
      <c r="Y116" s="129"/>
      <c r="Z116" s="129"/>
      <c r="AA116" s="129"/>
    </row>
    <row r="117" spans="1:27" x14ac:dyDescent="0.25">
      <c r="A117" t="s">
        <v>516</v>
      </c>
      <c r="B117" s="75" t="s">
        <v>128</v>
      </c>
      <c r="C117" s="59">
        <f t="shared" si="8"/>
        <v>-1.2440880115155253E-2</v>
      </c>
      <c r="D117" t="s">
        <v>439</v>
      </c>
      <c r="E117" s="59">
        <f t="shared" si="7"/>
        <v>2.2288261515601784E-2</v>
      </c>
      <c r="F117" s="129">
        <v>16210</v>
      </c>
      <c r="G117" s="129"/>
      <c r="H117" s="129">
        <v>1440</v>
      </c>
      <c r="I117" s="55">
        <v>1405</v>
      </c>
      <c r="J117" s="55">
        <v>1415</v>
      </c>
      <c r="K117" s="55">
        <v>1335</v>
      </c>
      <c r="L117" s="55">
        <v>1285</v>
      </c>
      <c r="M117" s="55">
        <v>1290</v>
      </c>
      <c r="N117" s="69" t="s">
        <v>128</v>
      </c>
      <c r="O117" s="129">
        <v>15708</v>
      </c>
      <c r="P117" s="129">
        <v>15807</v>
      </c>
      <c r="Q117" s="129">
        <v>15906</v>
      </c>
      <c r="R117" s="129">
        <v>16212</v>
      </c>
      <c r="S117" s="129">
        <v>16229</v>
      </c>
      <c r="T117" s="129">
        <v>16210</v>
      </c>
      <c r="U117" s="129">
        <v>15200</v>
      </c>
      <c r="V117" s="129">
        <v>15000</v>
      </c>
      <c r="W117" s="130"/>
      <c r="X117" s="130"/>
      <c r="Y117" s="129"/>
      <c r="Z117" s="129"/>
      <c r="AA117" s="129"/>
    </row>
    <row r="118" spans="1:27" x14ac:dyDescent="0.25">
      <c r="A118" t="s">
        <v>518</v>
      </c>
      <c r="B118" s="75" t="s">
        <v>182</v>
      </c>
      <c r="C118" s="59">
        <f t="shared" si="8"/>
        <v>-5.7543419125340026E-4</v>
      </c>
      <c r="D118" t="s">
        <v>465</v>
      </c>
      <c r="E118" s="59">
        <f t="shared" si="7"/>
        <v>2.6225769669327253E-2</v>
      </c>
      <c r="F118" s="129">
        <v>12744</v>
      </c>
      <c r="G118" s="129"/>
      <c r="H118" s="129">
        <v>950</v>
      </c>
      <c r="I118" s="55">
        <v>925</v>
      </c>
      <c r="J118" s="55">
        <v>905</v>
      </c>
      <c r="K118" s="55">
        <v>865</v>
      </c>
      <c r="L118" s="55">
        <v>855</v>
      </c>
      <c r="M118" s="55">
        <v>835</v>
      </c>
      <c r="N118" s="69" t="s">
        <v>182</v>
      </c>
      <c r="O118" s="129">
        <v>12211</v>
      </c>
      <c r="P118" s="129">
        <v>12228</v>
      </c>
      <c r="Q118" s="129">
        <v>12305</v>
      </c>
      <c r="R118" s="129">
        <v>12563</v>
      </c>
      <c r="S118" s="129">
        <v>12624</v>
      </c>
      <c r="T118" s="129">
        <v>12744</v>
      </c>
      <c r="U118" s="129">
        <v>12600</v>
      </c>
      <c r="V118" s="129">
        <v>12700</v>
      </c>
      <c r="W118" s="130"/>
      <c r="X118" s="130"/>
      <c r="Y118" s="129"/>
      <c r="Z118" s="129"/>
      <c r="AA118" s="129"/>
    </row>
    <row r="119" spans="1:27" x14ac:dyDescent="0.25">
      <c r="A119" t="s">
        <v>514</v>
      </c>
      <c r="B119" s="75" t="s">
        <v>252</v>
      </c>
      <c r="C119" s="59">
        <f t="shared" si="8"/>
        <v>2.5939184671761413E-3</v>
      </c>
      <c r="D119" t="s">
        <v>116</v>
      </c>
      <c r="E119" s="59">
        <f t="shared" si="7"/>
        <v>2.9485049833887042E-2</v>
      </c>
      <c r="F119" s="129">
        <v>39387</v>
      </c>
      <c r="G119" s="129"/>
      <c r="H119" s="129">
        <v>2620</v>
      </c>
      <c r="I119" s="55">
        <v>2515</v>
      </c>
      <c r="J119" s="55">
        <v>2495</v>
      </c>
      <c r="K119" s="55">
        <v>2430</v>
      </c>
      <c r="L119" s="55">
        <v>2335</v>
      </c>
      <c r="M119" s="55">
        <v>2265</v>
      </c>
      <c r="N119" s="69" t="s">
        <v>252</v>
      </c>
      <c r="O119" s="129">
        <v>39178</v>
      </c>
      <c r="P119" s="129">
        <v>39191</v>
      </c>
      <c r="Q119" s="129">
        <v>39182</v>
      </c>
      <c r="R119" s="129">
        <v>39438</v>
      </c>
      <c r="S119" s="129">
        <v>39452</v>
      </c>
      <c r="T119" s="129">
        <v>39387</v>
      </c>
      <c r="U119" s="129">
        <v>39600</v>
      </c>
      <c r="V119" s="129">
        <v>40000</v>
      </c>
      <c r="W119" s="130"/>
      <c r="X119" s="130"/>
      <c r="Y119" s="129"/>
      <c r="Z119" s="129"/>
      <c r="AA119" s="129"/>
    </row>
    <row r="120" spans="1:27" x14ac:dyDescent="0.25">
      <c r="A120" t="s">
        <v>514</v>
      </c>
      <c r="B120" s="75" t="s">
        <v>253</v>
      </c>
      <c r="C120" s="59">
        <f t="shared" si="8"/>
        <v>-8.3818758517553704E-4</v>
      </c>
      <c r="D120" t="s">
        <v>465</v>
      </c>
      <c r="E120" s="59">
        <f t="shared" si="7"/>
        <v>3.4238928172683293E-2</v>
      </c>
      <c r="F120" s="129">
        <v>27639</v>
      </c>
      <c r="G120" s="129"/>
      <c r="H120" s="129">
        <v>2995</v>
      </c>
      <c r="I120" s="55">
        <v>2855</v>
      </c>
      <c r="J120" s="55">
        <v>2765</v>
      </c>
      <c r="K120" s="55">
        <v>2690</v>
      </c>
      <c r="L120" s="55">
        <v>2590</v>
      </c>
      <c r="M120" s="55">
        <v>2535</v>
      </c>
      <c r="N120" s="69" t="s">
        <v>253</v>
      </c>
      <c r="O120" s="129">
        <v>27245</v>
      </c>
      <c r="P120" s="129">
        <v>27545</v>
      </c>
      <c r="Q120" s="129">
        <v>27560</v>
      </c>
      <c r="R120" s="129">
        <v>27785</v>
      </c>
      <c r="S120" s="129">
        <v>27593</v>
      </c>
      <c r="T120" s="129">
        <v>27639</v>
      </c>
      <c r="U120" s="129">
        <v>27400</v>
      </c>
      <c r="V120" s="129">
        <v>27500</v>
      </c>
      <c r="W120" s="130"/>
      <c r="X120" s="130"/>
      <c r="Y120" s="129"/>
      <c r="Z120" s="129"/>
      <c r="AA120" s="129"/>
    </row>
    <row r="121" spans="1:27" x14ac:dyDescent="0.25">
      <c r="A121" t="s">
        <v>515</v>
      </c>
      <c r="B121" s="75" t="s">
        <v>183</v>
      </c>
      <c r="C121" s="59">
        <f t="shared" si="8"/>
        <v>-6.0865060865060864E-3</v>
      </c>
      <c r="D121" t="s">
        <v>465</v>
      </c>
      <c r="E121" s="59">
        <f t="shared" si="7"/>
        <v>3.5742035742035744E-2</v>
      </c>
      <c r="F121" s="129">
        <v>19305</v>
      </c>
      <c r="G121" s="129"/>
      <c r="H121" s="129">
        <v>1430</v>
      </c>
      <c r="I121" s="55">
        <v>1380</v>
      </c>
      <c r="J121" s="55">
        <v>1340</v>
      </c>
      <c r="K121" s="55">
        <v>1285</v>
      </c>
      <c r="L121" s="55">
        <v>1230</v>
      </c>
      <c r="M121" s="55">
        <v>1200</v>
      </c>
      <c r="N121" s="69" t="s">
        <v>183</v>
      </c>
      <c r="O121" s="129">
        <v>18573</v>
      </c>
      <c r="P121" s="129">
        <v>18776</v>
      </c>
      <c r="Q121" s="129">
        <v>18979</v>
      </c>
      <c r="R121" s="129">
        <v>19216</v>
      </c>
      <c r="S121" s="129">
        <v>19226</v>
      </c>
      <c r="T121" s="129">
        <v>19305</v>
      </c>
      <c r="U121" s="129">
        <v>18600</v>
      </c>
      <c r="V121" s="129">
        <v>18600</v>
      </c>
      <c r="W121" s="130"/>
      <c r="X121" s="130"/>
      <c r="Y121" s="129"/>
      <c r="Z121" s="129"/>
      <c r="AA121" s="129"/>
    </row>
    <row r="122" spans="1:27" x14ac:dyDescent="0.25">
      <c r="A122" t="s">
        <v>516</v>
      </c>
      <c r="B122" s="75" t="s">
        <v>129</v>
      </c>
      <c r="C122" s="59">
        <f t="shared" si="8"/>
        <v>3.9883787449301634E-3</v>
      </c>
      <c r="D122" t="s">
        <v>439</v>
      </c>
      <c r="E122" s="59">
        <f t="shared" si="7"/>
        <v>3.5945363048166784E-2</v>
      </c>
      <c r="F122" s="129">
        <v>51859</v>
      </c>
      <c r="G122" s="129"/>
      <c r="H122" s="129">
        <v>4585</v>
      </c>
      <c r="I122" s="55">
        <v>4450</v>
      </c>
      <c r="J122" s="55">
        <v>4400</v>
      </c>
      <c r="K122" s="55">
        <v>4220</v>
      </c>
      <c r="L122" s="55">
        <v>3960</v>
      </c>
      <c r="M122" s="55">
        <v>3835</v>
      </c>
      <c r="N122" s="69" t="s">
        <v>129</v>
      </c>
      <c r="O122" s="129">
        <v>50432</v>
      </c>
      <c r="P122" s="129">
        <v>50650</v>
      </c>
      <c r="Q122" s="129">
        <v>51123</v>
      </c>
      <c r="R122" s="129">
        <v>51637</v>
      </c>
      <c r="S122" s="129">
        <v>51787</v>
      </c>
      <c r="T122" s="129">
        <v>51859</v>
      </c>
      <c r="U122" s="129">
        <v>52600</v>
      </c>
      <c r="V122" s="129">
        <v>53100</v>
      </c>
      <c r="W122" s="130"/>
      <c r="X122" s="130"/>
      <c r="Y122" s="129"/>
      <c r="Z122" s="129"/>
      <c r="AA122" s="129"/>
    </row>
    <row r="123" spans="1:27" x14ac:dyDescent="0.25">
      <c r="A123" t="s">
        <v>522</v>
      </c>
      <c r="B123" s="75" t="s">
        <v>405</v>
      </c>
      <c r="C123" s="59">
        <f t="shared" si="8"/>
        <v>-4.2164682222273009E-3</v>
      </c>
      <c r="D123" t="s">
        <v>439</v>
      </c>
      <c r="E123" s="59">
        <f t="shared" si="7"/>
        <v>1.8009103502869581E-2</v>
      </c>
      <c r="F123" s="129">
        <v>87514</v>
      </c>
      <c r="G123" s="129"/>
      <c r="H123" s="129">
        <v>5415</v>
      </c>
      <c r="I123" s="55">
        <v>5265</v>
      </c>
      <c r="J123" s="55">
        <v>5120</v>
      </c>
      <c r="K123" s="55">
        <v>5010</v>
      </c>
      <c r="L123" s="55">
        <v>4910</v>
      </c>
      <c r="M123" s="55">
        <v>4960</v>
      </c>
      <c r="N123" s="69" t="s">
        <v>405</v>
      </c>
      <c r="O123" s="129">
        <v>87101</v>
      </c>
      <c r="P123" s="129">
        <v>86936</v>
      </c>
      <c r="Q123" s="129">
        <v>86858</v>
      </c>
      <c r="R123" s="129">
        <v>87107</v>
      </c>
      <c r="S123" s="129">
        <v>87461</v>
      </c>
      <c r="T123" s="129">
        <v>87514</v>
      </c>
      <c r="U123" s="129">
        <v>85600</v>
      </c>
      <c r="V123" s="129">
        <v>85300</v>
      </c>
      <c r="W123" s="130"/>
      <c r="X123" s="130"/>
      <c r="Y123" s="129"/>
      <c r="Z123" s="129"/>
      <c r="AA123" s="129"/>
    </row>
    <row r="124" spans="1:27" x14ac:dyDescent="0.25">
      <c r="A124" t="s">
        <v>513</v>
      </c>
      <c r="B124" s="75" t="s">
        <v>369</v>
      </c>
      <c r="C124" s="59">
        <f t="shared" si="8"/>
        <v>-7.6019282940062854E-3</v>
      </c>
      <c r="D124" t="s">
        <v>465</v>
      </c>
      <c r="E124" s="59">
        <f t="shared" si="7"/>
        <v>2.7638190954773871E-2</v>
      </c>
      <c r="F124" s="129">
        <v>17079</v>
      </c>
      <c r="G124" s="129"/>
      <c r="H124" s="129">
        <v>1730</v>
      </c>
      <c r="I124" s="55">
        <v>1680</v>
      </c>
      <c r="J124" s="55">
        <v>1620</v>
      </c>
      <c r="K124" s="55">
        <v>1590</v>
      </c>
      <c r="L124" s="55">
        <v>1560</v>
      </c>
      <c r="M124" s="55">
        <v>1510</v>
      </c>
      <c r="N124" s="69" t="s">
        <v>369</v>
      </c>
      <c r="O124" s="129">
        <v>16125</v>
      </c>
      <c r="P124" s="129">
        <v>16243</v>
      </c>
      <c r="Q124" s="129">
        <v>16478</v>
      </c>
      <c r="R124" s="129">
        <v>16635</v>
      </c>
      <c r="S124" s="129">
        <v>16807</v>
      </c>
      <c r="T124" s="129">
        <v>17079</v>
      </c>
      <c r="U124" s="129">
        <v>16300</v>
      </c>
      <c r="V124" s="129">
        <v>16300</v>
      </c>
      <c r="W124" s="130"/>
      <c r="X124" s="130"/>
      <c r="Y124" s="129"/>
      <c r="Z124" s="129"/>
      <c r="AA124" s="129"/>
    </row>
    <row r="125" spans="1:27" x14ac:dyDescent="0.25">
      <c r="A125" t="s">
        <v>514</v>
      </c>
      <c r="B125" s="75" t="s">
        <v>255</v>
      </c>
      <c r="C125" s="59">
        <f t="shared" si="8"/>
        <v>9.2980582258373728E-3</v>
      </c>
      <c r="D125" t="s">
        <v>465</v>
      </c>
      <c r="E125" s="59">
        <f t="shared" si="7"/>
        <v>3.5772357723577237E-2</v>
      </c>
      <c r="F125" s="129">
        <v>24342</v>
      </c>
      <c r="G125" s="129"/>
      <c r="H125" s="129">
        <v>2045</v>
      </c>
      <c r="I125" s="55">
        <v>1955</v>
      </c>
      <c r="J125" s="55">
        <v>1925</v>
      </c>
      <c r="K125" s="55">
        <v>1865</v>
      </c>
      <c r="L125" s="55">
        <v>1765</v>
      </c>
      <c r="M125" s="55">
        <v>1715</v>
      </c>
      <c r="N125" s="69" t="s">
        <v>255</v>
      </c>
      <c r="O125" s="129">
        <v>23955</v>
      </c>
      <c r="P125" s="129">
        <v>24144</v>
      </c>
      <c r="Q125" s="129">
        <v>24417</v>
      </c>
      <c r="R125" s="129">
        <v>24309</v>
      </c>
      <c r="S125" s="129">
        <v>24312</v>
      </c>
      <c r="T125" s="129">
        <v>24342</v>
      </c>
      <c r="U125" s="129">
        <v>25400</v>
      </c>
      <c r="V125" s="129">
        <v>25700</v>
      </c>
      <c r="W125" s="130"/>
      <c r="X125" s="130"/>
      <c r="Y125" s="129"/>
      <c r="Z125" s="129"/>
      <c r="AA125" s="129"/>
    </row>
    <row r="126" spans="1:27" x14ac:dyDescent="0.25">
      <c r="A126" t="s">
        <v>518</v>
      </c>
      <c r="B126" s="75" t="s">
        <v>147</v>
      </c>
      <c r="C126" s="59">
        <f t="shared" si="8"/>
        <v>-1.4314250734123149E-3</v>
      </c>
      <c r="D126" t="s">
        <v>116</v>
      </c>
      <c r="E126" s="59">
        <f t="shared" ref="E126:E187" si="9">SUM(H126,-M126)/(SUM(I126,J126,K126,L126,M126))</f>
        <v>2.8420625253755584E-2</v>
      </c>
      <c r="F126" s="129">
        <v>36211</v>
      </c>
      <c r="G126" s="129"/>
      <c r="H126" s="129">
        <v>2690</v>
      </c>
      <c r="I126" s="55">
        <v>2585</v>
      </c>
      <c r="J126" s="55">
        <v>2550</v>
      </c>
      <c r="K126" s="55">
        <v>2460</v>
      </c>
      <c r="L126" s="55">
        <v>2380</v>
      </c>
      <c r="M126" s="55">
        <v>2340</v>
      </c>
      <c r="N126" s="69" t="s">
        <v>147</v>
      </c>
      <c r="O126" s="129">
        <v>35933</v>
      </c>
      <c r="P126" s="129">
        <v>35932</v>
      </c>
      <c r="Q126" s="129">
        <v>35942</v>
      </c>
      <c r="R126" s="129">
        <v>36245</v>
      </c>
      <c r="S126" s="129">
        <v>36264</v>
      </c>
      <c r="T126" s="129">
        <v>36211</v>
      </c>
      <c r="U126" s="129">
        <v>35900</v>
      </c>
      <c r="V126" s="129">
        <v>35900</v>
      </c>
      <c r="W126" s="130"/>
      <c r="X126" s="130"/>
      <c r="Y126" s="129"/>
      <c r="Z126" s="129"/>
      <c r="AA126" s="129"/>
    </row>
    <row r="127" spans="1:27" x14ac:dyDescent="0.25">
      <c r="A127" t="s">
        <v>513</v>
      </c>
      <c r="B127" s="75" t="s">
        <v>370</v>
      </c>
      <c r="C127" s="59">
        <f t="shared" si="8"/>
        <v>1.2361024791105586E-2</v>
      </c>
      <c r="D127" t="s">
        <v>439</v>
      </c>
      <c r="E127" s="59">
        <f t="shared" si="9"/>
        <v>1.9744116253356498E-2</v>
      </c>
      <c r="F127" s="129">
        <v>96540</v>
      </c>
      <c r="G127" s="129"/>
      <c r="H127" s="129">
        <v>6800</v>
      </c>
      <c r="I127" s="55">
        <v>6580</v>
      </c>
      <c r="J127" s="55">
        <v>6505</v>
      </c>
      <c r="K127" s="55">
        <v>6295</v>
      </c>
      <c r="L127" s="55">
        <v>6100</v>
      </c>
      <c r="M127" s="55">
        <v>6175</v>
      </c>
      <c r="N127" s="69" t="s">
        <v>370</v>
      </c>
      <c r="O127" s="129">
        <v>92418</v>
      </c>
      <c r="P127" s="129">
        <v>92627</v>
      </c>
      <c r="Q127" s="129">
        <v>93470</v>
      </c>
      <c r="R127" s="129">
        <v>94898</v>
      </c>
      <c r="S127" s="129">
        <v>95874</v>
      </c>
      <c r="T127" s="129">
        <v>96540</v>
      </c>
      <c r="U127" s="129">
        <v>101300</v>
      </c>
      <c r="V127" s="129">
        <v>103700</v>
      </c>
      <c r="W127" s="130"/>
      <c r="X127" s="130"/>
      <c r="Y127" s="129"/>
      <c r="Z127" s="129"/>
      <c r="AA127" s="129"/>
    </row>
    <row r="128" spans="1:27" x14ac:dyDescent="0.25">
      <c r="A128" t="s">
        <v>517</v>
      </c>
      <c r="B128" s="75" t="s">
        <v>295</v>
      </c>
      <c r="C128" s="59">
        <f t="shared" si="8"/>
        <v>2.4351637647631802E-4</v>
      </c>
      <c r="D128" t="s">
        <v>465</v>
      </c>
      <c r="E128" s="59">
        <f t="shared" si="9"/>
        <v>4.1102514506769827E-2</v>
      </c>
      <c r="F128" s="129">
        <v>32852</v>
      </c>
      <c r="G128" s="129"/>
      <c r="H128" s="129">
        <v>2350</v>
      </c>
      <c r="I128" s="55">
        <v>2195</v>
      </c>
      <c r="J128" s="55">
        <v>2180</v>
      </c>
      <c r="K128" s="55">
        <v>2080</v>
      </c>
      <c r="L128" s="55">
        <v>1960</v>
      </c>
      <c r="M128" s="55">
        <v>1925</v>
      </c>
      <c r="N128" s="69" t="s">
        <v>295</v>
      </c>
      <c r="O128" s="129">
        <v>31236</v>
      </c>
      <c r="P128" s="129">
        <v>31258</v>
      </c>
      <c r="Q128" s="129">
        <v>31662</v>
      </c>
      <c r="R128" s="129">
        <v>32185</v>
      </c>
      <c r="S128" s="129">
        <v>32689</v>
      </c>
      <c r="T128" s="129">
        <v>32852</v>
      </c>
      <c r="U128" s="129">
        <v>32500</v>
      </c>
      <c r="V128" s="129">
        <v>32900</v>
      </c>
      <c r="W128" s="130"/>
      <c r="X128" s="130"/>
      <c r="Y128" s="129"/>
      <c r="Z128" s="129"/>
      <c r="AA128" s="129"/>
    </row>
    <row r="129" spans="1:27" x14ac:dyDescent="0.25">
      <c r="A129" t="s">
        <v>518</v>
      </c>
      <c r="B129" s="75" t="s">
        <v>722</v>
      </c>
      <c r="C129" s="59">
        <f t="shared" si="8"/>
        <v>-3.2757878628473054E-3</v>
      </c>
      <c r="D129" t="s">
        <v>439</v>
      </c>
      <c r="E129" s="59">
        <f t="shared" si="9"/>
        <v>2.7432271255750554E-2</v>
      </c>
      <c r="F129" s="129">
        <v>83644</v>
      </c>
      <c r="G129" s="129"/>
      <c r="H129" s="129">
        <v>6400</v>
      </c>
      <c r="I129" s="55">
        <v>6140</v>
      </c>
      <c r="J129" s="55">
        <v>6020</v>
      </c>
      <c r="K129" s="55">
        <v>5880</v>
      </c>
      <c r="L129" s="55">
        <v>5710</v>
      </c>
      <c r="M129" s="55">
        <v>5595</v>
      </c>
      <c r="N129" s="69" t="s">
        <v>442</v>
      </c>
      <c r="O129" s="129">
        <v>81208</v>
      </c>
      <c r="P129" s="129">
        <v>81049</v>
      </c>
      <c r="Q129" s="129">
        <v>81429</v>
      </c>
      <c r="R129" s="129">
        <v>82343</v>
      </c>
      <c r="S129" s="129">
        <v>83058</v>
      </c>
      <c r="T129" s="129">
        <v>83644</v>
      </c>
      <c r="U129" s="129">
        <v>81700</v>
      </c>
      <c r="V129" s="129">
        <v>82000</v>
      </c>
      <c r="W129" s="130"/>
      <c r="X129" s="130"/>
      <c r="Y129" s="129"/>
      <c r="Z129" s="129"/>
      <c r="AA129" s="129"/>
    </row>
    <row r="130" spans="1:27" x14ac:dyDescent="0.25">
      <c r="A130" t="s">
        <v>521</v>
      </c>
      <c r="B130" s="75" t="s">
        <v>593</v>
      </c>
      <c r="C130" s="59">
        <f t="shared" si="8"/>
        <v>-8.9575983952410593E-3</v>
      </c>
      <c r="D130" t="s">
        <v>116</v>
      </c>
      <c r="E130" s="59">
        <f t="shared" si="9"/>
        <v>2.0969855832241154E-2</v>
      </c>
      <c r="F130" s="129">
        <v>48190</v>
      </c>
      <c r="G130" s="129"/>
      <c r="H130" s="129">
        <v>4070</v>
      </c>
      <c r="I130" s="55">
        <v>3950</v>
      </c>
      <c r="J130" s="55">
        <v>3955</v>
      </c>
      <c r="K130" s="55">
        <v>3815</v>
      </c>
      <c r="L130" s="55">
        <v>3685</v>
      </c>
      <c r="M130" s="55">
        <v>3670</v>
      </c>
      <c r="N130" s="69" t="s">
        <v>593</v>
      </c>
      <c r="O130" s="129">
        <v>47821</v>
      </c>
      <c r="P130" s="129">
        <v>47834</v>
      </c>
      <c r="Q130" s="129">
        <v>48007</v>
      </c>
      <c r="R130" s="129">
        <v>48312</v>
      </c>
      <c r="S130" s="129">
        <v>48224</v>
      </c>
      <c r="T130" s="129">
        <v>48190</v>
      </c>
      <c r="U130" s="129">
        <v>45800</v>
      </c>
      <c r="V130" s="129">
        <v>45600</v>
      </c>
      <c r="W130" s="130"/>
      <c r="X130" s="130"/>
      <c r="Y130" s="129"/>
      <c r="Z130" s="129"/>
      <c r="AA130" s="129"/>
    </row>
    <row r="131" spans="1:27" x14ac:dyDescent="0.25">
      <c r="A131" t="s">
        <v>515</v>
      </c>
      <c r="B131" s="75" t="s">
        <v>184</v>
      </c>
      <c r="C131" s="59">
        <f t="shared" ref="C131:C194" si="10">(SUM(V131,-T131)/6)/T131</f>
        <v>-3.6167437448120479E-3</v>
      </c>
      <c r="D131" t="s">
        <v>465</v>
      </c>
      <c r="E131" s="59">
        <f t="shared" si="9"/>
        <v>3.3846153846153845E-2</v>
      </c>
      <c r="F131" s="129">
        <v>16866</v>
      </c>
      <c r="G131" s="129"/>
      <c r="H131" s="129">
        <v>1430</v>
      </c>
      <c r="I131" s="55">
        <v>1395</v>
      </c>
      <c r="J131" s="55">
        <v>1340</v>
      </c>
      <c r="K131" s="55">
        <v>1305</v>
      </c>
      <c r="L131" s="55">
        <v>1250</v>
      </c>
      <c r="M131" s="55">
        <v>1210</v>
      </c>
      <c r="N131" s="69" t="s">
        <v>184</v>
      </c>
      <c r="O131" s="129">
        <v>16431</v>
      </c>
      <c r="P131" s="129">
        <v>16569</v>
      </c>
      <c r="Q131" s="129">
        <v>17197</v>
      </c>
      <c r="R131" s="129">
        <v>16793</v>
      </c>
      <c r="S131" s="129">
        <v>16836</v>
      </c>
      <c r="T131" s="129">
        <v>16866</v>
      </c>
      <c r="U131" s="129">
        <v>16400</v>
      </c>
      <c r="V131" s="129">
        <v>16500</v>
      </c>
      <c r="W131" s="130"/>
      <c r="X131" s="130"/>
      <c r="Y131" s="129"/>
      <c r="Z131" s="129"/>
      <c r="AA131" s="129"/>
    </row>
    <row r="132" spans="1:27" x14ac:dyDescent="0.25">
      <c r="A132" t="s">
        <v>513</v>
      </c>
      <c r="B132" s="75" t="s">
        <v>371</v>
      </c>
      <c r="C132" s="59">
        <f t="shared" si="10"/>
        <v>8.1094688387816014E-3</v>
      </c>
      <c r="D132" t="s">
        <v>465</v>
      </c>
      <c r="E132" s="59">
        <f t="shared" si="9"/>
        <v>2.8022833419823558E-2</v>
      </c>
      <c r="F132" s="129">
        <v>46345</v>
      </c>
      <c r="G132" s="129"/>
      <c r="H132" s="129">
        <v>4210</v>
      </c>
      <c r="I132" s="55">
        <v>4045</v>
      </c>
      <c r="J132" s="55">
        <v>4005</v>
      </c>
      <c r="K132" s="55">
        <v>3825</v>
      </c>
      <c r="L132" s="55">
        <v>3725</v>
      </c>
      <c r="M132" s="55">
        <v>3670</v>
      </c>
      <c r="N132" s="69" t="s">
        <v>371</v>
      </c>
      <c r="O132" s="129">
        <v>44666</v>
      </c>
      <c r="P132" s="129">
        <v>45005</v>
      </c>
      <c r="Q132" s="129">
        <v>45566</v>
      </c>
      <c r="R132" s="129">
        <v>45825</v>
      </c>
      <c r="S132" s="129">
        <v>46026</v>
      </c>
      <c r="T132" s="129">
        <v>46345</v>
      </c>
      <c r="U132" s="129">
        <v>47900</v>
      </c>
      <c r="V132" s="129">
        <v>48600</v>
      </c>
      <c r="W132" s="130"/>
      <c r="X132" s="130"/>
      <c r="Y132" s="129"/>
      <c r="Z132" s="129"/>
      <c r="AA132" s="129"/>
    </row>
    <row r="133" spans="1:27" x14ac:dyDescent="0.25">
      <c r="A133" t="s">
        <v>517</v>
      </c>
      <c r="B133" s="75" t="s">
        <v>296</v>
      </c>
      <c r="C133" s="59">
        <f t="shared" si="10"/>
        <v>9.5956936399274467E-3</v>
      </c>
      <c r="D133" t="s">
        <v>116</v>
      </c>
      <c r="E133" s="59">
        <f t="shared" si="9"/>
        <v>3.2478632478632481E-2</v>
      </c>
      <c r="F133" s="129">
        <v>22788</v>
      </c>
      <c r="G133" s="129"/>
      <c r="H133" s="129">
        <v>1950</v>
      </c>
      <c r="I133" s="55">
        <v>1860</v>
      </c>
      <c r="J133" s="55">
        <v>1815</v>
      </c>
      <c r="K133" s="55">
        <v>1740</v>
      </c>
      <c r="L133" s="55">
        <v>1695</v>
      </c>
      <c r="M133" s="55">
        <v>1665</v>
      </c>
      <c r="N133" s="69" t="s">
        <v>296</v>
      </c>
      <c r="O133" s="129">
        <v>22209</v>
      </c>
      <c r="P133" s="129">
        <v>22197</v>
      </c>
      <c r="Q133" s="129">
        <v>22318</v>
      </c>
      <c r="R133" s="129">
        <v>22452</v>
      </c>
      <c r="S133" s="129">
        <v>22822</v>
      </c>
      <c r="T133" s="129">
        <v>22788</v>
      </c>
      <c r="U133" s="129">
        <v>23800</v>
      </c>
      <c r="V133" s="129">
        <v>24100</v>
      </c>
      <c r="W133" s="130"/>
      <c r="X133" s="130"/>
      <c r="Y133" s="129"/>
      <c r="Z133" s="129"/>
      <c r="AA133" s="129"/>
    </row>
    <row r="134" spans="1:27" x14ac:dyDescent="0.25">
      <c r="A134" t="s">
        <v>513</v>
      </c>
      <c r="B134" s="75" t="s">
        <v>372</v>
      </c>
      <c r="C134" s="59">
        <f t="shared" si="10"/>
        <v>-4.8512623603969967E-4</v>
      </c>
      <c r="D134" t="s">
        <v>465</v>
      </c>
      <c r="E134" s="59">
        <f t="shared" si="9"/>
        <v>1.6625615763546799E-2</v>
      </c>
      <c r="F134" s="129">
        <v>16147</v>
      </c>
      <c r="G134" s="129"/>
      <c r="H134" s="129">
        <v>1715</v>
      </c>
      <c r="I134" s="55">
        <v>1660</v>
      </c>
      <c r="J134" s="55">
        <v>1650</v>
      </c>
      <c r="K134" s="55">
        <v>1640</v>
      </c>
      <c r="L134" s="55">
        <v>1590</v>
      </c>
      <c r="M134" s="55">
        <v>1580</v>
      </c>
      <c r="N134" s="69" t="s">
        <v>372</v>
      </c>
      <c r="O134" s="129">
        <v>15521</v>
      </c>
      <c r="P134" s="129">
        <v>15698</v>
      </c>
      <c r="Q134" s="129">
        <v>15807</v>
      </c>
      <c r="R134" s="129">
        <v>15953</v>
      </c>
      <c r="S134" s="129">
        <v>15961</v>
      </c>
      <c r="T134" s="129">
        <v>16147</v>
      </c>
      <c r="U134" s="129">
        <v>16000</v>
      </c>
      <c r="V134" s="129">
        <v>16100.000000000002</v>
      </c>
      <c r="W134" s="130"/>
      <c r="X134" s="130"/>
      <c r="Y134" s="129"/>
      <c r="Z134" s="129"/>
      <c r="AA134" s="129"/>
    </row>
    <row r="135" spans="1:27" x14ac:dyDescent="0.25">
      <c r="A135" t="s">
        <v>514</v>
      </c>
      <c r="B135" s="75" t="s">
        <v>256</v>
      </c>
      <c r="C135" s="59">
        <f t="shared" si="10"/>
        <v>1.15685048383165E-2</v>
      </c>
      <c r="D135" t="s">
        <v>439</v>
      </c>
      <c r="E135" s="59">
        <f t="shared" si="9"/>
        <v>3.3647663951993145E-2</v>
      </c>
      <c r="F135" s="129">
        <v>94351</v>
      </c>
      <c r="G135" s="129"/>
      <c r="H135" s="129">
        <v>10390</v>
      </c>
      <c r="I135" s="55">
        <v>9900</v>
      </c>
      <c r="J135" s="55">
        <v>9700</v>
      </c>
      <c r="K135" s="55">
        <v>9315</v>
      </c>
      <c r="L135" s="55">
        <v>8925</v>
      </c>
      <c r="M135" s="55">
        <v>8820</v>
      </c>
      <c r="N135" s="69" t="s">
        <v>256</v>
      </c>
      <c r="O135" s="129">
        <v>91004</v>
      </c>
      <c r="P135" s="129">
        <v>91235</v>
      </c>
      <c r="Q135" s="129">
        <v>91721</v>
      </c>
      <c r="R135" s="129">
        <v>93453</v>
      </c>
      <c r="S135" s="129">
        <v>94435</v>
      </c>
      <c r="T135" s="129">
        <v>94351</v>
      </c>
      <c r="U135" s="129">
        <v>99100</v>
      </c>
      <c r="V135" s="129">
        <v>100900</v>
      </c>
      <c r="W135" s="130"/>
      <c r="X135" s="130"/>
      <c r="Y135" s="129"/>
      <c r="Z135" s="129"/>
      <c r="AA135" s="129"/>
    </row>
    <row r="136" spans="1:27" x14ac:dyDescent="0.25">
      <c r="A136" t="s">
        <v>517</v>
      </c>
      <c r="B136" s="75" t="s">
        <v>594</v>
      </c>
      <c r="C136" s="59">
        <f t="shared" si="10"/>
        <v>-3.9808449380104591E-3</v>
      </c>
      <c r="D136" t="s">
        <v>465</v>
      </c>
      <c r="E136" s="59">
        <f t="shared" si="9"/>
        <v>2.4515779493430853E-2</v>
      </c>
      <c r="F136" s="129">
        <v>90768</v>
      </c>
      <c r="G136" s="129"/>
      <c r="H136" s="129">
        <v>7940</v>
      </c>
      <c r="I136" s="55">
        <v>7715</v>
      </c>
      <c r="J136" s="55">
        <v>7555</v>
      </c>
      <c r="K136" s="55">
        <v>7395</v>
      </c>
      <c r="L136" s="55">
        <v>7215</v>
      </c>
      <c r="M136" s="55">
        <v>7035</v>
      </c>
      <c r="N136" s="69" t="s">
        <v>594</v>
      </c>
      <c r="O136" s="129">
        <v>87454</v>
      </c>
      <c r="P136" s="129">
        <v>88047</v>
      </c>
      <c r="Q136" s="129">
        <v>88724</v>
      </c>
      <c r="R136" s="129">
        <v>89769</v>
      </c>
      <c r="S136" s="129">
        <v>90256</v>
      </c>
      <c r="T136" s="129">
        <v>90768</v>
      </c>
      <c r="U136" s="129">
        <v>88700</v>
      </c>
      <c r="V136" s="129">
        <v>88600</v>
      </c>
      <c r="W136" s="130"/>
      <c r="X136" s="130"/>
      <c r="Y136" s="129"/>
      <c r="Z136" s="129"/>
      <c r="AA136" s="129"/>
    </row>
    <row r="137" spans="1:27" x14ac:dyDescent="0.25">
      <c r="A137" t="s">
        <v>518</v>
      </c>
      <c r="B137" s="75" t="s">
        <v>148</v>
      </c>
      <c r="C137" s="59">
        <f t="shared" si="10"/>
        <v>-8.2658143859747485E-3</v>
      </c>
      <c r="D137" t="s">
        <v>465</v>
      </c>
      <c r="E137" s="59">
        <f t="shared" si="9"/>
        <v>2.6851578636766009E-2</v>
      </c>
      <c r="F137" s="129">
        <v>35669</v>
      </c>
      <c r="G137" s="129"/>
      <c r="H137" s="129">
        <v>3660</v>
      </c>
      <c r="I137" s="55">
        <v>3565</v>
      </c>
      <c r="J137" s="55">
        <v>3495</v>
      </c>
      <c r="K137" s="55">
        <v>3380</v>
      </c>
      <c r="L137" s="55">
        <v>3300</v>
      </c>
      <c r="M137" s="55">
        <v>3205</v>
      </c>
      <c r="N137" s="69" t="s">
        <v>148</v>
      </c>
      <c r="O137" s="129">
        <v>34993</v>
      </c>
      <c r="P137" s="129">
        <v>35040</v>
      </c>
      <c r="Q137" s="129">
        <v>35058</v>
      </c>
      <c r="R137" s="129">
        <v>35459</v>
      </c>
      <c r="S137" s="129">
        <v>35446</v>
      </c>
      <c r="T137" s="129">
        <v>35669</v>
      </c>
      <c r="U137" s="129">
        <v>34100</v>
      </c>
      <c r="V137" s="129">
        <v>33900</v>
      </c>
      <c r="W137" s="130"/>
      <c r="X137" s="130"/>
      <c r="Y137" s="129"/>
      <c r="Z137" s="129"/>
      <c r="AA137" s="129"/>
    </row>
    <row r="138" spans="1:27" x14ac:dyDescent="0.25">
      <c r="A138" t="s">
        <v>514</v>
      </c>
      <c r="B138" s="75" t="s">
        <v>257</v>
      </c>
      <c r="C138" s="59">
        <f t="shared" si="10"/>
        <v>-6.1352966282543747E-4</v>
      </c>
      <c r="D138" t="s">
        <v>465</v>
      </c>
      <c r="E138" s="59">
        <f t="shared" si="9"/>
        <v>2.2054054054054053E-2</v>
      </c>
      <c r="F138" s="129">
        <v>49984</v>
      </c>
      <c r="G138" s="129"/>
      <c r="H138" s="129">
        <v>4980</v>
      </c>
      <c r="I138" s="55">
        <v>4820</v>
      </c>
      <c r="J138" s="55">
        <v>4735</v>
      </c>
      <c r="K138" s="55">
        <v>4610</v>
      </c>
      <c r="L138" s="55">
        <v>4490</v>
      </c>
      <c r="M138" s="55">
        <v>4470</v>
      </c>
      <c r="N138" s="69" t="s">
        <v>257</v>
      </c>
      <c r="O138" s="129">
        <v>48426</v>
      </c>
      <c r="P138" s="129">
        <v>48583</v>
      </c>
      <c r="Q138" s="129">
        <v>48789</v>
      </c>
      <c r="R138" s="129">
        <v>49429</v>
      </c>
      <c r="S138" s="129">
        <v>49522</v>
      </c>
      <c r="T138" s="129">
        <v>49984</v>
      </c>
      <c r="U138" s="129">
        <v>49600</v>
      </c>
      <c r="V138" s="129">
        <v>49800</v>
      </c>
      <c r="W138" s="130"/>
      <c r="X138" s="130"/>
      <c r="Y138" s="129"/>
      <c r="Z138" s="129"/>
      <c r="AA138" s="129"/>
    </row>
    <row r="139" spans="1:27" x14ac:dyDescent="0.25">
      <c r="A139" t="s">
        <v>512</v>
      </c>
      <c r="B139" s="75" t="s">
        <v>109</v>
      </c>
      <c r="C139" s="59">
        <f t="shared" si="10"/>
        <v>-9.1273257550468223E-3</v>
      </c>
      <c r="D139" t="s">
        <v>439</v>
      </c>
      <c r="E139" s="59">
        <f t="shared" si="9"/>
        <v>2.3382696804364771E-2</v>
      </c>
      <c r="F139" s="129">
        <v>56917</v>
      </c>
      <c r="G139" s="129"/>
      <c r="H139" s="129">
        <v>4135</v>
      </c>
      <c r="I139" s="55">
        <v>4025</v>
      </c>
      <c r="J139" s="55">
        <v>3935</v>
      </c>
      <c r="K139" s="55">
        <v>3880</v>
      </c>
      <c r="L139" s="55">
        <v>3720</v>
      </c>
      <c r="M139" s="55">
        <v>3685</v>
      </c>
      <c r="N139" s="69" t="s">
        <v>109</v>
      </c>
      <c r="O139" s="129">
        <v>55722</v>
      </c>
      <c r="P139" s="129">
        <v>55603</v>
      </c>
      <c r="Q139" s="129">
        <v>55872</v>
      </c>
      <c r="R139" s="129">
        <v>56441</v>
      </c>
      <c r="S139" s="129">
        <v>56591</v>
      </c>
      <c r="T139" s="129">
        <v>56917</v>
      </c>
      <c r="U139" s="129">
        <v>54400</v>
      </c>
      <c r="V139" s="129">
        <v>53800</v>
      </c>
      <c r="W139" s="130"/>
      <c r="X139" s="130"/>
      <c r="Y139" s="129"/>
      <c r="Z139" s="129"/>
      <c r="AA139" s="129"/>
    </row>
    <row r="140" spans="1:27" x14ac:dyDescent="0.25">
      <c r="A140" t="s">
        <v>514</v>
      </c>
      <c r="B140" s="75" t="s">
        <v>258</v>
      </c>
      <c r="C140" s="59">
        <f t="shared" si="10"/>
        <v>6.2458908612754768E-3</v>
      </c>
      <c r="D140" t="s">
        <v>439</v>
      </c>
      <c r="E140" s="59">
        <f t="shared" si="9"/>
        <v>2.9530447542186353E-2</v>
      </c>
      <c r="F140" s="129">
        <v>76050</v>
      </c>
      <c r="G140" s="129"/>
      <c r="H140" s="129">
        <v>5970</v>
      </c>
      <c r="I140" s="55">
        <v>5700</v>
      </c>
      <c r="J140" s="55">
        <v>5680</v>
      </c>
      <c r="K140" s="55">
        <v>5460</v>
      </c>
      <c r="L140" s="55">
        <v>5255</v>
      </c>
      <c r="M140" s="55">
        <v>5165</v>
      </c>
      <c r="N140" s="69" t="s">
        <v>258</v>
      </c>
      <c r="O140" s="129">
        <v>73262</v>
      </c>
      <c r="P140" s="129">
        <v>73619</v>
      </c>
      <c r="Q140" s="129">
        <v>74308</v>
      </c>
      <c r="R140" s="129">
        <v>75230</v>
      </c>
      <c r="S140" s="129">
        <v>75645</v>
      </c>
      <c r="T140" s="129">
        <v>76050</v>
      </c>
      <c r="U140" s="129">
        <v>77600</v>
      </c>
      <c r="V140" s="129">
        <v>78900</v>
      </c>
      <c r="W140" s="130"/>
      <c r="X140" s="130"/>
      <c r="Y140" s="129"/>
      <c r="Z140" s="129"/>
      <c r="AA140" s="129"/>
    </row>
    <row r="141" spans="1:27" x14ac:dyDescent="0.25">
      <c r="A141" t="s">
        <v>522</v>
      </c>
      <c r="B141" s="75" t="s">
        <v>406</v>
      </c>
      <c r="C141" s="59">
        <f t="shared" si="10"/>
        <v>-8.1910440569759393E-3</v>
      </c>
      <c r="D141" t="s">
        <v>465</v>
      </c>
      <c r="E141" s="59">
        <f t="shared" si="9"/>
        <v>2.3444544634806132E-2</v>
      </c>
      <c r="F141" s="129">
        <v>44276</v>
      </c>
      <c r="G141" s="129"/>
      <c r="H141" s="129">
        <v>3570</v>
      </c>
      <c r="I141" s="55">
        <v>3445</v>
      </c>
      <c r="J141" s="55">
        <v>3425</v>
      </c>
      <c r="K141" s="55">
        <v>3330</v>
      </c>
      <c r="L141" s="55">
        <v>3255</v>
      </c>
      <c r="M141" s="55">
        <v>3180</v>
      </c>
      <c r="N141" s="69" t="s">
        <v>406</v>
      </c>
      <c r="O141" s="129">
        <v>42470</v>
      </c>
      <c r="P141" s="129">
        <v>42487</v>
      </c>
      <c r="Q141" s="129">
        <v>43041</v>
      </c>
      <c r="R141" s="129">
        <v>43651</v>
      </c>
      <c r="S141" s="129">
        <v>43917</v>
      </c>
      <c r="T141" s="129">
        <v>44276</v>
      </c>
      <c r="U141" s="129">
        <v>42300</v>
      </c>
      <c r="V141" s="129">
        <v>42100</v>
      </c>
      <c r="W141" s="130"/>
      <c r="X141" s="130"/>
      <c r="Y141" s="129"/>
      <c r="Z141" s="129"/>
      <c r="AA141" s="129"/>
    </row>
    <row r="142" spans="1:27" x14ac:dyDescent="0.25">
      <c r="A142" t="s">
        <v>520</v>
      </c>
      <c r="B142" s="75" t="s">
        <v>219</v>
      </c>
      <c r="C142" s="59">
        <f t="shared" si="10"/>
        <v>4.1124393930471312E-3</v>
      </c>
      <c r="D142" t="s">
        <v>465</v>
      </c>
      <c r="E142" s="59">
        <f t="shared" si="9"/>
        <v>2.9223093371347115E-2</v>
      </c>
      <c r="F142" s="129">
        <v>50943</v>
      </c>
      <c r="G142" s="129"/>
      <c r="H142" s="129">
        <v>4585</v>
      </c>
      <c r="I142" s="55">
        <v>4430</v>
      </c>
      <c r="J142" s="55">
        <v>4365</v>
      </c>
      <c r="K142" s="55">
        <v>4215</v>
      </c>
      <c r="L142" s="55">
        <v>4065</v>
      </c>
      <c r="M142" s="55">
        <v>3970</v>
      </c>
      <c r="N142" s="69" t="s">
        <v>219</v>
      </c>
      <c r="O142" s="129">
        <v>50164</v>
      </c>
      <c r="P142" s="129">
        <v>50223</v>
      </c>
      <c r="Q142" s="129">
        <v>50330</v>
      </c>
      <c r="R142" s="129">
        <v>50580</v>
      </c>
      <c r="S142" s="129">
        <v>50847</v>
      </c>
      <c r="T142" s="129">
        <v>50943</v>
      </c>
      <c r="U142" s="129">
        <v>51500</v>
      </c>
      <c r="V142" s="129">
        <v>52200</v>
      </c>
      <c r="W142" s="130"/>
      <c r="X142" s="130"/>
      <c r="Y142" s="129"/>
      <c r="Z142" s="129"/>
      <c r="AA142" s="129"/>
    </row>
    <row r="143" spans="1:27" x14ac:dyDescent="0.25">
      <c r="A143" t="s">
        <v>514</v>
      </c>
      <c r="B143" s="75" t="s">
        <v>259</v>
      </c>
      <c r="C143" s="59">
        <f t="shared" si="10"/>
        <v>-2.0106642069406349E-3</v>
      </c>
      <c r="D143" t="s">
        <v>116</v>
      </c>
      <c r="E143" s="59">
        <f t="shared" si="9"/>
        <v>2.1082042164084328E-2</v>
      </c>
      <c r="F143" s="129">
        <v>41197</v>
      </c>
      <c r="G143" s="129"/>
      <c r="H143" s="129">
        <v>4200</v>
      </c>
      <c r="I143" s="55">
        <v>4080</v>
      </c>
      <c r="J143" s="55">
        <v>4055</v>
      </c>
      <c r="K143" s="55">
        <v>3950</v>
      </c>
      <c r="L143" s="55">
        <v>3815</v>
      </c>
      <c r="M143" s="55">
        <v>3785</v>
      </c>
      <c r="N143" s="69" t="s">
        <v>259</v>
      </c>
      <c r="O143" s="129">
        <v>41263</v>
      </c>
      <c r="P143" s="129">
        <v>41090</v>
      </c>
      <c r="Q143" s="129">
        <v>40941</v>
      </c>
      <c r="R143" s="129">
        <v>41248</v>
      </c>
      <c r="S143" s="129">
        <v>41193</v>
      </c>
      <c r="T143" s="129">
        <v>41197</v>
      </c>
      <c r="U143" s="129">
        <v>40700</v>
      </c>
      <c r="V143" s="129">
        <v>40700</v>
      </c>
      <c r="W143" s="130"/>
      <c r="X143" s="130"/>
      <c r="Y143" s="129"/>
      <c r="Z143" s="129"/>
      <c r="AA143" s="129"/>
    </row>
    <row r="144" spans="1:27" x14ac:dyDescent="0.25">
      <c r="A144" t="s">
        <v>524</v>
      </c>
      <c r="B144" s="75" t="s">
        <v>330</v>
      </c>
      <c r="C144" s="59">
        <f t="shared" si="10"/>
        <v>1.308502221410748E-3</v>
      </c>
      <c r="D144" t="s">
        <v>116</v>
      </c>
      <c r="E144" s="59">
        <f t="shared" si="9"/>
        <v>2.4502297090352222E-2</v>
      </c>
      <c r="F144" s="129">
        <v>27385</v>
      </c>
      <c r="G144" s="129"/>
      <c r="H144" s="129">
        <v>2110</v>
      </c>
      <c r="I144" s="55">
        <v>2055</v>
      </c>
      <c r="J144" s="55">
        <v>2020</v>
      </c>
      <c r="K144" s="55">
        <v>1940</v>
      </c>
      <c r="L144" s="55">
        <v>1910</v>
      </c>
      <c r="M144" s="55">
        <v>1870</v>
      </c>
      <c r="N144" s="69" t="s">
        <v>330</v>
      </c>
      <c r="O144" s="129">
        <v>27533</v>
      </c>
      <c r="P144" s="129">
        <v>27575</v>
      </c>
      <c r="Q144" s="129">
        <v>27532</v>
      </c>
      <c r="R144" s="129">
        <v>27596</v>
      </c>
      <c r="S144" s="129">
        <v>27330</v>
      </c>
      <c r="T144" s="129">
        <v>27385</v>
      </c>
      <c r="U144" s="129">
        <v>27600</v>
      </c>
      <c r="V144" s="129">
        <v>27600</v>
      </c>
      <c r="W144" s="130"/>
      <c r="X144" s="130"/>
      <c r="Y144" s="129"/>
      <c r="Z144" s="129"/>
      <c r="AA144" s="129"/>
    </row>
    <row r="145" spans="1:27" x14ac:dyDescent="0.25">
      <c r="A145" t="s">
        <v>520</v>
      </c>
      <c r="B145" s="75" t="s">
        <v>220</v>
      </c>
      <c r="C145" s="59">
        <f t="shared" si="10"/>
        <v>2.5488020630303756E-4</v>
      </c>
      <c r="D145" t="s">
        <v>465</v>
      </c>
      <c r="E145" s="59">
        <f t="shared" si="9"/>
        <v>2.6818515797207936E-2</v>
      </c>
      <c r="F145" s="129">
        <v>33349</v>
      </c>
      <c r="G145" s="129"/>
      <c r="H145" s="129">
        <v>2950</v>
      </c>
      <c r="I145" s="55">
        <v>2840</v>
      </c>
      <c r="J145" s="55">
        <v>2815</v>
      </c>
      <c r="K145" s="55">
        <v>2740</v>
      </c>
      <c r="L145" s="55">
        <v>2630</v>
      </c>
      <c r="M145" s="55">
        <v>2585</v>
      </c>
      <c r="N145" s="69" t="s">
        <v>220</v>
      </c>
      <c r="O145" s="129">
        <v>34116</v>
      </c>
      <c r="P145" s="129">
        <v>33819</v>
      </c>
      <c r="Q145" s="129">
        <v>33437</v>
      </c>
      <c r="R145" s="129">
        <v>33484</v>
      </c>
      <c r="S145" s="129">
        <v>33421</v>
      </c>
      <c r="T145" s="129">
        <v>33349</v>
      </c>
      <c r="U145" s="129">
        <v>33500</v>
      </c>
      <c r="V145" s="129">
        <v>33400</v>
      </c>
      <c r="W145" s="130"/>
      <c r="X145" s="130"/>
      <c r="Y145" s="129"/>
      <c r="Z145" s="129"/>
      <c r="AA145" s="129"/>
    </row>
    <row r="146" spans="1:27" x14ac:dyDescent="0.25">
      <c r="A146" t="s">
        <v>517</v>
      </c>
      <c r="B146" s="75" t="s">
        <v>297</v>
      </c>
      <c r="C146" s="59">
        <f t="shared" si="10"/>
        <v>-2.3033612011602116E-3</v>
      </c>
      <c r="D146" t="s">
        <v>465</v>
      </c>
      <c r="E146" s="59">
        <f t="shared" si="9"/>
        <v>2.974559686888454E-2</v>
      </c>
      <c r="F146" s="129">
        <v>29305</v>
      </c>
      <c r="G146" s="129"/>
      <c r="H146" s="129">
        <v>2805</v>
      </c>
      <c r="I146" s="55">
        <v>2735</v>
      </c>
      <c r="J146" s="55">
        <v>2615</v>
      </c>
      <c r="K146" s="55">
        <v>2545</v>
      </c>
      <c r="L146" s="55">
        <v>2455</v>
      </c>
      <c r="M146" s="55">
        <v>2425</v>
      </c>
      <c r="N146" s="69" t="s">
        <v>297</v>
      </c>
      <c r="O146" s="129">
        <v>27285</v>
      </c>
      <c r="P146" s="129">
        <v>27541</v>
      </c>
      <c r="Q146" s="129">
        <v>27896</v>
      </c>
      <c r="R146" s="129">
        <v>28569</v>
      </c>
      <c r="S146" s="129">
        <v>29168</v>
      </c>
      <c r="T146" s="129">
        <v>29305</v>
      </c>
      <c r="U146" s="129">
        <v>28700</v>
      </c>
      <c r="V146" s="129">
        <v>28900</v>
      </c>
      <c r="W146" s="130"/>
      <c r="X146" s="130"/>
      <c r="Y146" s="129"/>
      <c r="Z146" s="129"/>
      <c r="AA146" s="129"/>
    </row>
    <row r="147" spans="1:27" x14ac:dyDescent="0.25">
      <c r="A147" t="s">
        <v>518</v>
      </c>
      <c r="B147" s="75" t="s">
        <v>149</v>
      </c>
      <c r="C147" s="59">
        <f t="shared" si="10"/>
        <v>4.5954852820667006E-3</v>
      </c>
      <c r="D147" t="s">
        <v>439</v>
      </c>
      <c r="E147" s="59">
        <f t="shared" si="9"/>
        <v>3.0898876404494381E-2</v>
      </c>
      <c r="F147" s="129">
        <v>56541</v>
      </c>
      <c r="G147" s="129"/>
      <c r="H147" s="129">
        <v>4320</v>
      </c>
      <c r="I147" s="55">
        <v>4130</v>
      </c>
      <c r="J147" s="55">
        <v>4050</v>
      </c>
      <c r="K147" s="55">
        <v>3900</v>
      </c>
      <c r="L147" s="55">
        <v>3785</v>
      </c>
      <c r="M147" s="55">
        <v>3715</v>
      </c>
      <c r="N147" s="69" t="s">
        <v>149</v>
      </c>
      <c r="O147" s="129">
        <v>54324</v>
      </c>
      <c r="P147" s="129">
        <v>54474</v>
      </c>
      <c r="Q147" s="129">
        <v>54780</v>
      </c>
      <c r="R147" s="129">
        <v>55616</v>
      </c>
      <c r="S147" s="129">
        <v>56177</v>
      </c>
      <c r="T147" s="129">
        <v>56541</v>
      </c>
      <c r="U147" s="129">
        <v>57300</v>
      </c>
      <c r="V147" s="129">
        <v>58100</v>
      </c>
      <c r="W147" s="130"/>
      <c r="X147" s="130"/>
      <c r="Y147" s="129"/>
      <c r="Z147" s="129"/>
      <c r="AA147" s="129"/>
    </row>
    <row r="148" spans="1:27" x14ac:dyDescent="0.25">
      <c r="A148" t="s">
        <v>524</v>
      </c>
      <c r="B148" s="75" t="s">
        <v>331</v>
      </c>
      <c r="C148" s="59">
        <f t="shared" si="10"/>
        <v>7.3710073710073713E-3</v>
      </c>
      <c r="D148" t="s">
        <v>465</v>
      </c>
      <c r="E148" s="59">
        <f t="shared" si="9"/>
        <v>3.6062378167641324E-2</v>
      </c>
      <c r="F148" s="129">
        <v>13024</v>
      </c>
      <c r="G148" s="129"/>
      <c r="H148" s="129">
        <v>1135</v>
      </c>
      <c r="I148" s="55">
        <v>1110</v>
      </c>
      <c r="J148" s="55">
        <v>1055</v>
      </c>
      <c r="K148" s="55">
        <v>1025</v>
      </c>
      <c r="L148" s="55">
        <v>990</v>
      </c>
      <c r="M148" s="55">
        <v>950</v>
      </c>
      <c r="N148" s="69" t="s">
        <v>331</v>
      </c>
      <c r="O148" s="129">
        <v>12667</v>
      </c>
      <c r="P148" s="129">
        <v>12882</v>
      </c>
      <c r="Q148" s="129">
        <v>13023</v>
      </c>
      <c r="R148" s="129">
        <v>13047</v>
      </c>
      <c r="S148" s="129">
        <v>13009</v>
      </c>
      <c r="T148" s="129">
        <v>13024</v>
      </c>
      <c r="U148" s="129">
        <v>13500</v>
      </c>
      <c r="V148" s="129">
        <v>13600</v>
      </c>
      <c r="W148" s="130"/>
      <c r="X148" s="130"/>
      <c r="Y148" s="129"/>
      <c r="Z148" s="129"/>
      <c r="AA148" s="129"/>
    </row>
    <row r="149" spans="1:27" x14ac:dyDescent="0.25">
      <c r="A149" t="s">
        <v>517</v>
      </c>
      <c r="B149" s="75" t="s">
        <v>298</v>
      </c>
      <c r="C149" s="59">
        <f t="shared" si="10"/>
        <v>3.0185585451293134E-3</v>
      </c>
      <c r="D149" t="s">
        <v>465</v>
      </c>
      <c r="E149" s="59">
        <f t="shared" si="9"/>
        <v>3.4353059177532598E-2</v>
      </c>
      <c r="F149" s="129">
        <v>67085</v>
      </c>
      <c r="G149" s="129"/>
      <c r="H149" s="129">
        <v>4410</v>
      </c>
      <c r="I149" s="55">
        <v>4240</v>
      </c>
      <c r="J149" s="55">
        <v>4135</v>
      </c>
      <c r="K149" s="55">
        <v>4025</v>
      </c>
      <c r="L149" s="55">
        <v>3815</v>
      </c>
      <c r="M149" s="55">
        <v>3725</v>
      </c>
      <c r="N149" s="69" t="s">
        <v>298</v>
      </c>
      <c r="O149" s="129">
        <v>65712</v>
      </c>
      <c r="P149" s="129">
        <v>65995</v>
      </c>
      <c r="Q149" s="129">
        <v>66040</v>
      </c>
      <c r="R149" s="129">
        <v>66605</v>
      </c>
      <c r="S149" s="129">
        <v>66966</v>
      </c>
      <c r="T149" s="129">
        <v>67085</v>
      </c>
      <c r="U149" s="129">
        <v>67500</v>
      </c>
      <c r="V149" s="129">
        <v>68300</v>
      </c>
      <c r="W149" s="130"/>
      <c r="X149" s="130"/>
      <c r="Y149" s="129"/>
      <c r="Z149" s="129"/>
      <c r="AA149" s="129"/>
    </row>
    <row r="150" spans="1:27" x14ac:dyDescent="0.25">
      <c r="A150" t="s">
        <v>522</v>
      </c>
      <c r="B150" s="75" t="s">
        <v>407</v>
      </c>
      <c r="C150" s="59">
        <f t="shared" si="10"/>
        <v>-3.114579898134916E-4</v>
      </c>
      <c r="D150" t="s">
        <v>439</v>
      </c>
      <c r="E150" s="59">
        <f t="shared" si="9"/>
        <v>1.6196013289036543E-2</v>
      </c>
      <c r="F150" s="129">
        <v>45485</v>
      </c>
      <c r="G150" s="129"/>
      <c r="H150" s="129">
        <v>2550</v>
      </c>
      <c r="I150" s="55">
        <v>2520</v>
      </c>
      <c r="J150" s="55">
        <v>2430</v>
      </c>
      <c r="K150" s="55">
        <v>2400</v>
      </c>
      <c r="L150" s="55">
        <v>2335</v>
      </c>
      <c r="M150" s="55">
        <v>2355</v>
      </c>
      <c r="N150" s="69" t="s">
        <v>407</v>
      </c>
      <c r="O150" s="129">
        <v>45746</v>
      </c>
      <c r="P150" s="129">
        <v>45442</v>
      </c>
      <c r="Q150" s="129">
        <v>45290</v>
      </c>
      <c r="R150" s="129">
        <v>45636</v>
      </c>
      <c r="S150" s="129">
        <v>45311</v>
      </c>
      <c r="T150" s="129">
        <v>45485</v>
      </c>
      <c r="U150" s="129">
        <v>45600</v>
      </c>
      <c r="V150" s="129">
        <v>45400</v>
      </c>
      <c r="W150" s="130"/>
      <c r="X150" s="130"/>
      <c r="Y150" s="129"/>
      <c r="Z150" s="129"/>
      <c r="AA150" s="129"/>
    </row>
    <row r="151" spans="1:27" x14ac:dyDescent="0.25">
      <c r="A151" t="s">
        <v>514</v>
      </c>
      <c r="B151" s="75" t="s">
        <v>260</v>
      </c>
      <c r="C151" s="59">
        <f t="shared" si="10"/>
        <v>-7.8765494277959654E-3</v>
      </c>
      <c r="D151" t="s">
        <v>465</v>
      </c>
      <c r="E151" s="59">
        <f t="shared" si="9"/>
        <v>3.125E-2</v>
      </c>
      <c r="F151" s="129">
        <v>23826</v>
      </c>
      <c r="G151" s="129"/>
      <c r="H151" s="129">
        <v>2380</v>
      </c>
      <c r="I151" s="55">
        <v>2305</v>
      </c>
      <c r="J151" s="55">
        <v>2265</v>
      </c>
      <c r="K151" s="55">
        <v>2165</v>
      </c>
      <c r="L151" s="55">
        <v>2105</v>
      </c>
      <c r="M151" s="55">
        <v>2040</v>
      </c>
      <c r="N151" s="69" t="s">
        <v>260</v>
      </c>
      <c r="O151" s="129">
        <v>22811</v>
      </c>
      <c r="P151" s="129">
        <v>22940</v>
      </c>
      <c r="Q151" s="129">
        <v>23041</v>
      </c>
      <c r="R151" s="129">
        <v>23513</v>
      </c>
      <c r="S151" s="129">
        <v>23587</v>
      </c>
      <c r="T151" s="129">
        <v>23826</v>
      </c>
      <c r="U151" s="129">
        <v>22700</v>
      </c>
      <c r="V151" s="129">
        <v>22700</v>
      </c>
      <c r="W151" s="130"/>
      <c r="X151" s="130"/>
      <c r="Y151" s="129"/>
      <c r="Z151" s="129"/>
      <c r="AA151" s="129"/>
    </row>
    <row r="152" spans="1:27" x14ac:dyDescent="0.25">
      <c r="A152" t="s">
        <v>517</v>
      </c>
      <c r="B152" s="75" t="s">
        <v>299</v>
      </c>
      <c r="C152" s="59">
        <f t="shared" si="10"/>
        <v>-4.9358673023974214E-3</v>
      </c>
      <c r="D152" t="s">
        <v>465</v>
      </c>
      <c r="E152" s="59">
        <f t="shared" si="9"/>
        <v>1.8334985133795837E-2</v>
      </c>
      <c r="F152" s="129">
        <v>29782</v>
      </c>
      <c r="G152" s="129"/>
      <c r="H152" s="129">
        <v>2145</v>
      </c>
      <c r="I152" s="55">
        <v>2095</v>
      </c>
      <c r="J152" s="55">
        <v>2075</v>
      </c>
      <c r="K152" s="55">
        <v>1995</v>
      </c>
      <c r="L152" s="55">
        <v>1965</v>
      </c>
      <c r="M152" s="55">
        <v>1960</v>
      </c>
      <c r="N152" s="69" t="s">
        <v>299</v>
      </c>
      <c r="O152" s="129">
        <v>29484</v>
      </c>
      <c r="P152" s="129">
        <v>29410</v>
      </c>
      <c r="Q152" s="129">
        <v>29416</v>
      </c>
      <c r="R152" s="129">
        <v>29506</v>
      </c>
      <c r="S152" s="129">
        <v>29626</v>
      </c>
      <c r="T152" s="129">
        <v>29782</v>
      </c>
      <c r="U152" s="129">
        <v>28900</v>
      </c>
      <c r="V152" s="129">
        <v>28900</v>
      </c>
      <c r="W152" s="130"/>
      <c r="X152" s="130"/>
      <c r="Y152" s="129"/>
      <c r="Z152" s="129"/>
      <c r="AA152" s="129"/>
    </row>
    <row r="153" spans="1:27" x14ac:dyDescent="0.25">
      <c r="A153" t="s">
        <v>517</v>
      </c>
      <c r="B153" s="75" t="s">
        <v>474</v>
      </c>
      <c r="C153" s="59">
        <f t="shared" si="10"/>
        <v>5.1903114186851208E-3</v>
      </c>
      <c r="D153" t="s">
        <v>465</v>
      </c>
      <c r="E153" s="59">
        <f t="shared" si="9"/>
        <v>3.1800000000000002E-2</v>
      </c>
      <c r="F153" s="129">
        <v>57800</v>
      </c>
      <c r="G153" s="129"/>
      <c r="H153" s="129">
        <v>5490</v>
      </c>
      <c r="I153" s="55">
        <v>5270</v>
      </c>
      <c r="J153" s="55">
        <v>5145</v>
      </c>
      <c r="K153" s="55">
        <v>5030</v>
      </c>
      <c r="L153" s="55">
        <v>4860</v>
      </c>
      <c r="M153" s="55">
        <v>4695</v>
      </c>
      <c r="N153" s="69" t="s">
        <v>474</v>
      </c>
      <c r="O153" s="129">
        <v>56271</v>
      </c>
      <c r="P153" s="129">
        <v>56622</v>
      </c>
      <c r="Q153" s="129">
        <v>57065</v>
      </c>
      <c r="R153" s="129">
        <v>57691</v>
      </c>
      <c r="S153" s="129">
        <v>57785</v>
      </c>
      <c r="T153" s="129">
        <v>57800</v>
      </c>
      <c r="U153" s="129">
        <v>59000</v>
      </c>
      <c r="V153" s="129">
        <v>59600</v>
      </c>
      <c r="W153" s="130"/>
      <c r="X153" s="130"/>
      <c r="Y153" s="129"/>
      <c r="Z153" s="129"/>
      <c r="AA153" s="129"/>
    </row>
    <row r="154" spans="1:27" x14ac:dyDescent="0.25">
      <c r="A154" t="s">
        <v>513</v>
      </c>
      <c r="B154" s="75" t="s">
        <v>373</v>
      </c>
      <c r="C154" s="59">
        <f t="shared" si="10"/>
        <v>-2.3152117990053165E-3</v>
      </c>
      <c r="D154" t="s">
        <v>465</v>
      </c>
      <c r="E154" s="59">
        <f t="shared" si="9"/>
        <v>2.7690700104493208E-2</v>
      </c>
      <c r="F154" s="129">
        <v>23324</v>
      </c>
      <c r="G154" s="129"/>
      <c r="H154" s="129">
        <v>2080</v>
      </c>
      <c r="I154" s="55">
        <v>2010</v>
      </c>
      <c r="J154" s="55">
        <v>1970</v>
      </c>
      <c r="K154" s="55">
        <v>1935</v>
      </c>
      <c r="L154" s="55">
        <v>1840</v>
      </c>
      <c r="M154" s="55">
        <v>1815</v>
      </c>
      <c r="N154" s="69" t="s">
        <v>373</v>
      </c>
      <c r="O154" s="129">
        <v>22498</v>
      </c>
      <c r="P154" s="129">
        <v>22805</v>
      </c>
      <c r="Q154" s="129">
        <v>22945</v>
      </c>
      <c r="R154" s="129">
        <v>23250</v>
      </c>
      <c r="S154" s="129">
        <v>23220</v>
      </c>
      <c r="T154" s="129">
        <v>23324</v>
      </c>
      <c r="U154" s="129">
        <v>22900</v>
      </c>
      <c r="V154" s="129">
        <v>23000</v>
      </c>
      <c r="W154" s="130"/>
      <c r="X154" s="130"/>
      <c r="Y154" s="129"/>
      <c r="Z154" s="129"/>
      <c r="AA154" s="129"/>
    </row>
    <row r="155" spans="1:27" x14ac:dyDescent="0.25">
      <c r="A155" t="s">
        <v>513</v>
      </c>
      <c r="B155" s="75" t="s">
        <v>975</v>
      </c>
      <c r="C155" s="59">
        <f t="shared" si="10"/>
        <v>-4.2648443170141062E-3</v>
      </c>
      <c r="D155" t="s">
        <v>116</v>
      </c>
      <c r="E155" s="59">
        <v>2.7377311780981507E-2</v>
      </c>
      <c r="F155" s="129">
        <v>92774</v>
      </c>
      <c r="G155" s="129"/>
      <c r="H155" s="129">
        <v>7485</v>
      </c>
      <c r="I155" s="55">
        <v>7240</v>
      </c>
      <c r="J155" s="55">
        <v>7065</v>
      </c>
      <c r="K155" s="55">
        <v>6850</v>
      </c>
      <c r="L155" s="55">
        <v>6635</v>
      </c>
      <c r="M155" s="55">
        <v>6545</v>
      </c>
      <c r="N155" s="69" t="s">
        <v>773</v>
      </c>
      <c r="O155" s="129">
        <v>89523</v>
      </c>
      <c r="P155" s="129">
        <v>90194</v>
      </c>
      <c r="Q155" s="129">
        <v>90734</v>
      </c>
      <c r="R155" s="129">
        <v>91447</v>
      </c>
      <c r="S155" s="129">
        <v>91722</v>
      </c>
      <c r="T155" s="129">
        <v>92774</v>
      </c>
      <c r="U155" s="129">
        <v>90300</v>
      </c>
      <c r="V155" s="129">
        <v>90400</v>
      </c>
      <c r="W155" s="130"/>
      <c r="X155" s="130"/>
      <c r="Y155" s="129"/>
      <c r="Z155" s="129"/>
      <c r="AA155" s="129"/>
    </row>
    <row r="156" spans="1:27" x14ac:dyDescent="0.25">
      <c r="A156" t="s">
        <v>522</v>
      </c>
      <c r="B156" s="75" t="s">
        <v>408</v>
      </c>
      <c r="C156" s="59">
        <f t="shared" si="10"/>
        <v>2.2614201718679333E-4</v>
      </c>
      <c r="D156" t="s">
        <v>439</v>
      </c>
      <c r="E156" s="59">
        <f t="shared" si="9"/>
        <v>2.4572649572649572E-2</v>
      </c>
      <c r="F156" s="129">
        <v>36850</v>
      </c>
      <c r="G156" s="129"/>
      <c r="H156" s="129">
        <v>2015</v>
      </c>
      <c r="I156" s="55">
        <v>1960</v>
      </c>
      <c r="J156" s="55">
        <v>1920</v>
      </c>
      <c r="K156" s="55">
        <v>1880</v>
      </c>
      <c r="L156" s="55">
        <v>1815</v>
      </c>
      <c r="M156" s="55">
        <v>1785</v>
      </c>
      <c r="N156" s="69" t="s">
        <v>408</v>
      </c>
      <c r="O156" s="129">
        <v>37460</v>
      </c>
      <c r="P156" s="129">
        <v>37262</v>
      </c>
      <c r="Q156" s="129">
        <v>37016</v>
      </c>
      <c r="R156" s="129">
        <v>37194</v>
      </c>
      <c r="S156" s="129">
        <v>37112</v>
      </c>
      <c r="T156" s="129">
        <v>36850</v>
      </c>
      <c r="U156" s="129">
        <v>37100</v>
      </c>
      <c r="V156" s="129">
        <v>36900</v>
      </c>
      <c r="W156" s="130"/>
      <c r="X156" s="130"/>
      <c r="Y156" s="129"/>
      <c r="Z156" s="129"/>
      <c r="AA156" s="129"/>
    </row>
    <row r="157" spans="1:27" x14ac:dyDescent="0.25">
      <c r="A157" t="s">
        <v>514</v>
      </c>
      <c r="B157" s="75" t="s">
        <v>261</v>
      </c>
      <c r="C157" s="59">
        <f t="shared" si="10"/>
        <v>-3.5183293610259905E-3</v>
      </c>
      <c r="D157" t="s">
        <v>465</v>
      </c>
      <c r="E157" s="59">
        <f t="shared" si="9"/>
        <v>4.8657718120805368E-2</v>
      </c>
      <c r="F157" s="129">
        <v>11748</v>
      </c>
      <c r="G157" s="129"/>
      <c r="H157" s="129">
        <v>1375</v>
      </c>
      <c r="I157" s="55">
        <v>1305</v>
      </c>
      <c r="J157" s="55">
        <v>1265</v>
      </c>
      <c r="K157" s="55">
        <v>1180</v>
      </c>
      <c r="L157" s="55">
        <v>1125</v>
      </c>
      <c r="M157" s="55">
        <v>1085</v>
      </c>
      <c r="N157" s="69" t="s">
        <v>261</v>
      </c>
      <c r="O157" s="129">
        <v>11482</v>
      </c>
      <c r="P157" s="129">
        <v>11565</v>
      </c>
      <c r="Q157" s="129">
        <v>11560</v>
      </c>
      <c r="R157" s="129">
        <v>11706</v>
      </c>
      <c r="S157" s="129">
        <v>11661</v>
      </c>
      <c r="T157" s="129">
        <v>11748</v>
      </c>
      <c r="U157" s="129">
        <v>11500</v>
      </c>
      <c r="V157" s="129">
        <v>11500</v>
      </c>
      <c r="W157" s="130"/>
      <c r="X157" s="130"/>
      <c r="Y157" s="129"/>
      <c r="Z157" s="129"/>
      <c r="AA157" s="129"/>
    </row>
    <row r="158" spans="1:27" x14ac:dyDescent="0.25">
      <c r="A158" t="s">
        <v>517</v>
      </c>
      <c r="B158" s="75" t="s">
        <v>300</v>
      </c>
      <c r="C158" s="59">
        <f t="shared" si="10"/>
        <v>2.2871811941758834E-3</v>
      </c>
      <c r="D158" t="s">
        <v>465</v>
      </c>
      <c r="E158" s="59">
        <f t="shared" si="9"/>
        <v>4.1040674239648224E-2</v>
      </c>
      <c r="F158" s="129">
        <v>66093</v>
      </c>
      <c r="G158" s="129"/>
      <c r="H158" s="129">
        <v>6170</v>
      </c>
      <c r="I158" s="55">
        <v>5900</v>
      </c>
      <c r="J158" s="55">
        <v>5680</v>
      </c>
      <c r="K158" s="55">
        <v>5460</v>
      </c>
      <c r="L158" s="55">
        <v>5200</v>
      </c>
      <c r="M158" s="55">
        <v>5050</v>
      </c>
      <c r="N158" s="69" t="s">
        <v>300</v>
      </c>
      <c r="O158" s="129">
        <v>62306</v>
      </c>
      <c r="P158" s="129">
        <v>63363</v>
      </c>
      <c r="Q158" s="129">
        <v>64118</v>
      </c>
      <c r="R158" s="129">
        <v>64741</v>
      </c>
      <c r="S158" s="129">
        <v>65594</v>
      </c>
      <c r="T158" s="129">
        <v>66093</v>
      </c>
      <c r="U158" s="129">
        <v>66300</v>
      </c>
      <c r="V158" s="129">
        <v>67000</v>
      </c>
      <c r="W158" s="130"/>
      <c r="X158" s="130"/>
      <c r="Y158" s="129"/>
      <c r="Z158" s="129"/>
      <c r="AA158" s="129"/>
    </row>
    <row r="159" spans="1:27" x14ac:dyDescent="0.25">
      <c r="A159" t="s">
        <v>514</v>
      </c>
      <c r="B159" s="75" t="s">
        <v>724</v>
      </c>
      <c r="C159" s="59">
        <f t="shared" si="10"/>
        <v>4.7353436755563309E-3</v>
      </c>
      <c r="D159" t="s">
        <v>465</v>
      </c>
      <c r="E159" s="59">
        <f t="shared" si="9"/>
        <v>2.3041474654377881E-2</v>
      </c>
      <c r="F159" s="129">
        <v>11474</v>
      </c>
      <c r="G159" s="129"/>
      <c r="H159" s="129">
        <v>1900</v>
      </c>
      <c r="I159" s="55">
        <v>1805</v>
      </c>
      <c r="J159" s="55">
        <v>1770</v>
      </c>
      <c r="K159" s="55">
        <v>1720</v>
      </c>
      <c r="L159" s="55">
        <v>1685</v>
      </c>
      <c r="M159" s="55">
        <v>1700</v>
      </c>
      <c r="N159" s="69" t="s">
        <v>263</v>
      </c>
      <c r="O159" s="129">
        <v>11271</v>
      </c>
      <c r="P159" s="129">
        <v>11398</v>
      </c>
      <c r="Q159" s="129">
        <v>11526</v>
      </c>
      <c r="R159" s="129">
        <v>11718</v>
      </c>
      <c r="S159" s="129">
        <v>11439</v>
      </c>
      <c r="T159" s="129">
        <v>11474</v>
      </c>
      <c r="U159" s="129">
        <v>11700</v>
      </c>
      <c r="V159" s="129">
        <v>11800</v>
      </c>
      <c r="W159" s="130"/>
      <c r="X159" s="130"/>
      <c r="Y159" s="129"/>
      <c r="Z159" s="129"/>
      <c r="AA159" s="129"/>
    </row>
    <row r="160" spans="1:27" x14ac:dyDescent="0.25">
      <c r="A160" t="s">
        <v>516</v>
      </c>
      <c r="B160" s="75" t="s">
        <v>130</v>
      </c>
      <c r="C160" s="59">
        <f t="shared" si="10"/>
        <v>3.500807878741248E-3</v>
      </c>
      <c r="D160" t="s">
        <v>439</v>
      </c>
      <c r="E160" s="59">
        <f t="shared" si="9"/>
        <v>3.5788845809722636E-2</v>
      </c>
      <c r="F160" s="129">
        <v>129970</v>
      </c>
      <c r="G160" s="129"/>
      <c r="H160" s="129">
        <v>9740</v>
      </c>
      <c r="I160" s="55">
        <v>9287</v>
      </c>
      <c r="J160" s="55">
        <v>9044</v>
      </c>
      <c r="K160" s="61">
        <v>8733.5</v>
      </c>
      <c r="L160" s="61">
        <v>8344.5</v>
      </c>
      <c r="M160" s="55">
        <v>8180</v>
      </c>
      <c r="N160" s="69" t="s">
        <v>130</v>
      </c>
      <c r="O160" s="129">
        <v>124137</v>
      </c>
      <c r="P160" s="129">
        <v>124481</v>
      </c>
      <c r="Q160" s="129">
        <v>125510</v>
      </c>
      <c r="R160" s="129">
        <v>127088</v>
      </c>
      <c r="S160" s="129">
        <v>128810</v>
      </c>
      <c r="T160" s="129">
        <v>129970</v>
      </c>
      <c r="U160" s="129">
        <v>131200</v>
      </c>
      <c r="V160" s="129">
        <v>132700</v>
      </c>
      <c r="W160" s="130"/>
      <c r="X160" s="130"/>
      <c r="Y160" s="129"/>
      <c r="Z160" s="129"/>
      <c r="AA160" s="129"/>
    </row>
    <row r="161" spans="1:27" x14ac:dyDescent="0.25">
      <c r="A161" t="s">
        <v>517</v>
      </c>
      <c r="B161" s="75" t="s">
        <v>301</v>
      </c>
      <c r="C161" s="59">
        <f t="shared" si="10"/>
        <v>4.9599452836496622E-3</v>
      </c>
      <c r="D161" t="s">
        <v>439</v>
      </c>
      <c r="E161" s="59">
        <f t="shared" si="9"/>
        <v>3.786672731407778E-2</v>
      </c>
      <c r="F161" s="129">
        <v>130613</v>
      </c>
      <c r="G161" s="129"/>
      <c r="H161" s="129">
        <v>9955</v>
      </c>
      <c r="I161" s="55">
        <v>9365</v>
      </c>
      <c r="J161" s="55">
        <v>9105</v>
      </c>
      <c r="K161" s="55">
        <v>8775</v>
      </c>
      <c r="L161" s="55">
        <v>8435</v>
      </c>
      <c r="M161" s="55">
        <v>8290</v>
      </c>
      <c r="N161" s="69" t="s">
        <v>301</v>
      </c>
      <c r="O161" s="129">
        <v>125409</v>
      </c>
      <c r="P161" s="129">
        <v>124093</v>
      </c>
      <c r="Q161" s="129">
        <v>125100</v>
      </c>
      <c r="R161" s="129">
        <v>127079</v>
      </c>
      <c r="S161" s="129">
        <v>130108</v>
      </c>
      <c r="T161" s="129">
        <v>130613</v>
      </c>
      <c r="U161" s="129">
        <v>133600</v>
      </c>
      <c r="V161" s="129">
        <v>134500</v>
      </c>
      <c r="W161" s="130"/>
      <c r="X161" s="130"/>
      <c r="Y161" s="129"/>
      <c r="Z161" s="129"/>
      <c r="AA161" s="129"/>
    </row>
    <row r="162" spans="1:27" x14ac:dyDescent="0.25">
      <c r="A162" t="s">
        <v>517</v>
      </c>
      <c r="B162" s="75" t="s">
        <v>302</v>
      </c>
      <c r="C162" s="59">
        <f t="shared" si="10"/>
        <v>1.9562660521830972E-3</v>
      </c>
      <c r="D162" t="s">
        <v>465</v>
      </c>
      <c r="E162" s="59">
        <f t="shared" si="9"/>
        <v>3.8314176245210725E-2</v>
      </c>
      <c r="F162" s="129">
        <v>27774</v>
      </c>
      <c r="G162" s="129"/>
      <c r="H162" s="129">
        <v>2055</v>
      </c>
      <c r="I162" s="55">
        <v>1940</v>
      </c>
      <c r="J162" s="55">
        <v>1915</v>
      </c>
      <c r="K162" s="55">
        <v>1820</v>
      </c>
      <c r="L162" s="55">
        <v>1755</v>
      </c>
      <c r="M162" s="55">
        <v>1705</v>
      </c>
      <c r="N162" s="69" t="s">
        <v>302</v>
      </c>
      <c r="O162" s="129">
        <v>27084</v>
      </c>
      <c r="P162" s="129">
        <v>27377</v>
      </c>
      <c r="Q162" s="129">
        <v>27461</v>
      </c>
      <c r="R162" s="129">
        <v>27670</v>
      </c>
      <c r="S162" s="129">
        <v>27736</v>
      </c>
      <c r="T162" s="129">
        <v>27774</v>
      </c>
      <c r="U162" s="129">
        <v>28000</v>
      </c>
      <c r="V162" s="129">
        <v>28100</v>
      </c>
      <c r="W162" s="130"/>
      <c r="X162" s="130"/>
      <c r="Y162" s="129"/>
      <c r="Z162" s="129"/>
      <c r="AA162" s="129"/>
    </row>
    <row r="163" spans="1:27" x14ac:dyDescent="0.25">
      <c r="A163" t="s">
        <v>517</v>
      </c>
      <c r="B163" s="75" t="s">
        <v>303</v>
      </c>
      <c r="C163" s="59">
        <f t="shared" si="10"/>
        <v>1.8963337547408343E-3</v>
      </c>
      <c r="D163" t="s">
        <v>116</v>
      </c>
      <c r="E163" s="59">
        <f t="shared" si="9"/>
        <v>3.2679738562091505E-2</v>
      </c>
      <c r="F163" s="129">
        <v>78309</v>
      </c>
      <c r="G163" s="129"/>
      <c r="H163" s="129">
        <v>5895</v>
      </c>
      <c r="I163" s="55">
        <v>5755</v>
      </c>
      <c r="J163" s="55">
        <v>5600</v>
      </c>
      <c r="K163" s="55">
        <v>5325</v>
      </c>
      <c r="L163" s="55">
        <v>5075</v>
      </c>
      <c r="M163" s="55">
        <v>5020</v>
      </c>
      <c r="N163" s="69" t="s">
        <v>303</v>
      </c>
      <c r="O163" s="129">
        <v>76541</v>
      </c>
      <c r="P163" s="129">
        <v>76433</v>
      </c>
      <c r="Q163" s="129">
        <v>76648</v>
      </c>
      <c r="R163" s="129">
        <v>77759</v>
      </c>
      <c r="S163" s="129">
        <v>78229</v>
      </c>
      <c r="T163" s="129">
        <v>78309</v>
      </c>
      <c r="U163" s="129">
        <v>78700</v>
      </c>
      <c r="V163" s="129">
        <v>79200</v>
      </c>
      <c r="W163" s="130"/>
      <c r="X163" s="130"/>
      <c r="Y163" s="129"/>
      <c r="Z163" s="129"/>
      <c r="AA163" s="129"/>
    </row>
    <row r="164" spans="1:27" x14ac:dyDescent="0.25">
      <c r="A164" t="s">
        <v>519</v>
      </c>
      <c r="B164" s="75" t="s">
        <v>429</v>
      </c>
      <c r="C164" s="59">
        <f t="shared" si="10"/>
        <v>1.4514136430521785E-2</v>
      </c>
      <c r="D164" t="s">
        <v>439</v>
      </c>
      <c r="E164" s="59">
        <f t="shared" si="9"/>
        <v>2.8872752420470264E-2</v>
      </c>
      <c r="F164" s="129">
        <v>84722</v>
      </c>
      <c r="G164" s="129"/>
      <c r="H164" s="129">
        <v>6360</v>
      </c>
      <c r="I164" s="55">
        <v>6115</v>
      </c>
      <c r="J164" s="55">
        <v>5980</v>
      </c>
      <c r="K164" s="55">
        <v>5765</v>
      </c>
      <c r="L164" s="55">
        <v>5535</v>
      </c>
      <c r="M164" s="55">
        <v>5525</v>
      </c>
      <c r="N164" s="69" t="s">
        <v>429</v>
      </c>
      <c r="O164" s="129">
        <v>78570</v>
      </c>
      <c r="P164" s="129">
        <v>79811</v>
      </c>
      <c r="Q164" s="129">
        <v>81198</v>
      </c>
      <c r="R164" s="129">
        <v>83055</v>
      </c>
      <c r="S164" s="129">
        <v>84080</v>
      </c>
      <c r="T164" s="129">
        <v>84722</v>
      </c>
      <c r="U164" s="129">
        <v>88900</v>
      </c>
      <c r="V164" s="129">
        <v>92100</v>
      </c>
      <c r="W164" s="130"/>
      <c r="X164" s="130"/>
      <c r="Y164" s="129"/>
      <c r="Z164" s="129"/>
      <c r="AA164" s="129"/>
    </row>
    <row r="165" spans="1:27" x14ac:dyDescent="0.25">
      <c r="A165" t="s">
        <v>522</v>
      </c>
      <c r="B165" s="75" t="s">
        <v>409</v>
      </c>
      <c r="C165" s="59">
        <f t="shared" si="10"/>
        <v>-8.8069125955466936E-3</v>
      </c>
      <c r="D165" t="s">
        <v>465</v>
      </c>
      <c r="E165" s="59">
        <f t="shared" si="9"/>
        <v>2.0226259856016456E-2</v>
      </c>
      <c r="F165" s="129">
        <v>36108</v>
      </c>
      <c r="G165" s="129"/>
      <c r="H165" s="129">
        <v>3115</v>
      </c>
      <c r="I165" s="55">
        <v>2985</v>
      </c>
      <c r="J165" s="55">
        <v>2975</v>
      </c>
      <c r="K165" s="55">
        <v>2920</v>
      </c>
      <c r="L165" s="55">
        <v>2885</v>
      </c>
      <c r="M165" s="55">
        <v>2820</v>
      </c>
      <c r="N165" s="69" t="s">
        <v>409</v>
      </c>
      <c r="O165" s="129">
        <v>35869</v>
      </c>
      <c r="P165" s="129">
        <v>36045</v>
      </c>
      <c r="Q165" s="129">
        <v>35941</v>
      </c>
      <c r="R165" s="129">
        <v>36133</v>
      </c>
      <c r="S165" s="129">
        <v>36006</v>
      </c>
      <c r="T165" s="129">
        <v>36108</v>
      </c>
      <c r="U165" s="129">
        <v>34700</v>
      </c>
      <c r="V165" s="129">
        <v>34200</v>
      </c>
      <c r="W165" s="130"/>
      <c r="X165" s="130"/>
      <c r="Y165" s="129"/>
      <c r="Z165" s="129"/>
      <c r="AA165" s="129"/>
    </row>
    <row r="166" spans="1:27" x14ac:dyDescent="0.25">
      <c r="A166" t="s">
        <v>520</v>
      </c>
      <c r="B166" s="75" t="s">
        <v>221</v>
      </c>
      <c r="C166" s="59">
        <f t="shared" si="10"/>
        <v>-5.7973739462881138E-4</v>
      </c>
      <c r="D166" t="s">
        <v>465</v>
      </c>
      <c r="E166" s="59">
        <f t="shared" si="9"/>
        <v>3.0723117272386663E-2</v>
      </c>
      <c r="F166" s="129">
        <v>31911</v>
      </c>
      <c r="G166" s="129"/>
      <c r="H166" s="129">
        <v>2935</v>
      </c>
      <c r="I166" s="55">
        <v>2845</v>
      </c>
      <c r="J166" s="55">
        <v>2770</v>
      </c>
      <c r="K166" s="55">
        <v>2655</v>
      </c>
      <c r="L166" s="55">
        <v>2550</v>
      </c>
      <c r="M166" s="55">
        <v>2525</v>
      </c>
      <c r="N166" s="69" t="s">
        <v>221</v>
      </c>
      <c r="O166" s="129">
        <v>30352</v>
      </c>
      <c r="P166" s="129">
        <v>30544</v>
      </c>
      <c r="Q166" s="129">
        <v>30706</v>
      </c>
      <c r="R166" s="129">
        <v>31488</v>
      </c>
      <c r="S166" s="129">
        <v>31681</v>
      </c>
      <c r="T166" s="129">
        <v>31911</v>
      </c>
      <c r="U166" s="129">
        <v>31500</v>
      </c>
      <c r="V166" s="129">
        <v>31800</v>
      </c>
      <c r="W166" s="130"/>
      <c r="X166" s="130"/>
      <c r="Y166" s="129"/>
      <c r="Z166" s="129"/>
      <c r="AA166" s="129"/>
    </row>
    <row r="167" spans="1:27" x14ac:dyDescent="0.25">
      <c r="A167" t="s">
        <v>515</v>
      </c>
      <c r="B167" s="75" t="s">
        <v>185</v>
      </c>
      <c r="C167" s="59">
        <f t="shared" si="10"/>
        <v>-4.0394502150876092E-3</v>
      </c>
      <c r="D167" t="s">
        <v>465</v>
      </c>
      <c r="E167" s="59">
        <f t="shared" si="9"/>
        <v>2.7339003645200487E-2</v>
      </c>
      <c r="F167" s="129">
        <v>47655</v>
      </c>
      <c r="G167" s="129"/>
      <c r="H167" s="129">
        <v>3600</v>
      </c>
      <c r="I167" s="55">
        <v>3475</v>
      </c>
      <c r="J167" s="55">
        <v>3370</v>
      </c>
      <c r="K167" s="55">
        <v>3270</v>
      </c>
      <c r="L167" s="55">
        <v>3195</v>
      </c>
      <c r="M167" s="55">
        <v>3150</v>
      </c>
      <c r="N167" s="69" t="s">
        <v>185</v>
      </c>
      <c r="O167" s="129">
        <v>46613</v>
      </c>
      <c r="P167" s="129">
        <v>46822</v>
      </c>
      <c r="Q167" s="129">
        <v>46969</v>
      </c>
      <c r="R167" s="129">
        <v>47217</v>
      </c>
      <c r="S167" s="129">
        <v>47314</v>
      </c>
      <c r="T167" s="129">
        <v>47655</v>
      </c>
      <c r="U167" s="129">
        <v>46500</v>
      </c>
      <c r="V167" s="129">
        <v>46500</v>
      </c>
      <c r="W167" s="130"/>
      <c r="X167" s="130"/>
      <c r="Y167" s="129"/>
      <c r="Z167" s="129"/>
      <c r="AA167" s="129"/>
    </row>
    <row r="168" spans="1:27" x14ac:dyDescent="0.25">
      <c r="A168" t="s">
        <v>514</v>
      </c>
      <c r="B168" s="75" t="s">
        <v>304</v>
      </c>
      <c r="C168" s="59">
        <f t="shared" si="10"/>
        <v>-2.0000282689507979E-3</v>
      </c>
      <c r="D168" t="s">
        <v>465</v>
      </c>
      <c r="E168" s="59">
        <f t="shared" si="9"/>
        <v>2.3834196891191709E-2</v>
      </c>
      <c r="F168" s="129">
        <v>23583</v>
      </c>
      <c r="G168" s="129"/>
      <c r="H168" s="129">
        <v>2065</v>
      </c>
      <c r="I168" s="55">
        <v>2040</v>
      </c>
      <c r="J168" s="55">
        <v>1975</v>
      </c>
      <c r="K168" s="55">
        <v>1940</v>
      </c>
      <c r="L168" s="55">
        <v>1860</v>
      </c>
      <c r="M168" s="55">
        <v>1835</v>
      </c>
      <c r="N168" s="69" t="s">
        <v>304</v>
      </c>
      <c r="O168" s="129">
        <v>22891</v>
      </c>
      <c r="P168" s="129">
        <v>22982</v>
      </c>
      <c r="Q168" s="129">
        <v>23012</v>
      </c>
      <c r="R168" s="129">
        <v>23395</v>
      </c>
      <c r="S168" s="129">
        <v>23447</v>
      </c>
      <c r="T168" s="129">
        <v>23583</v>
      </c>
      <c r="U168" s="129">
        <v>23200</v>
      </c>
      <c r="V168" s="129">
        <v>23300</v>
      </c>
      <c r="W168" s="130"/>
      <c r="X168" s="130"/>
      <c r="Y168" s="129"/>
      <c r="Z168" s="129"/>
      <c r="AA168" s="129"/>
    </row>
    <row r="169" spans="1:27" x14ac:dyDescent="0.25">
      <c r="A169" t="s">
        <v>515</v>
      </c>
      <c r="B169" s="75" t="s">
        <v>186</v>
      </c>
      <c r="C169" s="59">
        <f t="shared" si="10"/>
        <v>-6.8679450564395478E-3</v>
      </c>
      <c r="D169" t="s">
        <v>465</v>
      </c>
      <c r="E169" s="59">
        <f t="shared" si="9"/>
        <v>2.9239766081871343E-2</v>
      </c>
      <c r="F169" s="129">
        <v>34314</v>
      </c>
      <c r="G169" s="129"/>
      <c r="H169" s="129">
        <v>3540</v>
      </c>
      <c r="I169" s="55">
        <v>3475</v>
      </c>
      <c r="J169" s="55">
        <v>3345</v>
      </c>
      <c r="K169" s="55">
        <v>3235</v>
      </c>
      <c r="L169" s="55">
        <v>3125</v>
      </c>
      <c r="M169" s="55">
        <v>3065</v>
      </c>
      <c r="N169" s="69" t="s">
        <v>186</v>
      </c>
      <c r="O169" s="129">
        <v>33691</v>
      </c>
      <c r="P169" s="129">
        <v>33948</v>
      </c>
      <c r="Q169" s="129">
        <v>34071</v>
      </c>
      <c r="R169" s="129">
        <v>34312</v>
      </c>
      <c r="S169" s="129">
        <v>34289</v>
      </c>
      <c r="T169" s="129">
        <v>34314</v>
      </c>
      <c r="U169" s="129">
        <v>33000</v>
      </c>
      <c r="V169" s="129">
        <v>32900</v>
      </c>
      <c r="W169" s="130"/>
      <c r="X169" s="130"/>
      <c r="Y169" s="129"/>
      <c r="Z169" s="129"/>
      <c r="AA169" s="129"/>
    </row>
    <row r="170" spans="1:27" x14ac:dyDescent="0.25">
      <c r="A170" t="s">
        <v>513</v>
      </c>
      <c r="B170" s="75" t="s">
        <v>375</v>
      </c>
      <c r="C170" s="59">
        <f t="shared" si="10"/>
        <v>2.4294627574402297E-3</v>
      </c>
      <c r="D170" t="s">
        <v>465</v>
      </c>
      <c r="E170" s="59">
        <f t="shared" si="9"/>
        <v>2.3773394031360646E-2</v>
      </c>
      <c r="F170" s="129">
        <v>24148</v>
      </c>
      <c r="G170" s="129"/>
      <c r="H170" s="129">
        <v>2140</v>
      </c>
      <c r="I170" s="55">
        <v>2070</v>
      </c>
      <c r="J170" s="55">
        <v>2015</v>
      </c>
      <c r="K170" s="55">
        <v>1975</v>
      </c>
      <c r="L170" s="55">
        <v>1920</v>
      </c>
      <c r="M170" s="55">
        <v>1905</v>
      </c>
      <c r="N170" s="69" t="s">
        <v>375</v>
      </c>
      <c r="O170" s="129">
        <v>23400</v>
      </c>
      <c r="P170" s="129">
        <v>23504</v>
      </c>
      <c r="Q170" s="129">
        <v>23771</v>
      </c>
      <c r="R170" s="129">
        <v>23795</v>
      </c>
      <c r="S170" s="129">
        <v>23850</v>
      </c>
      <c r="T170" s="129">
        <v>24148</v>
      </c>
      <c r="U170" s="129">
        <v>24300</v>
      </c>
      <c r="V170" s="129">
        <v>24500</v>
      </c>
      <c r="W170" s="130"/>
      <c r="X170" s="130"/>
      <c r="Y170" s="129"/>
      <c r="Z170" s="129"/>
      <c r="AA170" s="129"/>
    </row>
    <row r="171" spans="1:27" x14ac:dyDescent="0.25">
      <c r="A171" t="s">
        <v>515</v>
      </c>
      <c r="B171" s="75" t="s">
        <v>222</v>
      </c>
      <c r="C171" s="59">
        <f t="shared" si="10"/>
        <v>1.0694585162670269E-3</v>
      </c>
      <c r="D171" t="s">
        <v>465</v>
      </c>
      <c r="E171" s="59">
        <f t="shared" si="9"/>
        <v>2.8945554789800137E-2</v>
      </c>
      <c r="F171" s="129">
        <v>14805</v>
      </c>
      <c r="G171" s="129"/>
      <c r="H171" s="129">
        <v>1595</v>
      </c>
      <c r="I171" s="55">
        <v>1540</v>
      </c>
      <c r="J171" s="55">
        <v>1495</v>
      </c>
      <c r="K171" s="55">
        <v>1440</v>
      </c>
      <c r="L171" s="55">
        <v>1395</v>
      </c>
      <c r="M171" s="55">
        <v>1385</v>
      </c>
      <c r="N171" s="69" t="s">
        <v>222</v>
      </c>
      <c r="O171" s="129">
        <v>14447</v>
      </c>
      <c r="P171" s="129">
        <v>14456</v>
      </c>
      <c r="Q171" s="129">
        <v>14512</v>
      </c>
      <c r="R171" s="129">
        <v>14707</v>
      </c>
      <c r="S171" s="129">
        <v>14724</v>
      </c>
      <c r="T171" s="129">
        <v>14805</v>
      </c>
      <c r="U171" s="129">
        <v>14700</v>
      </c>
      <c r="V171" s="129">
        <v>14900</v>
      </c>
      <c r="W171" s="130"/>
      <c r="X171" s="130"/>
      <c r="Y171" s="129"/>
      <c r="Z171" s="129"/>
      <c r="AA171" s="129"/>
    </row>
    <row r="172" spans="1:27" x14ac:dyDescent="0.25">
      <c r="A172" t="s">
        <v>518</v>
      </c>
      <c r="B172" s="75" t="s">
        <v>150</v>
      </c>
      <c r="C172" s="59">
        <f t="shared" si="10"/>
        <v>1.6548060396869364E-3</v>
      </c>
      <c r="D172" t="s">
        <v>116</v>
      </c>
      <c r="E172" s="59">
        <f t="shared" si="9"/>
        <v>3.0895334174022699E-2</v>
      </c>
      <c r="F172" s="129">
        <v>23467</v>
      </c>
      <c r="G172" s="129"/>
      <c r="H172" s="129">
        <v>1755</v>
      </c>
      <c r="I172" s="55">
        <v>1690</v>
      </c>
      <c r="J172" s="55">
        <v>1640</v>
      </c>
      <c r="K172" s="55">
        <v>1585</v>
      </c>
      <c r="L172" s="55">
        <v>1505</v>
      </c>
      <c r="M172" s="55">
        <v>1510</v>
      </c>
      <c r="N172" s="69" t="s">
        <v>150</v>
      </c>
      <c r="O172" s="129">
        <v>22666</v>
      </c>
      <c r="P172" s="129">
        <v>22888</v>
      </c>
      <c r="Q172" s="129">
        <v>23075</v>
      </c>
      <c r="R172" s="129">
        <v>23366</v>
      </c>
      <c r="S172" s="129">
        <v>23376</v>
      </c>
      <c r="T172" s="129">
        <v>23467</v>
      </c>
      <c r="U172" s="129">
        <v>23700</v>
      </c>
      <c r="V172" s="129">
        <v>23700</v>
      </c>
      <c r="W172" s="130"/>
      <c r="X172" s="130"/>
      <c r="Y172" s="129"/>
      <c r="Z172" s="129"/>
      <c r="AA172" s="129"/>
    </row>
    <row r="173" spans="1:27" x14ac:dyDescent="0.25">
      <c r="A173" t="s">
        <v>515</v>
      </c>
      <c r="B173" s="75" t="s">
        <v>187</v>
      </c>
      <c r="C173" s="59">
        <f t="shared" si="10"/>
        <v>9.5861229458307981E-3</v>
      </c>
      <c r="D173" t="s">
        <v>465</v>
      </c>
      <c r="E173" s="59">
        <f t="shared" si="9"/>
        <v>2.1940349674322936E-2</v>
      </c>
      <c r="F173" s="129">
        <v>26288</v>
      </c>
      <c r="G173" s="129"/>
      <c r="H173" s="129">
        <v>3125</v>
      </c>
      <c r="I173" s="55">
        <v>3035</v>
      </c>
      <c r="J173" s="55">
        <v>2995</v>
      </c>
      <c r="K173" s="55">
        <v>2925</v>
      </c>
      <c r="L173" s="55">
        <v>2825</v>
      </c>
      <c r="M173" s="55">
        <v>2805</v>
      </c>
      <c r="N173" s="69" t="s">
        <v>187</v>
      </c>
      <c r="O173" s="129">
        <v>24911</v>
      </c>
      <c r="P173" s="129">
        <v>25452</v>
      </c>
      <c r="Q173" s="129">
        <v>25511</v>
      </c>
      <c r="R173" s="129">
        <v>26011</v>
      </c>
      <c r="S173" s="129">
        <v>26197</v>
      </c>
      <c r="T173" s="129">
        <v>26288</v>
      </c>
      <c r="U173" s="129">
        <v>27400</v>
      </c>
      <c r="V173" s="129">
        <v>27800</v>
      </c>
      <c r="W173" s="130"/>
      <c r="X173" s="130"/>
      <c r="Y173" s="129"/>
      <c r="Z173" s="129"/>
      <c r="AA173" s="129"/>
    </row>
    <row r="174" spans="1:27" x14ac:dyDescent="0.25">
      <c r="A174" t="s">
        <v>522</v>
      </c>
      <c r="B174" s="75" t="s">
        <v>410</v>
      </c>
      <c r="C174" s="59">
        <f t="shared" si="10"/>
        <v>-1.0890711943730187E-2</v>
      </c>
      <c r="D174" t="s">
        <v>116</v>
      </c>
      <c r="E174" s="59">
        <f t="shared" si="9"/>
        <v>1.9736842105263157E-2</v>
      </c>
      <c r="F174" s="129">
        <v>24501</v>
      </c>
      <c r="G174" s="129"/>
      <c r="H174" s="129">
        <v>2105</v>
      </c>
      <c r="I174" s="55">
        <v>2055</v>
      </c>
      <c r="J174" s="55">
        <v>2005</v>
      </c>
      <c r="K174" s="55">
        <v>1975</v>
      </c>
      <c r="L174" s="55">
        <v>1935</v>
      </c>
      <c r="M174" s="55">
        <v>1910</v>
      </c>
      <c r="N174" s="69" t="s">
        <v>410</v>
      </c>
      <c r="O174" s="129">
        <v>23937</v>
      </c>
      <c r="P174" s="129">
        <v>23947</v>
      </c>
      <c r="Q174" s="129">
        <v>24028</v>
      </c>
      <c r="R174" s="129">
        <v>24303</v>
      </c>
      <c r="S174" s="129">
        <v>24406</v>
      </c>
      <c r="T174" s="129">
        <v>24501</v>
      </c>
      <c r="U174" s="129">
        <v>23100</v>
      </c>
      <c r="V174" s="129">
        <v>22900</v>
      </c>
      <c r="W174" s="130"/>
      <c r="X174" s="130"/>
      <c r="Y174" s="129"/>
      <c r="Z174" s="129"/>
      <c r="AA174" s="129"/>
    </row>
    <row r="175" spans="1:27" x14ac:dyDescent="0.25">
      <c r="A175" t="s">
        <v>513</v>
      </c>
      <c r="B175" s="75" t="s">
        <v>774</v>
      </c>
      <c r="C175" s="59">
        <f t="shared" si="10"/>
        <v>-2.9831735603673662E-3</v>
      </c>
      <c r="D175" t="s">
        <v>116</v>
      </c>
      <c r="E175" s="59">
        <v>2.3773584905660377E-2</v>
      </c>
      <c r="F175" s="129">
        <v>59668</v>
      </c>
      <c r="G175" s="129"/>
      <c r="H175" s="129">
        <v>5700</v>
      </c>
      <c r="I175" s="55">
        <v>5570</v>
      </c>
      <c r="J175" s="55">
        <v>5455</v>
      </c>
      <c r="K175" s="55">
        <v>5280</v>
      </c>
      <c r="L175" s="55">
        <v>5125</v>
      </c>
      <c r="M175" s="55">
        <v>5070</v>
      </c>
      <c r="N175" s="69" t="s">
        <v>774</v>
      </c>
      <c r="O175" s="129">
        <v>57839</v>
      </c>
      <c r="P175" s="129">
        <v>58108</v>
      </c>
      <c r="Q175" s="129">
        <v>58383</v>
      </c>
      <c r="R175" s="129">
        <v>58936</v>
      </c>
      <c r="S175" s="129">
        <v>59222</v>
      </c>
      <c r="T175" s="129">
        <v>59668</v>
      </c>
      <c r="U175" s="129">
        <v>58700</v>
      </c>
      <c r="V175" s="129">
        <v>58600</v>
      </c>
      <c r="W175" s="130"/>
      <c r="X175" s="130"/>
      <c r="Y175" s="129"/>
      <c r="Z175" s="129"/>
      <c r="AA175" s="129"/>
    </row>
    <row r="176" spans="1:27" x14ac:dyDescent="0.25">
      <c r="A176" t="s">
        <v>517</v>
      </c>
      <c r="B176" s="75" t="s">
        <v>305</v>
      </c>
      <c r="C176" s="59">
        <f t="shared" si="10"/>
        <v>1.6604001427120783E-3</v>
      </c>
      <c r="D176" t="s">
        <v>116</v>
      </c>
      <c r="E176" s="59">
        <f t="shared" si="9"/>
        <v>3.5695538057742782E-2</v>
      </c>
      <c r="F176" s="129">
        <v>36437</v>
      </c>
      <c r="G176" s="129"/>
      <c r="H176" s="129">
        <v>2120</v>
      </c>
      <c r="I176" s="55">
        <v>2070</v>
      </c>
      <c r="J176" s="55">
        <v>1950</v>
      </c>
      <c r="K176" s="55">
        <v>1925</v>
      </c>
      <c r="L176" s="55">
        <v>1800</v>
      </c>
      <c r="M176" s="55">
        <v>1780</v>
      </c>
      <c r="N176" s="69" t="s">
        <v>305</v>
      </c>
      <c r="O176" s="129">
        <v>33168</v>
      </c>
      <c r="P176" s="129">
        <v>33567</v>
      </c>
      <c r="Q176" s="129">
        <v>34148</v>
      </c>
      <c r="R176" s="129">
        <v>35301</v>
      </c>
      <c r="S176" s="129">
        <v>35832</v>
      </c>
      <c r="T176" s="129">
        <v>36437</v>
      </c>
      <c r="U176" s="129">
        <v>36400</v>
      </c>
      <c r="V176" s="129">
        <v>36800</v>
      </c>
      <c r="W176" s="130"/>
      <c r="X176" s="130"/>
      <c r="Y176" s="129"/>
      <c r="Z176" s="129"/>
      <c r="AA176" s="129"/>
    </row>
    <row r="177" spans="1:27" x14ac:dyDescent="0.25">
      <c r="A177" t="s">
        <v>522</v>
      </c>
      <c r="B177" s="75" t="s">
        <v>411</v>
      </c>
      <c r="C177" s="59">
        <f t="shared" si="10"/>
        <v>1.1061066636958287E-3</v>
      </c>
      <c r="D177" t="s">
        <v>439</v>
      </c>
      <c r="E177" s="59">
        <f t="shared" si="9"/>
        <v>2.3803994426381793E-2</v>
      </c>
      <c r="F177" s="129">
        <v>125666</v>
      </c>
      <c r="G177" s="129"/>
      <c r="H177" s="129">
        <v>9320</v>
      </c>
      <c r="I177" s="55">
        <v>9035</v>
      </c>
      <c r="J177" s="55">
        <v>8800</v>
      </c>
      <c r="K177" s="55">
        <v>8540</v>
      </c>
      <c r="L177" s="55">
        <v>8390</v>
      </c>
      <c r="M177" s="55">
        <v>8295</v>
      </c>
      <c r="N177" s="69" t="s">
        <v>411</v>
      </c>
      <c r="O177" s="129">
        <v>121898</v>
      </c>
      <c r="P177" s="129">
        <v>120227</v>
      </c>
      <c r="Q177" s="129">
        <v>121108</v>
      </c>
      <c r="R177" s="129">
        <v>122632</v>
      </c>
      <c r="S177" s="129">
        <v>125285</v>
      </c>
      <c r="T177" s="129">
        <v>125666</v>
      </c>
      <c r="U177" s="129">
        <v>126000</v>
      </c>
      <c r="V177" s="129">
        <v>126500</v>
      </c>
      <c r="W177" s="130"/>
      <c r="X177" s="130"/>
      <c r="Y177" s="129"/>
      <c r="Z177" s="129"/>
      <c r="AA177" s="129"/>
    </row>
    <row r="178" spans="1:27" x14ac:dyDescent="0.25">
      <c r="A178" t="s">
        <v>514</v>
      </c>
      <c r="B178" s="75" t="s">
        <v>264</v>
      </c>
      <c r="C178" s="59">
        <f t="shared" si="10"/>
        <v>-1.5599039389388301E-4</v>
      </c>
      <c r="D178" t="s">
        <v>116</v>
      </c>
      <c r="E178" s="59">
        <f t="shared" si="9"/>
        <v>2.7096472786732072E-2</v>
      </c>
      <c r="F178" s="129">
        <v>45943</v>
      </c>
      <c r="G178" s="129"/>
      <c r="H178" s="129">
        <v>4685</v>
      </c>
      <c r="I178" s="55">
        <v>4515</v>
      </c>
      <c r="J178" s="55">
        <v>4365</v>
      </c>
      <c r="K178" s="55">
        <v>4250</v>
      </c>
      <c r="L178" s="55">
        <v>4170</v>
      </c>
      <c r="M178" s="55">
        <v>4105</v>
      </c>
      <c r="N178" s="69" t="s">
        <v>264</v>
      </c>
      <c r="O178" s="129">
        <v>45107</v>
      </c>
      <c r="P178" s="129">
        <v>45165</v>
      </c>
      <c r="Q178" s="129">
        <v>45450</v>
      </c>
      <c r="R178" s="129">
        <v>46040</v>
      </c>
      <c r="S178" s="129">
        <v>46002</v>
      </c>
      <c r="T178" s="129">
        <v>45943</v>
      </c>
      <c r="U178" s="129">
        <v>45800</v>
      </c>
      <c r="V178" s="129">
        <v>45900</v>
      </c>
      <c r="W178" s="130"/>
      <c r="X178" s="130"/>
      <c r="Y178" s="129"/>
      <c r="Z178" s="129"/>
      <c r="AA178" s="129"/>
    </row>
    <row r="179" spans="1:27" x14ac:dyDescent="0.25">
      <c r="A179" t="s">
        <v>522</v>
      </c>
      <c r="B179" s="75" t="s">
        <v>412</v>
      </c>
      <c r="C179" s="59">
        <f t="shared" si="10"/>
        <v>-9.5617314047348172E-3</v>
      </c>
      <c r="D179" t="s">
        <v>116</v>
      </c>
      <c r="E179" s="59">
        <f t="shared" si="9"/>
        <v>2.8077753779697623E-2</v>
      </c>
      <c r="F179" s="129">
        <v>18459</v>
      </c>
      <c r="G179" s="129"/>
      <c r="H179" s="129">
        <v>1500</v>
      </c>
      <c r="I179" s="55">
        <v>1470</v>
      </c>
      <c r="J179" s="55">
        <v>1425</v>
      </c>
      <c r="K179" s="55">
        <v>1410</v>
      </c>
      <c r="L179" s="55">
        <v>1335</v>
      </c>
      <c r="M179" s="55">
        <v>1305</v>
      </c>
      <c r="N179" s="69" t="s">
        <v>412</v>
      </c>
      <c r="O179" s="129">
        <v>18837</v>
      </c>
      <c r="P179" s="129">
        <v>18661</v>
      </c>
      <c r="Q179" s="129">
        <v>18582</v>
      </c>
      <c r="R179" s="129">
        <v>18600</v>
      </c>
      <c r="S179" s="129">
        <v>18576</v>
      </c>
      <c r="T179" s="129">
        <v>18459</v>
      </c>
      <c r="U179" s="129">
        <v>17600</v>
      </c>
      <c r="V179" s="129">
        <v>17400</v>
      </c>
      <c r="W179" s="130"/>
      <c r="X179" s="130"/>
      <c r="Y179" s="129"/>
      <c r="Z179" s="129"/>
      <c r="AA179" s="129"/>
    </row>
    <row r="180" spans="1:27" x14ac:dyDescent="0.25">
      <c r="A180" t="s">
        <v>513</v>
      </c>
      <c r="B180" s="75" t="s">
        <v>581</v>
      </c>
      <c r="C180" s="59">
        <f t="shared" si="10"/>
        <v>-2.3535153175277858E-3</v>
      </c>
      <c r="D180" t="s">
        <v>465</v>
      </c>
      <c r="E180" s="59">
        <f t="shared" si="9"/>
        <v>2.6499865482916329E-2</v>
      </c>
      <c r="F180" s="129">
        <v>84696</v>
      </c>
      <c r="G180" s="129"/>
      <c r="H180" s="129">
        <v>8105</v>
      </c>
      <c r="I180" s="55">
        <v>7780</v>
      </c>
      <c r="J180" s="55">
        <v>7620</v>
      </c>
      <c r="K180" s="55">
        <v>7425</v>
      </c>
      <c r="L180" s="55">
        <v>7225</v>
      </c>
      <c r="M180" s="55">
        <v>7120</v>
      </c>
      <c r="N180" s="69" t="s">
        <v>546</v>
      </c>
      <c r="O180" s="129">
        <v>81163</v>
      </c>
      <c r="P180" s="129">
        <v>81647</v>
      </c>
      <c r="Q180" s="129">
        <v>82608</v>
      </c>
      <c r="R180" s="129">
        <v>83710</v>
      </c>
      <c r="S180" s="129">
        <v>84304</v>
      </c>
      <c r="T180" s="129">
        <v>84696</v>
      </c>
      <c r="U180" s="129">
        <v>83100</v>
      </c>
      <c r="V180" s="129">
        <v>83500</v>
      </c>
      <c r="W180" s="130"/>
      <c r="X180" s="130"/>
      <c r="Y180" s="129"/>
      <c r="Z180" s="129"/>
      <c r="AA180" s="129"/>
    </row>
    <row r="181" spans="1:27" x14ac:dyDescent="0.25">
      <c r="A181" t="s">
        <v>512</v>
      </c>
      <c r="B181" s="75" t="s">
        <v>110</v>
      </c>
      <c r="C181" s="59">
        <f t="shared" si="10"/>
        <v>-1.3227513227513227E-3</v>
      </c>
      <c r="D181" t="s">
        <v>439</v>
      </c>
      <c r="E181" s="59">
        <f t="shared" si="9"/>
        <v>2.10016155088853E-2</v>
      </c>
      <c r="F181" s="129">
        <v>36288</v>
      </c>
      <c r="G181" s="129"/>
      <c r="H181" s="129">
        <v>2645</v>
      </c>
      <c r="I181" s="55">
        <v>2555</v>
      </c>
      <c r="J181" s="55">
        <v>2550</v>
      </c>
      <c r="K181" s="55">
        <v>2460</v>
      </c>
      <c r="L181" s="55">
        <v>2430</v>
      </c>
      <c r="M181" s="55">
        <v>2385</v>
      </c>
      <c r="N181" s="69" t="s">
        <v>110</v>
      </c>
      <c r="O181" s="129">
        <v>33888</v>
      </c>
      <c r="P181" s="129">
        <v>34386</v>
      </c>
      <c r="Q181" s="129">
        <v>34764</v>
      </c>
      <c r="R181" s="129">
        <v>35473</v>
      </c>
      <c r="S181" s="129">
        <v>35810</v>
      </c>
      <c r="T181" s="129">
        <v>36288</v>
      </c>
      <c r="U181" s="129">
        <v>35700</v>
      </c>
      <c r="V181" s="129">
        <v>36000</v>
      </c>
      <c r="W181" s="130"/>
      <c r="X181" s="130"/>
      <c r="Y181" s="129"/>
      <c r="Z181" s="129"/>
      <c r="AA181" s="129"/>
    </row>
    <row r="182" spans="1:27" x14ac:dyDescent="0.25">
      <c r="A182" t="s">
        <v>524</v>
      </c>
      <c r="B182" s="75" t="s">
        <v>725</v>
      </c>
      <c r="C182" s="59">
        <f t="shared" si="10"/>
        <v>2.7674234722692872E-3</v>
      </c>
      <c r="D182" t="s">
        <v>439</v>
      </c>
      <c r="E182" s="59">
        <f t="shared" si="9"/>
        <v>2.4891101431238332E-2</v>
      </c>
      <c r="F182" s="129">
        <v>50167</v>
      </c>
      <c r="G182" s="129"/>
      <c r="H182" s="129">
        <v>3465</v>
      </c>
      <c r="I182" s="55">
        <v>3350</v>
      </c>
      <c r="J182" s="55">
        <v>3310</v>
      </c>
      <c r="K182" s="55">
        <v>3210</v>
      </c>
      <c r="L182" s="55">
        <v>3135</v>
      </c>
      <c r="M182" s="55">
        <v>3065</v>
      </c>
      <c r="N182" s="69" t="s">
        <v>332</v>
      </c>
      <c r="O182" s="129">
        <v>48785</v>
      </c>
      <c r="P182" s="129">
        <v>48964</v>
      </c>
      <c r="Q182" s="129">
        <v>49177</v>
      </c>
      <c r="R182" s="129">
        <v>49965</v>
      </c>
      <c r="S182" s="129">
        <v>50004</v>
      </c>
      <c r="T182" s="129">
        <v>50167</v>
      </c>
      <c r="U182" s="129">
        <v>50800</v>
      </c>
      <c r="V182" s="129">
        <v>51000</v>
      </c>
      <c r="W182" s="130"/>
      <c r="X182" s="130"/>
      <c r="Y182" s="129"/>
      <c r="Z182" s="129"/>
      <c r="AA182" s="129"/>
    </row>
    <row r="183" spans="1:27" x14ac:dyDescent="0.25">
      <c r="A183" t="s">
        <v>512</v>
      </c>
      <c r="B183" s="75" t="s">
        <v>306</v>
      </c>
      <c r="C183" s="59">
        <f t="shared" si="10"/>
        <v>4.1018775958534997E-3</v>
      </c>
      <c r="D183" t="s">
        <v>465</v>
      </c>
      <c r="E183" s="59">
        <f t="shared" si="9"/>
        <v>4.0170419963481439E-2</v>
      </c>
      <c r="F183" s="129">
        <v>19422</v>
      </c>
      <c r="G183" s="129"/>
      <c r="H183" s="129">
        <v>1865</v>
      </c>
      <c r="I183" s="55">
        <v>1750</v>
      </c>
      <c r="J183" s="55">
        <v>1705</v>
      </c>
      <c r="K183" s="55">
        <v>1645</v>
      </c>
      <c r="L183" s="55">
        <v>1580</v>
      </c>
      <c r="M183" s="55">
        <v>1535</v>
      </c>
      <c r="N183" s="69" t="s">
        <v>306</v>
      </c>
      <c r="O183" s="129">
        <v>19349</v>
      </c>
      <c r="P183" s="129">
        <v>19414</v>
      </c>
      <c r="Q183" s="129">
        <v>19480</v>
      </c>
      <c r="R183" s="129">
        <v>19468</v>
      </c>
      <c r="S183" s="129">
        <v>19377</v>
      </c>
      <c r="T183" s="129">
        <v>19422</v>
      </c>
      <c r="U183" s="129">
        <v>19800</v>
      </c>
      <c r="V183" s="129">
        <v>19900</v>
      </c>
      <c r="W183" s="130"/>
      <c r="X183" s="130"/>
      <c r="Y183" s="129"/>
      <c r="Z183" s="129"/>
      <c r="AA183" s="129"/>
    </row>
    <row r="184" spans="1:27" x14ac:dyDescent="0.25">
      <c r="A184" t="s">
        <v>517</v>
      </c>
      <c r="B184" s="75" t="s">
        <v>111</v>
      </c>
      <c r="C184" s="59">
        <f t="shared" si="10"/>
        <v>-6.9613865945543441E-3</v>
      </c>
      <c r="D184" t="s">
        <v>116</v>
      </c>
      <c r="E184" s="59">
        <f t="shared" si="9"/>
        <v>2.3731288791529755E-2</v>
      </c>
      <c r="F184" s="129">
        <v>34021</v>
      </c>
      <c r="G184" s="129"/>
      <c r="H184" s="129">
        <v>2940</v>
      </c>
      <c r="I184" s="55">
        <v>2865</v>
      </c>
      <c r="J184" s="55">
        <v>2815</v>
      </c>
      <c r="K184" s="55">
        <v>2735</v>
      </c>
      <c r="L184" s="55">
        <v>2665</v>
      </c>
      <c r="M184" s="55">
        <v>2615</v>
      </c>
      <c r="N184" s="69" t="s">
        <v>111</v>
      </c>
      <c r="O184" s="129">
        <v>33127</v>
      </c>
      <c r="P184" s="129">
        <v>33381</v>
      </c>
      <c r="Q184" s="129">
        <v>33672</v>
      </c>
      <c r="R184" s="129">
        <v>33987</v>
      </c>
      <c r="S184" s="129">
        <v>34092</v>
      </c>
      <c r="T184" s="129">
        <v>34021</v>
      </c>
      <c r="U184" s="129">
        <v>32700.000000000004</v>
      </c>
      <c r="V184" s="129">
        <v>32600</v>
      </c>
      <c r="W184" s="130"/>
      <c r="X184" s="130"/>
      <c r="Y184" s="129"/>
      <c r="Z184" s="129"/>
      <c r="AA184" s="129"/>
    </row>
    <row r="185" spans="1:27" x14ac:dyDescent="0.25">
      <c r="A185" t="s">
        <v>521</v>
      </c>
      <c r="B185" s="75" t="s">
        <v>595</v>
      </c>
      <c r="C185" s="59">
        <f t="shared" si="10"/>
        <v>-5.0890170647722704E-3</v>
      </c>
      <c r="D185" t="s">
        <v>439</v>
      </c>
      <c r="E185" s="59">
        <f t="shared" si="9"/>
        <v>2.1227621483375959E-2</v>
      </c>
      <c r="F185" s="129">
        <v>61374</v>
      </c>
      <c r="G185" s="129"/>
      <c r="H185" s="129">
        <v>4145</v>
      </c>
      <c r="I185" s="55">
        <v>4095</v>
      </c>
      <c r="J185" s="55">
        <v>4055</v>
      </c>
      <c r="K185" s="55">
        <v>3895</v>
      </c>
      <c r="L185" s="55">
        <v>3775</v>
      </c>
      <c r="M185" s="55">
        <v>3730</v>
      </c>
      <c r="N185" s="69" t="s">
        <v>595</v>
      </c>
      <c r="O185" s="129">
        <v>60873</v>
      </c>
      <c r="P185" s="129">
        <v>60726</v>
      </c>
      <c r="Q185" s="129">
        <v>60890</v>
      </c>
      <c r="R185" s="129">
        <v>61554</v>
      </c>
      <c r="S185" s="129">
        <v>61433</v>
      </c>
      <c r="T185" s="129">
        <v>61374</v>
      </c>
      <c r="U185" s="129">
        <v>59800</v>
      </c>
      <c r="V185" s="129">
        <v>59500</v>
      </c>
      <c r="W185" s="130"/>
      <c r="X185" s="130"/>
      <c r="Y185" s="129"/>
      <c r="Z185" s="129"/>
      <c r="AA185" s="129"/>
    </row>
    <row r="186" spans="1:27" x14ac:dyDescent="0.25">
      <c r="A186" t="s">
        <v>513</v>
      </c>
      <c r="B186" s="75" t="s">
        <v>377</v>
      </c>
      <c r="C186" s="59">
        <f t="shared" si="10"/>
        <v>-3.8058908571528102E-3</v>
      </c>
      <c r="D186" t="s">
        <v>465</v>
      </c>
      <c r="E186" s="59">
        <f t="shared" si="9"/>
        <v>1.7064846416382253E-2</v>
      </c>
      <c r="F186" s="129">
        <v>38274</v>
      </c>
      <c r="G186" s="129"/>
      <c r="H186" s="129">
        <v>3690</v>
      </c>
      <c r="I186" s="55">
        <v>3585</v>
      </c>
      <c r="J186" s="55">
        <v>3565</v>
      </c>
      <c r="K186" s="55">
        <v>3560</v>
      </c>
      <c r="L186" s="55">
        <v>3480</v>
      </c>
      <c r="M186" s="55">
        <v>3390</v>
      </c>
      <c r="N186" s="69" t="s">
        <v>377</v>
      </c>
      <c r="O186" s="129">
        <v>37172</v>
      </c>
      <c r="P186" s="129">
        <v>37185</v>
      </c>
      <c r="Q186" s="129">
        <v>37314</v>
      </c>
      <c r="R186" s="129">
        <v>37712</v>
      </c>
      <c r="S186" s="129">
        <v>38091</v>
      </c>
      <c r="T186" s="129">
        <v>38274</v>
      </c>
      <c r="U186" s="129">
        <v>37300</v>
      </c>
      <c r="V186" s="129">
        <v>37400</v>
      </c>
      <c r="W186" s="130"/>
      <c r="X186" s="130"/>
      <c r="Y186" s="129"/>
      <c r="Z186" s="129"/>
      <c r="AA186" s="129"/>
    </row>
    <row r="187" spans="1:27" x14ac:dyDescent="0.25">
      <c r="A187" t="s">
        <v>517</v>
      </c>
      <c r="B187" s="75" t="s">
        <v>596</v>
      </c>
      <c r="C187" s="59">
        <f t="shared" si="10"/>
        <v>-7.2473350524173696E-3</v>
      </c>
      <c r="D187" t="s">
        <v>465</v>
      </c>
      <c r="E187" s="59">
        <f t="shared" si="9"/>
        <v>2.4835276229092752E-2</v>
      </c>
      <c r="F187" s="130">
        <v>45373</v>
      </c>
      <c r="H187" s="129">
        <v>4280</v>
      </c>
      <c r="I187" s="55">
        <v>4110</v>
      </c>
      <c r="J187" s="55">
        <v>4030</v>
      </c>
      <c r="K187" s="55">
        <v>3945</v>
      </c>
      <c r="L187" s="55">
        <v>3855</v>
      </c>
      <c r="M187" s="55">
        <v>3790</v>
      </c>
      <c r="N187" s="69" t="s">
        <v>596</v>
      </c>
      <c r="O187" s="130">
        <v>43901</v>
      </c>
      <c r="P187" s="129">
        <v>44130</v>
      </c>
      <c r="Q187" s="129">
        <v>44644</v>
      </c>
      <c r="R187" s="129">
        <v>45159</v>
      </c>
      <c r="S187" s="129">
        <v>45271</v>
      </c>
      <c r="T187" s="129">
        <v>45373</v>
      </c>
      <c r="U187" s="129">
        <v>43600</v>
      </c>
      <c r="V187" s="129">
        <v>43400</v>
      </c>
      <c r="W187" s="130"/>
      <c r="X187" s="130"/>
      <c r="Y187" s="129"/>
      <c r="Z187" s="129"/>
      <c r="AA187" s="129"/>
    </row>
    <row r="188" spans="1:27" x14ac:dyDescent="0.25">
      <c r="A188" t="s">
        <v>515</v>
      </c>
      <c r="B188" s="75" t="s">
        <v>188</v>
      </c>
      <c r="C188" s="59">
        <f t="shared" si="10"/>
        <v>-2.2255861310843199E-3</v>
      </c>
      <c r="D188" t="s">
        <v>116</v>
      </c>
      <c r="E188" s="59">
        <f t="shared" ref="E188:E251" si="11">SUM(H188,-M188)/(SUM(I188,J188,K188,L188,M188))</f>
        <v>2.8373954165150966E-2</v>
      </c>
      <c r="F188" s="129">
        <v>36994</v>
      </c>
      <c r="G188" s="129"/>
      <c r="H188" s="129">
        <v>2980</v>
      </c>
      <c r="I188" s="55">
        <v>2885</v>
      </c>
      <c r="J188" s="55">
        <v>2820</v>
      </c>
      <c r="K188" s="55">
        <v>2785</v>
      </c>
      <c r="L188" s="55">
        <v>2665</v>
      </c>
      <c r="M188" s="55">
        <v>2590</v>
      </c>
      <c r="N188" s="69" t="s">
        <v>188</v>
      </c>
      <c r="O188" s="129">
        <v>36072</v>
      </c>
      <c r="P188" s="129">
        <v>36031</v>
      </c>
      <c r="Q188" s="129">
        <v>36349</v>
      </c>
      <c r="R188" s="129">
        <v>36883</v>
      </c>
      <c r="S188" s="129">
        <v>36873</v>
      </c>
      <c r="T188" s="129">
        <v>36994</v>
      </c>
      <c r="U188" s="129">
        <v>36300</v>
      </c>
      <c r="V188" s="129">
        <v>36500</v>
      </c>
      <c r="W188" s="130"/>
      <c r="X188" s="130"/>
      <c r="Y188" s="129"/>
      <c r="Z188" s="129"/>
      <c r="AA188" s="129"/>
    </row>
    <row r="189" spans="1:27" x14ac:dyDescent="0.25">
      <c r="A189" t="s">
        <v>520</v>
      </c>
      <c r="B189" s="75" t="s">
        <v>436</v>
      </c>
      <c r="C189" s="59">
        <f t="shared" si="10"/>
        <v>-4.5842707501753876E-3</v>
      </c>
      <c r="D189" t="s">
        <v>465</v>
      </c>
      <c r="E189" s="59">
        <f t="shared" si="11"/>
        <v>3.005259203606311E-2</v>
      </c>
      <c r="F189" s="129">
        <v>13779</v>
      </c>
      <c r="G189" s="129"/>
      <c r="H189" s="129">
        <v>1445</v>
      </c>
      <c r="I189" s="55">
        <v>1390</v>
      </c>
      <c r="J189" s="55">
        <v>1380</v>
      </c>
      <c r="K189" s="55">
        <v>1335</v>
      </c>
      <c r="L189" s="55">
        <v>1305</v>
      </c>
      <c r="M189" s="55">
        <v>1245</v>
      </c>
      <c r="N189" s="69" t="s">
        <v>436</v>
      </c>
      <c r="O189" s="129">
        <v>13931</v>
      </c>
      <c r="P189" s="129">
        <v>13896</v>
      </c>
      <c r="Q189" s="129">
        <v>13814</v>
      </c>
      <c r="R189" s="129">
        <v>13922</v>
      </c>
      <c r="S189" s="129">
        <v>13868</v>
      </c>
      <c r="T189" s="129">
        <v>13779</v>
      </c>
      <c r="U189" s="129">
        <v>13500</v>
      </c>
      <c r="V189" s="129">
        <v>13400</v>
      </c>
      <c r="W189" s="130"/>
      <c r="X189" s="130"/>
      <c r="Y189" s="129"/>
      <c r="Z189" s="129"/>
      <c r="AA189" s="129"/>
    </row>
    <row r="190" spans="1:27" x14ac:dyDescent="0.25">
      <c r="A190" t="s">
        <v>522</v>
      </c>
      <c r="B190" s="75" t="s">
        <v>413</v>
      </c>
      <c r="C190" s="59">
        <f t="shared" si="10"/>
        <v>-6.1705541157595955E-5</v>
      </c>
      <c r="D190" t="s">
        <v>465</v>
      </c>
      <c r="E190" s="59">
        <f t="shared" si="11"/>
        <v>2.8213166144200628E-2</v>
      </c>
      <c r="F190" s="129">
        <v>8103</v>
      </c>
      <c r="G190" s="129"/>
      <c r="H190" s="129">
        <v>695</v>
      </c>
      <c r="I190" s="55">
        <v>670</v>
      </c>
      <c r="J190" s="55">
        <v>660</v>
      </c>
      <c r="K190" s="55">
        <v>650</v>
      </c>
      <c r="L190" s="55">
        <v>605</v>
      </c>
      <c r="M190" s="55">
        <v>605</v>
      </c>
      <c r="N190" s="69" t="s">
        <v>413</v>
      </c>
      <c r="O190" s="129">
        <v>7843</v>
      </c>
      <c r="P190" s="129">
        <v>7909</v>
      </c>
      <c r="Q190" s="129">
        <v>7985</v>
      </c>
      <c r="R190" s="129">
        <v>8045</v>
      </c>
      <c r="S190" s="129">
        <v>8153</v>
      </c>
      <c r="T190" s="129">
        <v>8103</v>
      </c>
      <c r="U190" s="129">
        <v>8000</v>
      </c>
      <c r="V190" s="129">
        <v>8100</v>
      </c>
      <c r="W190" s="130"/>
      <c r="X190" s="130"/>
      <c r="Y190" s="129"/>
      <c r="Z190" s="129"/>
      <c r="AA190" s="129"/>
    </row>
    <row r="191" spans="1:27" x14ac:dyDescent="0.25">
      <c r="A191" t="s">
        <v>515</v>
      </c>
      <c r="B191" s="75" t="s">
        <v>189</v>
      </c>
      <c r="C191" s="59">
        <f t="shared" si="10"/>
        <v>-1.2919896640826874E-3</v>
      </c>
      <c r="D191" t="s">
        <v>465</v>
      </c>
      <c r="E191" s="59">
        <f t="shared" si="11"/>
        <v>2.6244343891402715E-2</v>
      </c>
      <c r="F191" s="129">
        <v>25800</v>
      </c>
      <c r="G191" s="129"/>
      <c r="H191" s="129">
        <v>2380</v>
      </c>
      <c r="I191" s="55">
        <v>2320</v>
      </c>
      <c r="J191" s="55">
        <v>2305</v>
      </c>
      <c r="K191" s="55">
        <v>2190</v>
      </c>
      <c r="L191" s="55">
        <v>2145</v>
      </c>
      <c r="M191" s="55">
        <v>2090</v>
      </c>
      <c r="N191" s="69" t="s">
        <v>189</v>
      </c>
      <c r="O191" s="129">
        <v>24315</v>
      </c>
      <c r="P191" s="129">
        <v>24648</v>
      </c>
      <c r="Q191" s="129">
        <v>25033</v>
      </c>
      <c r="R191" s="129">
        <v>25457</v>
      </c>
      <c r="S191" s="129">
        <v>25708</v>
      </c>
      <c r="T191" s="129">
        <v>25800</v>
      </c>
      <c r="U191" s="129">
        <v>25400</v>
      </c>
      <c r="V191" s="129">
        <v>25600</v>
      </c>
      <c r="W191" s="130"/>
      <c r="X191" s="130"/>
      <c r="Y191" s="129"/>
      <c r="Z191" s="129"/>
      <c r="AA191" s="129"/>
    </row>
    <row r="192" spans="1:27" x14ac:dyDescent="0.25">
      <c r="A192" t="s">
        <v>522</v>
      </c>
      <c r="B192" s="75" t="s">
        <v>414</v>
      </c>
      <c r="C192" s="59">
        <f t="shared" si="10"/>
        <v>-1.1037527593818985E-3</v>
      </c>
      <c r="D192" t="s">
        <v>465</v>
      </c>
      <c r="E192" s="59">
        <f t="shared" si="11"/>
        <v>2.6604973973395025E-2</v>
      </c>
      <c r="F192" s="129">
        <v>17516</v>
      </c>
      <c r="G192" s="129"/>
      <c r="H192" s="129">
        <v>1860</v>
      </c>
      <c r="I192" s="55">
        <v>1790</v>
      </c>
      <c r="J192" s="55">
        <v>1775</v>
      </c>
      <c r="K192" s="55">
        <v>1750</v>
      </c>
      <c r="L192" s="55">
        <v>1700</v>
      </c>
      <c r="M192" s="55">
        <v>1630</v>
      </c>
      <c r="N192" s="69" t="s">
        <v>414</v>
      </c>
      <c r="O192" s="129">
        <v>17024</v>
      </c>
      <c r="P192" s="129">
        <v>17171</v>
      </c>
      <c r="Q192" s="129">
        <v>17322</v>
      </c>
      <c r="R192" s="129">
        <v>17501</v>
      </c>
      <c r="S192" s="129">
        <v>17492</v>
      </c>
      <c r="T192" s="129">
        <v>17516</v>
      </c>
      <c r="U192" s="129">
        <v>17300</v>
      </c>
      <c r="V192" s="129">
        <v>17400</v>
      </c>
      <c r="W192" s="130"/>
      <c r="X192" s="130"/>
      <c r="Y192" s="129"/>
      <c r="Z192" s="129"/>
      <c r="AA192" s="129"/>
    </row>
    <row r="193" spans="1:27" x14ac:dyDescent="0.25">
      <c r="A193" t="s">
        <v>520</v>
      </c>
      <c r="B193" s="75" t="s">
        <v>223</v>
      </c>
      <c r="C193" s="59">
        <f t="shared" si="10"/>
        <v>1.735330836454432E-2</v>
      </c>
      <c r="D193" t="s">
        <v>116</v>
      </c>
      <c r="E193" s="59">
        <f t="shared" si="11"/>
        <v>3.239556692242114E-2</v>
      </c>
      <c r="F193" s="129">
        <v>66750</v>
      </c>
      <c r="G193" s="129"/>
      <c r="H193" s="129">
        <v>5195</v>
      </c>
      <c r="I193" s="55">
        <v>4990</v>
      </c>
      <c r="J193" s="55">
        <v>4890</v>
      </c>
      <c r="K193" s="55">
        <v>4720</v>
      </c>
      <c r="L193" s="55">
        <v>4425</v>
      </c>
      <c r="M193" s="55">
        <v>4435</v>
      </c>
      <c r="N193" s="69" t="s">
        <v>223</v>
      </c>
      <c r="O193" s="129">
        <v>63499</v>
      </c>
      <c r="P193" s="129">
        <v>63866</v>
      </c>
      <c r="Q193" s="129">
        <v>64538</v>
      </c>
      <c r="R193" s="129">
        <v>65437</v>
      </c>
      <c r="S193" s="129">
        <v>65971</v>
      </c>
      <c r="T193" s="129">
        <v>66750</v>
      </c>
      <c r="U193" s="129">
        <v>72500</v>
      </c>
      <c r="V193" s="129">
        <v>73700</v>
      </c>
      <c r="W193" s="130"/>
      <c r="X193" s="130"/>
      <c r="Y193" s="129"/>
      <c r="Z193" s="129"/>
      <c r="AA193" s="129"/>
    </row>
    <row r="194" spans="1:27" x14ac:dyDescent="0.25">
      <c r="A194" t="s">
        <v>520</v>
      </c>
      <c r="B194" s="75" t="s">
        <v>307</v>
      </c>
      <c r="C194" s="59">
        <f t="shared" si="10"/>
        <v>-1.2981149113895473E-3</v>
      </c>
      <c r="D194" t="s">
        <v>465</v>
      </c>
      <c r="E194" s="59">
        <f t="shared" si="11"/>
        <v>3.9223010833022043E-2</v>
      </c>
      <c r="F194" s="129">
        <v>29530</v>
      </c>
      <c r="G194" s="129"/>
      <c r="H194" s="129">
        <v>3030</v>
      </c>
      <c r="I194" s="55">
        <v>2915</v>
      </c>
      <c r="J194" s="55">
        <v>2800</v>
      </c>
      <c r="K194" s="55">
        <v>2640</v>
      </c>
      <c r="L194" s="55">
        <v>2525</v>
      </c>
      <c r="M194" s="55">
        <v>2505</v>
      </c>
      <c r="N194" s="69" t="s">
        <v>307</v>
      </c>
      <c r="O194" s="129">
        <v>28776</v>
      </c>
      <c r="P194" s="129">
        <v>29151</v>
      </c>
      <c r="Q194" s="129">
        <v>29303</v>
      </c>
      <c r="R194" s="129">
        <v>29460</v>
      </c>
      <c r="S194" s="129">
        <v>29501</v>
      </c>
      <c r="T194" s="129">
        <v>29530</v>
      </c>
      <c r="U194" s="129">
        <v>29400</v>
      </c>
      <c r="V194" s="129">
        <v>29300</v>
      </c>
      <c r="W194" s="130"/>
      <c r="X194" s="130"/>
      <c r="Y194" s="129"/>
      <c r="Z194" s="129"/>
      <c r="AA194" s="129"/>
    </row>
    <row r="195" spans="1:27" x14ac:dyDescent="0.25">
      <c r="A195" t="s">
        <v>515</v>
      </c>
      <c r="B195" s="75" t="s">
        <v>190</v>
      </c>
      <c r="C195" s="59">
        <f t="shared" ref="C195:C258" si="12">(SUM(V195,-T195)/6)/T195</f>
        <v>-1.1846181884454163E-3</v>
      </c>
      <c r="D195" t="s">
        <v>465</v>
      </c>
      <c r="E195" s="59">
        <f t="shared" si="11"/>
        <v>3.0757689422355589E-2</v>
      </c>
      <c r="F195" s="129">
        <v>45725</v>
      </c>
      <c r="G195" s="129"/>
      <c r="H195" s="129">
        <v>4395</v>
      </c>
      <c r="I195" s="55">
        <v>4235</v>
      </c>
      <c r="J195" s="55">
        <v>4115</v>
      </c>
      <c r="K195" s="55">
        <v>3995</v>
      </c>
      <c r="L195" s="55">
        <v>3870</v>
      </c>
      <c r="M195" s="55">
        <v>3780</v>
      </c>
      <c r="N195" s="69" t="s">
        <v>190</v>
      </c>
      <c r="O195" s="129">
        <v>43175</v>
      </c>
      <c r="P195" s="129">
        <v>43600</v>
      </c>
      <c r="Q195" s="129">
        <v>44317</v>
      </c>
      <c r="R195" s="129">
        <v>44987</v>
      </c>
      <c r="S195" s="129">
        <v>45361</v>
      </c>
      <c r="T195" s="129">
        <v>45725</v>
      </c>
      <c r="U195" s="129">
        <v>45200</v>
      </c>
      <c r="V195" s="129">
        <v>45400</v>
      </c>
      <c r="W195" s="130"/>
      <c r="X195" s="130"/>
      <c r="Y195" s="129"/>
      <c r="Z195" s="129"/>
      <c r="AA195" s="129"/>
    </row>
    <row r="196" spans="1:27" x14ac:dyDescent="0.25">
      <c r="A196" t="s">
        <v>515</v>
      </c>
      <c r="B196" s="75" t="s">
        <v>191</v>
      </c>
      <c r="C196" s="59">
        <f t="shared" si="12"/>
        <v>1.2540061346555121E-2</v>
      </c>
      <c r="D196" t="s">
        <v>439</v>
      </c>
      <c r="E196" s="59">
        <f t="shared" si="11"/>
        <v>4.3809360828270728E-2</v>
      </c>
      <c r="F196" s="129">
        <v>188981</v>
      </c>
      <c r="G196" s="129"/>
      <c r="H196" s="129">
        <v>13390</v>
      </c>
      <c r="I196" s="55">
        <v>12620</v>
      </c>
      <c r="J196" s="55">
        <v>12180</v>
      </c>
      <c r="K196" s="55">
        <v>11730</v>
      </c>
      <c r="L196" s="55">
        <v>11075</v>
      </c>
      <c r="M196" s="55">
        <v>10830</v>
      </c>
      <c r="N196" s="69" t="s">
        <v>191</v>
      </c>
      <c r="O196" s="129">
        <v>177824</v>
      </c>
      <c r="P196" s="129">
        <v>177359</v>
      </c>
      <c r="Q196" s="129">
        <v>179081</v>
      </c>
      <c r="R196" s="129">
        <v>182465</v>
      </c>
      <c r="S196" s="129">
        <v>187049</v>
      </c>
      <c r="T196" s="129">
        <v>188981</v>
      </c>
      <c r="U196" s="129">
        <v>199000</v>
      </c>
      <c r="V196" s="129">
        <v>203200</v>
      </c>
      <c r="W196" s="130"/>
      <c r="X196" s="130"/>
      <c r="Y196" s="129"/>
      <c r="Z196" s="129"/>
      <c r="AA196" s="129"/>
    </row>
    <row r="197" spans="1:27" x14ac:dyDescent="0.25">
      <c r="A197" t="s">
        <v>517</v>
      </c>
      <c r="B197" s="75" t="s">
        <v>475</v>
      </c>
      <c r="C197" s="59">
        <f t="shared" si="12"/>
        <v>-8.5828004451738251E-4</v>
      </c>
      <c r="D197" t="s">
        <v>116</v>
      </c>
      <c r="E197" s="59">
        <f t="shared" si="11"/>
        <v>2.0790960451977401E-2</v>
      </c>
      <c r="F197" s="129">
        <v>88355</v>
      </c>
      <c r="G197" s="129"/>
      <c r="H197" s="129">
        <v>4660</v>
      </c>
      <c r="I197" s="55">
        <v>4605</v>
      </c>
      <c r="J197" s="55">
        <v>4555</v>
      </c>
      <c r="K197" s="55">
        <v>4465</v>
      </c>
      <c r="L197" s="55">
        <v>4300</v>
      </c>
      <c r="M197" s="55">
        <v>4200</v>
      </c>
      <c r="N197" s="69" t="s">
        <v>475</v>
      </c>
      <c r="O197" s="129">
        <v>85256</v>
      </c>
      <c r="P197" s="129">
        <v>85440</v>
      </c>
      <c r="Q197" s="129">
        <v>86340</v>
      </c>
      <c r="R197" s="129">
        <v>86848</v>
      </c>
      <c r="S197" s="129">
        <v>87639</v>
      </c>
      <c r="T197" s="129">
        <v>88355</v>
      </c>
      <c r="U197" s="129">
        <v>87500</v>
      </c>
      <c r="V197" s="129">
        <v>87900</v>
      </c>
      <c r="W197" s="130"/>
      <c r="X197" s="130"/>
      <c r="Y197" s="129"/>
      <c r="Z197" s="129"/>
      <c r="AA197" s="129"/>
    </row>
    <row r="198" spans="1:27" x14ac:dyDescent="0.25">
      <c r="A198" t="s">
        <v>516</v>
      </c>
      <c r="B198" s="75" t="s">
        <v>597</v>
      </c>
      <c r="C198" s="59">
        <f t="shared" si="12"/>
        <v>-4.9954586739327884E-3</v>
      </c>
      <c r="D198" t="s">
        <v>116</v>
      </c>
      <c r="E198" s="59">
        <f t="shared" si="11"/>
        <v>2.4655963302752295E-2</v>
      </c>
      <c r="F198" s="129">
        <v>45875</v>
      </c>
      <c r="G198" s="129"/>
      <c r="H198" s="129">
        <v>3750</v>
      </c>
      <c r="I198" s="55">
        <v>3650</v>
      </c>
      <c r="J198" s="55">
        <v>3575</v>
      </c>
      <c r="K198" s="55">
        <v>3495</v>
      </c>
      <c r="L198" s="55">
        <v>3400</v>
      </c>
      <c r="M198" s="55">
        <v>3320</v>
      </c>
      <c r="N198" s="69" t="s">
        <v>597</v>
      </c>
      <c r="O198" s="129">
        <v>45253</v>
      </c>
      <c r="P198" s="129">
        <v>45481</v>
      </c>
      <c r="Q198" s="129">
        <v>45585</v>
      </c>
      <c r="R198" s="129">
        <v>45814</v>
      </c>
      <c r="S198" s="129">
        <v>45866</v>
      </c>
      <c r="T198" s="129">
        <v>45875</v>
      </c>
      <c r="U198" s="129">
        <v>44700</v>
      </c>
      <c r="V198" s="129">
        <v>44500</v>
      </c>
      <c r="W198" s="130"/>
      <c r="X198" s="130"/>
      <c r="Y198" s="129"/>
      <c r="Z198" s="129"/>
      <c r="AA198" s="129"/>
    </row>
    <row r="199" spans="1:27" x14ac:dyDescent="0.25">
      <c r="A199" t="s">
        <v>524</v>
      </c>
      <c r="B199" s="75" t="s">
        <v>333</v>
      </c>
      <c r="C199" s="59">
        <f t="shared" si="12"/>
        <v>-9.2189765900145028E-3</v>
      </c>
      <c r="D199" t="s">
        <v>116</v>
      </c>
      <c r="E199" s="59">
        <f t="shared" si="11"/>
        <v>2.2277227722772276E-2</v>
      </c>
      <c r="F199" s="129">
        <v>8045</v>
      </c>
      <c r="G199" s="129"/>
      <c r="H199" s="129">
        <v>870</v>
      </c>
      <c r="I199" s="55">
        <v>835</v>
      </c>
      <c r="J199" s="55">
        <v>830</v>
      </c>
      <c r="K199" s="55">
        <v>820</v>
      </c>
      <c r="L199" s="55">
        <v>775</v>
      </c>
      <c r="M199" s="55">
        <v>780</v>
      </c>
      <c r="N199" s="69" t="s">
        <v>333</v>
      </c>
      <c r="O199" s="129">
        <v>7401</v>
      </c>
      <c r="P199" s="129">
        <v>7581</v>
      </c>
      <c r="Q199" s="129">
        <v>7664</v>
      </c>
      <c r="R199" s="129">
        <v>7861</v>
      </c>
      <c r="S199" s="129">
        <v>7943</v>
      </c>
      <c r="T199" s="129">
        <v>8045</v>
      </c>
      <c r="U199" s="129">
        <v>7700</v>
      </c>
      <c r="V199" s="129">
        <v>7600</v>
      </c>
      <c r="W199" s="130"/>
      <c r="X199" s="130"/>
      <c r="Y199" s="129"/>
      <c r="Z199" s="129"/>
      <c r="AA199" s="129"/>
    </row>
    <row r="200" spans="1:27" x14ac:dyDescent="0.25">
      <c r="A200" t="s">
        <v>512</v>
      </c>
      <c r="B200" s="75" t="s">
        <v>112</v>
      </c>
      <c r="C200" s="59">
        <f t="shared" si="12"/>
        <v>-1.1918250870787695E-2</v>
      </c>
      <c r="D200" t="s">
        <v>116</v>
      </c>
      <c r="E200" s="59">
        <f t="shared" si="11"/>
        <v>2.3702492848385777E-2</v>
      </c>
      <c r="F200" s="129">
        <v>31772</v>
      </c>
      <c r="G200" s="129"/>
      <c r="H200" s="129">
        <v>2640</v>
      </c>
      <c r="I200" s="55">
        <v>2570</v>
      </c>
      <c r="J200" s="55">
        <v>2540</v>
      </c>
      <c r="K200" s="55">
        <v>2440</v>
      </c>
      <c r="L200" s="55">
        <v>2335</v>
      </c>
      <c r="M200" s="55">
        <v>2350</v>
      </c>
      <c r="N200" s="69" t="s">
        <v>112</v>
      </c>
      <c r="O200" s="129">
        <v>31241</v>
      </c>
      <c r="P200" s="129">
        <v>31214</v>
      </c>
      <c r="Q200" s="129">
        <v>31235</v>
      </c>
      <c r="R200" s="129">
        <v>31597</v>
      </c>
      <c r="S200" s="129">
        <v>31686</v>
      </c>
      <c r="T200" s="129">
        <v>31772</v>
      </c>
      <c r="U200" s="129">
        <v>29700</v>
      </c>
      <c r="V200" s="129">
        <v>29500</v>
      </c>
      <c r="W200" s="130"/>
      <c r="X200" s="130"/>
      <c r="Y200" s="129"/>
      <c r="Z200" s="129"/>
      <c r="AA200" s="129"/>
    </row>
    <row r="201" spans="1:27" x14ac:dyDescent="0.25">
      <c r="A201" t="s">
        <v>519</v>
      </c>
      <c r="B201" s="75" t="s">
        <v>430</v>
      </c>
      <c r="C201" s="59">
        <f t="shared" si="12"/>
        <v>-1.4116620409555865E-2</v>
      </c>
      <c r="D201" t="s">
        <v>116</v>
      </c>
      <c r="E201" s="59">
        <f t="shared" si="11"/>
        <v>1.8738977072310405E-2</v>
      </c>
      <c r="F201" s="129">
        <v>50803</v>
      </c>
      <c r="G201" s="129"/>
      <c r="H201" s="129">
        <v>4800</v>
      </c>
      <c r="I201" s="55">
        <v>4705</v>
      </c>
      <c r="J201" s="55">
        <v>4640</v>
      </c>
      <c r="K201" s="55">
        <v>4530</v>
      </c>
      <c r="L201" s="55">
        <v>4430</v>
      </c>
      <c r="M201" s="55">
        <v>4375</v>
      </c>
      <c r="N201" s="69" t="s">
        <v>430</v>
      </c>
      <c r="O201" s="129">
        <v>47232</v>
      </c>
      <c r="P201" s="129">
        <v>47583</v>
      </c>
      <c r="Q201" s="129">
        <v>48047</v>
      </c>
      <c r="R201" s="129">
        <v>49738</v>
      </c>
      <c r="S201" s="129">
        <v>50035</v>
      </c>
      <c r="T201" s="129">
        <v>50803</v>
      </c>
      <c r="U201" s="129">
        <v>46800</v>
      </c>
      <c r="V201" s="129">
        <v>46500</v>
      </c>
      <c r="W201" s="130"/>
      <c r="X201" s="130"/>
      <c r="Y201" s="129"/>
      <c r="Z201" s="129"/>
      <c r="AA201" s="129"/>
    </row>
    <row r="202" spans="1:27" x14ac:dyDescent="0.25">
      <c r="A202" t="s">
        <v>517</v>
      </c>
      <c r="B202" s="75" t="s">
        <v>308</v>
      </c>
      <c r="C202" s="59">
        <f t="shared" si="12"/>
        <v>1.6468608076147361E-3</v>
      </c>
      <c r="D202" t="s">
        <v>116</v>
      </c>
      <c r="E202" s="59">
        <f t="shared" si="11"/>
        <v>3.6425449247207385E-2</v>
      </c>
      <c r="F202" s="130">
        <v>45946</v>
      </c>
      <c r="H202" s="129">
        <v>4580</v>
      </c>
      <c r="I202" s="55">
        <v>4455</v>
      </c>
      <c r="J202" s="55">
        <v>4305</v>
      </c>
      <c r="K202" s="55">
        <v>4070</v>
      </c>
      <c r="L202" s="55">
        <v>3930</v>
      </c>
      <c r="M202" s="55">
        <v>3830</v>
      </c>
      <c r="N202" s="69" t="s">
        <v>308</v>
      </c>
      <c r="O202" s="130">
        <v>43517</v>
      </c>
      <c r="P202" s="129">
        <v>44062</v>
      </c>
      <c r="Q202" s="129">
        <v>44362</v>
      </c>
      <c r="R202" s="129">
        <v>45186</v>
      </c>
      <c r="S202" s="129">
        <v>45734</v>
      </c>
      <c r="T202" s="129">
        <v>45946</v>
      </c>
      <c r="U202" s="129">
        <v>46100</v>
      </c>
      <c r="V202" s="129">
        <v>46400</v>
      </c>
      <c r="W202" s="130"/>
      <c r="X202" s="130"/>
      <c r="Y202" s="129"/>
      <c r="Z202" s="129"/>
      <c r="AA202" s="129"/>
    </row>
    <row r="203" spans="1:27" x14ac:dyDescent="0.25">
      <c r="A203" t="s">
        <v>513</v>
      </c>
      <c r="B203" s="75" t="s">
        <v>433</v>
      </c>
      <c r="C203" s="59">
        <f t="shared" si="12"/>
        <v>1.0353628916059445E-2</v>
      </c>
      <c r="D203" t="s">
        <v>465</v>
      </c>
      <c r="E203" s="59">
        <f t="shared" si="11"/>
        <v>2.6351658337119492E-2</v>
      </c>
      <c r="F203" s="129">
        <v>24291</v>
      </c>
      <c r="G203" s="129"/>
      <c r="H203" s="129">
        <v>2385</v>
      </c>
      <c r="I203" s="55">
        <v>2285</v>
      </c>
      <c r="J203" s="55">
        <v>2265</v>
      </c>
      <c r="K203" s="55">
        <v>2230</v>
      </c>
      <c r="L203" s="55">
        <v>2130</v>
      </c>
      <c r="M203" s="55">
        <v>2095</v>
      </c>
      <c r="N203" s="69" t="s">
        <v>433</v>
      </c>
      <c r="O203" s="129">
        <v>23376</v>
      </c>
      <c r="P203" s="129">
        <v>23702</v>
      </c>
      <c r="Q203" s="129">
        <v>23827</v>
      </c>
      <c r="R203" s="129">
        <v>24009</v>
      </c>
      <c r="S203" s="129">
        <v>24231</v>
      </c>
      <c r="T203" s="129">
        <v>24291</v>
      </c>
      <c r="U203" s="129">
        <v>25300</v>
      </c>
      <c r="V203" s="129">
        <v>25800</v>
      </c>
      <c r="W203" s="130"/>
      <c r="X203" s="130"/>
      <c r="Y203" s="129"/>
      <c r="Z203" s="129"/>
      <c r="AA203" s="129"/>
    </row>
    <row r="204" spans="1:27" x14ac:dyDescent="0.25">
      <c r="A204" t="s">
        <v>515</v>
      </c>
      <c r="B204" s="75" t="s">
        <v>192</v>
      </c>
      <c r="C204" s="59">
        <f t="shared" si="12"/>
        <v>-5.047068163774527E-3</v>
      </c>
      <c r="D204" t="s">
        <v>465</v>
      </c>
      <c r="E204" s="59">
        <f t="shared" si="11"/>
        <v>3.6206896551724141E-2</v>
      </c>
      <c r="F204" s="129">
        <v>29390</v>
      </c>
      <c r="G204" s="129"/>
      <c r="H204" s="129">
        <v>2585</v>
      </c>
      <c r="I204" s="55">
        <v>2475</v>
      </c>
      <c r="J204" s="55">
        <v>2405</v>
      </c>
      <c r="K204" s="55">
        <v>2315</v>
      </c>
      <c r="L204" s="55">
        <v>2240</v>
      </c>
      <c r="M204" s="55">
        <v>2165</v>
      </c>
      <c r="N204" s="69" t="s">
        <v>192</v>
      </c>
      <c r="O204" s="129">
        <v>27799</v>
      </c>
      <c r="P204" s="129">
        <v>28021</v>
      </c>
      <c r="Q204" s="129">
        <v>28220</v>
      </c>
      <c r="R204" s="129">
        <v>28733</v>
      </c>
      <c r="S204" s="129">
        <v>29072</v>
      </c>
      <c r="T204" s="129">
        <v>29390</v>
      </c>
      <c r="U204" s="129">
        <v>28500</v>
      </c>
      <c r="V204" s="129">
        <v>28500</v>
      </c>
      <c r="W204" s="130"/>
      <c r="X204" s="130"/>
      <c r="Y204" s="129"/>
      <c r="Z204" s="129"/>
      <c r="AA204" s="129"/>
    </row>
    <row r="205" spans="1:27" x14ac:dyDescent="0.25">
      <c r="A205" t="s">
        <v>517</v>
      </c>
      <c r="B205" s="75" t="s">
        <v>309</v>
      </c>
      <c r="C205" s="59">
        <f t="shared" si="12"/>
        <v>6.051533993500678E-3</v>
      </c>
      <c r="D205" t="s">
        <v>465</v>
      </c>
      <c r="E205" s="59">
        <f t="shared" si="11"/>
        <v>2.7660853878532773E-2</v>
      </c>
      <c r="F205" s="129">
        <v>26054</v>
      </c>
      <c r="G205" s="129"/>
      <c r="H205" s="129">
        <v>1795</v>
      </c>
      <c r="I205" s="55">
        <v>1735</v>
      </c>
      <c r="J205" s="55">
        <v>1730</v>
      </c>
      <c r="K205" s="55">
        <v>1665</v>
      </c>
      <c r="L205" s="55">
        <v>1620</v>
      </c>
      <c r="M205" s="55">
        <v>1565</v>
      </c>
      <c r="N205" s="69" t="s">
        <v>309</v>
      </c>
      <c r="O205" s="129">
        <v>24861</v>
      </c>
      <c r="P205" s="129">
        <v>25064</v>
      </c>
      <c r="Q205" s="129">
        <v>25497</v>
      </c>
      <c r="R205" s="129">
        <v>25750</v>
      </c>
      <c r="S205" s="129">
        <v>25948</v>
      </c>
      <c r="T205" s="129">
        <v>26054</v>
      </c>
      <c r="U205" s="129">
        <v>26600</v>
      </c>
      <c r="V205" s="129">
        <v>27000</v>
      </c>
      <c r="W205" s="130"/>
      <c r="X205" s="130"/>
      <c r="Y205" s="129"/>
      <c r="Z205" s="129"/>
      <c r="AA205" s="129"/>
    </row>
    <row r="206" spans="1:27" x14ac:dyDescent="0.25">
      <c r="A206" t="s">
        <v>513</v>
      </c>
      <c r="B206" s="75" t="s">
        <v>378</v>
      </c>
      <c r="C206" s="59">
        <f t="shared" si="12"/>
        <v>-8.0664415566697352E-3</v>
      </c>
      <c r="D206" t="s">
        <v>465</v>
      </c>
      <c r="E206" s="59">
        <f t="shared" si="11"/>
        <v>3.3298097251585626E-2</v>
      </c>
      <c r="F206" s="129">
        <v>19546</v>
      </c>
      <c r="G206" s="129"/>
      <c r="H206" s="129">
        <v>2110</v>
      </c>
      <c r="I206" s="55">
        <v>2025</v>
      </c>
      <c r="J206" s="55">
        <v>1950</v>
      </c>
      <c r="K206" s="55">
        <v>1875</v>
      </c>
      <c r="L206" s="55">
        <v>1815</v>
      </c>
      <c r="M206" s="55">
        <v>1795</v>
      </c>
      <c r="N206" s="69" t="s">
        <v>378</v>
      </c>
      <c r="O206" s="129">
        <v>18738</v>
      </c>
      <c r="P206" s="129">
        <v>18842</v>
      </c>
      <c r="Q206" s="129">
        <v>19061</v>
      </c>
      <c r="R206" s="129">
        <v>19220</v>
      </c>
      <c r="S206" s="129">
        <v>19280</v>
      </c>
      <c r="T206" s="129">
        <v>19546</v>
      </c>
      <c r="U206" s="129">
        <v>18700</v>
      </c>
      <c r="V206" s="129">
        <v>18600</v>
      </c>
      <c r="W206" s="130"/>
      <c r="X206" s="130"/>
      <c r="Y206" s="129"/>
      <c r="Z206" s="129"/>
      <c r="AA206" s="129"/>
    </row>
    <row r="207" spans="1:27" x14ac:dyDescent="0.25">
      <c r="A207" t="s">
        <v>513</v>
      </c>
      <c r="B207" s="75" t="s">
        <v>379</v>
      </c>
      <c r="C207" s="59">
        <f t="shared" si="12"/>
        <v>-3.1199677938808373E-3</v>
      </c>
      <c r="D207" t="s">
        <v>465</v>
      </c>
      <c r="E207" s="59">
        <v>2.7724174496884312E-2</v>
      </c>
      <c r="F207" s="129">
        <v>33120</v>
      </c>
      <c r="G207" s="129"/>
      <c r="H207" s="129">
        <v>3719.0218456798766</v>
      </c>
      <c r="I207" s="61">
        <v>3582.433832796527</v>
      </c>
      <c r="J207" s="61">
        <v>3476.0719787144658</v>
      </c>
      <c r="K207" s="61">
        <v>3390.6196611118889</v>
      </c>
      <c r="L207" s="61">
        <v>3296.3030387900853</v>
      </c>
      <c r="M207" s="61">
        <v>3247.8959529477665</v>
      </c>
      <c r="N207" s="69" t="s">
        <v>379</v>
      </c>
      <c r="O207" s="129">
        <v>32090.360873827194</v>
      </c>
      <c r="P207" s="129">
        <v>31.726648928721467</v>
      </c>
      <c r="Q207" s="129">
        <v>32513</v>
      </c>
      <c r="R207" s="129">
        <v>32944</v>
      </c>
      <c r="S207" s="129">
        <v>32952</v>
      </c>
      <c r="T207" s="129">
        <v>33120</v>
      </c>
      <c r="U207" s="129">
        <v>32500</v>
      </c>
      <c r="V207" s="129">
        <v>32500</v>
      </c>
      <c r="W207" s="130"/>
      <c r="X207" s="130"/>
      <c r="Y207" s="129"/>
      <c r="Z207" s="129"/>
      <c r="AA207" s="129"/>
    </row>
    <row r="208" spans="1:27" x14ac:dyDescent="0.25">
      <c r="A208" t="s">
        <v>521</v>
      </c>
      <c r="B208" s="75" t="s">
        <v>121</v>
      </c>
      <c r="C208" s="59">
        <f t="shared" si="12"/>
        <v>-1.2953978842396064E-2</v>
      </c>
      <c r="D208" t="s">
        <v>439</v>
      </c>
      <c r="E208" s="59">
        <f t="shared" si="11"/>
        <v>1.735270379338176E-2</v>
      </c>
      <c r="F208" s="129">
        <v>39576</v>
      </c>
      <c r="G208" s="129"/>
      <c r="H208" s="129">
        <v>2655</v>
      </c>
      <c r="I208" s="55">
        <v>2555</v>
      </c>
      <c r="J208" s="55">
        <v>2530</v>
      </c>
      <c r="K208" s="55">
        <v>2460</v>
      </c>
      <c r="L208" s="55">
        <v>2405</v>
      </c>
      <c r="M208" s="55">
        <v>2440</v>
      </c>
      <c r="N208" s="69" t="s">
        <v>121</v>
      </c>
      <c r="O208" s="129">
        <v>38185</v>
      </c>
      <c r="P208" s="129">
        <v>38277</v>
      </c>
      <c r="Q208" s="129">
        <v>38507</v>
      </c>
      <c r="R208" s="129">
        <v>39033</v>
      </c>
      <c r="S208" s="129">
        <v>39405</v>
      </c>
      <c r="T208" s="129">
        <v>39576</v>
      </c>
      <c r="U208" s="129">
        <v>36900</v>
      </c>
      <c r="V208" s="129">
        <v>36500</v>
      </c>
      <c r="W208" s="130"/>
      <c r="X208" s="130"/>
      <c r="Y208" s="129"/>
      <c r="Z208" s="129"/>
      <c r="AA208" s="129"/>
    </row>
    <row r="209" spans="1:27" x14ac:dyDescent="0.25">
      <c r="A209" t="s">
        <v>515</v>
      </c>
      <c r="B209" s="75" t="s">
        <v>193</v>
      </c>
      <c r="C209" s="59">
        <f t="shared" si="12"/>
        <v>-7.6830699527825541E-3</v>
      </c>
      <c r="D209" t="s">
        <v>465</v>
      </c>
      <c r="E209" s="59">
        <f t="shared" si="11"/>
        <v>3.5306898424769147E-2</v>
      </c>
      <c r="F209" s="129">
        <v>24426</v>
      </c>
      <c r="G209" s="129"/>
      <c r="H209" s="129">
        <v>2010</v>
      </c>
      <c r="I209" s="55">
        <v>1965</v>
      </c>
      <c r="J209" s="55">
        <v>1930</v>
      </c>
      <c r="K209" s="55">
        <v>1880</v>
      </c>
      <c r="L209" s="55">
        <v>1745</v>
      </c>
      <c r="M209" s="55">
        <v>1685</v>
      </c>
      <c r="N209" s="69" t="s">
        <v>193</v>
      </c>
      <c r="O209" s="129">
        <v>23619</v>
      </c>
      <c r="P209" s="129">
        <v>23760</v>
      </c>
      <c r="Q209" s="129">
        <v>23931</v>
      </c>
      <c r="R209" s="129">
        <v>24266</v>
      </c>
      <c r="S209" s="129">
        <v>24281</v>
      </c>
      <c r="T209" s="129">
        <v>24426</v>
      </c>
      <c r="U209" s="129">
        <v>23500</v>
      </c>
      <c r="V209" s="129">
        <v>23300</v>
      </c>
      <c r="W209" s="130"/>
      <c r="X209" s="130"/>
      <c r="Y209" s="129"/>
      <c r="Z209" s="129"/>
      <c r="AA209" s="129"/>
    </row>
    <row r="210" spans="1:27" x14ac:dyDescent="0.25">
      <c r="A210" t="s">
        <v>518</v>
      </c>
      <c r="B210" s="75" t="s">
        <v>151</v>
      </c>
      <c r="C210" s="59">
        <f t="shared" si="12"/>
        <v>-2.1912703121909584E-3</v>
      </c>
      <c r="D210" t="s">
        <v>116</v>
      </c>
      <c r="E210" s="59">
        <f t="shared" si="11"/>
        <v>2.0678246484698098E-2</v>
      </c>
      <c r="F210" s="129">
        <v>32021</v>
      </c>
      <c r="G210" s="129"/>
      <c r="H210" s="129">
        <v>2580</v>
      </c>
      <c r="I210" s="55">
        <v>2470</v>
      </c>
      <c r="J210" s="55">
        <v>2480</v>
      </c>
      <c r="K210" s="55">
        <v>2450</v>
      </c>
      <c r="L210" s="55">
        <v>2360</v>
      </c>
      <c r="M210" s="55">
        <v>2330</v>
      </c>
      <c r="N210" s="69" t="s">
        <v>151</v>
      </c>
      <c r="O210" s="129">
        <v>31843</v>
      </c>
      <c r="P210" s="129">
        <v>31701</v>
      </c>
      <c r="Q210" s="129">
        <v>31745</v>
      </c>
      <c r="R210" s="129">
        <v>31919</v>
      </c>
      <c r="S210" s="129">
        <v>31794</v>
      </c>
      <c r="T210" s="129">
        <v>32021</v>
      </c>
      <c r="U210" s="129">
        <v>31600</v>
      </c>
      <c r="V210" s="129">
        <v>31600</v>
      </c>
      <c r="W210" s="130"/>
      <c r="X210" s="130"/>
      <c r="Y210" s="129"/>
      <c r="Z210" s="129"/>
      <c r="AA210" s="129"/>
    </row>
    <row r="211" spans="1:27" x14ac:dyDescent="0.25">
      <c r="A211" t="s">
        <v>518</v>
      </c>
      <c r="B211" s="75" t="s">
        <v>152</v>
      </c>
      <c r="C211" s="59">
        <f t="shared" si="12"/>
        <v>-7.9030928196761573E-3</v>
      </c>
      <c r="D211" t="s">
        <v>465</v>
      </c>
      <c r="E211" s="59">
        <f t="shared" si="11"/>
        <v>3.2918800292611558E-2</v>
      </c>
      <c r="F211" s="129">
        <v>19001</v>
      </c>
      <c r="G211" s="129"/>
      <c r="H211" s="129">
        <v>1505</v>
      </c>
      <c r="I211" s="55">
        <v>1465</v>
      </c>
      <c r="J211" s="55">
        <v>1415</v>
      </c>
      <c r="K211" s="55">
        <v>1365</v>
      </c>
      <c r="L211" s="55">
        <v>1310</v>
      </c>
      <c r="M211" s="55">
        <v>1280</v>
      </c>
      <c r="N211" s="69" t="s">
        <v>152</v>
      </c>
      <c r="O211" s="129">
        <v>18231</v>
      </c>
      <c r="P211" s="129">
        <v>18361</v>
      </c>
      <c r="Q211" s="129">
        <v>18498</v>
      </c>
      <c r="R211" s="129">
        <v>18681</v>
      </c>
      <c r="S211" s="129">
        <v>18835</v>
      </c>
      <c r="T211" s="129">
        <v>19001</v>
      </c>
      <c r="U211" s="129">
        <v>18100</v>
      </c>
      <c r="V211" s="129">
        <v>18100</v>
      </c>
      <c r="W211" s="130"/>
      <c r="X211" s="130"/>
      <c r="Y211" s="129"/>
      <c r="Z211" s="129"/>
      <c r="AA211" s="129"/>
    </row>
    <row r="212" spans="1:27" x14ac:dyDescent="0.25">
      <c r="A212" t="s">
        <v>518</v>
      </c>
      <c r="B212" s="75" t="s">
        <v>153</v>
      </c>
      <c r="C212" s="59">
        <f t="shared" si="12"/>
        <v>-3.0218019983722097E-3</v>
      </c>
      <c r="D212" t="s">
        <v>465</v>
      </c>
      <c r="E212" s="59">
        <f t="shared" si="11"/>
        <v>2.3884349465744813E-2</v>
      </c>
      <c r="F212" s="129">
        <v>19249</v>
      </c>
      <c r="G212" s="129"/>
      <c r="H212" s="129">
        <v>1710</v>
      </c>
      <c r="I212" s="55">
        <v>1675</v>
      </c>
      <c r="J212" s="55">
        <v>1635</v>
      </c>
      <c r="K212" s="55">
        <v>1600</v>
      </c>
      <c r="L212" s="55">
        <v>1525</v>
      </c>
      <c r="M212" s="55">
        <v>1520</v>
      </c>
      <c r="N212" s="69" t="s">
        <v>153</v>
      </c>
      <c r="O212" s="129">
        <v>18002</v>
      </c>
      <c r="P212" s="129">
        <v>18295</v>
      </c>
      <c r="Q212" s="129">
        <v>18468</v>
      </c>
      <c r="R212" s="129">
        <v>18947</v>
      </c>
      <c r="S212" s="129">
        <v>19031</v>
      </c>
      <c r="T212" s="129">
        <v>19249</v>
      </c>
      <c r="U212" s="129">
        <v>18700</v>
      </c>
      <c r="V212" s="129">
        <v>18900</v>
      </c>
      <c r="W212" s="130"/>
      <c r="X212" s="130"/>
      <c r="Y212" s="129"/>
      <c r="Z212" s="129"/>
      <c r="AA212" s="129"/>
    </row>
    <row r="213" spans="1:27" x14ac:dyDescent="0.25">
      <c r="A213" t="s">
        <v>515</v>
      </c>
      <c r="B213" s="75" t="s">
        <v>194</v>
      </c>
      <c r="C213" s="59">
        <f t="shared" si="12"/>
        <v>-9.6955981540646063E-3</v>
      </c>
      <c r="D213" t="s">
        <v>116</v>
      </c>
      <c r="E213" s="59">
        <f t="shared" si="11"/>
        <v>2.4449877750611249E-2</v>
      </c>
      <c r="F213" s="129">
        <v>30048</v>
      </c>
      <c r="G213" s="129"/>
      <c r="H213" s="129">
        <v>2660</v>
      </c>
      <c r="I213" s="55">
        <v>2575</v>
      </c>
      <c r="J213" s="55">
        <v>2520</v>
      </c>
      <c r="K213" s="55">
        <v>2445</v>
      </c>
      <c r="L213" s="55">
        <v>2370</v>
      </c>
      <c r="M213" s="55">
        <v>2360</v>
      </c>
      <c r="N213" s="69" t="s">
        <v>194</v>
      </c>
      <c r="O213" s="129">
        <v>29595</v>
      </c>
      <c r="P213" s="129">
        <v>29574</v>
      </c>
      <c r="Q213" s="129">
        <v>29607</v>
      </c>
      <c r="R213" s="129">
        <v>29840</v>
      </c>
      <c r="S213" s="129">
        <v>29969</v>
      </c>
      <c r="T213" s="129">
        <v>30048</v>
      </c>
      <c r="U213" s="129">
        <v>28700</v>
      </c>
      <c r="V213" s="129">
        <v>28300</v>
      </c>
      <c r="W213" s="130"/>
      <c r="X213" s="130"/>
      <c r="Y213" s="129"/>
      <c r="Z213" s="129"/>
      <c r="AA213" s="129"/>
    </row>
    <row r="214" spans="1:27" x14ac:dyDescent="0.25">
      <c r="A214" t="s">
        <v>513</v>
      </c>
      <c r="B214" s="75" t="s">
        <v>380</v>
      </c>
      <c r="C214" s="59">
        <f t="shared" si="12"/>
        <v>-1.6586446503714107E-3</v>
      </c>
      <c r="D214" t="s">
        <v>116</v>
      </c>
      <c r="E214" s="59">
        <f t="shared" si="11"/>
        <v>2.839047827036471E-2</v>
      </c>
      <c r="F214" s="129">
        <v>58381</v>
      </c>
      <c r="G214" s="129"/>
      <c r="H214" s="129">
        <v>4950</v>
      </c>
      <c r="I214" s="55">
        <v>4775</v>
      </c>
      <c r="J214" s="55">
        <v>4720</v>
      </c>
      <c r="K214" s="55">
        <v>4620</v>
      </c>
      <c r="L214" s="55">
        <v>4480</v>
      </c>
      <c r="M214" s="55">
        <v>4300</v>
      </c>
      <c r="N214" s="69" t="s">
        <v>380</v>
      </c>
      <c r="O214" s="129">
        <v>55975</v>
      </c>
      <c r="P214" s="129">
        <v>56206</v>
      </c>
      <c r="Q214" s="129">
        <v>56531</v>
      </c>
      <c r="R214" s="129">
        <v>57420</v>
      </c>
      <c r="S214" s="129">
        <v>57924</v>
      </c>
      <c r="T214" s="129">
        <v>58381</v>
      </c>
      <c r="U214" s="129">
        <v>57600</v>
      </c>
      <c r="V214" s="129">
        <v>57800</v>
      </c>
      <c r="W214" s="130"/>
      <c r="X214" s="130"/>
      <c r="Y214" s="129"/>
      <c r="Z214" s="129"/>
      <c r="AA214" s="129"/>
    </row>
    <row r="215" spans="1:27" x14ac:dyDescent="0.25">
      <c r="A215" t="s">
        <v>516</v>
      </c>
      <c r="B215" s="75" t="s">
        <v>131</v>
      </c>
      <c r="C215" s="59">
        <f t="shared" si="12"/>
        <v>-1.5429717636167257E-4</v>
      </c>
      <c r="D215" t="s">
        <v>116</v>
      </c>
      <c r="E215" s="59">
        <f t="shared" si="11"/>
        <v>2.0299661672305461E-2</v>
      </c>
      <c r="F215" s="129">
        <v>25924</v>
      </c>
      <c r="G215" s="129"/>
      <c r="H215" s="129">
        <v>2230</v>
      </c>
      <c r="I215" s="55">
        <v>2155</v>
      </c>
      <c r="J215" s="55">
        <v>2120</v>
      </c>
      <c r="K215" s="55">
        <v>2035</v>
      </c>
      <c r="L215" s="55">
        <v>2015</v>
      </c>
      <c r="M215" s="55">
        <v>2020</v>
      </c>
      <c r="N215" s="69" t="s">
        <v>131</v>
      </c>
      <c r="O215" s="129">
        <v>25477</v>
      </c>
      <c r="P215" s="129">
        <v>25464</v>
      </c>
      <c r="Q215" s="129">
        <v>25681</v>
      </c>
      <c r="R215" s="129">
        <v>25834</v>
      </c>
      <c r="S215" s="129">
        <v>25824</v>
      </c>
      <c r="T215" s="129">
        <v>25924</v>
      </c>
      <c r="U215" s="129">
        <v>25900</v>
      </c>
      <c r="V215" s="129">
        <v>25900</v>
      </c>
      <c r="W215" s="130"/>
      <c r="X215" s="130"/>
      <c r="Y215" s="129"/>
      <c r="Z215" s="129"/>
      <c r="AA215" s="129"/>
    </row>
    <row r="216" spans="1:27" x14ac:dyDescent="0.25">
      <c r="A216" t="s">
        <v>514</v>
      </c>
      <c r="B216" s="75" t="s">
        <v>265</v>
      </c>
      <c r="C216" s="59">
        <f t="shared" si="12"/>
        <v>-3.8895171515712281E-3</v>
      </c>
      <c r="D216" t="s">
        <v>465</v>
      </c>
      <c r="E216" s="59">
        <f t="shared" si="11"/>
        <v>4.3586550435865505E-2</v>
      </c>
      <c r="F216" s="129">
        <v>9727</v>
      </c>
      <c r="G216" s="129"/>
      <c r="H216" s="129">
        <v>920</v>
      </c>
      <c r="I216" s="55">
        <v>875</v>
      </c>
      <c r="J216" s="55">
        <v>850</v>
      </c>
      <c r="K216" s="55">
        <v>800</v>
      </c>
      <c r="L216" s="55">
        <v>745</v>
      </c>
      <c r="M216" s="55">
        <v>745</v>
      </c>
      <c r="N216" s="69" t="s">
        <v>265</v>
      </c>
      <c r="O216" s="129">
        <v>9742</v>
      </c>
      <c r="P216" s="129">
        <v>9689</v>
      </c>
      <c r="Q216" s="129">
        <v>9644</v>
      </c>
      <c r="R216" s="129">
        <v>9711</v>
      </c>
      <c r="S216" s="129">
        <v>9694</v>
      </c>
      <c r="T216" s="129">
        <v>9727</v>
      </c>
      <c r="U216" s="129">
        <v>9500</v>
      </c>
      <c r="V216" s="129">
        <v>9500</v>
      </c>
      <c r="W216" s="130"/>
      <c r="X216" s="130"/>
      <c r="Y216" s="129"/>
      <c r="Z216" s="129"/>
      <c r="AA216" s="129"/>
    </row>
    <row r="217" spans="1:27" x14ac:dyDescent="0.25">
      <c r="A217" t="s">
        <v>514</v>
      </c>
      <c r="B217" s="75" t="s">
        <v>266</v>
      </c>
      <c r="C217" s="59">
        <f t="shared" si="12"/>
        <v>4.2776173671265103E-4</v>
      </c>
      <c r="D217" t="s">
        <v>465</v>
      </c>
      <c r="E217" s="59">
        <f t="shared" si="11"/>
        <v>2.5067144136078783E-2</v>
      </c>
      <c r="F217" s="129">
        <v>12468</v>
      </c>
      <c r="G217" s="129"/>
      <c r="H217" s="129">
        <v>1220</v>
      </c>
      <c r="I217" s="55">
        <v>1160</v>
      </c>
      <c r="J217" s="55">
        <v>1150</v>
      </c>
      <c r="K217" s="55">
        <v>1105</v>
      </c>
      <c r="L217" s="55">
        <v>1090</v>
      </c>
      <c r="M217" s="55">
        <v>1080</v>
      </c>
      <c r="N217" s="69" t="s">
        <v>266</v>
      </c>
      <c r="O217" s="129">
        <v>11807</v>
      </c>
      <c r="P217" s="129">
        <v>12009</v>
      </c>
      <c r="Q217" s="129">
        <v>12074</v>
      </c>
      <c r="R217" s="129">
        <v>12176</v>
      </c>
      <c r="S217" s="129">
        <v>12199</v>
      </c>
      <c r="T217" s="129">
        <v>12468</v>
      </c>
      <c r="U217" s="129">
        <v>12500</v>
      </c>
      <c r="V217" s="129">
        <v>12500</v>
      </c>
      <c r="W217" s="130"/>
      <c r="X217" s="130"/>
      <c r="Y217" s="129"/>
      <c r="Z217" s="129"/>
      <c r="AA217" s="129"/>
    </row>
    <row r="218" spans="1:27" x14ac:dyDescent="0.25">
      <c r="A218" t="s">
        <v>516</v>
      </c>
      <c r="B218" s="75" t="s">
        <v>132</v>
      </c>
      <c r="C218" s="59">
        <f t="shared" si="12"/>
        <v>-7.8148432032525746E-3</v>
      </c>
      <c r="D218" t="s">
        <v>116</v>
      </c>
      <c r="E218" s="59">
        <f t="shared" si="11"/>
        <v>2.8253083963390369E-2</v>
      </c>
      <c r="F218" s="129">
        <v>30007</v>
      </c>
      <c r="G218" s="129"/>
      <c r="H218" s="129">
        <v>2715</v>
      </c>
      <c r="I218" s="55">
        <v>2660</v>
      </c>
      <c r="J218" s="55">
        <v>2600</v>
      </c>
      <c r="K218" s="55">
        <v>2510</v>
      </c>
      <c r="L218" s="55">
        <v>2435</v>
      </c>
      <c r="M218" s="55">
        <v>2360</v>
      </c>
      <c r="N218" s="69" t="s">
        <v>132</v>
      </c>
      <c r="O218" s="129">
        <v>29732</v>
      </c>
      <c r="P218" s="129">
        <v>29812</v>
      </c>
      <c r="Q218" s="129">
        <v>29787</v>
      </c>
      <c r="R218" s="129">
        <v>30053</v>
      </c>
      <c r="S218" s="129">
        <v>30059</v>
      </c>
      <c r="T218" s="129">
        <v>30007</v>
      </c>
      <c r="U218" s="129">
        <v>28800</v>
      </c>
      <c r="V218" s="129">
        <v>28600</v>
      </c>
      <c r="W218" s="130"/>
      <c r="X218" s="130"/>
      <c r="Y218" s="129"/>
      <c r="Z218" s="129"/>
      <c r="AA218" s="129"/>
    </row>
    <row r="219" spans="1:27" x14ac:dyDescent="0.25">
      <c r="A219" t="s">
        <v>513</v>
      </c>
      <c r="B219" s="75" t="s">
        <v>381</v>
      </c>
      <c r="C219" s="59">
        <f t="shared" si="12"/>
        <v>9.3927525122594058E-3</v>
      </c>
      <c r="D219" t="s">
        <v>439</v>
      </c>
      <c r="E219" s="59">
        <f t="shared" si="11"/>
        <v>2.7293716673080094E-2</v>
      </c>
      <c r="F219" s="129">
        <v>95233</v>
      </c>
      <c r="G219" s="129"/>
      <c r="H219" s="129">
        <v>8005</v>
      </c>
      <c r="I219" s="55">
        <v>7765</v>
      </c>
      <c r="J219" s="55">
        <v>7590</v>
      </c>
      <c r="K219" s="61">
        <v>7370</v>
      </c>
      <c r="L219" s="61">
        <v>6645</v>
      </c>
      <c r="M219" s="61">
        <v>7012</v>
      </c>
      <c r="N219" s="69" t="s">
        <v>381</v>
      </c>
      <c r="O219" s="129">
        <v>92021</v>
      </c>
      <c r="P219" s="129">
        <v>92526</v>
      </c>
      <c r="Q219" s="129">
        <v>93311</v>
      </c>
      <c r="R219" s="129">
        <v>94457</v>
      </c>
      <c r="S219" s="129">
        <v>94634</v>
      </c>
      <c r="T219" s="129">
        <v>95233</v>
      </c>
      <c r="U219" s="129">
        <v>98800</v>
      </c>
      <c r="V219" s="129">
        <v>100600</v>
      </c>
      <c r="W219" s="130"/>
      <c r="X219" s="130"/>
      <c r="Y219" s="129"/>
      <c r="Z219" s="129"/>
      <c r="AA219" s="129"/>
    </row>
    <row r="220" spans="1:27" x14ac:dyDescent="0.25">
      <c r="A220" t="s">
        <v>515</v>
      </c>
      <c r="B220" s="75" t="s">
        <v>195</v>
      </c>
      <c r="C220" s="59">
        <f t="shared" si="12"/>
        <v>-5.493392739608121E-3</v>
      </c>
      <c r="D220" t="s">
        <v>116</v>
      </c>
      <c r="E220" s="59">
        <f t="shared" si="11"/>
        <v>2.3452768729641693E-2</v>
      </c>
      <c r="F220" s="129">
        <v>39502</v>
      </c>
      <c r="G220" s="129"/>
      <c r="H220" s="129">
        <v>3285</v>
      </c>
      <c r="I220" s="55">
        <v>3235</v>
      </c>
      <c r="J220" s="55">
        <v>3155</v>
      </c>
      <c r="K220" s="55">
        <v>3075</v>
      </c>
      <c r="L220" s="55">
        <v>2960</v>
      </c>
      <c r="M220" s="55">
        <v>2925</v>
      </c>
      <c r="N220" s="69" t="s">
        <v>195</v>
      </c>
      <c r="O220" s="129">
        <v>39391</v>
      </c>
      <c r="P220" s="129">
        <v>39346</v>
      </c>
      <c r="Q220" s="129">
        <v>39386</v>
      </c>
      <c r="R220" s="129">
        <v>39608</v>
      </c>
      <c r="S220" s="129">
        <v>39402</v>
      </c>
      <c r="T220" s="129">
        <v>39502</v>
      </c>
      <c r="U220" s="129">
        <v>38400</v>
      </c>
      <c r="V220" s="129">
        <v>38200</v>
      </c>
      <c r="W220" s="130"/>
      <c r="X220" s="130"/>
      <c r="Y220" s="129"/>
      <c r="Z220" s="129"/>
      <c r="AA220" s="129"/>
    </row>
    <row r="221" spans="1:27" x14ac:dyDescent="0.25">
      <c r="A221" t="s">
        <v>514</v>
      </c>
      <c r="B221" s="75" t="s">
        <v>267</v>
      </c>
      <c r="C221" s="59">
        <f t="shared" si="12"/>
        <v>3.1827986598742482E-2</v>
      </c>
      <c r="D221" t="s">
        <v>465</v>
      </c>
      <c r="E221" s="59">
        <f t="shared" si="11"/>
        <v>3.4957020057306588E-2</v>
      </c>
      <c r="F221" s="129">
        <v>14526</v>
      </c>
      <c r="G221" s="129"/>
      <c r="H221" s="129">
        <v>1955</v>
      </c>
      <c r="I221" s="55">
        <v>1865</v>
      </c>
      <c r="J221" s="55">
        <v>1795</v>
      </c>
      <c r="K221" s="55">
        <v>1755</v>
      </c>
      <c r="L221" s="55">
        <v>1660</v>
      </c>
      <c r="M221" s="55">
        <v>1650</v>
      </c>
      <c r="N221" s="69" t="s">
        <v>267</v>
      </c>
      <c r="O221" s="129">
        <v>14007</v>
      </c>
      <c r="P221" s="129">
        <v>14125</v>
      </c>
      <c r="Q221" s="129">
        <v>14205</v>
      </c>
      <c r="R221" s="129">
        <v>14280</v>
      </c>
      <c r="S221" s="129">
        <v>14447</v>
      </c>
      <c r="T221" s="129">
        <v>14526</v>
      </c>
      <c r="U221" s="129">
        <v>16600</v>
      </c>
      <c r="V221" s="129">
        <v>17300</v>
      </c>
      <c r="W221" s="130"/>
      <c r="X221" s="130"/>
      <c r="Y221" s="129"/>
      <c r="Z221" s="129"/>
      <c r="AA221" s="129"/>
    </row>
    <row r="222" spans="1:27" x14ac:dyDescent="0.25">
      <c r="A222" t="s">
        <v>520</v>
      </c>
      <c r="B222" s="75" t="s">
        <v>224</v>
      </c>
      <c r="C222" s="59">
        <f t="shared" si="12"/>
        <v>5.6360708534621577E-3</v>
      </c>
      <c r="D222" t="s">
        <v>465</v>
      </c>
      <c r="E222" s="59">
        <f t="shared" si="11"/>
        <v>3.4001743679163032E-2</v>
      </c>
      <c r="F222" s="129">
        <v>10350</v>
      </c>
      <c r="G222" s="129"/>
      <c r="H222" s="129">
        <v>1270</v>
      </c>
      <c r="I222" s="55">
        <v>1215</v>
      </c>
      <c r="J222" s="55">
        <v>1185</v>
      </c>
      <c r="K222" s="55">
        <v>1155</v>
      </c>
      <c r="L222" s="55">
        <v>1105</v>
      </c>
      <c r="M222" s="55">
        <v>1075</v>
      </c>
      <c r="N222" s="69" t="s">
        <v>224</v>
      </c>
      <c r="O222" s="129">
        <v>10231</v>
      </c>
      <c r="P222" s="129">
        <v>10138</v>
      </c>
      <c r="Q222" s="129">
        <v>10160</v>
      </c>
      <c r="R222" s="129">
        <v>10233</v>
      </c>
      <c r="S222" s="129">
        <v>10223</v>
      </c>
      <c r="T222" s="129">
        <v>10350</v>
      </c>
      <c r="U222" s="129">
        <v>10600</v>
      </c>
      <c r="V222" s="129">
        <v>10700</v>
      </c>
      <c r="W222" s="130"/>
      <c r="X222" s="130"/>
      <c r="Y222" s="129"/>
      <c r="Z222" s="129"/>
      <c r="AA222" s="129"/>
    </row>
    <row r="223" spans="1:27" x14ac:dyDescent="0.25">
      <c r="A223" t="s">
        <v>515</v>
      </c>
      <c r="B223" s="75" t="s">
        <v>196</v>
      </c>
      <c r="C223" s="59">
        <f t="shared" si="12"/>
        <v>-5.935475961833153E-3</v>
      </c>
      <c r="D223" t="s">
        <v>465</v>
      </c>
      <c r="E223" s="59">
        <f t="shared" si="11"/>
        <v>3.4116755117513269E-2</v>
      </c>
      <c r="F223" s="129">
        <v>48943</v>
      </c>
      <c r="G223" s="129"/>
      <c r="H223" s="129">
        <v>4360</v>
      </c>
      <c r="I223" s="55">
        <v>4230</v>
      </c>
      <c r="J223" s="55">
        <v>4130</v>
      </c>
      <c r="K223" s="55">
        <v>3940</v>
      </c>
      <c r="L223" s="55">
        <v>3800</v>
      </c>
      <c r="M223" s="55">
        <v>3685</v>
      </c>
      <c r="N223" s="69" t="s">
        <v>196</v>
      </c>
      <c r="O223" s="129">
        <v>47886</v>
      </c>
      <c r="P223" s="129">
        <v>48214</v>
      </c>
      <c r="Q223" s="129">
        <v>48265</v>
      </c>
      <c r="R223" s="129">
        <v>48703</v>
      </c>
      <c r="S223" s="129">
        <v>48919</v>
      </c>
      <c r="T223" s="129">
        <v>48943</v>
      </c>
      <c r="U223" s="129">
        <v>47300</v>
      </c>
      <c r="V223" s="129">
        <v>47200</v>
      </c>
      <c r="W223" s="130"/>
      <c r="X223" s="130"/>
      <c r="Y223" s="129"/>
      <c r="Z223" s="129"/>
      <c r="AA223" s="129"/>
    </row>
    <row r="224" spans="1:27" x14ac:dyDescent="0.25">
      <c r="A224" t="s">
        <v>517</v>
      </c>
      <c r="B224" s="75" t="s">
        <v>310</v>
      </c>
      <c r="C224" s="59">
        <f t="shared" si="12"/>
        <v>1.5479876160990713E-3</v>
      </c>
      <c r="D224" t="s">
        <v>465</v>
      </c>
      <c r="E224" s="59">
        <f t="shared" si="11"/>
        <v>2.6728110599078342E-2</v>
      </c>
      <c r="F224" s="129">
        <v>32300</v>
      </c>
      <c r="G224" s="129"/>
      <c r="H224" s="129">
        <v>2330</v>
      </c>
      <c r="I224" s="55">
        <v>2275</v>
      </c>
      <c r="J224" s="55">
        <v>2230</v>
      </c>
      <c r="K224" s="55">
        <v>2175</v>
      </c>
      <c r="L224" s="55">
        <v>2130</v>
      </c>
      <c r="M224" s="55">
        <v>2040</v>
      </c>
      <c r="N224" s="69" t="s">
        <v>310</v>
      </c>
      <c r="O224" s="129">
        <v>32161</v>
      </c>
      <c r="P224" s="129">
        <v>32171</v>
      </c>
      <c r="Q224" s="129">
        <v>32204</v>
      </c>
      <c r="R224" s="129">
        <v>32271</v>
      </c>
      <c r="S224" s="129">
        <v>32178</v>
      </c>
      <c r="T224" s="129">
        <v>32300</v>
      </c>
      <c r="U224" s="129">
        <v>32500</v>
      </c>
      <c r="V224" s="129">
        <v>32600</v>
      </c>
      <c r="W224" s="130"/>
      <c r="X224" s="130"/>
      <c r="Y224" s="129"/>
      <c r="Z224" s="129"/>
      <c r="AA224" s="129"/>
    </row>
    <row r="225" spans="1:27" x14ac:dyDescent="0.25">
      <c r="A225" t="s">
        <v>522</v>
      </c>
      <c r="B225" s="75" t="s">
        <v>415</v>
      </c>
      <c r="C225" s="59">
        <f t="shared" si="12"/>
        <v>-6.5324589497229423E-3</v>
      </c>
      <c r="D225" t="s">
        <v>465</v>
      </c>
      <c r="E225" s="59">
        <f t="shared" si="11"/>
        <v>2.1669106881405564E-2</v>
      </c>
      <c r="F225" s="129">
        <v>45899</v>
      </c>
      <c r="G225" s="129"/>
      <c r="H225" s="129">
        <v>3660</v>
      </c>
      <c r="I225" s="55">
        <v>3540</v>
      </c>
      <c r="J225" s="55">
        <v>3485</v>
      </c>
      <c r="K225" s="55">
        <v>3430</v>
      </c>
      <c r="L225" s="55">
        <v>3330</v>
      </c>
      <c r="M225" s="55">
        <v>3290</v>
      </c>
      <c r="N225" s="69" t="s">
        <v>415</v>
      </c>
      <c r="O225" s="129">
        <v>43421</v>
      </c>
      <c r="P225" s="129">
        <v>43660</v>
      </c>
      <c r="Q225" s="129">
        <v>44280</v>
      </c>
      <c r="R225" s="129">
        <v>45283</v>
      </c>
      <c r="S225" s="129">
        <v>45534</v>
      </c>
      <c r="T225" s="129">
        <v>45899</v>
      </c>
      <c r="U225" s="129">
        <v>44000</v>
      </c>
      <c r="V225" s="129">
        <v>44100</v>
      </c>
      <c r="W225" s="130"/>
      <c r="X225" s="130"/>
      <c r="Y225" s="129"/>
      <c r="Z225" s="129"/>
      <c r="AA225" s="129"/>
    </row>
    <row r="226" spans="1:27" x14ac:dyDescent="0.25">
      <c r="A226" t="s">
        <v>521</v>
      </c>
      <c r="B226" s="75" t="s">
        <v>122</v>
      </c>
      <c r="C226" s="59">
        <f t="shared" si="12"/>
        <v>-3.5432544457815215E-3</v>
      </c>
      <c r="D226" t="s">
        <v>439</v>
      </c>
      <c r="E226" s="59">
        <f t="shared" si="11"/>
        <v>1.8779342723004695E-2</v>
      </c>
      <c r="F226" s="129">
        <v>12465</v>
      </c>
      <c r="G226" s="129"/>
      <c r="H226" s="129">
        <v>680</v>
      </c>
      <c r="I226" s="55">
        <v>650</v>
      </c>
      <c r="J226" s="55">
        <v>655</v>
      </c>
      <c r="K226" s="55">
        <v>650</v>
      </c>
      <c r="L226" s="55">
        <v>620</v>
      </c>
      <c r="M226" s="55">
        <v>620</v>
      </c>
      <c r="N226" s="69" t="s">
        <v>122</v>
      </c>
      <c r="O226" s="129">
        <v>12200</v>
      </c>
      <c r="P226" s="129">
        <v>12176</v>
      </c>
      <c r="Q226" s="129">
        <v>12201</v>
      </c>
      <c r="R226" s="129">
        <v>12414</v>
      </c>
      <c r="S226" s="129">
        <v>12517</v>
      </c>
      <c r="T226" s="129">
        <v>12465</v>
      </c>
      <c r="U226" s="129">
        <v>12200</v>
      </c>
      <c r="V226" s="129">
        <v>12200</v>
      </c>
      <c r="W226" s="130"/>
      <c r="X226" s="130"/>
      <c r="Y226" s="129"/>
      <c r="Z226" s="129"/>
      <c r="AA226" s="129"/>
    </row>
    <row r="227" spans="1:27" x14ac:dyDescent="0.25">
      <c r="A227" t="s">
        <v>517</v>
      </c>
      <c r="B227" s="75" t="s">
        <v>311</v>
      </c>
      <c r="C227" s="59">
        <f t="shared" si="12"/>
        <v>-4.072034870383115E-3</v>
      </c>
      <c r="D227" t="s">
        <v>465</v>
      </c>
      <c r="E227" s="59">
        <f t="shared" si="11"/>
        <v>3.7660055234747677E-2</v>
      </c>
      <c r="F227" s="129">
        <v>58120</v>
      </c>
      <c r="G227" s="129"/>
      <c r="H227" s="129">
        <v>4470</v>
      </c>
      <c r="I227" s="55">
        <v>4255</v>
      </c>
      <c r="J227" s="55">
        <v>4135</v>
      </c>
      <c r="K227" s="55">
        <v>4005</v>
      </c>
      <c r="L227" s="55">
        <v>3800</v>
      </c>
      <c r="M227" s="55">
        <v>3720</v>
      </c>
      <c r="N227" s="69" t="s">
        <v>311</v>
      </c>
      <c r="O227" s="129">
        <v>55293</v>
      </c>
      <c r="P227" s="129">
        <v>55674</v>
      </c>
      <c r="Q227" s="129">
        <v>56551</v>
      </c>
      <c r="R227" s="129">
        <v>57683</v>
      </c>
      <c r="S227" s="129">
        <v>57932</v>
      </c>
      <c r="T227" s="129">
        <v>58120</v>
      </c>
      <c r="U227" s="129">
        <v>56500</v>
      </c>
      <c r="V227" s="129">
        <v>56700</v>
      </c>
      <c r="W227" s="130"/>
      <c r="X227" s="130"/>
      <c r="Y227" s="129"/>
      <c r="Z227" s="129"/>
      <c r="AA227" s="129"/>
    </row>
    <row r="228" spans="1:27" x14ac:dyDescent="0.25">
      <c r="A228" t="s">
        <v>514</v>
      </c>
      <c r="B228" s="75" t="s">
        <v>268</v>
      </c>
      <c r="C228" s="59">
        <f t="shared" si="12"/>
        <v>8.8249705486806856E-3</v>
      </c>
      <c r="D228" t="s">
        <v>116</v>
      </c>
      <c r="E228" s="59">
        <v>3.2581866052328448E-2</v>
      </c>
      <c r="F228" s="129">
        <v>95921</v>
      </c>
      <c r="G228" s="59"/>
      <c r="H228" s="129">
        <v>6745</v>
      </c>
      <c r="I228" s="129">
        <v>6460</v>
      </c>
      <c r="J228" s="129">
        <v>6295</v>
      </c>
      <c r="K228" s="129">
        <v>6020</v>
      </c>
      <c r="L228" s="129">
        <v>5855</v>
      </c>
      <c r="M228" s="129">
        <v>5755</v>
      </c>
      <c r="N228" s="59" t="s">
        <v>268</v>
      </c>
      <c r="O228" s="129">
        <v>91141</v>
      </c>
      <c r="P228" s="129">
        <v>91793</v>
      </c>
      <c r="Q228" s="129">
        <v>92261</v>
      </c>
      <c r="R228" s="129">
        <v>94003</v>
      </c>
      <c r="S228" s="129">
        <v>95168</v>
      </c>
      <c r="T228" s="129">
        <v>95921</v>
      </c>
      <c r="U228" s="129">
        <v>98900</v>
      </c>
      <c r="V228" s="129">
        <v>101000</v>
      </c>
      <c r="W228" s="130"/>
      <c r="X228" s="130"/>
      <c r="Y228" s="129"/>
      <c r="Z228" s="129"/>
      <c r="AA228" s="129"/>
    </row>
    <row r="229" spans="1:27" x14ac:dyDescent="0.25">
      <c r="A229" t="s">
        <v>515</v>
      </c>
      <c r="B229" s="75" t="s">
        <v>197</v>
      </c>
      <c r="C229" s="59">
        <f t="shared" si="12"/>
        <v>-5.0294553761070816E-3</v>
      </c>
      <c r="D229" t="s">
        <v>465</v>
      </c>
      <c r="E229" s="59">
        <f t="shared" si="11"/>
        <v>2.1027092600080875E-2</v>
      </c>
      <c r="F229" s="129">
        <v>24953</v>
      </c>
      <c r="G229" s="129"/>
      <c r="H229" s="129">
        <v>2640</v>
      </c>
      <c r="I229" s="55">
        <v>2545</v>
      </c>
      <c r="J229" s="55">
        <v>2550</v>
      </c>
      <c r="K229" s="55">
        <v>2485</v>
      </c>
      <c r="L229" s="55">
        <v>2405</v>
      </c>
      <c r="M229" s="55">
        <v>2380</v>
      </c>
      <c r="N229" s="69" t="s">
        <v>197</v>
      </c>
      <c r="O229" s="129">
        <v>24129</v>
      </c>
      <c r="P229" s="129">
        <v>24365</v>
      </c>
      <c r="Q229" s="129">
        <v>24599</v>
      </c>
      <c r="R229" s="129">
        <v>24895</v>
      </c>
      <c r="S229" s="129">
        <v>24978</v>
      </c>
      <c r="T229" s="129">
        <v>24953</v>
      </c>
      <c r="U229" s="129">
        <v>24400</v>
      </c>
      <c r="V229" s="129">
        <v>24200</v>
      </c>
      <c r="W229" s="130"/>
      <c r="X229" s="130"/>
      <c r="Y229" s="129"/>
      <c r="Z229" s="129"/>
      <c r="AA229" s="129"/>
    </row>
    <row r="230" spans="1:27" x14ac:dyDescent="0.25">
      <c r="A230" t="s">
        <v>518</v>
      </c>
      <c r="B230" s="75" t="s">
        <v>154</v>
      </c>
      <c r="C230" s="59">
        <f t="shared" si="12"/>
        <v>3.6254402320281751E-4</v>
      </c>
      <c r="D230" t="s">
        <v>465</v>
      </c>
      <c r="E230" s="59">
        <f t="shared" si="11"/>
        <v>3.1035727174305305E-2</v>
      </c>
      <c r="F230" s="129">
        <v>38616</v>
      </c>
      <c r="G230" s="129"/>
      <c r="H230" s="129">
        <v>3045</v>
      </c>
      <c r="I230" s="55">
        <v>2940</v>
      </c>
      <c r="J230" s="55">
        <v>2855</v>
      </c>
      <c r="K230" s="55">
        <v>2770</v>
      </c>
      <c r="L230" s="55">
        <v>2675</v>
      </c>
      <c r="M230" s="55">
        <v>2615</v>
      </c>
      <c r="N230" s="69" t="s">
        <v>154</v>
      </c>
      <c r="O230" s="129">
        <v>37694</v>
      </c>
      <c r="P230" s="129">
        <v>37911</v>
      </c>
      <c r="Q230" s="129">
        <v>38142</v>
      </c>
      <c r="R230" s="129">
        <v>38498</v>
      </c>
      <c r="S230" s="129">
        <v>38364</v>
      </c>
      <c r="T230" s="129">
        <v>38616</v>
      </c>
      <c r="U230" s="129">
        <v>38500</v>
      </c>
      <c r="V230" s="129">
        <v>38700</v>
      </c>
      <c r="W230" s="130"/>
      <c r="X230" s="130"/>
      <c r="Y230" s="129"/>
      <c r="Z230" s="129"/>
      <c r="AA230" s="129"/>
    </row>
    <row r="231" spans="1:27" x14ac:dyDescent="0.25">
      <c r="A231" t="s">
        <v>524</v>
      </c>
      <c r="B231" s="75" t="s">
        <v>334</v>
      </c>
      <c r="C231" s="59">
        <f t="shared" si="12"/>
        <v>2.6142110225422133E-3</v>
      </c>
      <c r="D231" t="s">
        <v>465</v>
      </c>
      <c r="E231" s="59">
        <f t="shared" si="11"/>
        <v>2.6258205689277898E-2</v>
      </c>
      <c r="F231" s="129">
        <v>23334</v>
      </c>
      <c r="G231" s="129"/>
      <c r="H231" s="129">
        <v>2000</v>
      </c>
      <c r="I231" s="55">
        <v>1915</v>
      </c>
      <c r="J231" s="55">
        <v>1880</v>
      </c>
      <c r="K231" s="55">
        <v>1815</v>
      </c>
      <c r="L231" s="55">
        <v>1770</v>
      </c>
      <c r="M231" s="55">
        <v>1760</v>
      </c>
      <c r="N231" s="69" t="s">
        <v>334</v>
      </c>
      <c r="O231" s="129">
        <v>22724</v>
      </c>
      <c r="P231" s="129">
        <v>22896</v>
      </c>
      <c r="Q231" s="129">
        <v>22923</v>
      </c>
      <c r="R231" s="129">
        <v>23262</v>
      </c>
      <c r="S231" s="129">
        <v>23325</v>
      </c>
      <c r="T231" s="129">
        <v>23334</v>
      </c>
      <c r="U231" s="129">
        <v>23700</v>
      </c>
      <c r="V231" s="129">
        <v>23700</v>
      </c>
      <c r="W231" s="130"/>
      <c r="X231" s="130"/>
      <c r="Y231" s="129"/>
      <c r="Z231" s="129"/>
      <c r="AA231" s="129"/>
    </row>
    <row r="232" spans="1:27" x14ac:dyDescent="0.25">
      <c r="A232" t="s">
        <v>515</v>
      </c>
      <c r="B232" s="75" t="s">
        <v>198</v>
      </c>
      <c r="C232" s="59">
        <f t="shared" si="12"/>
        <v>-6.3390268165174502E-3</v>
      </c>
      <c r="D232" t="s">
        <v>116</v>
      </c>
      <c r="E232" s="59">
        <f t="shared" si="11"/>
        <v>3.4753363228699555E-2</v>
      </c>
      <c r="F232" s="129">
        <v>31498</v>
      </c>
      <c r="G232" s="129"/>
      <c r="H232" s="129">
        <v>3005</v>
      </c>
      <c r="I232" s="55">
        <v>2855</v>
      </c>
      <c r="J232" s="55">
        <v>2755</v>
      </c>
      <c r="K232" s="55">
        <v>2670</v>
      </c>
      <c r="L232" s="55">
        <v>2560</v>
      </c>
      <c r="M232" s="55">
        <v>2540</v>
      </c>
      <c r="N232" s="69" t="s">
        <v>198</v>
      </c>
      <c r="O232" s="129">
        <v>31408</v>
      </c>
      <c r="P232" s="129">
        <v>31417</v>
      </c>
      <c r="Q232" s="129">
        <v>31360</v>
      </c>
      <c r="R232" s="129">
        <v>31468</v>
      </c>
      <c r="S232" s="129">
        <v>31419</v>
      </c>
      <c r="T232" s="129">
        <v>31498</v>
      </c>
      <c r="U232" s="129">
        <v>30500</v>
      </c>
      <c r="V232" s="129">
        <v>30300</v>
      </c>
      <c r="W232" s="130"/>
      <c r="X232" s="130"/>
      <c r="Y232" s="129"/>
      <c r="Z232" s="129"/>
      <c r="AA232" s="129"/>
    </row>
    <row r="233" spans="1:27" x14ac:dyDescent="0.25">
      <c r="A233" t="s">
        <v>520</v>
      </c>
      <c r="B233" s="75" t="s">
        <v>225</v>
      </c>
      <c r="C233" s="59">
        <f t="shared" si="12"/>
        <v>6.3137865421207407E-3</v>
      </c>
      <c r="D233" t="s">
        <v>465</v>
      </c>
      <c r="E233" s="59">
        <f t="shared" si="11"/>
        <v>2.8391167192429023E-2</v>
      </c>
      <c r="F233" s="129">
        <v>5781</v>
      </c>
      <c r="G233" s="129"/>
      <c r="H233" s="129">
        <v>690</v>
      </c>
      <c r="I233" s="55">
        <v>665</v>
      </c>
      <c r="J233" s="55">
        <v>660</v>
      </c>
      <c r="K233" s="55">
        <v>630</v>
      </c>
      <c r="L233" s="55">
        <v>615</v>
      </c>
      <c r="M233" s="55">
        <v>600</v>
      </c>
      <c r="N233" s="69" t="s">
        <v>225</v>
      </c>
      <c r="O233" s="129">
        <v>5441</v>
      </c>
      <c r="P233" s="129">
        <v>5556</v>
      </c>
      <c r="Q233" s="129">
        <v>5653</v>
      </c>
      <c r="R233" s="129">
        <v>5747</v>
      </c>
      <c r="S233" s="129">
        <v>5753</v>
      </c>
      <c r="T233" s="129">
        <v>5781</v>
      </c>
      <c r="U233" s="129">
        <v>5900</v>
      </c>
      <c r="V233" s="129">
        <v>6000</v>
      </c>
      <c r="W233" s="130"/>
      <c r="X233" s="130"/>
      <c r="Y233" s="129"/>
      <c r="Z233" s="129"/>
      <c r="AA233" s="129"/>
    </row>
    <row r="234" spans="1:27" x14ac:dyDescent="0.25">
      <c r="A234" t="s">
        <v>513</v>
      </c>
      <c r="B234" s="75" t="s">
        <v>382</v>
      </c>
      <c r="C234" s="59">
        <f t="shared" si="12"/>
        <v>-6.7506530921165068E-3</v>
      </c>
      <c r="D234" t="s">
        <v>465</v>
      </c>
      <c r="E234" s="59">
        <f t="shared" si="11"/>
        <v>2.7048528241845664E-2</v>
      </c>
      <c r="F234" s="129">
        <v>13653</v>
      </c>
      <c r="G234" s="129"/>
      <c r="H234" s="129">
        <v>1365</v>
      </c>
      <c r="I234" s="55">
        <v>1320</v>
      </c>
      <c r="J234" s="55">
        <v>1280</v>
      </c>
      <c r="K234" s="55">
        <v>1240</v>
      </c>
      <c r="L234" s="55">
        <v>1250</v>
      </c>
      <c r="M234" s="55">
        <v>1195</v>
      </c>
      <c r="N234" s="69" t="s">
        <v>382</v>
      </c>
      <c r="O234" s="129">
        <v>13110</v>
      </c>
      <c r="P234" s="129">
        <v>13127</v>
      </c>
      <c r="Q234" s="129">
        <v>13273</v>
      </c>
      <c r="R234" s="129">
        <v>13549</v>
      </c>
      <c r="S234" s="129">
        <v>13577</v>
      </c>
      <c r="T234" s="129">
        <v>13653</v>
      </c>
      <c r="U234" s="129">
        <v>13100</v>
      </c>
      <c r="V234" s="129">
        <v>13100</v>
      </c>
      <c r="W234" s="130"/>
      <c r="X234" s="130"/>
      <c r="Y234" s="129"/>
      <c r="Z234" s="129"/>
      <c r="AA234" s="129"/>
    </row>
    <row r="235" spans="1:27" x14ac:dyDescent="0.25">
      <c r="A235" t="s">
        <v>515</v>
      </c>
      <c r="B235" s="75" t="s">
        <v>199</v>
      </c>
      <c r="C235" s="59">
        <f t="shared" si="12"/>
        <v>1.9603364927105933E-3</v>
      </c>
      <c r="D235" t="s">
        <v>116</v>
      </c>
      <c r="E235" s="59">
        <f t="shared" si="11"/>
        <v>3.0743801652892561E-2</v>
      </c>
      <c r="F235" s="129">
        <v>43785</v>
      </c>
      <c r="G235" s="129"/>
      <c r="H235" s="129">
        <v>3280</v>
      </c>
      <c r="I235" s="55">
        <v>3180</v>
      </c>
      <c r="J235" s="55">
        <v>3150</v>
      </c>
      <c r="K235" s="55">
        <v>3065</v>
      </c>
      <c r="L235" s="55">
        <v>2915</v>
      </c>
      <c r="M235" s="55">
        <v>2815</v>
      </c>
      <c r="N235" s="69" t="s">
        <v>199</v>
      </c>
      <c r="O235" s="129">
        <v>43759</v>
      </c>
      <c r="P235" s="129">
        <v>43525</v>
      </c>
      <c r="Q235" s="129">
        <v>43429</v>
      </c>
      <c r="R235" s="129">
        <v>43584</v>
      </c>
      <c r="S235" s="129">
        <v>43661</v>
      </c>
      <c r="T235" s="129">
        <v>43785</v>
      </c>
      <c r="U235" s="129">
        <v>44100</v>
      </c>
      <c r="V235" s="129">
        <v>44300</v>
      </c>
      <c r="W235" s="130"/>
      <c r="X235" s="130"/>
      <c r="Y235" s="129"/>
      <c r="Z235" s="129"/>
      <c r="AA235" s="129"/>
    </row>
    <row r="236" spans="1:27" x14ac:dyDescent="0.25">
      <c r="A236" t="s">
        <v>520</v>
      </c>
      <c r="B236" s="75" t="s">
        <v>226</v>
      </c>
      <c r="C236" s="59">
        <f t="shared" si="12"/>
        <v>3.276304394006242E-3</v>
      </c>
      <c r="D236" t="s">
        <v>465</v>
      </c>
      <c r="E236" s="59">
        <f t="shared" si="11"/>
        <v>3.5280508964719494E-2</v>
      </c>
      <c r="F236" s="129">
        <v>20399</v>
      </c>
      <c r="G236" s="129"/>
      <c r="H236" s="129">
        <v>1905</v>
      </c>
      <c r="I236" s="55">
        <v>1860</v>
      </c>
      <c r="J236" s="55">
        <v>1800</v>
      </c>
      <c r="K236" s="55">
        <v>1745</v>
      </c>
      <c r="L236" s="55">
        <v>1640</v>
      </c>
      <c r="M236" s="55">
        <v>1600</v>
      </c>
      <c r="N236" s="69" t="s">
        <v>226</v>
      </c>
      <c r="O236" s="129">
        <v>20115</v>
      </c>
      <c r="P236" s="129">
        <v>20203</v>
      </c>
      <c r="Q236" s="129">
        <v>20262</v>
      </c>
      <c r="R236" s="129">
        <v>20332</v>
      </c>
      <c r="S236" s="129">
        <v>20235</v>
      </c>
      <c r="T236" s="129">
        <v>20399</v>
      </c>
      <c r="U236" s="129">
        <v>20700</v>
      </c>
      <c r="V236" s="129">
        <v>20800</v>
      </c>
      <c r="W236" s="130"/>
      <c r="X236" s="130"/>
      <c r="Y236" s="129"/>
      <c r="Z236" s="129"/>
      <c r="AA236" s="129"/>
    </row>
    <row r="237" spans="1:27" x14ac:dyDescent="0.25">
      <c r="A237" t="s">
        <v>517</v>
      </c>
      <c r="B237" s="75" t="s">
        <v>312</v>
      </c>
      <c r="C237" s="59">
        <f t="shared" si="12"/>
        <v>2.7389556559955009E-3</v>
      </c>
      <c r="D237" t="s">
        <v>116</v>
      </c>
      <c r="E237" s="59">
        <f t="shared" si="11"/>
        <v>1.9341801385681295E-2</v>
      </c>
      <c r="F237" s="129">
        <v>48011</v>
      </c>
      <c r="G237" s="129"/>
      <c r="H237" s="129">
        <v>3695</v>
      </c>
      <c r="I237" s="55">
        <v>3580</v>
      </c>
      <c r="J237" s="55">
        <v>3510</v>
      </c>
      <c r="K237" s="55">
        <v>3490</v>
      </c>
      <c r="L237" s="55">
        <v>3380</v>
      </c>
      <c r="M237" s="55">
        <v>3360</v>
      </c>
      <c r="N237" s="69" t="s">
        <v>312</v>
      </c>
      <c r="O237" s="129">
        <v>46169</v>
      </c>
      <c r="P237" s="129">
        <v>46671</v>
      </c>
      <c r="Q237" s="129">
        <v>47105</v>
      </c>
      <c r="R237" s="129">
        <v>47485</v>
      </c>
      <c r="S237" s="129">
        <v>47721</v>
      </c>
      <c r="T237" s="129">
        <v>48011</v>
      </c>
      <c r="U237" s="129">
        <v>48400</v>
      </c>
      <c r="V237" s="129">
        <v>48800</v>
      </c>
      <c r="W237" s="130"/>
      <c r="X237" s="130"/>
      <c r="Y237" s="129"/>
      <c r="Z237" s="129"/>
      <c r="AA237" s="129"/>
    </row>
    <row r="238" spans="1:27" x14ac:dyDescent="0.25">
      <c r="A238" t="s">
        <v>518</v>
      </c>
      <c r="B238" s="75" t="s">
        <v>155</v>
      </c>
      <c r="C238" s="59">
        <f t="shared" si="12"/>
        <v>-2.2748733796892438E-3</v>
      </c>
      <c r="D238" t="s">
        <v>465</v>
      </c>
      <c r="E238" s="59">
        <f t="shared" si="11"/>
        <v>2.5052192066805846E-2</v>
      </c>
      <c r="F238" s="129">
        <v>38830</v>
      </c>
      <c r="G238" s="129"/>
      <c r="H238" s="129">
        <v>3105</v>
      </c>
      <c r="I238" s="55">
        <v>3050</v>
      </c>
      <c r="J238" s="55">
        <v>2950</v>
      </c>
      <c r="K238" s="55">
        <v>2880</v>
      </c>
      <c r="L238" s="55">
        <v>2745</v>
      </c>
      <c r="M238" s="55">
        <v>2745</v>
      </c>
      <c r="N238" s="69" t="s">
        <v>155</v>
      </c>
      <c r="O238" s="129">
        <v>38181</v>
      </c>
      <c r="P238" s="129">
        <v>38204</v>
      </c>
      <c r="Q238" s="129">
        <v>38235</v>
      </c>
      <c r="R238" s="129">
        <v>38494</v>
      </c>
      <c r="S238" s="129">
        <v>38675</v>
      </c>
      <c r="T238" s="129">
        <v>38830</v>
      </c>
      <c r="U238" s="129">
        <v>38300</v>
      </c>
      <c r="V238" s="129">
        <v>38300</v>
      </c>
      <c r="W238" s="130"/>
      <c r="X238" s="130"/>
      <c r="Y238" s="129"/>
      <c r="Z238" s="129"/>
      <c r="AA238" s="129"/>
    </row>
    <row r="239" spans="1:27" x14ac:dyDescent="0.25">
      <c r="A239" t="s">
        <v>517</v>
      </c>
      <c r="B239" s="75" t="s">
        <v>726</v>
      </c>
      <c r="C239" s="59">
        <f t="shared" si="12"/>
        <v>1.0679185197386462E-2</v>
      </c>
      <c r="D239" t="s">
        <v>116</v>
      </c>
      <c r="E239" s="59">
        <f t="shared" si="11"/>
        <v>4.2886492039034413E-2</v>
      </c>
      <c r="F239" s="129">
        <v>60710</v>
      </c>
      <c r="G239" s="129"/>
      <c r="H239" s="129">
        <v>4475</v>
      </c>
      <c r="I239" s="55">
        <v>4220</v>
      </c>
      <c r="J239" s="55">
        <v>4005</v>
      </c>
      <c r="K239" s="55">
        <v>3875</v>
      </c>
      <c r="L239" s="55">
        <v>3730</v>
      </c>
      <c r="M239" s="55">
        <v>3640</v>
      </c>
      <c r="N239" s="69" t="s">
        <v>313</v>
      </c>
      <c r="O239" s="129">
        <v>54271</v>
      </c>
      <c r="P239" s="129">
        <v>55220</v>
      </c>
      <c r="Q239" s="129">
        <v>56954</v>
      </c>
      <c r="R239" s="129">
        <v>58004</v>
      </c>
      <c r="S239" s="129">
        <v>59642</v>
      </c>
      <c r="T239" s="129">
        <v>60710</v>
      </c>
      <c r="U239" s="129">
        <v>62800</v>
      </c>
      <c r="V239" s="129">
        <v>64599.999999999993</v>
      </c>
      <c r="W239" s="130"/>
      <c r="X239" s="130"/>
      <c r="Y239" s="129"/>
      <c r="Z239" s="129"/>
      <c r="AA239" s="129"/>
    </row>
    <row r="240" spans="1:27" x14ac:dyDescent="0.25">
      <c r="A240" t="s">
        <v>522</v>
      </c>
      <c r="B240" s="75" t="s">
        <v>416</v>
      </c>
      <c r="C240" s="59">
        <f t="shared" si="12"/>
        <v>2.1603456553048487E-3</v>
      </c>
      <c r="D240" t="s">
        <v>116</v>
      </c>
      <c r="E240" s="59">
        <f t="shared" si="11"/>
        <v>2.2545454545454546E-2</v>
      </c>
      <c r="F240" s="129">
        <v>20830</v>
      </c>
      <c r="G240" s="129"/>
      <c r="H240" s="129">
        <v>1490</v>
      </c>
      <c r="I240" s="55">
        <v>1445</v>
      </c>
      <c r="J240" s="55">
        <v>1385</v>
      </c>
      <c r="K240" s="55">
        <v>1365</v>
      </c>
      <c r="L240" s="55">
        <v>1345</v>
      </c>
      <c r="M240" s="55">
        <v>1335</v>
      </c>
      <c r="N240" s="69" t="s">
        <v>416</v>
      </c>
      <c r="O240" s="129">
        <v>20589</v>
      </c>
      <c r="P240" s="129">
        <v>20580</v>
      </c>
      <c r="Q240" s="129">
        <v>20562</v>
      </c>
      <c r="R240" s="129">
        <v>20705</v>
      </c>
      <c r="S240" s="129">
        <v>20806</v>
      </c>
      <c r="T240" s="129">
        <v>20830</v>
      </c>
      <c r="U240" s="129">
        <v>21000</v>
      </c>
      <c r="V240" s="129">
        <v>21100</v>
      </c>
      <c r="W240" s="130"/>
      <c r="X240" s="130"/>
      <c r="Y240" s="129"/>
      <c r="Z240" s="129"/>
      <c r="AA240" s="129"/>
    </row>
    <row r="241" spans="1:27" x14ac:dyDescent="0.25">
      <c r="A241" t="s">
        <v>522</v>
      </c>
      <c r="B241" s="75" t="s">
        <v>417</v>
      </c>
      <c r="C241" s="59">
        <f t="shared" si="12"/>
        <v>5.0985131831817118E-3</v>
      </c>
      <c r="D241" t="s">
        <v>439</v>
      </c>
      <c r="E241" s="59">
        <f t="shared" si="11"/>
        <v>2.6834481120873901E-2</v>
      </c>
      <c r="F241" s="129">
        <v>61227</v>
      </c>
      <c r="G241" s="129"/>
      <c r="H241" s="129">
        <v>4610</v>
      </c>
      <c r="I241" s="55">
        <v>4425</v>
      </c>
      <c r="J241" s="55">
        <v>4320</v>
      </c>
      <c r="K241" s="55">
        <v>4180</v>
      </c>
      <c r="L241" s="55">
        <v>4085</v>
      </c>
      <c r="M241" s="55">
        <v>4045</v>
      </c>
      <c r="N241" s="69" t="s">
        <v>417</v>
      </c>
      <c r="O241" s="129">
        <v>58293</v>
      </c>
      <c r="P241" s="129">
        <v>58763</v>
      </c>
      <c r="Q241" s="129">
        <v>59139</v>
      </c>
      <c r="R241" s="129">
        <v>59965</v>
      </c>
      <c r="S241" s="129">
        <v>60743</v>
      </c>
      <c r="T241" s="129">
        <v>61227</v>
      </c>
      <c r="U241" s="129">
        <v>62600</v>
      </c>
      <c r="V241" s="129">
        <v>63100</v>
      </c>
      <c r="W241" s="130"/>
      <c r="X241" s="130"/>
      <c r="Y241" s="129"/>
      <c r="Z241" s="129"/>
      <c r="AA241" s="129"/>
    </row>
    <row r="242" spans="1:27" x14ac:dyDescent="0.25">
      <c r="A242" t="s">
        <v>513</v>
      </c>
      <c r="B242" s="75" t="s">
        <v>383</v>
      </c>
      <c r="C242" s="59">
        <f t="shared" si="12"/>
        <v>5.742689757511815E-3</v>
      </c>
      <c r="D242" t="s">
        <v>439</v>
      </c>
      <c r="E242" s="59">
        <f t="shared" si="11"/>
        <v>2.2381535233432417E-2</v>
      </c>
      <c r="F242" s="129">
        <v>77722</v>
      </c>
      <c r="G242" s="129"/>
      <c r="H242" s="129">
        <v>6130</v>
      </c>
      <c r="I242" s="55">
        <v>5945</v>
      </c>
      <c r="J242" s="55">
        <v>5850</v>
      </c>
      <c r="K242" s="55">
        <v>5750</v>
      </c>
      <c r="L242" s="55">
        <v>5560</v>
      </c>
      <c r="M242" s="55">
        <v>5490</v>
      </c>
      <c r="N242" s="69" t="s">
        <v>383</v>
      </c>
      <c r="O242" s="129">
        <v>77186</v>
      </c>
      <c r="P242" s="129">
        <v>77200</v>
      </c>
      <c r="Q242" s="129">
        <v>77245</v>
      </c>
      <c r="R242" s="129">
        <v>77588</v>
      </c>
      <c r="S242" s="129">
        <v>77559</v>
      </c>
      <c r="T242" s="129">
        <v>77722</v>
      </c>
      <c r="U242" s="129">
        <v>79800</v>
      </c>
      <c r="V242" s="129">
        <v>80400</v>
      </c>
      <c r="W242" s="130"/>
      <c r="X242" s="130"/>
      <c r="Y242" s="129"/>
      <c r="Z242" s="129"/>
      <c r="AA242" s="129"/>
    </row>
    <row r="243" spans="1:27" x14ac:dyDescent="0.25">
      <c r="A243" t="s">
        <v>517</v>
      </c>
      <c r="B243" s="75" t="s">
        <v>314</v>
      </c>
      <c r="C243" s="59">
        <f t="shared" si="12"/>
        <v>8.594489809071933E-3</v>
      </c>
      <c r="D243" t="s">
        <v>439</v>
      </c>
      <c r="E243" s="59">
        <f t="shared" si="11"/>
        <v>4.2871778705965799E-2</v>
      </c>
      <c r="F243" s="129">
        <v>672330</v>
      </c>
      <c r="G243" s="129"/>
      <c r="H243" s="129">
        <v>58340</v>
      </c>
      <c r="I243" s="55">
        <v>54665</v>
      </c>
      <c r="J243" s="55">
        <v>52950</v>
      </c>
      <c r="K243" s="55">
        <v>50425</v>
      </c>
      <c r="L243" s="55">
        <v>48280</v>
      </c>
      <c r="M243" s="55">
        <v>47460</v>
      </c>
      <c r="N243" s="69" t="s">
        <v>314</v>
      </c>
      <c r="O243" s="129">
        <v>651446</v>
      </c>
      <c r="P243" s="129">
        <v>651631</v>
      </c>
      <c r="Q243" s="129">
        <v>655473</v>
      </c>
      <c r="R243" s="129">
        <v>664071</v>
      </c>
      <c r="S243" s="129">
        <v>670610</v>
      </c>
      <c r="T243" s="129">
        <v>672330</v>
      </c>
      <c r="U243" s="129">
        <v>696800</v>
      </c>
      <c r="V243" s="129">
        <v>707000</v>
      </c>
      <c r="W243" s="130"/>
      <c r="X243" s="130"/>
      <c r="Y243" s="129"/>
      <c r="Z243" s="129"/>
      <c r="AA243" s="129"/>
    </row>
    <row r="244" spans="1:27" x14ac:dyDescent="0.25">
      <c r="A244" t="s">
        <v>515</v>
      </c>
      <c r="B244" s="75" t="s">
        <v>200</v>
      </c>
      <c r="C244" s="59">
        <f t="shared" si="12"/>
        <v>1.4887436456063906E-2</v>
      </c>
      <c r="D244" t="s">
        <v>439</v>
      </c>
      <c r="E244" s="59">
        <f t="shared" si="11"/>
        <v>4.3478260869565216E-2</v>
      </c>
      <c r="F244" s="129">
        <v>1836</v>
      </c>
      <c r="G244" s="129"/>
      <c r="H244" s="129">
        <v>185</v>
      </c>
      <c r="I244" s="55">
        <v>175</v>
      </c>
      <c r="J244" s="55">
        <v>165</v>
      </c>
      <c r="K244" s="55">
        <v>160</v>
      </c>
      <c r="L244" s="55">
        <v>155</v>
      </c>
      <c r="M244" s="55">
        <v>150</v>
      </c>
      <c r="N244" s="69" t="s">
        <v>200</v>
      </c>
      <c r="O244" s="129">
        <v>1698</v>
      </c>
      <c r="P244" s="129">
        <v>1726</v>
      </c>
      <c r="Q244" s="129">
        <v>1756</v>
      </c>
      <c r="R244" s="129">
        <v>1752</v>
      </c>
      <c r="S244" s="129">
        <v>1831</v>
      </c>
      <c r="T244" s="129">
        <v>1836</v>
      </c>
      <c r="U244" s="129">
        <v>1900</v>
      </c>
      <c r="V244" s="129">
        <v>2000</v>
      </c>
      <c r="W244" s="130"/>
      <c r="X244" s="130"/>
      <c r="Y244" s="129"/>
      <c r="Z244" s="129"/>
      <c r="AA244" s="129"/>
    </row>
    <row r="245" spans="1:27" x14ac:dyDescent="0.25">
      <c r="A245" t="s">
        <v>522</v>
      </c>
      <c r="B245" s="75" t="s">
        <v>384</v>
      </c>
      <c r="C245" s="59">
        <f t="shared" si="12"/>
        <v>-2.0284539290874736E-3</v>
      </c>
      <c r="D245" t="s">
        <v>116</v>
      </c>
      <c r="E245" s="59">
        <f t="shared" si="11"/>
        <v>2.4186046511627906E-2</v>
      </c>
      <c r="F245" s="129">
        <v>23992</v>
      </c>
      <c r="G245" s="129"/>
      <c r="H245" s="129">
        <v>2300</v>
      </c>
      <c r="I245" s="55">
        <v>2245</v>
      </c>
      <c r="J245" s="55">
        <v>2210</v>
      </c>
      <c r="K245" s="55">
        <v>2165</v>
      </c>
      <c r="L245" s="55">
        <v>2090</v>
      </c>
      <c r="M245" s="55">
        <v>2040</v>
      </c>
      <c r="N245" s="69" t="s">
        <v>384</v>
      </c>
      <c r="O245" s="129">
        <v>22917</v>
      </c>
      <c r="P245" s="129">
        <v>23080</v>
      </c>
      <c r="Q245" s="129">
        <v>23351</v>
      </c>
      <c r="R245" s="129">
        <v>23614</v>
      </c>
      <c r="S245" s="129">
        <v>23920</v>
      </c>
      <c r="T245" s="129">
        <v>23992</v>
      </c>
      <c r="U245" s="129">
        <v>23600</v>
      </c>
      <c r="V245" s="129">
        <v>23700</v>
      </c>
      <c r="W245" s="130"/>
      <c r="X245" s="130"/>
      <c r="Y245" s="129"/>
      <c r="Z245" s="129"/>
      <c r="AA245" s="129"/>
    </row>
    <row r="246" spans="1:27" x14ac:dyDescent="0.25">
      <c r="A246" t="s">
        <v>514</v>
      </c>
      <c r="B246" s="75" t="s">
        <v>269</v>
      </c>
      <c r="C246" s="59">
        <f t="shared" si="12"/>
        <v>-3.1059322617522692E-3</v>
      </c>
      <c r="D246" t="s">
        <v>116</v>
      </c>
      <c r="E246" s="59">
        <f t="shared" si="11"/>
        <v>2.1500457456541628E-2</v>
      </c>
      <c r="F246" s="129">
        <v>48402</v>
      </c>
      <c r="G246" s="129"/>
      <c r="H246" s="129">
        <v>4665</v>
      </c>
      <c r="I246" s="55">
        <v>4525</v>
      </c>
      <c r="J246" s="55">
        <v>4470</v>
      </c>
      <c r="K246" s="55">
        <v>4385</v>
      </c>
      <c r="L246" s="55">
        <v>4285</v>
      </c>
      <c r="M246" s="55">
        <v>4195</v>
      </c>
      <c r="N246" s="69" t="s">
        <v>269</v>
      </c>
      <c r="O246" s="129">
        <v>46523</v>
      </c>
      <c r="P246" s="129">
        <v>46532</v>
      </c>
      <c r="Q246" s="129">
        <v>46831</v>
      </c>
      <c r="R246" s="129">
        <v>47454</v>
      </c>
      <c r="S246" s="129">
        <v>47744</v>
      </c>
      <c r="T246" s="129">
        <v>48402</v>
      </c>
      <c r="U246" s="129">
        <v>47100</v>
      </c>
      <c r="V246" s="129">
        <v>47500</v>
      </c>
      <c r="W246" s="130"/>
      <c r="X246" s="130"/>
      <c r="Y246" s="129"/>
      <c r="Z246" s="129"/>
      <c r="AA246" s="129"/>
    </row>
    <row r="247" spans="1:27" x14ac:dyDescent="0.25">
      <c r="A247" t="s">
        <v>515</v>
      </c>
      <c r="B247" s="75" t="s">
        <v>201</v>
      </c>
      <c r="C247" s="59">
        <f t="shared" si="12"/>
        <v>4.0951206400404771E-3</v>
      </c>
      <c r="D247" t="s">
        <v>465</v>
      </c>
      <c r="E247" s="59">
        <f t="shared" si="11"/>
        <v>2.5670945157526253E-2</v>
      </c>
      <c r="F247" s="129">
        <v>10541</v>
      </c>
      <c r="G247" s="129"/>
      <c r="H247" s="129">
        <v>925</v>
      </c>
      <c r="I247" s="55">
        <v>910</v>
      </c>
      <c r="J247" s="55">
        <v>890</v>
      </c>
      <c r="K247" s="55">
        <v>850</v>
      </c>
      <c r="L247" s="55">
        <v>820</v>
      </c>
      <c r="M247" s="55">
        <v>815</v>
      </c>
      <c r="N247" s="69" t="s">
        <v>201</v>
      </c>
      <c r="O247" s="129">
        <v>9866</v>
      </c>
      <c r="P247" s="129">
        <v>10128</v>
      </c>
      <c r="Q247" s="129">
        <v>10322</v>
      </c>
      <c r="R247" s="129">
        <v>10387</v>
      </c>
      <c r="S247" s="129">
        <v>10343</v>
      </c>
      <c r="T247" s="129">
        <v>10541</v>
      </c>
      <c r="U247" s="129">
        <v>10600</v>
      </c>
      <c r="V247" s="129">
        <v>10800</v>
      </c>
      <c r="W247" s="130"/>
      <c r="X247" s="130"/>
      <c r="Y247" s="129"/>
      <c r="Z247" s="129"/>
      <c r="AA247" s="129"/>
    </row>
    <row r="248" spans="1:27" x14ac:dyDescent="0.25">
      <c r="A248" t="s">
        <v>517</v>
      </c>
      <c r="B248" s="75" t="s">
        <v>315</v>
      </c>
      <c r="C248" s="59">
        <f t="shared" si="12"/>
        <v>6.5427956572471401E-3</v>
      </c>
      <c r="D248" s="140" t="s">
        <v>116</v>
      </c>
      <c r="E248" s="59">
        <f t="shared" si="11"/>
        <v>3.0795390137918006E-2</v>
      </c>
      <c r="F248" s="129">
        <v>82559</v>
      </c>
      <c r="G248" s="129"/>
      <c r="H248" s="129">
        <v>5890</v>
      </c>
      <c r="I248" s="55">
        <v>5595</v>
      </c>
      <c r="J248" s="55">
        <v>5450</v>
      </c>
      <c r="K248" s="55">
        <v>5265</v>
      </c>
      <c r="L248" s="55">
        <v>5080</v>
      </c>
      <c r="M248" s="55">
        <v>5075</v>
      </c>
      <c r="N248" s="69" t="s">
        <v>315</v>
      </c>
      <c r="O248" s="129">
        <v>78778</v>
      </c>
      <c r="P248" s="129">
        <v>79279</v>
      </c>
      <c r="Q248" s="129">
        <v>79777</v>
      </c>
      <c r="R248" s="129">
        <v>80631</v>
      </c>
      <c r="S248" s="129">
        <v>81838</v>
      </c>
      <c r="T248" s="129">
        <v>82559</v>
      </c>
      <c r="U248" s="129">
        <v>84100</v>
      </c>
      <c r="V248" s="129">
        <v>85800</v>
      </c>
      <c r="W248" s="130"/>
      <c r="X248" s="130"/>
      <c r="Y248" s="129"/>
      <c r="Z248" s="129"/>
      <c r="AA248" s="129"/>
    </row>
    <row r="249" spans="1:27" x14ac:dyDescent="0.25">
      <c r="A249" t="s">
        <v>516</v>
      </c>
      <c r="B249" s="75" t="s">
        <v>133</v>
      </c>
      <c r="C249" s="59">
        <f t="shared" si="12"/>
        <v>5.5096418732782362E-3</v>
      </c>
      <c r="D249" t="s">
        <v>439</v>
      </c>
      <c r="E249" s="59">
        <f t="shared" si="11"/>
        <v>1.7094017094017096E-2</v>
      </c>
      <c r="F249" s="129">
        <v>968</v>
      </c>
      <c r="G249" s="129"/>
      <c r="H249" s="129">
        <v>115</v>
      </c>
      <c r="I249" s="55">
        <v>125</v>
      </c>
      <c r="J249" s="55">
        <v>130</v>
      </c>
      <c r="K249" s="55">
        <v>110</v>
      </c>
      <c r="L249" s="55">
        <v>115</v>
      </c>
      <c r="M249" s="55">
        <v>105</v>
      </c>
      <c r="N249" s="69" t="s">
        <v>133</v>
      </c>
      <c r="O249" s="129">
        <v>944</v>
      </c>
      <c r="P249" s="129">
        <v>931</v>
      </c>
      <c r="Q249" s="129">
        <v>944</v>
      </c>
      <c r="R249" s="129">
        <v>985</v>
      </c>
      <c r="S249" s="129">
        <v>972</v>
      </c>
      <c r="T249" s="129">
        <v>968</v>
      </c>
      <c r="U249" s="129">
        <v>1000</v>
      </c>
      <c r="V249" s="129">
        <v>1000</v>
      </c>
      <c r="W249" s="130"/>
      <c r="X249" s="130"/>
      <c r="Y249" s="129"/>
      <c r="Z249" s="129"/>
      <c r="AA249" s="129"/>
    </row>
    <row r="250" spans="1:27" x14ac:dyDescent="0.25">
      <c r="A250" t="s">
        <v>524</v>
      </c>
      <c r="B250" s="75" t="s">
        <v>335</v>
      </c>
      <c r="C250" s="59">
        <f t="shared" si="12"/>
        <v>-4.4736230536834764E-3</v>
      </c>
      <c r="D250" t="s">
        <v>116</v>
      </c>
      <c r="E250" s="59">
        <f t="shared" si="11"/>
        <v>2.1938350458206055E-2</v>
      </c>
      <c r="F250" s="129">
        <v>34424</v>
      </c>
      <c r="G250" s="129"/>
      <c r="H250" s="129">
        <v>3870</v>
      </c>
      <c r="I250" s="55">
        <v>3770</v>
      </c>
      <c r="J250" s="55">
        <v>3685</v>
      </c>
      <c r="K250" s="55">
        <v>3615</v>
      </c>
      <c r="L250" s="55">
        <v>3460</v>
      </c>
      <c r="M250" s="55">
        <v>3475</v>
      </c>
      <c r="N250" s="69" t="s">
        <v>335</v>
      </c>
      <c r="O250" s="129">
        <v>33839</v>
      </c>
      <c r="P250" s="129">
        <v>34065</v>
      </c>
      <c r="Q250" s="129">
        <v>34157</v>
      </c>
      <c r="R250" s="129">
        <v>34549</v>
      </c>
      <c r="S250" s="129">
        <v>34631</v>
      </c>
      <c r="T250" s="129">
        <v>34424</v>
      </c>
      <c r="U250" s="129">
        <v>33600</v>
      </c>
      <c r="V250" s="129">
        <v>33500</v>
      </c>
      <c r="W250" s="130"/>
      <c r="X250" s="130"/>
      <c r="Y250" s="129"/>
      <c r="Z250" s="129"/>
      <c r="AA250" s="129"/>
    </row>
    <row r="251" spans="1:27" x14ac:dyDescent="0.25">
      <c r="A251" t="s">
        <v>517</v>
      </c>
      <c r="B251" s="75" t="s">
        <v>441</v>
      </c>
      <c r="C251" s="59">
        <f t="shared" si="12"/>
        <v>1.4977507789148498E-2</v>
      </c>
      <c r="D251" t="s">
        <v>439</v>
      </c>
      <c r="E251" s="59">
        <f t="shared" si="11"/>
        <v>4.8582635050811195E-2</v>
      </c>
      <c r="F251" s="129">
        <v>568419</v>
      </c>
      <c r="G251" s="129"/>
      <c r="H251" s="129">
        <v>52570</v>
      </c>
      <c r="I251" s="55">
        <v>48735</v>
      </c>
      <c r="J251" s="55">
        <v>46785</v>
      </c>
      <c r="K251" s="55">
        <v>44635</v>
      </c>
      <c r="L251" s="55">
        <v>42535</v>
      </c>
      <c r="M251" s="55">
        <v>41670</v>
      </c>
      <c r="N251" s="69" t="s">
        <v>441</v>
      </c>
      <c r="O251" s="129">
        <v>545339</v>
      </c>
      <c r="P251" s="129">
        <v>548320</v>
      </c>
      <c r="Q251" s="129">
        <v>553039</v>
      </c>
      <c r="R251" s="129">
        <v>562416</v>
      </c>
      <c r="S251" s="129">
        <v>566221</v>
      </c>
      <c r="T251" s="129">
        <v>568419</v>
      </c>
      <c r="U251" s="129">
        <v>605900</v>
      </c>
      <c r="V251" s="129">
        <v>619500</v>
      </c>
      <c r="W251" s="130"/>
      <c r="X251" s="130"/>
      <c r="Y251" s="129"/>
      <c r="Z251" s="129"/>
      <c r="AA251" s="129"/>
    </row>
    <row r="252" spans="1:27" x14ac:dyDescent="0.25">
      <c r="A252" t="s">
        <v>513</v>
      </c>
      <c r="B252" s="75" t="s">
        <v>476</v>
      </c>
      <c r="C252" s="59">
        <f t="shared" si="12"/>
        <v>3.4487312011653262E-3</v>
      </c>
      <c r="D252" t="s">
        <v>439</v>
      </c>
      <c r="E252" s="59">
        <f t="shared" ref="E252:E313" si="13">SUM(H252,-M252)/(SUM(I252,J252,K252,L252,M252))</f>
        <v>3.4644896624098781E-2</v>
      </c>
      <c r="F252" s="129">
        <v>161557</v>
      </c>
      <c r="G252" s="129"/>
      <c r="H252" s="129">
        <v>16455</v>
      </c>
      <c r="I252" s="55">
        <v>15825</v>
      </c>
      <c r="J252" s="55">
        <v>15370</v>
      </c>
      <c r="K252" s="61">
        <v>14785</v>
      </c>
      <c r="L252" s="61">
        <v>13480</v>
      </c>
      <c r="M252" s="61">
        <v>13913</v>
      </c>
      <c r="N252" s="69" t="s">
        <v>476</v>
      </c>
      <c r="O252" s="129">
        <v>155081</v>
      </c>
      <c r="P252" s="129">
        <v>155490</v>
      </c>
      <c r="Q252" s="129">
        <v>156521</v>
      </c>
      <c r="R252" s="129">
        <v>158796</v>
      </c>
      <c r="S252" s="129">
        <v>160757</v>
      </c>
      <c r="T252" s="129">
        <v>161557</v>
      </c>
      <c r="U252" s="129">
        <v>162500</v>
      </c>
      <c r="V252" s="129">
        <v>164900</v>
      </c>
      <c r="W252" s="130"/>
      <c r="X252" s="130"/>
      <c r="Y252" s="129"/>
      <c r="Z252" s="129"/>
      <c r="AA252" s="129"/>
    </row>
    <row r="253" spans="1:27" x14ac:dyDescent="0.25">
      <c r="A253" t="s">
        <v>522</v>
      </c>
      <c r="B253" s="75" t="s">
        <v>418</v>
      </c>
      <c r="C253" s="59">
        <f t="shared" si="12"/>
        <v>6.9444444444444441E-3</v>
      </c>
      <c r="D253" t="s">
        <v>116</v>
      </c>
      <c r="E253" s="59">
        <f t="shared" si="13"/>
        <v>1.6260162601626018E-2</v>
      </c>
      <c r="F253" s="129">
        <v>10272</v>
      </c>
      <c r="G253" s="129"/>
      <c r="H253" s="129">
        <v>655</v>
      </c>
      <c r="I253" s="55">
        <v>650</v>
      </c>
      <c r="J253" s="55">
        <v>625</v>
      </c>
      <c r="K253" s="55">
        <v>605</v>
      </c>
      <c r="L253" s="55">
        <v>590</v>
      </c>
      <c r="M253" s="55">
        <v>605</v>
      </c>
      <c r="N253" s="69" t="s">
        <v>418</v>
      </c>
      <c r="O253" s="129">
        <v>10546</v>
      </c>
      <c r="P253" s="129">
        <v>10477</v>
      </c>
      <c r="Q253" s="129">
        <v>10425</v>
      </c>
      <c r="R253" s="129">
        <v>10398</v>
      </c>
      <c r="S253" s="129">
        <v>10255</v>
      </c>
      <c r="T253" s="129">
        <v>10272</v>
      </c>
      <c r="U253" s="129">
        <v>10700</v>
      </c>
      <c r="V253" s="129">
        <v>10700</v>
      </c>
      <c r="W253" s="130"/>
      <c r="X253" s="130"/>
      <c r="Y253" s="129"/>
      <c r="Z253" s="129"/>
      <c r="AA253" s="129"/>
    </row>
    <row r="254" spans="1:27" x14ac:dyDescent="0.25">
      <c r="A254" t="s">
        <v>513</v>
      </c>
      <c r="B254" s="75" t="s">
        <v>385</v>
      </c>
      <c r="C254" s="59">
        <f t="shared" si="12"/>
        <v>-5.9056205597357104E-3</v>
      </c>
      <c r="D254" t="s">
        <v>465</v>
      </c>
      <c r="E254" s="59">
        <f t="shared" si="13"/>
        <v>2.5482344375682562E-2</v>
      </c>
      <c r="F254" s="129">
        <v>30169</v>
      </c>
      <c r="G254" s="129"/>
      <c r="H254" s="129">
        <v>2980</v>
      </c>
      <c r="I254" s="55">
        <v>2900</v>
      </c>
      <c r="J254" s="55">
        <v>2845</v>
      </c>
      <c r="K254" s="55">
        <v>2720</v>
      </c>
      <c r="L254" s="55">
        <v>2640</v>
      </c>
      <c r="M254" s="55">
        <v>2630</v>
      </c>
      <c r="N254" s="69" t="s">
        <v>385</v>
      </c>
      <c r="O254" s="129">
        <v>29202</v>
      </c>
      <c r="P254" s="129">
        <v>29498</v>
      </c>
      <c r="Q254" s="129">
        <v>29722</v>
      </c>
      <c r="R254" s="129">
        <v>30131</v>
      </c>
      <c r="S254" s="129">
        <v>30094</v>
      </c>
      <c r="T254" s="129">
        <v>30169</v>
      </c>
      <c r="U254" s="129">
        <v>29200</v>
      </c>
      <c r="V254" s="129">
        <v>29100</v>
      </c>
      <c r="W254" s="130"/>
      <c r="X254" s="130"/>
      <c r="Y254" s="129"/>
      <c r="Z254" s="129"/>
      <c r="AA254" s="129"/>
    </row>
    <row r="255" spans="1:27" x14ac:dyDescent="0.25">
      <c r="A255" t="s">
        <v>522</v>
      </c>
      <c r="B255" s="75" t="s">
        <v>419</v>
      </c>
      <c r="C255" s="59">
        <f t="shared" si="12"/>
        <v>-1.2380118286894374E-3</v>
      </c>
      <c r="D255" t="s">
        <v>439</v>
      </c>
      <c r="E255" s="59">
        <f t="shared" si="13"/>
        <v>2.331895863280626E-2</v>
      </c>
      <c r="F255" s="129">
        <v>92487</v>
      </c>
      <c r="G255" s="129"/>
      <c r="H255" s="129">
        <v>6750</v>
      </c>
      <c r="I255" s="55">
        <v>6510</v>
      </c>
      <c r="J255" s="55">
        <v>6415</v>
      </c>
      <c r="K255" s="55">
        <v>6250</v>
      </c>
      <c r="L255" s="55">
        <v>6110</v>
      </c>
      <c r="M255" s="55">
        <v>6020</v>
      </c>
      <c r="N255" s="69" t="s">
        <v>419</v>
      </c>
      <c r="O255" s="129">
        <v>92487</v>
      </c>
      <c r="P255" s="129">
        <v>91743</v>
      </c>
      <c r="Q255" s="129">
        <v>91728</v>
      </c>
      <c r="R255" s="129">
        <v>92232</v>
      </c>
      <c r="S255" s="129">
        <v>92650</v>
      </c>
      <c r="T255" s="129">
        <v>92487</v>
      </c>
      <c r="U255" s="129">
        <v>91800</v>
      </c>
      <c r="V255" s="129">
        <v>91800</v>
      </c>
      <c r="W255" s="130"/>
      <c r="X255" s="130"/>
      <c r="Y255" s="129"/>
      <c r="Z255" s="129"/>
      <c r="AA255" s="129"/>
    </row>
    <row r="256" spans="1:27" x14ac:dyDescent="0.25">
      <c r="A256" t="s">
        <v>517</v>
      </c>
      <c r="B256" s="75" t="s">
        <v>316</v>
      </c>
      <c r="C256" s="59">
        <f t="shared" si="12"/>
        <v>-2.5124368758066735E-3</v>
      </c>
      <c r="D256" t="s">
        <v>116</v>
      </c>
      <c r="E256" s="59">
        <f t="shared" si="13"/>
        <v>1.9318181818181818E-2</v>
      </c>
      <c r="F256" s="129">
        <v>26601</v>
      </c>
      <c r="G256" s="129"/>
      <c r="H256" s="129">
        <v>1855</v>
      </c>
      <c r="I256" s="55">
        <v>1825</v>
      </c>
      <c r="J256" s="55">
        <v>1820</v>
      </c>
      <c r="K256" s="55">
        <v>1765</v>
      </c>
      <c r="L256" s="55">
        <v>1705</v>
      </c>
      <c r="M256" s="55">
        <v>1685</v>
      </c>
      <c r="N256" s="69" t="s">
        <v>316</v>
      </c>
      <c r="O256" s="129">
        <v>25214</v>
      </c>
      <c r="P256" s="129">
        <v>25597</v>
      </c>
      <c r="Q256" s="129">
        <v>25890</v>
      </c>
      <c r="R256" s="129">
        <v>26178</v>
      </c>
      <c r="S256" s="129">
        <v>26261</v>
      </c>
      <c r="T256" s="129">
        <v>26601</v>
      </c>
      <c r="U256" s="129">
        <v>26100</v>
      </c>
      <c r="V256" s="129">
        <v>26200</v>
      </c>
      <c r="W256" s="130"/>
      <c r="X256" s="130"/>
      <c r="Y256" s="129"/>
      <c r="Z256" s="129"/>
      <c r="AA256" s="129"/>
    </row>
    <row r="257" spans="1:27" x14ac:dyDescent="0.25">
      <c r="A257" t="s">
        <v>524</v>
      </c>
      <c r="B257" s="75" t="s">
        <v>336</v>
      </c>
      <c r="C257" s="59">
        <f t="shared" si="12"/>
        <v>-9.3658902646693801E-3</v>
      </c>
      <c r="D257" t="s">
        <v>116</v>
      </c>
      <c r="E257" s="59">
        <f t="shared" si="13"/>
        <v>1.7571261226083563E-2</v>
      </c>
      <c r="F257" s="129">
        <v>23098</v>
      </c>
      <c r="G257" s="129"/>
      <c r="H257" s="129">
        <v>2695</v>
      </c>
      <c r="I257" s="55">
        <v>2660</v>
      </c>
      <c r="J257" s="55">
        <v>2620</v>
      </c>
      <c r="K257" s="55">
        <v>2555</v>
      </c>
      <c r="L257" s="55">
        <v>2500</v>
      </c>
      <c r="M257" s="55">
        <v>2470</v>
      </c>
      <c r="N257" s="69" t="s">
        <v>336</v>
      </c>
      <c r="O257" s="129">
        <v>23230</v>
      </c>
      <c r="P257" s="129">
        <v>23166</v>
      </c>
      <c r="Q257" s="129">
        <v>23136</v>
      </c>
      <c r="R257" s="129">
        <v>23248</v>
      </c>
      <c r="S257" s="129">
        <v>23150</v>
      </c>
      <c r="T257" s="129">
        <v>23098</v>
      </c>
      <c r="U257" s="129">
        <v>22000</v>
      </c>
      <c r="V257" s="129">
        <v>21800</v>
      </c>
      <c r="W257" s="130"/>
      <c r="X257" s="130"/>
      <c r="Y257" s="129"/>
      <c r="Z257" s="129"/>
      <c r="AA257" s="129"/>
    </row>
    <row r="258" spans="1:27" x14ac:dyDescent="0.25">
      <c r="A258" t="s">
        <v>516</v>
      </c>
      <c r="B258" s="75" t="s">
        <v>134</v>
      </c>
      <c r="C258" s="59">
        <f t="shared" si="12"/>
        <v>-2.6126047231222814E-3</v>
      </c>
      <c r="D258" t="s">
        <v>439</v>
      </c>
      <c r="E258" s="59">
        <f t="shared" si="13"/>
        <v>2.4166009981612818E-2</v>
      </c>
      <c r="F258" s="129">
        <v>57095</v>
      </c>
      <c r="G258" s="129"/>
      <c r="H258" s="129">
        <v>4115</v>
      </c>
      <c r="I258" s="55">
        <v>3970</v>
      </c>
      <c r="J258" s="55">
        <v>3925</v>
      </c>
      <c r="K258" s="55">
        <v>3810</v>
      </c>
      <c r="L258" s="55">
        <v>3675</v>
      </c>
      <c r="M258" s="55">
        <v>3655</v>
      </c>
      <c r="N258" s="69" t="s">
        <v>134</v>
      </c>
      <c r="O258" s="129">
        <v>56214</v>
      </c>
      <c r="P258" s="129">
        <v>56040</v>
      </c>
      <c r="Q258" s="129">
        <v>55902</v>
      </c>
      <c r="R258" s="129">
        <v>56098</v>
      </c>
      <c r="S258" s="129">
        <v>56661</v>
      </c>
      <c r="T258" s="129">
        <v>57095</v>
      </c>
      <c r="U258" s="129">
        <v>56200</v>
      </c>
      <c r="V258" s="129">
        <v>56200</v>
      </c>
      <c r="W258" s="130"/>
      <c r="X258" s="130"/>
      <c r="Y258" s="129"/>
      <c r="Z258" s="129"/>
      <c r="AA258" s="129"/>
    </row>
    <row r="259" spans="1:27" x14ac:dyDescent="0.25">
      <c r="A259" t="s">
        <v>520</v>
      </c>
      <c r="B259" s="75" t="s">
        <v>227</v>
      </c>
      <c r="C259" s="59">
        <f t="shared" ref="C259:C322" si="14">(SUM(V259,-T259)/6)/T259</f>
        <v>-2.0867620813455278E-3</v>
      </c>
      <c r="D259" t="s">
        <v>116</v>
      </c>
      <c r="E259" s="59">
        <f t="shared" si="13"/>
        <v>2.4193548387096774E-2</v>
      </c>
      <c r="F259" s="129">
        <v>48001</v>
      </c>
      <c r="G259" s="129"/>
      <c r="H259" s="129">
        <v>4975</v>
      </c>
      <c r="I259" s="55">
        <v>4830</v>
      </c>
      <c r="J259" s="55">
        <v>4720</v>
      </c>
      <c r="K259" s="55">
        <v>4555</v>
      </c>
      <c r="L259" s="55">
        <v>4415</v>
      </c>
      <c r="M259" s="55">
        <v>4420</v>
      </c>
      <c r="N259" s="69" t="s">
        <v>227</v>
      </c>
      <c r="O259" s="129">
        <v>46620</v>
      </c>
      <c r="P259" s="129">
        <v>46906</v>
      </c>
      <c r="Q259" s="129">
        <v>47111</v>
      </c>
      <c r="R259" s="129">
        <v>47432</v>
      </c>
      <c r="S259" s="129">
        <v>47682</v>
      </c>
      <c r="T259" s="129">
        <v>48001</v>
      </c>
      <c r="U259" s="129">
        <v>47300</v>
      </c>
      <c r="V259" s="129">
        <v>47400</v>
      </c>
      <c r="W259" s="130"/>
      <c r="X259" s="130"/>
      <c r="Y259" s="129"/>
      <c r="Z259" s="129"/>
      <c r="AA259" s="129"/>
    </row>
    <row r="260" spans="1:27" x14ac:dyDescent="0.25">
      <c r="A260" t="s">
        <v>513</v>
      </c>
      <c r="B260" s="75" t="s">
        <v>386</v>
      </c>
      <c r="C260" s="59">
        <f t="shared" si="14"/>
        <v>4.8316348405395603E-3</v>
      </c>
      <c r="D260" t="s">
        <v>465</v>
      </c>
      <c r="E260" s="59">
        <f t="shared" si="13"/>
        <v>3.0165912518853696E-2</v>
      </c>
      <c r="F260" s="129">
        <v>20214</v>
      </c>
      <c r="G260" s="129"/>
      <c r="H260" s="129">
        <v>2190</v>
      </c>
      <c r="I260" s="55">
        <v>2135</v>
      </c>
      <c r="J260" s="55">
        <v>2040</v>
      </c>
      <c r="K260" s="55">
        <v>1980</v>
      </c>
      <c r="L260" s="55">
        <v>1900</v>
      </c>
      <c r="M260" s="55">
        <v>1890</v>
      </c>
      <c r="N260" s="69" t="s">
        <v>386</v>
      </c>
      <c r="O260" s="129">
        <v>19395</v>
      </c>
      <c r="P260" s="129">
        <v>19428</v>
      </c>
      <c r="Q260" s="129">
        <v>19701</v>
      </c>
      <c r="R260" s="129">
        <v>20068</v>
      </c>
      <c r="S260" s="129">
        <v>20188</v>
      </c>
      <c r="T260" s="129">
        <v>20214</v>
      </c>
      <c r="U260" s="129">
        <v>20600</v>
      </c>
      <c r="V260" s="129">
        <v>20800</v>
      </c>
      <c r="W260" s="130"/>
      <c r="X260" s="130"/>
      <c r="Y260" s="129"/>
      <c r="Z260" s="129"/>
      <c r="AA260" s="129"/>
    </row>
    <row r="261" spans="1:27" x14ac:dyDescent="0.25">
      <c r="A261" t="s">
        <v>513</v>
      </c>
      <c r="B261" s="75" t="s">
        <v>387</v>
      </c>
      <c r="C261" s="59">
        <f t="shared" si="14"/>
        <v>2.4820739106453391E-3</v>
      </c>
      <c r="D261" t="s">
        <v>465</v>
      </c>
      <c r="E261" s="59">
        <f t="shared" si="13"/>
        <v>2.4798512089274645E-2</v>
      </c>
      <c r="F261" s="129">
        <v>18130</v>
      </c>
      <c r="G261" s="129"/>
      <c r="H261" s="129">
        <v>1755</v>
      </c>
      <c r="I261" s="55">
        <v>1680</v>
      </c>
      <c r="J261" s="55">
        <v>1640</v>
      </c>
      <c r="K261" s="55">
        <v>1600</v>
      </c>
      <c r="L261" s="55">
        <v>1590</v>
      </c>
      <c r="M261" s="55">
        <v>1555</v>
      </c>
      <c r="N261" s="69" t="s">
        <v>387</v>
      </c>
      <c r="O261" s="129">
        <v>17279</v>
      </c>
      <c r="P261" s="129">
        <v>17552</v>
      </c>
      <c r="Q261" s="129">
        <v>17775</v>
      </c>
      <c r="R261" s="129">
        <v>18016</v>
      </c>
      <c r="S261" s="129">
        <v>17959</v>
      </c>
      <c r="T261" s="129">
        <v>18130</v>
      </c>
      <c r="U261" s="129">
        <v>18200</v>
      </c>
      <c r="V261" s="129">
        <v>18400</v>
      </c>
      <c r="W261" s="130"/>
      <c r="X261" s="130"/>
      <c r="Y261" s="129"/>
      <c r="Z261" s="129"/>
      <c r="AA261" s="129"/>
    </row>
    <row r="262" spans="1:27" x14ac:dyDescent="0.25">
      <c r="A262" t="s">
        <v>521</v>
      </c>
      <c r="B262" s="75" t="s">
        <v>123</v>
      </c>
      <c r="C262" s="59">
        <f t="shared" si="14"/>
        <v>-5.955167212773704E-3</v>
      </c>
      <c r="D262" t="s">
        <v>439</v>
      </c>
      <c r="E262" s="59">
        <f t="shared" si="13"/>
        <v>2.337540906965872E-2</v>
      </c>
      <c r="F262" s="129">
        <v>32045</v>
      </c>
      <c r="G262" s="129"/>
      <c r="H262" s="129">
        <v>2305</v>
      </c>
      <c r="I262" s="55">
        <v>2220</v>
      </c>
      <c r="J262" s="55">
        <v>2155</v>
      </c>
      <c r="K262" s="55">
        <v>2165</v>
      </c>
      <c r="L262" s="55">
        <v>2100</v>
      </c>
      <c r="M262" s="55">
        <v>2055</v>
      </c>
      <c r="N262" s="69" t="s">
        <v>123</v>
      </c>
      <c r="O262" s="129">
        <v>31708</v>
      </c>
      <c r="P262" s="129">
        <v>31754</v>
      </c>
      <c r="Q262" s="129">
        <v>31843</v>
      </c>
      <c r="R262" s="129">
        <v>32164</v>
      </c>
      <c r="S262" s="129">
        <v>32013</v>
      </c>
      <c r="T262" s="129">
        <v>32045</v>
      </c>
      <c r="U262" s="129">
        <v>31500</v>
      </c>
      <c r="V262" s="129">
        <v>30900</v>
      </c>
      <c r="W262" s="130"/>
      <c r="X262" s="130"/>
      <c r="Y262" s="129"/>
      <c r="Z262" s="129"/>
      <c r="AA262" s="129"/>
    </row>
    <row r="263" spans="1:27" x14ac:dyDescent="0.25">
      <c r="A263" t="s">
        <v>518</v>
      </c>
      <c r="B263" s="75" t="s">
        <v>156</v>
      </c>
      <c r="C263" s="59">
        <f t="shared" si="14"/>
        <v>-9.0227934494334083E-3</v>
      </c>
      <c r="D263" t="s">
        <v>465</v>
      </c>
      <c r="E263" s="59">
        <f t="shared" si="13"/>
        <v>3.1806615776081425E-2</v>
      </c>
      <c r="F263" s="129">
        <v>17973</v>
      </c>
      <c r="G263" s="129"/>
      <c r="H263" s="129">
        <v>1725</v>
      </c>
      <c r="I263" s="55">
        <v>1680</v>
      </c>
      <c r="J263" s="55">
        <v>1620</v>
      </c>
      <c r="K263" s="55">
        <v>1570</v>
      </c>
      <c r="L263" s="55">
        <v>1515</v>
      </c>
      <c r="M263" s="55">
        <v>1475</v>
      </c>
      <c r="N263" s="69" t="s">
        <v>156</v>
      </c>
      <c r="O263" s="129">
        <v>17123</v>
      </c>
      <c r="P263" s="129">
        <v>17261</v>
      </c>
      <c r="Q263" s="129">
        <v>17281</v>
      </c>
      <c r="R263" s="129">
        <v>17637</v>
      </c>
      <c r="S263" s="129">
        <v>17739</v>
      </c>
      <c r="T263" s="129">
        <v>17973</v>
      </c>
      <c r="U263" s="129">
        <v>17000</v>
      </c>
      <c r="V263" s="129">
        <v>17000</v>
      </c>
      <c r="W263" s="130"/>
      <c r="X263" s="130"/>
      <c r="Y263" s="129"/>
      <c r="Z263" s="129"/>
      <c r="AA263" s="129"/>
    </row>
    <row r="264" spans="1:27" x14ac:dyDescent="0.25">
      <c r="A264" t="s">
        <v>514</v>
      </c>
      <c r="B264" s="75" t="s">
        <v>270</v>
      </c>
      <c r="C264" s="59">
        <f t="shared" si="14"/>
        <v>-2.636467134040386E-3</v>
      </c>
      <c r="D264" t="s">
        <v>116</v>
      </c>
      <c r="E264" s="59">
        <f t="shared" si="13"/>
        <v>1.6986706056129987E-2</v>
      </c>
      <c r="F264" s="129">
        <v>22252</v>
      </c>
      <c r="G264" s="129"/>
      <c r="H264" s="129">
        <v>1455</v>
      </c>
      <c r="I264" s="55">
        <v>1380</v>
      </c>
      <c r="J264" s="55">
        <v>1365</v>
      </c>
      <c r="K264" s="55">
        <v>1340</v>
      </c>
      <c r="L264" s="55">
        <v>1345</v>
      </c>
      <c r="M264" s="55">
        <v>1340</v>
      </c>
      <c r="N264" s="69" t="s">
        <v>270</v>
      </c>
      <c r="O264" s="129">
        <v>21718</v>
      </c>
      <c r="P264" s="129">
        <v>21743</v>
      </c>
      <c r="Q264" s="129">
        <v>21952</v>
      </c>
      <c r="R264" s="129">
        <v>22135</v>
      </c>
      <c r="S264" s="129">
        <v>22217</v>
      </c>
      <c r="T264" s="129">
        <v>22252</v>
      </c>
      <c r="U264" s="129">
        <v>21800</v>
      </c>
      <c r="V264" s="129">
        <v>21900</v>
      </c>
      <c r="W264" s="130"/>
      <c r="X264" s="130"/>
      <c r="Y264" s="129"/>
      <c r="Z264" s="129"/>
      <c r="AA264" s="129"/>
    </row>
    <row r="265" spans="1:27" x14ac:dyDescent="0.25">
      <c r="A265" t="s">
        <v>513</v>
      </c>
      <c r="B265" s="75" t="s">
        <v>388</v>
      </c>
      <c r="C265" s="59">
        <f t="shared" si="14"/>
        <v>2.1423147846838051E-3</v>
      </c>
      <c r="D265" t="s">
        <v>116</v>
      </c>
      <c r="E265" s="59">
        <f t="shared" si="13"/>
        <v>1.9766852508869743E-2</v>
      </c>
      <c r="F265" s="129">
        <v>24584</v>
      </c>
      <c r="G265" s="129"/>
      <c r="H265" s="129">
        <v>2100</v>
      </c>
      <c r="I265" s="55">
        <v>2030</v>
      </c>
      <c r="J265" s="55">
        <v>2025</v>
      </c>
      <c r="K265" s="55">
        <v>1980</v>
      </c>
      <c r="L265" s="55">
        <v>1925</v>
      </c>
      <c r="M265" s="55">
        <v>1905</v>
      </c>
      <c r="N265" s="69" t="s">
        <v>388</v>
      </c>
      <c r="O265" s="129">
        <v>24626</v>
      </c>
      <c r="P265" s="129">
        <v>24310</v>
      </c>
      <c r="Q265" s="129">
        <v>24343</v>
      </c>
      <c r="R265" s="129">
        <v>24599</v>
      </c>
      <c r="S265" s="129">
        <v>24476</v>
      </c>
      <c r="T265" s="129">
        <v>24584</v>
      </c>
      <c r="U265" s="129">
        <v>25000</v>
      </c>
      <c r="V265" s="129">
        <v>24900</v>
      </c>
      <c r="W265" s="130"/>
      <c r="X265" s="130"/>
      <c r="Y265" s="129"/>
      <c r="Z265" s="129"/>
      <c r="AA265" s="129"/>
    </row>
    <row r="266" spans="1:27" x14ac:dyDescent="0.25">
      <c r="A266" t="s">
        <v>518</v>
      </c>
      <c r="B266" s="75" t="s">
        <v>157</v>
      </c>
      <c r="C266" s="59">
        <f t="shared" si="14"/>
        <v>-7.511778176461151E-4</v>
      </c>
      <c r="D266" t="s">
        <v>116</v>
      </c>
      <c r="E266" s="59">
        <f t="shared" si="13"/>
        <v>2.5057530043467145E-2</v>
      </c>
      <c r="F266" s="129">
        <v>45706</v>
      </c>
      <c r="G266" s="129"/>
      <c r="H266" s="129">
        <v>4260</v>
      </c>
      <c r="I266" s="55">
        <v>4095</v>
      </c>
      <c r="J266" s="55">
        <v>4020</v>
      </c>
      <c r="K266" s="55">
        <v>3895</v>
      </c>
      <c r="L266" s="55">
        <v>3775</v>
      </c>
      <c r="M266" s="55">
        <v>3770</v>
      </c>
      <c r="N266" s="69" t="s">
        <v>157</v>
      </c>
      <c r="O266" s="129">
        <v>44156</v>
      </c>
      <c r="P266" s="129">
        <v>44341</v>
      </c>
      <c r="Q266" s="129">
        <v>44742</v>
      </c>
      <c r="R266" s="129">
        <v>45374</v>
      </c>
      <c r="S266" s="129">
        <v>45472</v>
      </c>
      <c r="T266" s="129">
        <v>45706</v>
      </c>
      <c r="U266" s="129">
        <v>45200</v>
      </c>
      <c r="V266" s="129">
        <v>45500</v>
      </c>
      <c r="W266" s="130"/>
      <c r="X266" s="130"/>
      <c r="Y266" s="129"/>
      <c r="Z266" s="129"/>
      <c r="AA266" s="129"/>
    </row>
    <row r="267" spans="1:27" x14ac:dyDescent="0.25">
      <c r="A267" t="s">
        <v>522</v>
      </c>
      <c r="B267" s="75" t="s">
        <v>727</v>
      </c>
      <c r="C267" s="59">
        <f t="shared" si="14"/>
        <v>-9.1405700686894922E-3</v>
      </c>
      <c r="D267" t="s">
        <v>116</v>
      </c>
      <c r="E267" s="59">
        <f t="shared" si="13"/>
        <v>2.4918032786885248E-2</v>
      </c>
      <c r="F267" s="129">
        <v>24652</v>
      </c>
      <c r="G267" s="129"/>
      <c r="H267" s="129">
        <v>1640</v>
      </c>
      <c r="I267" s="55">
        <v>1565</v>
      </c>
      <c r="J267" s="55">
        <v>1590</v>
      </c>
      <c r="K267" s="55">
        <v>1535</v>
      </c>
      <c r="L267" s="55">
        <v>1485</v>
      </c>
      <c r="M267" s="55">
        <v>1450</v>
      </c>
      <c r="N267" s="69" t="s">
        <v>420</v>
      </c>
      <c r="O267" s="129">
        <v>24990</v>
      </c>
      <c r="P267" s="129">
        <v>24875</v>
      </c>
      <c r="Q267" s="129">
        <v>24809</v>
      </c>
      <c r="R267" s="129">
        <v>24772</v>
      </c>
      <c r="S267" s="129">
        <v>24744</v>
      </c>
      <c r="T267" s="129">
        <v>24652</v>
      </c>
      <c r="U267" s="129">
        <v>23700</v>
      </c>
      <c r="V267" s="129">
        <v>23300</v>
      </c>
      <c r="W267" s="130"/>
      <c r="X267" s="130"/>
      <c r="Y267" s="129"/>
      <c r="Z267" s="129"/>
      <c r="AA267" s="129"/>
    </row>
    <row r="268" spans="1:27" x14ac:dyDescent="0.25">
      <c r="A268" t="s">
        <v>520</v>
      </c>
      <c r="B268" s="75" t="s">
        <v>228</v>
      </c>
      <c r="C268" s="59">
        <f t="shared" si="14"/>
        <v>1.1997660960216159E-3</v>
      </c>
      <c r="D268" t="s">
        <v>465</v>
      </c>
      <c r="E268" s="59">
        <f t="shared" si="13"/>
        <v>3.080013391362571E-2</v>
      </c>
      <c r="F268" s="129">
        <v>66124</v>
      </c>
      <c r="G268" s="129"/>
      <c r="H268" s="129">
        <v>6565</v>
      </c>
      <c r="I268" s="55">
        <v>6365</v>
      </c>
      <c r="J268" s="55">
        <v>6185</v>
      </c>
      <c r="K268" s="55">
        <v>5950</v>
      </c>
      <c r="L268" s="55">
        <v>5725</v>
      </c>
      <c r="M268" s="55">
        <v>5645</v>
      </c>
      <c r="N268" s="69" t="s">
        <v>228</v>
      </c>
      <c r="O268" s="129">
        <v>64857</v>
      </c>
      <c r="P268" s="129">
        <v>65108</v>
      </c>
      <c r="Q268" s="129">
        <v>65237</v>
      </c>
      <c r="R268" s="129">
        <v>65765</v>
      </c>
      <c r="S268" s="129">
        <v>65878</v>
      </c>
      <c r="T268" s="129">
        <v>66124</v>
      </c>
      <c r="U268" s="129">
        <v>66600</v>
      </c>
      <c r="V268" s="129">
        <v>66600</v>
      </c>
      <c r="W268" s="130"/>
      <c r="X268" s="130"/>
      <c r="Y268" s="129"/>
      <c r="Z268" s="129"/>
      <c r="AA268" s="129"/>
    </row>
    <row r="269" spans="1:27" x14ac:dyDescent="0.25">
      <c r="A269" t="s">
        <v>516</v>
      </c>
      <c r="B269" s="75" t="s">
        <v>438</v>
      </c>
      <c r="C269" s="59">
        <f t="shared" si="14"/>
        <v>-2.6362685753840262E-3</v>
      </c>
      <c r="D269" t="s">
        <v>116</v>
      </c>
      <c r="E269" s="59">
        <f t="shared" si="13"/>
        <v>2.0543008169149446E-2</v>
      </c>
      <c r="F269" s="129">
        <v>90532</v>
      </c>
      <c r="G269" s="129"/>
      <c r="H269" s="129">
        <v>8880</v>
      </c>
      <c r="I269" s="55">
        <v>8630</v>
      </c>
      <c r="J269" s="55">
        <v>8545</v>
      </c>
      <c r="K269" s="61">
        <v>8347.5</v>
      </c>
      <c r="L269" s="61">
        <v>8072.5</v>
      </c>
      <c r="M269" s="55">
        <v>8025</v>
      </c>
      <c r="N269" s="69" t="s">
        <v>438</v>
      </c>
      <c r="O269" s="129">
        <v>89951</v>
      </c>
      <c r="P269" s="129">
        <v>89999</v>
      </c>
      <c r="Q269" s="129">
        <v>90303</v>
      </c>
      <c r="R269" s="129">
        <v>90876</v>
      </c>
      <c r="S269" s="129">
        <v>90421</v>
      </c>
      <c r="T269" s="129">
        <v>90532</v>
      </c>
      <c r="U269" s="129">
        <v>89200</v>
      </c>
      <c r="V269" s="129">
        <v>89100</v>
      </c>
      <c r="W269" s="130"/>
      <c r="X269" s="130"/>
      <c r="Y269" s="129"/>
      <c r="Z269" s="129"/>
      <c r="AA269" s="129"/>
    </row>
    <row r="270" spans="1:27" x14ac:dyDescent="0.25">
      <c r="A270" t="s">
        <v>524</v>
      </c>
      <c r="B270" s="75" t="s">
        <v>337</v>
      </c>
      <c r="C270" s="59">
        <f t="shared" si="14"/>
        <v>-2.2845816191485666E-3</v>
      </c>
      <c r="D270" t="s">
        <v>116</v>
      </c>
      <c r="E270" s="59">
        <f t="shared" si="13"/>
        <v>2.2083805209513023E-2</v>
      </c>
      <c r="F270" s="129">
        <v>55663</v>
      </c>
      <c r="G270" s="129"/>
      <c r="H270" s="129">
        <v>3790</v>
      </c>
      <c r="I270" s="55">
        <v>3680</v>
      </c>
      <c r="J270" s="55">
        <v>3610</v>
      </c>
      <c r="K270" s="55">
        <v>3515</v>
      </c>
      <c r="L270" s="55">
        <v>3455</v>
      </c>
      <c r="M270" s="55">
        <v>3400</v>
      </c>
      <c r="N270" s="69" t="s">
        <v>337</v>
      </c>
      <c r="O270" s="129">
        <v>54434</v>
      </c>
      <c r="P270" s="129">
        <v>54463</v>
      </c>
      <c r="Q270" s="129">
        <v>54498</v>
      </c>
      <c r="R270" s="129">
        <v>54985</v>
      </c>
      <c r="S270" s="129">
        <v>55132</v>
      </c>
      <c r="T270" s="129">
        <v>55663</v>
      </c>
      <c r="U270" s="129">
        <v>54900</v>
      </c>
      <c r="V270" s="129">
        <v>54900</v>
      </c>
      <c r="W270" s="130"/>
      <c r="X270" s="130"/>
      <c r="Y270" s="129"/>
      <c r="Z270" s="129"/>
      <c r="AA270" s="129"/>
    </row>
    <row r="271" spans="1:27" x14ac:dyDescent="0.25">
      <c r="A271" t="s">
        <v>516</v>
      </c>
      <c r="B271" s="75" t="s">
        <v>135</v>
      </c>
      <c r="C271" s="59">
        <f t="shared" si="14"/>
        <v>1.2763220258649875E-2</v>
      </c>
      <c r="D271" t="s">
        <v>439</v>
      </c>
      <c r="E271" s="59">
        <f t="shared" si="13"/>
        <v>2.7272727272727271E-2</v>
      </c>
      <c r="F271" s="129">
        <v>4923</v>
      </c>
      <c r="G271" s="129"/>
      <c r="H271" s="129">
        <v>710</v>
      </c>
      <c r="I271" s="55">
        <v>685</v>
      </c>
      <c r="J271" s="55">
        <v>685</v>
      </c>
      <c r="K271" s="55">
        <v>670</v>
      </c>
      <c r="L271" s="55">
        <v>640</v>
      </c>
      <c r="M271" s="55">
        <v>620</v>
      </c>
      <c r="N271" s="69" t="s">
        <v>135</v>
      </c>
      <c r="O271" s="129">
        <v>4898</v>
      </c>
      <c r="P271" s="129">
        <v>4870</v>
      </c>
      <c r="Q271" s="129">
        <v>4964</v>
      </c>
      <c r="R271" s="129">
        <v>4929</v>
      </c>
      <c r="S271" s="129">
        <v>4898</v>
      </c>
      <c r="T271" s="129">
        <v>4923</v>
      </c>
      <c r="U271" s="129">
        <v>5200</v>
      </c>
      <c r="V271" s="129">
        <v>5300</v>
      </c>
      <c r="W271" s="130"/>
      <c r="X271" s="130"/>
      <c r="Y271" s="129"/>
      <c r="Z271" s="129"/>
      <c r="AA271" s="129"/>
    </row>
    <row r="272" spans="1:27" x14ac:dyDescent="0.25">
      <c r="A272" t="s">
        <v>514</v>
      </c>
      <c r="B272" s="75" t="s">
        <v>271</v>
      </c>
      <c r="C272" s="59">
        <f t="shared" si="14"/>
        <v>1.8780699219878647E-3</v>
      </c>
      <c r="D272" t="s">
        <v>439</v>
      </c>
      <c r="E272" s="59">
        <f t="shared" si="13"/>
        <v>2.5065274151436032E-2</v>
      </c>
      <c r="F272" s="129">
        <v>13844</v>
      </c>
      <c r="G272" s="129"/>
      <c r="H272" s="129">
        <v>2060</v>
      </c>
      <c r="I272" s="55">
        <v>2005</v>
      </c>
      <c r="J272" s="55">
        <v>1980</v>
      </c>
      <c r="K272" s="55">
        <v>1915</v>
      </c>
      <c r="L272" s="55">
        <v>1855</v>
      </c>
      <c r="M272" s="55">
        <v>1820</v>
      </c>
      <c r="N272" s="69" t="s">
        <v>271</v>
      </c>
      <c r="O272" s="129">
        <v>13583</v>
      </c>
      <c r="P272" s="129">
        <v>13656</v>
      </c>
      <c r="Q272" s="129">
        <v>13690</v>
      </c>
      <c r="R272" s="129">
        <v>13970</v>
      </c>
      <c r="S272" s="129">
        <v>13815</v>
      </c>
      <c r="T272" s="129">
        <v>13844</v>
      </c>
      <c r="U272" s="129">
        <v>13900</v>
      </c>
      <c r="V272" s="129">
        <v>14000</v>
      </c>
      <c r="W272" s="130"/>
      <c r="X272" s="130"/>
      <c r="Y272" s="129"/>
      <c r="Z272" s="129"/>
      <c r="AA272" s="129"/>
    </row>
    <row r="273" spans="1:27" x14ac:dyDescent="0.25">
      <c r="A273" t="s">
        <v>517</v>
      </c>
      <c r="B273" s="75" t="s">
        <v>317</v>
      </c>
      <c r="C273" s="59">
        <f t="shared" si="14"/>
        <v>2.1261824177731493E-3</v>
      </c>
      <c r="D273" t="s">
        <v>465</v>
      </c>
      <c r="E273" s="59">
        <f t="shared" si="13"/>
        <v>3.1089853091902972E-2</v>
      </c>
      <c r="F273" s="129">
        <v>38410</v>
      </c>
      <c r="G273" s="129"/>
      <c r="H273" s="129">
        <v>3240</v>
      </c>
      <c r="I273" s="55">
        <v>3090</v>
      </c>
      <c r="J273" s="55">
        <v>3045</v>
      </c>
      <c r="K273" s="55">
        <v>2910</v>
      </c>
      <c r="L273" s="55">
        <v>2805</v>
      </c>
      <c r="M273" s="55">
        <v>2785</v>
      </c>
      <c r="N273" s="69" t="s">
        <v>317</v>
      </c>
      <c r="O273" s="129">
        <v>37391</v>
      </c>
      <c r="P273" s="129">
        <v>37791</v>
      </c>
      <c r="Q273" s="129">
        <v>37940</v>
      </c>
      <c r="R273" s="129">
        <v>38520</v>
      </c>
      <c r="S273" s="129">
        <v>38470</v>
      </c>
      <c r="T273" s="129">
        <v>38410</v>
      </c>
      <c r="U273" s="129">
        <v>38600</v>
      </c>
      <c r="V273" s="129">
        <v>38900</v>
      </c>
      <c r="W273" s="130"/>
      <c r="X273" s="130"/>
      <c r="Y273" s="129"/>
      <c r="Z273" s="129"/>
      <c r="AA273" s="129"/>
    </row>
    <row r="274" spans="1:27" x14ac:dyDescent="0.25">
      <c r="A274" t="s">
        <v>524</v>
      </c>
      <c r="B274" s="75" t="s">
        <v>338</v>
      </c>
      <c r="C274" s="59">
        <f t="shared" si="14"/>
        <v>-4.6021377672209023E-3</v>
      </c>
      <c r="D274" t="s">
        <v>465</v>
      </c>
      <c r="E274" s="59">
        <f t="shared" si="13"/>
        <v>2.2922636103151862E-2</v>
      </c>
      <c r="F274" s="129">
        <v>26944</v>
      </c>
      <c r="G274" s="129"/>
      <c r="H274" s="129">
        <v>2265</v>
      </c>
      <c r="I274" s="55">
        <v>2200</v>
      </c>
      <c r="J274" s="55">
        <v>2150</v>
      </c>
      <c r="K274" s="55">
        <v>2085</v>
      </c>
      <c r="L274" s="55">
        <v>2010</v>
      </c>
      <c r="M274" s="55">
        <v>2025</v>
      </c>
      <c r="N274" s="69" t="s">
        <v>338</v>
      </c>
      <c r="O274" s="129">
        <v>25722</v>
      </c>
      <c r="P274" s="129">
        <v>26085</v>
      </c>
      <c r="Q274" s="129">
        <v>26391</v>
      </c>
      <c r="R274" s="129">
        <v>26829</v>
      </c>
      <c r="S274" s="129">
        <v>26851</v>
      </c>
      <c r="T274" s="129">
        <v>26944</v>
      </c>
      <c r="U274" s="129">
        <v>26200</v>
      </c>
      <c r="V274" s="129">
        <v>26200</v>
      </c>
      <c r="W274" s="130"/>
      <c r="X274" s="130"/>
      <c r="Y274" s="129"/>
      <c r="Z274" s="129"/>
      <c r="AA274" s="129"/>
    </row>
    <row r="275" spans="1:27" x14ac:dyDescent="0.25">
      <c r="A275" t="s">
        <v>515</v>
      </c>
      <c r="B275" s="75" t="s">
        <v>202</v>
      </c>
      <c r="C275" s="59">
        <f t="shared" si="14"/>
        <v>7.0830398372074823E-3</v>
      </c>
      <c r="D275" t="s">
        <v>439</v>
      </c>
      <c r="E275" s="59">
        <f t="shared" si="13"/>
        <v>2.2988505747126436E-2</v>
      </c>
      <c r="F275" s="129">
        <v>42590</v>
      </c>
      <c r="G275" s="129"/>
      <c r="H275" s="129">
        <v>3380</v>
      </c>
      <c r="I275" s="55">
        <v>3240</v>
      </c>
      <c r="J275" s="55">
        <v>3220</v>
      </c>
      <c r="K275" s="55">
        <v>3150</v>
      </c>
      <c r="L275" s="55">
        <v>3030</v>
      </c>
      <c r="M275" s="55">
        <v>3020</v>
      </c>
      <c r="N275" s="69" t="s">
        <v>202</v>
      </c>
      <c r="O275" s="129">
        <v>42216</v>
      </c>
      <c r="P275" s="129">
        <v>41920</v>
      </c>
      <c r="Q275" s="129">
        <v>42271</v>
      </c>
      <c r="R275" s="129">
        <v>42606</v>
      </c>
      <c r="S275" s="129">
        <v>42370</v>
      </c>
      <c r="T275" s="129">
        <v>42590</v>
      </c>
      <c r="U275" s="129">
        <v>44100</v>
      </c>
      <c r="V275" s="129">
        <v>44400</v>
      </c>
      <c r="W275" s="130"/>
      <c r="X275" s="130"/>
      <c r="Y275" s="129"/>
      <c r="Z275" s="129"/>
      <c r="AA275" s="129"/>
    </row>
    <row r="276" spans="1:27" x14ac:dyDescent="0.25">
      <c r="A276" t="s">
        <v>513</v>
      </c>
      <c r="B276" s="75" t="s">
        <v>389</v>
      </c>
      <c r="C276" s="59">
        <f t="shared" si="14"/>
        <v>8.9288169046285726E-3</v>
      </c>
      <c r="D276" t="s">
        <v>439</v>
      </c>
      <c r="E276" s="59">
        <v>2.7798490601497174E-2</v>
      </c>
      <c r="F276" s="129">
        <v>230359</v>
      </c>
      <c r="G276" s="129"/>
      <c r="H276" s="129">
        <v>16575.73799187789</v>
      </c>
      <c r="I276" s="129">
        <v>15844.207043831397</v>
      </c>
      <c r="J276" s="129">
        <v>15670.187998879708</v>
      </c>
      <c r="K276" s="129">
        <v>15325.164192690099</v>
      </c>
      <c r="L276" s="129">
        <v>14731.647528357373</v>
      </c>
      <c r="M276" s="129">
        <v>14462.126102786724</v>
      </c>
      <c r="N276" s="69" t="s">
        <v>389</v>
      </c>
      <c r="O276" s="129">
        <v>221239.22951967511</v>
      </c>
      <c r="P276" s="129">
        <v>221.40666573309059</v>
      </c>
      <c r="Q276" s="129">
        <v>224455</v>
      </c>
      <c r="R276" s="129">
        <v>227701</v>
      </c>
      <c r="S276" s="129">
        <v>229836</v>
      </c>
      <c r="T276" s="129">
        <v>230359</v>
      </c>
      <c r="U276" s="129">
        <v>239100</v>
      </c>
      <c r="V276" s="129">
        <v>242700</v>
      </c>
      <c r="W276" s="130"/>
      <c r="X276" s="130"/>
      <c r="Y276" s="129"/>
      <c r="Z276" s="129"/>
      <c r="AA276" s="129"/>
    </row>
    <row r="277" spans="1:27" x14ac:dyDescent="0.25">
      <c r="A277" t="s">
        <v>518</v>
      </c>
      <c r="B277" s="75" t="s">
        <v>158</v>
      </c>
      <c r="C277" s="59">
        <f t="shared" si="14"/>
        <v>-6.1992436922695424E-5</v>
      </c>
      <c r="D277" t="s">
        <v>465</v>
      </c>
      <c r="E277" s="59">
        <f t="shared" si="13"/>
        <v>2.6433915211970076E-2</v>
      </c>
      <c r="F277" s="129">
        <v>21508</v>
      </c>
      <c r="G277" s="129"/>
      <c r="H277" s="129">
        <v>2185</v>
      </c>
      <c r="I277" s="55">
        <v>2115</v>
      </c>
      <c r="J277" s="55">
        <v>2055</v>
      </c>
      <c r="K277" s="55">
        <v>1985</v>
      </c>
      <c r="L277" s="55">
        <v>1950</v>
      </c>
      <c r="M277" s="55">
        <v>1920</v>
      </c>
      <c r="N277" s="69" t="s">
        <v>158</v>
      </c>
      <c r="O277" s="129">
        <v>21265</v>
      </c>
      <c r="P277" s="129">
        <v>21315</v>
      </c>
      <c r="Q277" s="129">
        <v>21363</v>
      </c>
      <c r="R277" s="129">
        <v>21410</v>
      </c>
      <c r="S277" s="129">
        <v>21397</v>
      </c>
      <c r="T277" s="129">
        <v>21508</v>
      </c>
      <c r="U277" s="129">
        <v>21500</v>
      </c>
      <c r="V277" s="129">
        <v>21500</v>
      </c>
      <c r="W277" s="130"/>
      <c r="X277" s="130"/>
      <c r="Y277" s="129"/>
      <c r="Z277" s="129"/>
      <c r="AA277" s="129"/>
    </row>
    <row r="278" spans="1:27" x14ac:dyDescent="0.25">
      <c r="A278" t="s">
        <v>518</v>
      </c>
      <c r="B278" s="75" t="s">
        <v>159</v>
      </c>
      <c r="C278" s="59">
        <f t="shared" si="14"/>
        <v>-1.0503688504567884E-3</v>
      </c>
      <c r="D278" t="s">
        <v>116</v>
      </c>
      <c r="E278" s="59">
        <f t="shared" si="13"/>
        <v>2.3658639628221376E-2</v>
      </c>
      <c r="F278" s="129">
        <v>34115</v>
      </c>
      <c r="G278" s="129"/>
      <c r="H278" s="129">
        <v>2500</v>
      </c>
      <c r="I278" s="55">
        <v>2470</v>
      </c>
      <c r="J278" s="55">
        <v>2455</v>
      </c>
      <c r="K278" s="55">
        <v>2410</v>
      </c>
      <c r="L278" s="55">
        <v>2280</v>
      </c>
      <c r="M278" s="55">
        <v>2220</v>
      </c>
      <c r="N278" s="69" t="s">
        <v>159</v>
      </c>
      <c r="O278" s="129">
        <v>33768</v>
      </c>
      <c r="P278" s="129">
        <v>33699</v>
      </c>
      <c r="Q278" s="129">
        <v>33717</v>
      </c>
      <c r="R278" s="129">
        <v>33865</v>
      </c>
      <c r="S278" s="129">
        <v>34073</v>
      </c>
      <c r="T278" s="129">
        <v>34115</v>
      </c>
      <c r="U278" s="129">
        <v>33800</v>
      </c>
      <c r="V278" s="129">
        <v>33900</v>
      </c>
      <c r="W278" s="130"/>
      <c r="X278" s="130"/>
      <c r="Y278" s="129"/>
      <c r="Z278" s="129"/>
      <c r="AA278" s="129"/>
    </row>
    <row r="279" spans="1:27" x14ac:dyDescent="0.25">
      <c r="A279" t="s">
        <v>512</v>
      </c>
      <c r="B279" s="75" t="s">
        <v>113</v>
      </c>
      <c r="C279" s="59">
        <f t="shared" si="14"/>
        <v>-1.0534182541722597E-2</v>
      </c>
      <c r="D279" t="s">
        <v>465</v>
      </c>
      <c r="E279" s="59">
        <f t="shared" si="13"/>
        <v>4.3106954046360307E-2</v>
      </c>
      <c r="F279" s="129">
        <v>35013</v>
      </c>
      <c r="G279" s="129"/>
      <c r="H279" s="129">
        <v>2805</v>
      </c>
      <c r="I279" s="55">
        <v>2655</v>
      </c>
      <c r="J279" s="55">
        <v>2560</v>
      </c>
      <c r="K279" s="55">
        <v>2445</v>
      </c>
      <c r="L279" s="55">
        <v>2360</v>
      </c>
      <c r="M279" s="55">
        <v>2275</v>
      </c>
      <c r="N279" s="69" t="s">
        <v>113</v>
      </c>
      <c r="O279" s="129">
        <v>33829</v>
      </c>
      <c r="P279" s="129">
        <v>33978</v>
      </c>
      <c r="Q279" s="129">
        <v>34195</v>
      </c>
      <c r="R279" s="129">
        <v>34624</v>
      </c>
      <c r="S279" s="129">
        <v>34736</v>
      </c>
      <c r="T279" s="129">
        <v>35013</v>
      </c>
      <c r="U279" s="129">
        <v>33000</v>
      </c>
      <c r="V279" s="129">
        <v>32800</v>
      </c>
      <c r="W279" s="130"/>
      <c r="X279" s="130"/>
      <c r="Y279" s="129"/>
      <c r="Z279" s="129"/>
      <c r="AA279" s="129"/>
    </row>
    <row r="280" spans="1:27" x14ac:dyDescent="0.25">
      <c r="A280" t="s">
        <v>516</v>
      </c>
      <c r="B280" s="75" t="s">
        <v>136</v>
      </c>
      <c r="C280" s="59">
        <f t="shared" si="14"/>
        <v>-1.4334460591658289E-2</v>
      </c>
      <c r="D280" t="s">
        <v>116</v>
      </c>
      <c r="E280" s="59">
        <f t="shared" si="13"/>
        <v>2.4745912505523642E-2</v>
      </c>
      <c r="F280" s="129">
        <v>32823</v>
      </c>
      <c r="G280" s="129"/>
      <c r="H280" s="129">
        <v>2425</v>
      </c>
      <c r="I280" s="55">
        <v>2370</v>
      </c>
      <c r="J280" s="55">
        <v>2360</v>
      </c>
      <c r="K280" s="55">
        <v>2255</v>
      </c>
      <c r="L280" s="55">
        <v>2185</v>
      </c>
      <c r="M280" s="55">
        <v>2145</v>
      </c>
      <c r="N280" s="69" t="s">
        <v>136</v>
      </c>
      <c r="O280" s="129">
        <v>32016</v>
      </c>
      <c r="P280" s="129">
        <v>32060</v>
      </c>
      <c r="Q280" s="129">
        <v>32288</v>
      </c>
      <c r="R280" s="129">
        <v>32410</v>
      </c>
      <c r="S280" s="129">
        <v>32595</v>
      </c>
      <c r="T280" s="129">
        <v>32823</v>
      </c>
      <c r="U280" s="129">
        <v>30400</v>
      </c>
      <c r="V280" s="129">
        <v>30000</v>
      </c>
      <c r="W280" s="130"/>
      <c r="X280" s="130"/>
      <c r="Y280" s="129"/>
      <c r="Z280" s="129"/>
      <c r="AA280" s="129"/>
    </row>
    <row r="281" spans="1:27" x14ac:dyDescent="0.25">
      <c r="A281" t="s">
        <v>514</v>
      </c>
      <c r="B281" s="75" t="s">
        <v>272</v>
      </c>
      <c r="C281" s="59">
        <f t="shared" si="14"/>
        <v>4.6810201395614493E-3</v>
      </c>
      <c r="D281" t="s">
        <v>465</v>
      </c>
      <c r="E281" s="59">
        <f t="shared" si="13"/>
        <v>3.7475345167652857E-2</v>
      </c>
      <c r="F281" s="129">
        <v>13423</v>
      </c>
      <c r="G281" s="129"/>
      <c r="H281" s="129">
        <v>1140</v>
      </c>
      <c r="I281" s="55">
        <v>1090</v>
      </c>
      <c r="J281" s="55">
        <v>1045</v>
      </c>
      <c r="K281" s="55">
        <v>1000</v>
      </c>
      <c r="L281" s="55">
        <v>985</v>
      </c>
      <c r="M281" s="55">
        <v>950</v>
      </c>
      <c r="N281" s="69" t="s">
        <v>272</v>
      </c>
      <c r="O281" s="129">
        <v>13654</v>
      </c>
      <c r="P281" s="129">
        <v>13632</v>
      </c>
      <c r="Q281" s="129">
        <v>13562</v>
      </c>
      <c r="R281" s="129">
        <v>13463</v>
      </c>
      <c r="S281" s="129">
        <v>13400</v>
      </c>
      <c r="T281" s="129">
        <v>13423</v>
      </c>
      <c r="U281" s="129">
        <v>13800</v>
      </c>
      <c r="V281" s="129">
        <v>13800</v>
      </c>
      <c r="W281" s="130"/>
      <c r="X281" s="130"/>
      <c r="Y281" s="129"/>
      <c r="Z281" s="129"/>
      <c r="AA281" s="129"/>
    </row>
    <row r="282" spans="1:27" x14ac:dyDescent="0.25">
      <c r="A282" t="s">
        <v>514</v>
      </c>
      <c r="B282" s="75" t="s">
        <v>273</v>
      </c>
      <c r="C282" s="59">
        <f t="shared" si="14"/>
        <v>2.5064607528723108E-3</v>
      </c>
      <c r="D282" t="s">
        <v>465</v>
      </c>
      <c r="E282" s="59">
        <f t="shared" si="13"/>
        <v>3.1549520766773163E-2</v>
      </c>
      <c r="F282" s="129">
        <v>32117</v>
      </c>
      <c r="G282" s="129"/>
      <c r="H282" s="129">
        <v>2765</v>
      </c>
      <c r="I282" s="55">
        <v>2625</v>
      </c>
      <c r="J282" s="55">
        <v>2575</v>
      </c>
      <c r="K282" s="55">
        <v>2495</v>
      </c>
      <c r="L282" s="55">
        <v>2455</v>
      </c>
      <c r="M282" s="55">
        <v>2370</v>
      </c>
      <c r="N282" s="69" t="s">
        <v>273</v>
      </c>
      <c r="O282" s="129">
        <v>29469</v>
      </c>
      <c r="P282" s="129">
        <v>30206</v>
      </c>
      <c r="Q282" s="129">
        <v>31020</v>
      </c>
      <c r="R282" s="129">
        <v>31436</v>
      </c>
      <c r="S282" s="129">
        <v>31685</v>
      </c>
      <c r="T282" s="129">
        <v>32117</v>
      </c>
      <c r="U282" s="129">
        <v>32200.000000000004</v>
      </c>
      <c r="V282" s="129">
        <v>32600</v>
      </c>
      <c r="W282" s="130"/>
      <c r="X282" s="130"/>
      <c r="Y282" s="129"/>
      <c r="Z282" s="129"/>
      <c r="AA282" s="129"/>
    </row>
    <row r="283" spans="1:27" x14ac:dyDescent="0.25">
      <c r="A283" t="s">
        <v>519</v>
      </c>
      <c r="B283" s="75" t="s">
        <v>431</v>
      </c>
      <c r="C283" s="59">
        <f t="shared" si="14"/>
        <v>4.7206687112875097E-3</v>
      </c>
      <c r="D283" t="s">
        <v>465</v>
      </c>
      <c r="E283" s="59">
        <f t="shared" si="13"/>
        <v>4.2609853528628498E-2</v>
      </c>
      <c r="F283" s="129">
        <v>22172</v>
      </c>
      <c r="G283" s="129"/>
      <c r="H283" s="129">
        <v>1715</v>
      </c>
      <c r="I283" s="55">
        <v>1610</v>
      </c>
      <c r="J283" s="55">
        <v>1570</v>
      </c>
      <c r="K283" s="55">
        <v>1490</v>
      </c>
      <c r="L283" s="55">
        <v>1445</v>
      </c>
      <c r="M283" s="55">
        <v>1395</v>
      </c>
      <c r="N283" s="69" t="s">
        <v>431</v>
      </c>
      <c r="O283" s="129">
        <v>21018</v>
      </c>
      <c r="P283" s="129">
        <v>21227</v>
      </c>
      <c r="Q283" s="129">
        <v>21462</v>
      </c>
      <c r="R283" s="129">
        <v>21858</v>
      </c>
      <c r="S283" s="129">
        <v>21958</v>
      </c>
      <c r="T283" s="129">
        <v>22172</v>
      </c>
      <c r="U283" s="129">
        <v>22500</v>
      </c>
      <c r="V283" s="129">
        <v>22800</v>
      </c>
      <c r="W283" s="130"/>
      <c r="X283" s="130"/>
      <c r="Y283" s="129"/>
      <c r="Z283" s="129"/>
      <c r="AA283" s="129"/>
    </row>
    <row r="284" spans="1:27" x14ac:dyDescent="0.25">
      <c r="A284" t="s">
        <v>520</v>
      </c>
      <c r="B284" s="75" t="s">
        <v>728</v>
      </c>
      <c r="C284" s="59">
        <f t="shared" si="14"/>
        <v>2.1634987890782383E-2</v>
      </c>
      <c r="D284" t="s">
        <v>439</v>
      </c>
      <c r="E284" s="59">
        <f t="shared" si="13"/>
        <v>4.7552310801121177E-2</v>
      </c>
      <c r="F284" s="129">
        <v>376435</v>
      </c>
      <c r="G284" s="129"/>
      <c r="H284" s="129">
        <v>35415</v>
      </c>
      <c r="I284" s="55">
        <v>33420</v>
      </c>
      <c r="J284" s="55">
        <v>32250</v>
      </c>
      <c r="K284" s="55">
        <v>30715</v>
      </c>
      <c r="L284" s="55">
        <v>28905</v>
      </c>
      <c r="M284" s="55">
        <v>28120</v>
      </c>
      <c r="N284" s="69" t="s">
        <v>229</v>
      </c>
      <c r="O284" s="129">
        <v>357669</v>
      </c>
      <c r="P284" s="129">
        <v>359370</v>
      </c>
      <c r="Q284" s="129">
        <v>361686</v>
      </c>
      <c r="R284" s="129">
        <v>367951</v>
      </c>
      <c r="S284" s="129">
        <v>374238</v>
      </c>
      <c r="T284" s="129">
        <v>376435</v>
      </c>
      <c r="U284" s="129">
        <v>408800</v>
      </c>
      <c r="V284" s="129">
        <v>425300</v>
      </c>
      <c r="W284" s="130"/>
      <c r="X284" s="130"/>
      <c r="Y284" s="129"/>
      <c r="Z284" s="129"/>
      <c r="AA284" s="129"/>
    </row>
    <row r="285" spans="1:27" x14ac:dyDescent="0.25">
      <c r="A285" t="s">
        <v>520</v>
      </c>
      <c r="B285" s="75" t="s">
        <v>230</v>
      </c>
      <c r="C285" s="59">
        <f t="shared" si="14"/>
        <v>-3.4059009442295989E-3</v>
      </c>
      <c r="D285" t="s">
        <v>465</v>
      </c>
      <c r="E285" s="59">
        <f t="shared" si="13"/>
        <v>2.6483472720031861E-2</v>
      </c>
      <c r="F285" s="129">
        <v>50941</v>
      </c>
      <c r="G285" s="129"/>
      <c r="H285" s="129">
        <v>5465</v>
      </c>
      <c r="I285" s="55">
        <v>5285</v>
      </c>
      <c r="J285" s="55">
        <v>5180</v>
      </c>
      <c r="K285" s="55">
        <v>4995</v>
      </c>
      <c r="L285" s="55">
        <v>4850</v>
      </c>
      <c r="M285" s="55">
        <v>4800</v>
      </c>
      <c r="N285" s="69" t="s">
        <v>230</v>
      </c>
      <c r="O285" s="129">
        <v>49644</v>
      </c>
      <c r="P285" s="129">
        <v>49946</v>
      </c>
      <c r="Q285" s="129">
        <v>49988</v>
      </c>
      <c r="R285" s="129">
        <v>50422</v>
      </c>
      <c r="S285" s="129">
        <v>50550</v>
      </c>
      <c r="T285" s="129">
        <v>50941</v>
      </c>
      <c r="U285" s="129">
        <v>50000</v>
      </c>
      <c r="V285" s="129">
        <v>49900</v>
      </c>
      <c r="W285" s="130"/>
      <c r="X285" s="130"/>
      <c r="Y285" s="129"/>
      <c r="Z285" s="129"/>
      <c r="AA285" s="129"/>
    </row>
    <row r="286" spans="1:27" x14ac:dyDescent="0.25">
      <c r="A286" t="s">
        <v>522</v>
      </c>
      <c r="B286" s="75" t="s">
        <v>421</v>
      </c>
      <c r="C286" s="59">
        <f t="shared" si="14"/>
        <v>2.4712930604093859E-2</v>
      </c>
      <c r="D286" t="s">
        <v>439</v>
      </c>
      <c r="E286" s="59">
        <f t="shared" si="13"/>
        <v>1.2987012987012988E-2</v>
      </c>
      <c r="F286" s="129">
        <v>10015</v>
      </c>
      <c r="G286" s="129"/>
      <c r="H286" s="129">
        <v>650</v>
      </c>
      <c r="I286" s="55">
        <v>630</v>
      </c>
      <c r="J286" s="55">
        <v>615</v>
      </c>
      <c r="K286" s="55">
        <v>620</v>
      </c>
      <c r="L286" s="55">
        <v>605</v>
      </c>
      <c r="M286" s="55">
        <v>610</v>
      </c>
      <c r="N286" s="69" t="s">
        <v>421</v>
      </c>
      <c r="O286" s="129">
        <v>10119</v>
      </c>
      <c r="P286" s="129">
        <v>10084</v>
      </c>
      <c r="Q286" s="129">
        <v>10124</v>
      </c>
      <c r="R286" s="129">
        <v>10203</v>
      </c>
      <c r="S286" s="129">
        <v>10121</v>
      </c>
      <c r="T286" s="129">
        <v>10015</v>
      </c>
      <c r="U286" s="129">
        <v>11300</v>
      </c>
      <c r="V286" s="129">
        <v>11500</v>
      </c>
      <c r="W286" s="130"/>
      <c r="X286" s="130"/>
      <c r="Y286" s="129"/>
      <c r="Z286" s="129"/>
      <c r="AA286" s="129"/>
    </row>
    <row r="287" spans="1:27" x14ac:dyDescent="0.25">
      <c r="A287" t="s">
        <v>522</v>
      </c>
      <c r="B287" s="75" t="s">
        <v>422</v>
      </c>
      <c r="C287" s="59">
        <f t="shared" si="14"/>
        <v>-6.0753341433778852E-4</v>
      </c>
      <c r="D287" t="s">
        <v>116</v>
      </c>
      <c r="E287" s="59">
        <f t="shared" si="13"/>
        <v>1.6260162601626018E-2</v>
      </c>
      <c r="F287" s="129">
        <v>16460</v>
      </c>
      <c r="G287" s="129"/>
      <c r="H287" s="129">
        <v>1560</v>
      </c>
      <c r="I287" s="55">
        <v>1515</v>
      </c>
      <c r="J287" s="55">
        <v>1500</v>
      </c>
      <c r="K287" s="55">
        <v>1460</v>
      </c>
      <c r="L287" s="55">
        <v>1465</v>
      </c>
      <c r="M287" s="55">
        <v>1440</v>
      </c>
      <c r="N287" s="69" t="s">
        <v>422</v>
      </c>
      <c r="O287" s="129">
        <v>16356</v>
      </c>
      <c r="P287" s="129">
        <v>16365</v>
      </c>
      <c r="Q287" s="129">
        <v>16172</v>
      </c>
      <c r="R287" s="129">
        <v>16427</v>
      </c>
      <c r="S287" s="129">
        <v>16431</v>
      </c>
      <c r="T287" s="129">
        <v>16460</v>
      </c>
      <c r="U287" s="129">
        <v>16500</v>
      </c>
      <c r="V287" s="129">
        <v>16400</v>
      </c>
      <c r="W287" s="130"/>
      <c r="X287" s="130"/>
      <c r="Y287" s="129"/>
      <c r="Z287" s="129"/>
      <c r="AA287" s="129"/>
    </row>
    <row r="288" spans="1:27" x14ac:dyDescent="0.25">
      <c r="A288" t="s">
        <v>513</v>
      </c>
      <c r="B288" s="75" t="s">
        <v>391</v>
      </c>
      <c r="C288" s="59">
        <f t="shared" si="14"/>
        <v>3.3481444395769447E-3</v>
      </c>
      <c r="D288" t="s">
        <v>116</v>
      </c>
      <c r="E288" s="59">
        <f t="shared" si="13"/>
        <v>1.5407190022010272E-2</v>
      </c>
      <c r="F288" s="129">
        <v>31958</v>
      </c>
      <c r="G288" s="129"/>
      <c r="H288" s="129">
        <v>2885</v>
      </c>
      <c r="I288" s="55">
        <v>2825</v>
      </c>
      <c r="J288" s="55">
        <v>2775</v>
      </c>
      <c r="K288" s="55">
        <v>2695</v>
      </c>
      <c r="L288" s="55">
        <v>2660</v>
      </c>
      <c r="M288" s="55">
        <v>2675</v>
      </c>
      <c r="N288" s="69" t="s">
        <v>391</v>
      </c>
      <c r="O288" s="129">
        <v>31152</v>
      </c>
      <c r="P288" s="129">
        <v>31221</v>
      </c>
      <c r="Q288" s="129">
        <v>31231</v>
      </c>
      <c r="R288" s="129">
        <v>31546</v>
      </c>
      <c r="S288" s="129">
        <v>31714</v>
      </c>
      <c r="T288" s="129">
        <v>31958</v>
      </c>
      <c r="U288" s="129">
        <v>32299.999999999996</v>
      </c>
      <c r="V288" s="129">
        <v>32600</v>
      </c>
      <c r="W288" s="130"/>
      <c r="X288" s="130"/>
      <c r="Y288" s="129"/>
      <c r="Z288" s="129"/>
      <c r="AA288" s="129"/>
    </row>
    <row r="289" spans="1:27" x14ac:dyDescent="0.25">
      <c r="A289" t="s">
        <v>521</v>
      </c>
      <c r="B289" s="75" t="s">
        <v>124</v>
      </c>
      <c r="C289" s="59">
        <f t="shared" si="14"/>
        <v>-8.3550033708947313E-3</v>
      </c>
      <c r="D289" t="s">
        <v>439</v>
      </c>
      <c r="E289" s="59">
        <f t="shared" si="13"/>
        <v>1.2135922330097087E-2</v>
      </c>
      <c r="F289" s="129">
        <v>27688</v>
      </c>
      <c r="G289" s="129"/>
      <c r="H289" s="129">
        <v>1725</v>
      </c>
      <c r="I289" s="55">
        <v>1685</v>
      </c>
      <c r="J289" s="55">
        <v>1670</v>
      </c>
      <c r="K289" s="55">
        <v>1635</v>
      </c>
      <c r="L289" s="55">
        <v>1625</v>
      </c>
      <c r="M289" s="55">
        <v>1625</v>
      </c>
      <c r="N289" s="69" t="s">
        <v>124</v>
      </c>
      <c r="O289" s="129">
        <v>27397</v>
      </c>
      <c r="P289" s="129">
        <v>27417</v>
      </c>
      <c r="Q289" s="129">
        <v>27472</v>
      </c>
      <c r="R289" s="129">
        <v>27614</v>
      </c>
      <c r="S289" s="129">
        <v>27520</v>
      </c>
      <c r="T289" s="129">
        <v>27688</v>
      </c>
      <c r="U289" s="129">
        <v>26700</v>
      </c>
      <c r="V289" s="129">
        <v>26300</v>
      </c>
      <c r="W289" s="130"/>
      <c r="X289" s="130"/>
      <c r="Y289" s="129"/>
      <c r="Z289" s="129"/>
      <c r="AA289" s="129"/>
    </row>
    <row r="290" spans="1:27" x14ac:dyDescent="0.25">
      <c r="A290" t="s">
        <v>520</v>
      </c>
      <c r="B290" s="75" t="s">
        <v>231</v>
      </c>
      <c r="C290" s="59">
        <f t="shared" si="14"/>
        <v>1.5662245221948943E-3</v>
      </c>
      <c r="D290" t="s">
        <v>116</v>
      </c>
      <c r="E290" s="59">
        <f t="shared" si="13"/>
        <v>2.0160460810532813E-2</v>
      </c>
      <c r="F290" s="129">
        <v>70339</v>
      </c>
      <c r="G290" s="129"/>
      <c r="H290" s="129">
        <v>5280</v>
      </c>
      <c r="I290" s="55">
        <v>5060</v>
      </c>
      <c r="J290" s="55">
        <v>4965</v>
      </c>
      <c r="K290" s="55">
        <v>4810</v>
      </c>
      <c r="L290" s="55">
        <v>4680</v>
      </c>
      <c r="M290" s="55">
        <v>4790</v>
      </c>
      <c r="N290" s="69" t="s">
        <v>231</v>
      </c>
      <c r="O290" s="129">
        <v>66424</v>
      </c>
      <c r="P290" s="129">
        <v>66912</v>
      </c>
      <c r="Q290" s="129">
        <v>67666</v>
      </c>
      <c r="R290" s="129">
        <v>68529</v>
      </c>
      <c r="S290" s="129">
        <v>69440</v>
      </c>
      <c r="T290" s="129">
        <v>70339</v>
      </c>
      <c r="U290" s="129">
        <v>70100</v>
      </c>
      <c r="V290" s="129">
        <v>71000</v>
      </c>
      <c r="W290" s="130"/>
      <c r="X290" s="130"/>
      <c r="Y290" s="129"/>
      <c r="Z290" s="129"/>
      <c r="AA290" s="129"/>
    </row>
    <row r="291" spans="1:27" x14ac:dyDescent="0.25">
      <c r="A291" t="s">
        <v>524</v>
      </c>
      <c r="B291" s="75" t="s">
        <v>339</v>
      </c>
      <c r="C291" s="59">
        <f t="shared" si="14"/>
        <v>-3.3722201968647467E-3</v>
      </c>
      <c r="D291" t="s">
        <v>465</v>
      </c>
      <c r="E291" s="59">
        <f t="shared" si="13"/>
        <v>2.5743453173546382E-2</v>
      </c>
      <c r="F291" s="129">
        <v>21944</v>
      </c>
      <c r="G291" s="129"/>
      <c r="H291" s="129">
        <v>2440</v>
      </c>
      <c r="I291" s="55">
        <v>2385</v>
      </c>
      <c r="J291" s="55">
        <v>2330</v>
      </c>
      <c r="K291" s="55">
        <v>2240</v>
      </c>
      <c r="L291" s="55">
        <v>2160</v>
      </c>
      <c r="M291" s="55">
        <v>2150</v>
      </c>
      <c r="N291" s="69" t="s">
        <v>339</v>
      </c>
      <c r="O291" s="129">
        <v>21901</v>
      </c>
      <c r="P291" s="129">
        <v>21953</v>
      </c>
      <c r="Q291" s="129">
        <v>21850</v>
      </c>
      <c r="R291" s="129">
        <v>22050</v>
      </c>
      <c r="S291" s="129">
        <v>22067</v>
      </c>
      <c r="T291" s="129">
        <v>21944</v>
      </c>
      <c r="U291" s="129">
        <v>21500</v>
      </c>
      <c r="V291" s="129">
        <v>21500</v>
      </c>
      <c r="W291" s="130"/>
      <c r="X291" s="130"/>
      <c r="Y291" s="129"/>
      <c r="Z291" s="129"/>
      <c r="AA291" s="129"/>
    </row>
    <row r="292" spans="1:27" x14ac:dyDescent="0.25">
      <c r="A292" t="s">
        <v>513</v>
      </c>
      <c r="B292" s="75" t="s">
        <v>392</v>
      </c>
      <c r="C292" s="59">
        <f t="shared" si="14"/>
        <v>5.5877657339719351E-3</v>
      </c>
      <c r="D292" t="s">
        <v>465</v>
      </c>
      <c r="E292" s="59">
        <f t="shared" si="13"/>
        <v>2.5068786303882606E-2</v>
      </c>
      <c r="F292" s="129">
        <v>47604</v>
      </c>
      <c r="G292" s="129"/>
      <c r="H292" s="129">
        <v>3545</v>
      </c>
      <c r="I292" s="55">
        <v>3435</v>
      </c>
      <c r="J292" s="55">
        <v>3355</v>
      </c>
      <c r="K292" s="55">
        <v>3275</v>
      </c>
      <c r="L292" s="55">
        <v>3155</v>
      </c>
      <c r="M292" s="55">
        <v>3135</v>
      </c>
      <c r="N292" s="69" t="s">
        <v>392</v>
      </c>
      <c r="O292" s="129">
        <v>45481</v>
      </c>
      <c r="P292" s="129">
        <v>45500</v>
      </c>
      <c r="Q292" s="129">
        <v>45813</v>
      </c>
      <c r="R292" s="129">
        <v>46415</v>
      </c>
      <c r="S292" s="129">
        <v>46827</v>
      </c>
      <c r="T292" s="129">
        <v>47604</v>
      </c>
      <c r="U292" s="129">
        <v>48200</v>
      </c>
      <c r="V292" s="129">
        <v>49200</v>
      </c>
      <c r="W292" s="130"/>
      <c r="X292" s="130"/>
      <c r="Y292" s="129"/>
      <c r="Z292" s="129"/>
      <c r="AA292" s="129"/>
    </row>
    <row r="293" spans="1:27" x14ac:dyDescent="0.25">
      <c r="A293" t="s">
        <v>514</v>
      </c>
      <c r="B293" s="75" t="s">
        <v>274</v>
      </c>
      <c r="C293" s="59">
        <f t="shared" si="14"/>
        <v>2.8474563358284288E-3</v>
      </c>
      <c r="D293" t="s">
        <v>116</v>
      </c>
      <c r="E293" s="59">
        <f t="shared" si="13"/>
        <v>3.3366834170854273E-2</v>
      </c>
      <c r="F293" s="129">
        <v>70004</v>
      </c>
      <c r="G293" s="129"/>
      <c r="H293" s="129">
        <v>5530</v>
      </c>
      <c r="I293" s="55">
        <v>5325</v>
      </c>
      <c r="J293" s="55">
        <v>5165</v>
      </c>
      <c r="K293" s="55">
        <v>4915</v>
      </c>
      <c r="L293" s="55">
        <v>4770</v>
      </c>
      <c r="M293" s="55">
        <v>4700</v>
      </c>
      <c r="N293" s="69" t="s">
        <v>274</v>
      </c>
      <c r="O293" s="129">
        <v>68590</v>
      </c>
      <c r="P293" s="129">
        <v>68617</v>
      </c>
      <c r="Q293" s="129">
        <v>68473</v>
      </c>
      <c r="R293" s="129">
        <v>68811</v>
      </c>
      <c r="S293" s="129">
        <v>69241</v>
      </c>
      <c r="T293" s="129">
        <v>70004</v>
      </c>
      <c r="U293" s="129">
        <v>70800</v>
      </c>
      <c r="V293" s="129">
        <v>71200</v>
      </c>
      <c r="W293" s="130"/>
      <c r="X293" s="130"/>
      <c r="Y293" s="129"/>
      <c r="Z293" s="129"/>
      <c r="AA293" s="129"/>
    </row>
    <row r="294" spans="1:27" x14ac:dyDescent="0.25">
      <c r="A294" t="s">
        <v>522</v>
      </c>
      <c r="B294" s="75" t="s">
        <v>423</v>
      </c>
      <c r="C294" s="59">
        <f t="shared" si="14"/>
        <v>-7.7256961140710243E-4</v>
      </c>
      <c r="D294" t="s">
        <v>439</v>
      </c>
      <c r="E294" s="59">
        <f t="shared" si="13"/>
        <v>2.23463687150838E-2</v>
      </c>
      <c r="F294" s="129">
        <v>103982</v>
      </c>
      <c r="G294" s="129"/>
      <c r="H294" s="129">
        <v>7530</v>
      </c>
      <c r="I294" s="55">
        <v>7260</v>
      </c>
      <c r="J294" s="55">
        <v>7180</v>
      </c>
      <c r="K294" s="55">
        <v>6965</v>
      </c>
      <c r="L294" s="55">
        <v>6750</v>
      </c>
      <c r="M294" s="55">
        <v>6750</v>
      </c>
      <c r="N294" s="69" t="s">
        <v>423</v>
      </c>
      <c r="O294" s="129">
        <v>101869</v>
      </c>
      <c r="P294" s="129">
        <v>101988</v>
      </c>
      <c r="Q294" s="129">
        <v>102128</v>
      </c>
      <c r="R294" s="129">
        <v>103329</v>
      </c>
      <c r="S294" s="129">
        <v>103789</v>
      </c>
      <c r="T294" s="129">
        <v>103982</v>
      </c>
      <c r="U294" s="129">
        <v>103500</v>
      </c>
      <c r="V294" s="129">
        <v>103500</v>
      </c>
      <c r="W294" s="130"/>
      <c r="X294" s="130"/>
      <c r="Y294" s="129"/>
      <c r="Z294" s="129"/>
      <c r="AA294" s="129"/>
    </row>
    <row r="295" spans="1:27" x14ac:dyDescent="0.25">
      <c r="A295" t="s">
        <v>522</v>
      </c>
      <c r="B295" s="75" t="s">
        <v>424</v>
      </c>
      <c r="C295" s="59">
        <f t="shared" si="14"/>
        <v>-7.1040690322100716E-3</v>
      </c>
      <c r="D295" t="s">
        <v>439</v>
      </c>
      <c r="E295" s="59">
        <f t="shared" si="13"/>
        <v>2.7584020291693087E-2</v>
      </c>
      <c r="F295" s="129">
        <v>44810</v>
      </c>
      <c r="G295" s="129"/>
      <c r="H295" s="129">
        <v>3405</v>
      </c>
      <c r="I295" s="55">
        <v>3325</v>
      </c>
      <c r="J295" s="55">
        <v>3260</v>
      </c>
      <c r="K295" s="55">
        <v>3160</v>
      </c>
      <c r="L295" s="55">
        <v>3055</v>
      </c>
      <c r="M295" s="55">
        <v>2970</v>
      </c>
      <c r="N295" s="69" t="s">
        <v>424</v>
      </c>
      <c r="O295" s="129">
        <v>43596</v>
      </c>
      <c r="P295" s="129">
        <v>43713</v>
      </c>
      <c r="Q295" s="129">
        <v>43972</v>
      </c>
      <c r="R295" s="129">
        <v>44633</v>
      </c>
      <c r="S295" s="129">
        <v>44662</v>
      </c>
      <c r="T295" s="129">
        <v>44810</v>
      </c>
      <c r="U295" s="129">
        <v>43300</v>
      </c>
      <c r="V295" s="129">
        <v>42900</v>
      </c>
      <c r="W295" s="130"/>
      <c r="X295" s="130"/>
      <c r="Y295" s="129"/>
      <c r="Z295" s="129"/>
      <c r="AA295" s="129"/>
    </row>
    <row r="296" spans="1:27" x14ac:dyDescent="0.25">
      <c r="A296" t="s">
        <v>520</v>
      </c>
      <c r="B296" s="75" t="s">
        <v>598</v>
      </c>
      <c r="C296" s="59">
        <f t="shared" si="14"/>
        <v>-4.1404226748089652E-3</v>
      </c>
      <c r="D296" t="s">
        <v>116</v>
      </c>
      <c r="E296" s="59">
        <f t="shared" si="13"/>
        <v>3.1617967727867423E-2</v>
      </c>
      <c r="F296" s="129">
        <v>62554</v>
      </c>
      <c r="G296" s="129"/>
      <c r="H296" s="129">
        <v>5060</v>
      </c>
      <c r="I296" s="55">
        <v>4855</v>
      </c>
      <c r="J296" s="55">
        <v>4755</v>
      </c>
      <c r="K296" s="55">
        <v>4570</v>
      </c>
      <c r="L296" s="55">
        <v>4415</v>
      </c>
      <c r="M296" s="55">
        <v>4335</v>
      </c>
      <c r="N296" s="69" t="s">
        <v>598</v>
      </c>
      <c r="O296" s="129">
        <v>56740</v>
      </c>
      <c r="P296" s="129">
        <v>57829</v>
      </c>
      <c r="Q296" s="129">
        <v>58791</v>
      </c>
      <c r="R296" s="129">
        <v>60045</v>
      </c>
      <c r="S296" s="129">
        <v>61669</v>
      </c>
      <c r="T296" s="129">
        <v>62554</v>
      </c>
      <c r="U296" s="129">
        <v>60500</v>
      </c>
      <c r="V296" s="129">
        <v>61000</v>
      </c>
      <c r="W296" s="130"/>
      <c r="X296" s="130"/>
      <c r="Y296" s="129"/>
      <c r="Z296" s="129"/>
      <c r="AA296" s="129"/>
    </row>
    <row r="297" spans="1:27" x14ac:dyDescent="0.25">
      <c r="A297" t="s">
        <v>517</v>
      </c>
      <c r="B297" s="75" t="s">
        <v>318</v>
      </c>
      <c r="C297" s="59">
        <f t="shared" si="14"/>
        <v>4.4583128328629009E-3</v>
      </c>
      <c r="D297" t="s">
        <v>116</v>
      </c>
      <c r="E297" s="59">
        <f t="shared" si="13"/>
        <v>2.3088023088023088E-2</v>
      </c>
      <c r="F297" s="129">
        <v>77234</v>
      </c>
      <c r="G297" s="129"/>
      <c r="H297" s="129">
        <v>4510</v>
      </c>
      <c r="I297" s="55">
        <v>4310</v>
      </c>
      <c r="J297" s="55">
        <v>4290</v>
      </c>
      <c r="K297" s="55">
        <v>4165</v>
      </c>
      <c r="L297" s="55">
        <v>3995</v>
      </c>
      <c r="M297" s="55">
        <v>4030</v>
      </c>
      <c r="N297" s="69" t="s">
        <v>318</v>
      </c>
      <c r="O297" s="129">
        <v>73403</v>
      </c>
      <c r="P297" s="129">
        <v>73924</v>
      </c>
      <c r="Q297" s="129">
        <v>74159</v>
      </c>
      <c r="R297" s="129">
        <v>75053</v>
      </c>
      <c r="S297" s="129">
        <v>76409</v>
      </c>
      <c r="T297" s="129">
        <v>77234</v>
      </c>
      <c r="U297" s="129">
        <v>78400</v>
      </c>
      <c r="V297" s="129">
        <v>79300</v>
      </c>
      <c r="W297" s="130"/>
      <c r="X297" s="130"/>
      <c r="Y297" s="129"/>
      <c r="Z297" s="129"/>
      <c r="AA297" s="129"/>
    </row>
    <row r="298" spans="1:27" x14ac:dyDescent="0.25">
      <c r="A298" t="s">
        <v>516</v>
      </c>
      <c r="B298" s="75" t="s">
        <v>137</v>
      </c>
      <c r="C298" s="59">
        <f t="shared" si="14"/>
        <v>-1.6501650165016502E-3</v>
      </c>
      <c r="D298" t="s">
        <v>439</v>
      </c>
      <c r="E298" s="59">
        <f t="shared" si="13"/>
        <v>3.5502958579881658E-2</v>
      </c>
      <c r="F298" s="129">
        <v>1212</v>
      </c>
      <c r="G298" s="129"/>
      <c r="H298" s="129">
        <v>190</v>
      </c>
      <c r="I298" s="55">
        <v>175</v>
      </c>
      <c r="J298" s="55">
        <v>180</v>
      </c>
      <c r="K298" s="55">
        <v>170</v>
      </c>
      <c r="L298" s="55">
        <v>160</v>
      </c>
      <c r="M298" s="55">
        <v>160</v>
      </c>
      <c r="N298" s="69" t="s">
        <v>137</v>
      </c>
      <c r="O298" s="129">
        <v>1161</v>
      </c>
      <c r="P298" s="129">
        <v>1194</v>
      </c>
      <c r="Q298" s="129">
        <v>1196</v>
      </c>
      <c r="R298" s="129">
        <v>1291</v>
      </c>
      <c r="S298" s="129">
        <v>1255</v>
      </c>
      <c r="T298" s="129">
        <v>1212</v>
      </c>
      <c r="U298" s="129">
        <v>1200</v>
      </c>
      <c r="V298" s="129">
        <v>1200</v>
      </c>
      <c r="W298" s="130"/>
      <c r="X298" s="130"/>
      <c r="Y298" s="129"/>
      <c r="Z298" s="129"/>
      <c r="AA298" s="129"/>
    </row>
    <row r="299" spans="1:27" x14ac:dyDescent="0.25">
      <c r="A299" t="s">
        <v>524</v>
      </c>
      <c r="B299" s="75" t="s">
        <v>340</v>
      </c>
      <c r="C299" s="59">
        <f t="shared" si="14"/>
        <v>1.5731515469323545E-3</v>
      </c>
      <c r="D299" t="s">
        <v>439</v>
      </c>
      <c r="E299" s="59">
        <f t="shared" si="13"/>
        <v>2.6701119724375538E-2</v>
      </c>
      <c r="F299" s="129">
        <v>45768</v>
      </c>
      <c r="G299" s="129"/>
      <c r="H299" s="129">
        <v>2540</v>
      </c>
      <c r="I299" s="55">
        <v>2425</v>
      </c>
      <c r="J299" s="55">
        <v>2370</v>
      </c>
      <c r="K299" s="55">
        <v>2350</v>
      </c>
      <c r="L299" s="55">
        <v>2235</v>
      </c>
      <c r="M299" s="55">
        <v>2230</v>
      </c>
      <c r="N299" s="69" t="s">
        <v>340</v>
      </c>
      <c r="O299" s="129">
        <v>44466</v>
      </c>
      <c r="P299" s="129">
        <v>44358</v>
      </c>
      <c r="Q299" s="129">
        <v>44565</v>
      </c>
      <c r="R299" s="129">
        <v>45165</v>
      </c>
      <c r="S299" s="129">
        <v>45389</v>
      </c>
      <c r="T299" s="129">
        <v>45768</v>
      </c>
      <c r="U299" s="129">
        <v>46000</v>
      </c>
      <c r="V299" s="129">
        <v>46200</v>
      </c>
      <c r="W299" s="130"/>
      <c r="X299" s="130"/>
      <c r="Y299" s="129"/>
      <c r="Z299" s="129"/>
      <c r="AA299" s="129"/>
    </row>
    <row r="300" spans="1:27" x14ac:dyDescent="0.25">
      <c r="A300" t="s">
        <v>522</v>
      </c>
      <c r="B300" s="75" t="s">
        <v>425</v>
      </c>
      <c r="C300" s="59">
        <f t="shared" si="14"/>
        <v>-5.0729820657500861E-3</v>
      </c>
      <c r="D300" t="s">
        <v>465</v>
      </c>
      <c r="E300" s="59">
        <f t="shared" si="13"/>
        <v>2.5302530253025302E-2</v>
      </c>
      <c r="F300" s="129">
        <v>12583</v>
      </c>
      <c r="G300" s="129"/>
      <c r="H300" s="129">
        <v>975</v>
      </c>
      <c r="I300" s="55">
        <v>975</v>
      </c>
      <c r="J300" s="55">
        <v>950</v>
      </c>
      <c r="K300" s="55">
        <v>900</v>
      </c>
      <c r="L300" s="55">
        <v>860</v>
      </c>
      <c r="M300" s="55">
        <v>860</v>
      </c>
      <c r="N300" s="69" t="s">
        <v>425</v>
      </c>
      <c r="O300" s="129">
        <v>12487</v>
      </c>
      <c r="P300" s="129">
        <v>12466</v>
      </c>
      <c r="Q300" s="129">
        <v>12425</v>
      </c>
      <c r="R300" s="129">
        <v>12404</v>
      </c>
      <c r="S300" s="129">
        <v>12375</v>
      </c>
      <c r="T300" s="129">
        <v>12583</v>
      </c>
      <c r="U300" s="129">
        <v>12300</v>
      </c>
      <c r="V300" s="129">
        <v>12200</v>
      </c>
      <c r="W300" s="130"/>
      <c r="X300" s="130"/>
      <c r="Y300" s="129"/>
      <c r="Z300" s="129"/>
      <c r="AA300" s="129"/>
    </row>
    <row r="301" spans="1:27" x14ac:dyDescent="0.25">
      <c r="A301" t="s">
        <v>517</v>
      </c>
      <c r="B301" s="75" t="s">
        <v>827</v>
      </c>
      <c r="C301" s="59">
        <f t="shared" si="14"/>
        <v>-9.9270229663017814E-4</v>
      </c>
      <c r="D301" t="s">
        <v>465</v>
      </c>
      <c r="E301" s="59">
        <f>SUM(H301,-M301)/(SUM(I301,J301,K301,L301,M301))</f>
        <v>3.1555821849410824E-2</v>
      </c>
      <c r="F301" s="129">
        <v>74544</v>
      </c>
      <c r="H301" s="129">
        <v>5545</v>
      </c>
      <c r="I301" s="129">
        <v>5260</v>
      </c>
      <c r="J301" s="129">
        <v>5190</v>
      </c>
      <c r="K301" s="129">
        <v>5010</v>
      </c>
      <c r="L301" s="129">
        <v>4820</v>
      </c>
      <c r="M301" s="129">
        <v>4755</v>
      </c>
      <c r="N301" s="69" t="s">
        <v>827</v>
      </c>
      <c r="O301" s="129">
        <v>72106</v>
      </c>
      <c r="P301" s="129">
        <v>72651</v>
      </c>
      <c r="Q301" s="129">
        <v>73242</v>
      </c>
      <c r="R301" s="129">
        <v>73949</v>
      </c>
      <c r="S301" s="129">
        <v>74304</v>
      </c>
      <c r="T301" s="129">
        <v>74544</v>
      </c>
      <c r="U301" s="129">
        <v>73800</v>
      </c>
      <c r="V301" s="129">
        <v>74100</v>
      </c>
      <c r="W301" s="130"/>
      <c r="X301" s="130"/>
      <c r="Y301" s="129"/>
      <c r="Z301" s="129"/>
      <c r="AA301" s="129"/>
    </row>
    <row r="302" spans="1:27" x14ac:dyDescent="0.25">
      <c r="A302" t="s">
        <v>517</v>
      </c>
      <c r="B302" s="75" t="s">
        <v>319</v>
      </c>
      <c r="C302" s="59">
        <f t="shared" si="14"/>
        <v>5.5311157418126624E-4</v>
      </c>
      <c r="D302" t="s">
        <v>465</v>
      </c>
      <c r="E302" s="59">
        <f t="shared" si="13"/>
        <v>3.7472035794183442E-2</v>
      </c>
      <c r="F302" s="129">
        <v>25914</v>
      </c>
      <c r="G302" s="129"/>
      <c r="H302" s="129">
        <v>2015</v>
      </c>
      <c r="I302" s="55">
        <v>1895</v>
      </c>
      <c r="J302" s="55">
        <v>1840</v>
      </c>
      <c r="K302" s="55">
        <v>1775</v>
      </c>
      <c r="L302" s="55">
        <v>1750</v>
      </c>
      <c r="M302" s="55">
        <v>1680</v>
      </c>
      <c r="N302" s="69" t="s">
        <v>319</v>
      </c>
      <c r="O302" s="129">
        <v>25598</v>
      </c>
      <c r="P302" s="129">
        <v>25650</v>
      </c>
      <c r="Q302" s="129">
        <v>25626</v>
      </c>
      <c r="R302" s="129">
        <v>25656</v>
      </c>
      <c r="S302" s="129">
        <v>25625</v>
      </c>
      <c r="T302" s="129">
        <v>25914</v>
      </c>
      <c r="U302" s="129">
        <v>25800</v>
      </c>
      <c r="V302" s="129">
        <v>26000</v>
      </c>
      <c r="W302" s="130"/>
      <c r="X302" s="130"/>
      <c r="Y302" s="129"/>
      <c r="Z302" s="129"/>
      <c r="AA302" s="129"/>
    </row>
    <row r="303" spans="1:27" x14ac:dyDescent="0.25">
      <c r="A303" t="s">
        <v>515</v>
      </c>
      <c r="B303" s="75" t="s">
        <v>203</v>
      </c>
      <c r="C303" s="59">
        <f t="shared" si="14"/>
        <v>6.0820589040560093E-3</v>
      </c>
      <c r="D303" t="s">
        <v>465</v>
      </c>
      <c r="E303" s="59">
        <f t="shared" si="13"/>
        <v>3.4778465936160075E-2</v>
      </c>
      <c r="F303" s="129">
        <v>25567</v>
      </c>
      <c r="G303" s="129"/>
      <c r="H303" s="129">
        <v>2335</v>
      </c>
      <c r="I303" s="55">
        <v>2210</v>
      </c>
      <c r="J303" s="55">
        <v>2175</v>
      </c>
      <c r="K303" s="55">
        <v>2120</v>
      </c>
      <c r="L303" s="55">
        <v>2020</v>
      </c>
      <c r="M303" s="55">
        <v>1970</v>
      </c>
      <c r="N303" s="69" t="s">
        <v>203</v>
      </c>
      <c r="O303" s="129">
        <v>24562</v>
      </c>
      <c r="P303" s="129">
        <v>24790</v>
      </c>
      <c r="Q303" s="129">
        <v>24996</v>
      </c>
      <c r="R303" s="129">
        <v>25214</v>
      </c>
      <c r="S303" s="129">
        <v>25377</v>
      </c>
      <c r="T303" s="129">
        <v>25567</v>
      </c>
      <c r="U303" s="129">
        <v>26100</v>
      </c>
      <c r="V303" s="129">
        <v>26500</v>
      </c>
      <c r="W303" s="130"/>
      <c r="X303" s="130"/>
      <c r="Y303" s="129"/>
      <c r="Z303" s="129"/>
      <c r="AA303" s="129"/>
    </row>
    <row r="304" spans="1:27" x14ac:dyDescent="0.25">
      <c r="A304" t="s">
        <v>513</v>
      </c>
      <c r="B304" s="75" t="s">
        <v>393</v>
      </c>
      <c r="C304" s="59">
        <f t="shared" si="14"/>
        <v>-4.1585917312661315E-3</v>
      </c>
      <c r="D304" t="s">
        <v>116</v>
      </c>
      <c r="E304" s="59">
        <v>3.7529524571280858E-2</v>
      </c>
      <c r="F304" s="129">
        <v>33024</v>
      </c>
      <c r="G304" s="129"/>
      <c r="H304" s="129">
        <v>3354.7339308220135</v>
      </c>
      <c r="I304" s="61">
        <v>3232.7289595294778</v>
      </c>
      <c r="J304" s="61">
        <v>3089.1874387340708</v>
      </c>
      <c r="K304" s="61">
        <v>2957.2605377398122</v>
      </c>
      <c r="L304" s="61">
        <v>2835.4117070438315</v>
      </c>
      <c r="M304" s="61">
        <v>2795.1774961489987</v>
      </c>
      <c r="N304" s="69" t="s">
        <v>393</v>
      </c>
      <c r="O304" s="129">
        <v>31382.98935723288</v>
      </c>
      <c r="P304" s="129">
        <v>31.039532278392382</v>
      </c>
      <c r="Q304" s="129">
        <v>31766</v>
      </c>
      <c r="R304" s="129">
        <v>32115</v>
      </c>
      <c r="S304" s="129">
        <v>32356</v>
      </c>
      <c r="T304" s="129">
        <v>33024</v>
      </c>
      <c r="U304" s="129">
        <v>32100</v>
      </c>
      <c r="V304" s="129">
        <v>32200.000000000004</v>
      </c>
      <c r="W304" s="130"/>
      <c r="X304" s="130"/>
      <c r="Y304" s="129"/>
      <c r="Z304" s="129"/>
      <c r="AA304" s="129"/>
    </row>
    <row r="305" spans="1:27" x14ac:dyDescent="0.25">
      <c r="A305" t="s">
        <v>516</v>
      </c>
      <c r="B305" s="75" t="s">
        <v>599</v>
      </c>
      <c r="C305" s="59">
        <f t="shared" si="14"/>
        <v>-9.8332088623350761E-3</v>
      </c>
      <c r="D305" t="s">
        <v>116</v>
      </c>
      <c r="E305" s="59">
        <f t="shared" si="13"/>
        <v>1.8461368896726553E-2</v>
      </c>
      <c r="F305" s="129">
        <v>46865</v>
      </c>
      <c r="G305" s="129"/>
      <c r="H305" s="129">
        <v>3830</v>
      </c>
      <c r="I305" s="55">
        <v>3753</v>
      </c>
      <c r="J305" s="55">
        <v>3736</v>
      </c>
      <c r="K305" s="55">
        <v>3624</v>
      </c>
      <c r="L305" s="55">
        <v>3538</v>
      </c>
      <c r="M305" s="55">
        <v>3495</v>
      </c>
      <c r="N305" s="69" t="s">
        <v>599</v>
      </c>
      <c r="O305" s="129">
        <v>46062</v>
      </c>
      <c r="P305" s="129">
        <v>46149</v>
      </c>
      <c r="Q305" s="129">
        <v>46321</v>
      </c>
      <c r="R305" s="129">
        <v>46725</v>
      </c>
      <c r="S305" s="129">
        <v>46911</v>
      </c>
      <c r="T305" s="129">
        <v>46865</v>
      </c>
      <c r="U305" s="129">
        <v>44500</v>
      </c>
      <c r="V305" s="129">
        <v>44100</v>
      </c>
      <c r="W305" s="130"/>
      <c r="X305" s="130"/>
      <c r="Y305" s="129"/>
      <c r="Z305" s="129"/>
      <c r="AA305" s="129"/>
    </row>
    <row r="306" spans="1:27" x14ac:dyDescent="0.25">
      <c r="A306" t="s">
        <v>513</v>
      </c>
      <c r="B306" s="75" t="s">
        <v>394</v>
      </c>
      <c r="C306" s="59">
        <f t="shared" si="14"/>
        <v>3.7815282590067437E-3</v>
      </c>
      <c r="D306" t="s">
        <v>465</v>
      </c>
      <c r="E306" s="59">
        <f t="shared" si="13"/>
        <v>2.75049115913556E-2</v>
      </c>
      <c r="F306" s="129">
        <v>17894</v>
      </c>
      <c r="G306" s="129"/>
      <c r="H306" s="129">
        <v>1645</v>
      </c>
      <c r="I306" s="55">
        <v>1600</v>
      </c>
      <c r="J306" s="55">
        <v>1585</v>
      </c>
      <c r="K306" s="55">
        <v>1545</v>
      </c>
      <c r="L306" s="55">
        <v>1470</v>
      </c>
      <c r="M306" s="55">
        <v>1435</v>
      </c>
      <c r="N306" s="69" t="s">
        <v>394</v>
      </c>
      <c r="O306" s="129">
        <v>17455</v>
      </c>
      <c r="P306" s="129">
        <v>17544</v>
      </c>
      <c r="Q306" s="129">
        <v>17631</v>
      </c>
      <c r="R306" s="129">
        <v>17973</v>
      </c>
      <c r="S306" s="129">
        <v>17988</v>
      </c>
      <c r="T306" s="129">
        <v>17894</v>
      </c>
      <c r="U306" s="129">
        <v>18100</v>
      </c>
      <c r="V306" s="129">
        <v>18300</v>
      </c>
      <c r="W306" s="130"/>
      <c r="X306" s="130"/>
      <c r="Y306" s="129"/>
      <c r="Z306" s="129"/>
      <c r="AA306" s="129"/>
    </row>
    <row r="307" spans="1:27" x14ac:dyDescent="0.25">
      <c r="A307" t="s">
        <v>513</v>
      </c>
      <c r="B307" s="75" t="s">
        <v>395</v>
      </c>
      <c r="C307" s="59">
        <f t="shared" si="14"/>
        <v>2.0167323731085004E-4</v>
      </c>
      <c r="D307" t="s">
        <v>116</v>
      </c>
      <c r="E307" s="59">
        <f t="shared" si="13"/>
        <v>2.185792349726776E-2</v>
      </c>
      <c r="F307" s="129">
        <v>51238</v>
      </c>
      <c r="G307" s="129"/>
      <c r="H307" s="129">
        <v>4685</v>
      </c>
      <c r="I307" s="55">
        <v>4595</v>
      </c>
      <c r="J307" s="55">
        <v>4490</v>
      </c>
      <c r="K307" s="55">
        <v>4395</v>
      </c>
      <c r="L307" s="55">
        <v>4275</v>
      </c>
      <c r="M307" s="55">
        <v>4205</v>
      </c>
      <c r="N307" s="69" t="s">
        <v>395</v>
      </c>
      <c r="O307" s="129">
        <v>48653</v>
      </c>
      <c r="P307" s="129">
        <v>48815</v>
      </c>
      <c r="Q307" s="129">
        <v>49351</v>
      </c>
      <c r="R307" s="129">
        <v>49945</v>
      </c>
      <c r="S307" s="129">
        <v>50302</v>
      </c>
      <c r="T307" s="129">
        <v>51238</v>
      </c>
      <c r="U307" s="129">
        <v>50800</v>
      </c>
      <c r="V307" s="129">
        <v>51300</v>
      </c>
      <c r="W307" s="130"/>
      <c r="X307" s="130"/>
      <c r="Y307" s="129"/>
      <c r="Z307" s="129"/>
      <c r="AA307" s="129"/>
    </row>
    <row r="308" spans="1:27" x14ac:dyDescent="0.25">
      <c r="A308" t="s">
        <v>517</v>
      </c>
      <c r="B308" s="75" t="s">
        <v>320</v>
      </c>
      <c r="C308" s="59">
        <f t="shared" si="14"/>
        <v>1.1210037192401715E-2</v>
      </c>
      <c r="D308" t="s">
        <v>465</v>
      </c>
      <c r="E308" s="59">
        <f t="shared" si="13"/>
        <v>3.9796390559925961E-2</v>
      </c>
      <c r="F308" s="129">
        <v>35043</v>
      </c>
      <c r="G308" s="129"/>
      <c r="H308" s="129">
        <v>2445</v>
      </c>
      <c r="I308" s="55">
        <v>2315</v>
      </c>
      <c r="J308" s="55">
        <v>2245</v>
      </c>
      <c r="K308" s="55">
        <v>2160</v>
      </c>
      <c r="L308" s="55">
        <v>2070</v>
      </c>
      <c r="M308" s="55">
        <v>2015</v>
      </c>
      <c r="N308" s="69" t="s">
        <v>320</v>
      </c>
      <c r="O308" s="129">
        <v>29122</v>
      </c>
      <c r="P308" s="129">
        <v>30479</v>
      </c>
      <c r="Q308" s="129">
        <v>31338</v>
      </c>
      <c r="R308" s="129">
        <v>32598</v>
      </c>
      <c r="S308" s="129">
        <v>34000</v>
      </c>
      <c r="T308" s="129">
        <v>35043</v>
      </c>
      <c r="U308" s="129">
        <v>36400</v>
      </c>
      <c r="V308" s="129">
        <v>37400</v>
      </c>
      <c r="W308" s="130"/>
      <c r="X308" s="130"/>
      <c r="Y308" s="129"/>
      <c r="Z308" s="129"/>
      <c r="AA308" s="129"/>
    </row>
    <row r="309" spans="1:27" x14ac:dyDescent="0.25">
      <c r="A309" t="s">
        <v>515</v>
      </c>
      <c r="B309" s="75" t="s">
        <v>204</v>
      </c>
      <c r="C309" s="59">
        <f t="shared" si="14"/>
        <v>8.5587900876906067E-3</v>
      </c>
      <c r="D309" t="s">
        <v>116</v>
      </c>
      <c r="E309" s="59">
        <f t="shared" si="13"/>
        <v>3.2138442521631644E-2</v>
      </c>
      <c r="F309" s="129">
        <v>42802</v>
      </c>
      <c r="G309" s="129"/>
      <c r="H309" s="129">
        <v>2665</v>
      </c>
      <c r="I309" s="55">
        <v>2550</v>
      </c>
      <c r="J309" s="55">
        <v>2530</v>
      </c>
      <c r="K309" s="55">
        <v>2455</v>
      </c>
      <c r="L309" s="55">
        <v>2325</v>
      </c>
      <c r="M309" s="55">
        <v>2275</v>
      </c>
      <c r="N309" s="69" t="s">
        <v>204</v>
      </c>
      <c r="O309" s="129">
        <v>39607</v>
      </c>
      <c r="P309" s="129">
        <v>39635</v>
      </c>
      <c r="Q309" s="129">
        <v>39924</v>
      </c>
      <c r="R309" s="129">
        <v>40961</v>
      </c>
      <c r="S309" s="129">
        <v>42579</v>
      </c>
      <c r="T309" s="129">
        <v>42802</v>
      </c>
      <c r="U309" s="129">
        <v>44200</v>
      </c>
      <c r="V309" s="129">
        <v>45000</v>
      </c>
      <c r="W309" s="130"/>
      <c r="X309" s="130"/>
      <c r="Y309" s="129"/>
      <c r="Z309" s="129"/>
      <c r="AA309" s="129"/>
    </row>
    <row r="310" spans="1:27" x14ac:dyDescent="0.25">
      <c r="A310" t="s">
        <v>517</v>
      </c>
      <c r="B310" s="75" t="s">
        <v>321</v>
      </c>
      <c r="C310" s="59">
        <f t="shared" si="14"/>
        <v>-6.2589283552456363E-3</v>
      </c>
      <c r="D310" t="s">
        <v>465</v>
      </c>
      <c r="E310" s="59">
        <f t="shared" si="13"/>
        <v>2.2058823529411766E-2</v>
      </c>
      <c r="F310" s="129">
        <v>27534</v>
      </c>
      <c r="G310" s="129"/>
      <c r="H310" s="129">
        <v>2625</v>
      </c>
      <c r="I310" s="55">
        <v>2555</v>
      </c>
      <c r="J310" s="55">
        <v>2540</v>
      </c>
      <c r="K310" s="55">
        <v>2440</v>
      </c>
      <c r="L310" s="55">
        <v>2350</v>
      </c>
      <c r="M310" s="55">
        <v>2355</v>
      </c>
      <c r="N310" s="69" t="s">
        <v>321</v>
      </c>
      <c r="O310" s="129">
        <v>26187</v>
      </c>
      <c r="P310" s="129">
        <v>26949</v>
      </c>
      <c r="Q310" s="129">
        <v>27105</v>
      </c>
      <c r="R310" s="129">
        <v>27106</v>
      </c>
      <c r="S310" s="129">
        <v>27100</v>
      </c>
      <c r="T310" s="129">
        <v>27534</v>
      </c>
      <c r="U310" s="129">
        <v>26600</v>
      </c>
      <c r="V310" s="129">
        <v>26500</v>
      </c>
      <c r="W310" s="130"/>
      <c r="X310" s="130"/>
      <c r="Y310" s="129"/>
      <c r="Z310" s="129"/>
      <c r="AA310" s="129"/>
    </row>
    <row r="311" spans="1:27" x14ac:dyDescent="0.25">
      <c r="A311" t="s">
        <v>514</v>
      </c>
      <c r="B311" s="75" t="s">
        <v>275</v>
      </c>
      <c r="C311" s="59">
        <f t="shared" si="14"/>
        <v>-4.4642009080374614E-4</v>
      </c>
      <c r="D311" t="s">
        <v>465</v>
      </c>
      <c r="E311" s="59">
        <f t="shared" si="13"/>
        <v>3.9975772259236826E-2</v>
      </c>
      <c r="F311" s="129">
        <v>17547</v>
      </c>
      <c r="G311" s="129"/>
      <c r="H311" s="129">
        <v>1865</v>
      </c>
      <c r="I311" s="55">
        <v>1790</v>
      </c>
      <c r="J311" s="55">
        <v>1710</v>
      </c>
      <c r="K311" s="55">
        <v>1660</v>
      </c>
      <c r="L311" s="55">
        <v>1560</v>
      </c>
      <c r="M311" s="55">
        <v>1535</v>
      </c>
      <c r="N311" s="69" t="s">
        <v>275</v>
      </c>
      <c r="O311" s="129">
        <v>17430</v>
      </c>
      <c r="P311" s="129">
        <v>17312</v>
      </c>
      <c r="Q311" s="129">
        <v>17337</v>
      </c>
      <c r="R311" s="129">
        <v>17616</v>
      </c>
      <c r="S311" s="129">
        <v>17525</v>
      </c>
      <c r="T311" s="129">
        <v>17547</v>
      </c>
      <c r="U311" s="129">
        <v>17500</v>
      </c>
      <c r="V311" s="129">
        <v>17500</v>
      </c>
      <c r="W311" s="130"/>
      <c r="X311" s="130"/>
      <c r="Y311" s="129"/>
      <c r="Z311" s="129"/>
      <c r="AA311" s="129"/>
    </row>
    <row r="312" spans="1:27" x14ac:dyDescent="0.25">
      <c r="A312" t="s">
        <v>522</v>
      </c>
      <c r="B312" s="75" t="s">
        <v>426</v>
      </c>
      <c r="C312" s="59">
        <f t="shared" si="14"/>
        <v>3.9575953391205051E-4</v>
      </c>
      <c r="D312" t="s">
        <v>439</v>
      </c>
      <c r="E312" s="59">
        <f t="shared" si="13"/>
        <v>2.7473993064817286E-2</v>
      </c>
      <c r="F312" s="129">
        <v>51378</v>
      </c>
      <c r="G312" s="129"/>
      <c r="H312" s="129">
        <v>4140</v>
      </c>
      <c r="I312" s="55">
        <v>3915</v>
      </c>
      <c r="J312" s="55">
        <v>3815</v>
      </c>
      <c r="K312" s="55">
        <v>3735</v>
      </c>
      <c r="L312" s="55">
        <v>3655</v>
      </c>
      <c r="M312" s="55">
        <v>3625</v>
      </c>
      <c r="N312" s="69" t="s">
        <v>426</v>
      </c>
      <c r="O312" s="129">
        <v>50138</v>
      </c>
      <c r="P312" s="129">
        <v>50011</v>
      </c>
      <c r="Q312" s="129">
        <v>50344</v>
      </c>
      <c r="R312" s="129">
        <v>50915</v>
      </c>
      <c r="S312" s="129">
        <v>51079</v>
      </c>
      <c r="T312" s="129">
        <v>51378</v>
      </c>
      <c r="U312" s="129">
        <v>51400</v>
      </c>
      <c r="V312" s="129">
        <v>51500</v>
      </c>
      <c r="W312" s="130"/>
      <c r="X312" s="130"/>
      <c r="Y312" s="129"/>
      <c r="Z312" s="129"/>
      <c r="AA312" s="129"/>
    </row>
    <row r="313" spans="1:27" x14ac:dyDescent="0.25">
      <c r="A313" t="s">
        <v>515</v>
      </c>
      <c r="B313" s="75" t="s">
        <v>828</v>
      </c>
      <c r="C313" s="59">
        <f t="shared" si="14"/>
        <v>3.2449042174367447E-3</v>
      </c>
      <c r="D313" t="s">
        <v>465</v>
      </c>
      <c r="E313" s="59">
        <f t="shared" si="13"/>
        <v>2.1619571401479232E-2</v>
      </c>
      <c r="F313" s="61">
        <v>53263</v>
      </c>
      <c r="G313" s="129"/>
      <c r="H313" s="129">
        <v>5630</v>
      </c>
      <c r="I313" s="129">
        <v>5535</v>
      </c>
      <c r="J313" s="129">
        <v>5425</v>
      </c>
      <c r="K313" s="129">
        <v>5275</v>
      </c>
      <c r="L313" s="129">
        <v>5070</v>
      </c>
      <c r="M313" s="129">
        <v>5060</v>
      </c>
      <c r="N313" s="69" t="s">
        <v>600</v>
      </c>
      <c r="O313" s="61">
        <v>51156</v>
      </c>
      <c r="P313" s="129">
        <v>51496</v>
      </c>
      <c r="Q313" s="129">
        <v>51968</v>
      </c>
      <c r="R313" s="129">
        <v>52720</v>
      </c>
      <c r="S313" s="129">
        <v>52948</v>
      </c>
      <c r="T313" s="129">
        <v>53263</v>
      </c>
      <c r="U313" s="129">
        <v>53700</v>
      </c>
      <c r="V313" s="129">
        <v>54300</v>
      </c>
      <c r="W313" s="130"/>
      <c r="X313" s="130"/>
      <c r="Y313" s="129"/>
      <c r="Z313" s="129"/>
      <c r="AA313" s="129"/>
    </row>
    <row r="314" spans="1:27" x14ac:dyDescent="0.25">
      <c r="A314" t="s">
        <v>515</v>
      </c>
      <c r="B314" s="75" t="s">
        <v>205</v>
      </c>
      <c r="C314" s="59">
        <f t="shared" si="14"/>
        <v>-1.6261346536575894E-3</v>
      </c>
      <c r="D314" t="s">
        <v>465</v>
      </c>
      <c r="E314" s="59">
        <f t="shared" ref="E314:E344" si="15">SUM(H314,-M314)/(SUM(I314,J314,K314,L314,M314))</f>
        <v>3.3143448990160536E-2</v>
      </c>
      <c r="F314" s="129">
        <v>20601</v>
      </c>
      <c r="G314" s="129"/>
      <c r="H314" s="129">
        <v>2130</v>
      </c>
      <c r="I314" s="55">
        <v>2080</v>
      </c>
      <c r="J314" s="55">
        <v>2005</v>
      </c>
      <c r="K314" s="55">
        <v>1930</v>
      </c>
      <c r="L314" s="55">
        <v>1830</v>
      </c>
      <c r="M314" s="55">
        <v>1810</v>
      </c>
      <c r="N314" s="69" t="s">
        <v>205</v>
      </c>
      <c r="O314" s="129">
        <v>19318</v>
      </c>
      <c r="P314" s="129">
        <v>19581</v>
      </c>
      <c r="Q314" s="129">
        <v>19685</v>
      </c>
      <c r="R314" s="129">
        <v>20072</v>
      </c>
      <c r="S314" s="129">
        <v>20330</v>
      </c>
      <c r="T314" s="129">
        <v>20601</v>
      </c>
      <c r="U314" s="129">
        <v>20300</v>
      </c>
      <c r="V314" s="129">
        <v>20400</v>
      </c>
      <c r="W314" s="130"/>
      <c r="X314" s="130"/>
      <c r="Y314" s="129"/>
      <c r="Z314" s="129"/>
      <c r="AA314" s="129"/>
    </row>
    <row r="315" spans="1:27" x14ac:dyDescent="0.25">
      <c r="A315" t="s">
        <v>521</v>
      </c>
      <c r="B315" s="75" t="s">
        <v>601</v>
      </c>
      <c r="C315" s="59">
        <f t="shared" si="14"/>
        <v>-8.8276727231596588E-3</v>
      </c>
      <c r="D315" t="s">
        <v>116</v>
      </c>
      <c r="E315" s="59">
        <f t="shared" si="15"/>
        <v>3.3153750518027353E-2</v>
      </c>
      <c r="F315" s="129">
        <v>64834</v>
      </c>
      <c r="G315" s="129"/>
      <c r="H315" s="129">
        <v>5320</v>
      </c>
      <c r="I315" s="55">
        <v>5155</v>
      </c>
      <c r="J315" s="55">
        <v>5030</v>
      </c>
      <c r="K315" s="55">
        <v>4810</v>
      </c>
      <c r="L315" s="55">
        <v>4615</v>
      </c>
      <c r="M315" s="55">
        <v>4520</v>
      </c>
      <c r="N315" s="69" t="s">
        <v>601</v>
      </c>
      <c r="O315" s="129">
        <v>63359</v>
      </c>
      <c r="P315" s="129">
        <v>63678</v>
      </c>
      <c r="Q315" s="129">
        <v>64305</v>
      </c>
      <c r="R315" s="129">
        <v>64957</v>
      </c>
      <c r="S315" s="129">
        <v>64896</v>
      </c>
      <c r="T315" s="129">
        <v>64834</v>
      </c>
      <c r="U315" s="129">
        <v>61900</v>
      </c>
      <c r="V315" s="129">
        <v>61400</v>
      </c>
      <c r="W315" s="130"/>
      <c r="X315" s="130"/>
      <c r="Y315" s="129"/>
      <c r="Z315" s="129"/>
      <c r="AA315" s="129"/>
    </row>
    <row r="316" spans="1:27" x14ac:dyDescent="0.25">
      <c r="A316" t="s">
        <v>512</v>
      </c>
      <c r="B316" s="75" t="s">
        <v>114</v>
      </c>
      <c r="C316" s="59">
        <f t="shared" si="14"/>
        <v>-7.3964743750104239E-3</v>
      </c>
      <c r="D316" t="s">
        <v>116</v>
      </c>
      <c r="E316" s="59">
        <f t="shared" si="15"/>
        <v>3.7305122494432075E-2</v>
      </c>
      <c r="F316" s="129">
        <v>19987</v>
      </c>
      <c r="G316" s="129"/>
      <c r="H316" s="129">
        <v>1995</v>
      </c>
      <c r="I316" s="55">
        <v>1915</v>
      </c>
      <c r="J316" s="55">
        <v>1860</v>
      </c>
      <c r="K316" s="55">
        <v>1810</v>
      </c>
      <c r="L316" s="55">
        <v>1735</v>
      </c>
      <c r="M316" s="55">
        <v>1660</v>
      </c>
      <c r="N316" s="69" t="s">
        <v>114</v>
      </c>
      <c r="O316" s="129">
        <v>19480</v>
      </c>
      <c r="P316" s="129">
        <v>19661</v>
      </c>
      <c r="Q316" s="129">
        <v>19851</v>
      </c>
      <c r="R316" s="129">
        <v>19857</v>
      </c>
      <c r="S316" s="129">
        <v>20003</v>
      </c>
      <c r="T316" s="129">
        <v>19987</v>
      </c>
      <c r="U316" s="129">
        <v>19100</v>
      </c>
      <c r="V316" s="129">
        <v>19100</v>
      </c>
      <c r="W316" s="130"/>
      <c r="X316" s="130"/>
      <c r="Y316" s="129"/>
      <c r="Z316" s="129"/>
      <c r="AA316" s="129"/>
    </row>
    <row r="317" spans="1:27" x14ac:dyDescent="0.25">
      <c r="A317" t="s">
        <v>515</v>
      </c>
      <c r="B317" s="75" t="s">
        <v>206</v>
      </c>
      <c r="C317" s="59">
        <f t="shared" si="14"/>
        <v>-2.2146208832171206E-3</v>
      </c>
      <c r="D317" t="s">
        <v>116</v>
      </c>
      <c r="E317" s="59">
        <f t="shared" si="15"/>
        <v>1.9675925925925927E-2</v>
      </c>
      <c r="F317" s="129">
        <v>15202</v>
      </c>
      <c r="G317" s="129"/>
      <c r="H317" s="129">
        <v>935</v>
      </c>
      <c r="I317" s="55">
        <v>915</v>
      </c>
      <c r="J317" s="55">
        <v>895</v>
      </c>
      <c r="K317" s="55">
        <v>840</v>
      </c>
      <c r="L317" s="55">
        <v>820</v>
      </c>
      <c r="M317" s="55">
        <v>850</v>
      </c>
      <c r="N317" s="69" t="s">
        <v>206</v>
      </c>
      <c r="O317" s="129">
        <v>14953</v>
      </c>
      <c r="P317" s="129">
        <v>15014</v>
      </c>
      <c r="Q317" s="129">
        <v>14945</v>
      </c>
      <c r="R317" s="129">
        <v>15110</v>
      </c>
      <c r="S317" s="129">
        <v>15151</v>
      </c>
      <c r="T317" s="129">
        <v>15202</v>
      </c>
      <c r="U317" s="129">
        <v>15000</v>
      </c>
      <c r="V317" s="129">
        <v>15000</v>
      </c>
      <c r="W317" s="130"/>
      <c r="X317" s="130"/>
      <c r="Y317" s="129"/>
      <c r="Z317" s="129"/>
      <c r="AA317" s="129"/>
    </row>
    <row r="318" spans="1:27" x14ac:dyDescent="0.25">
      <c r="A318" t="s">
        <v>521</v>
      </c>
      <c r="B318" s="75" t="s">
        <v>602</v>
      </c>
      <c r="C318" s="59">
        <f t="shared" si="14"/>
        <v>-1.4952908049325178E-2</v>
      </c>
      <c r="D318" t="s">
        <v>116</v>
      </c>
      <c r="E318" s="59">
        <f t="shared" si="15"/>
        <v>1.9270833333333334E-2</v>
      </c>
      <c r="F318" s="129">
        <v>27464</v>
      </c>
      <c r="G318" s="129"/>
      <c r="H318" s="129">
        <v>2020</v>
      </c>
      <c r="I318" s="55">
        <v>1985</v>
      </c>
      <c r="J318" s="55">
        <v>1975</v>
      </c>
      <c r="K318" s="55">
        <v>1915</v>
      </c>
      <c r="L318" s="55">
        <v>1890</v>
      </c>
      <c r="M318" s="55">
        <v>1835</v>
      </c>
      <c r="N318" s="69" t="s">
        <v>602</v>
      </c>
      <c r="O318" s="129">
        <v>25663</v>
      </c>
      <c r="P318" s="129">
        <v>26215</v>
      </c>
      <c r="Q318" s="129">
        <v>26589</v>
      </c>
      <c r="R318" s="129">
        <v>26533</v>
      </c>
      <c r="S318" s="129">
        <v>26465</v>
      </c>
      <c r="T318" s="129">
        <v>27464</v>
      </c>
      <c r="U318" s="129">
        <v>25200</v>
      </c>
      <c r="V318" s="129">
        <v>25000</v>
      </c>
      <c r="W318" s="130"/>
      <c r="X318" s="130"/>
      <c r="Y318" s="129"/>
      <c r="Z318" s="129"/>
      <c r="AA318" s="129"/>
    </row>
    <row r="319" spans="1:27" x14ac:dyDescent="0.25">
      <c r="A319" t="s">
        <v>517</v>
      </c>
      <c r="B319" s="75" t="s">
        <v>322</v>
      </c>
      <c r="C319" s="59">
        <f t="shared" si="14"/>
        <v>1.0554875944920172E-2</v>
      </c>
      <c r="D319" t="s">
        <v>465</v>
      </c>
      <c r="E319" s="59">
        <f t="shared" si="15"/>
        <v>2.6674937965260544E-2</v>
      </c>
      <c r="F319" s="129">
        <v>116897</v>
      </c>
      <c r="G319" s="129"/>
      <c r="H319" s="129">
        <v>12225</v>
      </c>
      <c r="I319" s="55">
        <v>11800</v>
      </c>
      <c r="J319" s="55">
        <v>11660</v>
      </c>
      <c r="K319" s="55">
        <v>11300</v>
      </c>
      <c r="L319" s="55">
        <v>10940</v>
      </c>
      <c r="M319" s="55">
        <v>10720</v>
      </c>
      <c r="N319" s="69" t="s">
        <v>322</v>
      </c>
      <c r="O319" s="129">
        <v>110252</v>
      </c>
      <c r="P319" s="129">
        <v>111382</v>
      </c>
      <c r="Q319" s="129">
        <v>112487</v>
      </c>
      <c r="R319" s="129">
        <v>114915</v>
      </c>
      <c r="S319" s="129">
        <v>115941</v>
      </c>
      <c r="T319" s="129">
        <v>116897</v>
      </c>
      <c r="U319" s="129">
        <v>122000</v>
      </c>
      <c r="V319" s="129">
        <v>124300</v>
      </c>
      <c r="W319" s="130"/>
      <c r="X319" s="130"/>
      <c r="Y319" s="129"/>
      <c r="Z319" s="129"/>
      <c r="AA319" s="129"/>
    </row>
    <row r="320" spans="1:27" x14ac:dyDescent="0.25">
      <c r="A320" t="s">
        <v>516</v>
      </c>
      <c r="B320" s="75" t="s">
        <v>138</v>
      </c>
      <c r="C320" s="59">
        <f t="shared" si="14"/>
        <v>-1.8487184307827286E-3</v>
      </c>
      <c r="D320" t="s">
        <v>116</v>
      </c>
      <c r="E320" s="59">
        <f t="shared" si="15"/>
        <v>2.4529128339903637E-2</v>
      </c>
      <c r="F320" s="129">
        <v>26595</v>
      </c>
      <c r="G320" s="129"/>
      <c r="H320" s="129">
        <v>2475</v>
      </c>
      <c r="I320" s="55">
        <v>2385</v>
      </c>
      <c r="J320" s="55">
        <v>2340</v>
      </c>
      <c r="K320" s="55">
        <v>2290</v>
      </c>
      <c r="L320" s="55">
        <v>2205</v>
      </c>
      <c r="M320" s="55">
        <v>2195</v>
      </c>
      <c r="N320" s="69" t="s">
        <v>138</v>
      </c>
      <c r="O320" s="129">
        <v>25899</v>
      </c>
      <c r="P320" s="129">
        <v>26130</v>
      </c>
      <c r="Q320" s="129">
        <v>26280</v>
      </c>
      <c r="R320" s="129">
        <v>26470</v>
      </c>
      <c r="S320" s="129">
        <v>26487</v>
      </c>
      <c r="T320" s="129">
        <v>26595</v>
      </c>
      <c r="U320" s="129">
        <v>26300</v>
      </c>
      <c r="V320" s="129">
        <v>26300</v>
      </c>
      <c r="W320" s="130"/>
      <c r="X320" s="130"/>
      <c r="Y320" s="129"/>
      <c r="Z320" s="129"/>
      <c r="AA320" s="129"/>
    </row>
    <row r="321" spans="1:27" x14ac:dyDescent="0.25">
      <c r="A321" t="s">
        <v>518</v>
      </c>
      <c r="B321" s="75" t="s">
        <v>160</v>
      </c>
      <c r="C321" s="59">
        <f t="shared" si="14"/>
        <v>-6.8970505082383265E-3</v>
      </c>
      <c r="D321" t="s">
        <v>465</v>
      </c>
      <c r="E321" s="59">
        <f t="shared" si="15"/>
        <v>4.0101522842639591E-2</v>
      </c>
      <c r="F321" s="129">
        <v>25349</v>
      </c>
      <c r="G321" s="129"/>
      <c r="H321" s="129">
        <v>2205</v>
      </c>
      <c r="I321" s="55">
        <v>2110</v>
      </c>
      <c r="J321" s="55">
        <v>2050</v>
      </c>
      <c r="K321" s="55">
        <v>1985</v>
      </c>
      <c r="L321" s="55">
        <v>1895</v>
      </c>
      <c r="M321" s="55">
        <v>1810</v>
      </c>
      <c r="N321" s="69" t="s">
        <v>160</v>
      </c>
      <c r="O321" s="129">
        <v>24413</v>
      </c>
      <c r="P321" s="129">
        <v>24538</v>
      </c>
      <c r="Q321" s="129">
        <v>24643</v>
      </c>
      <c r="R321" s="129">
        <v>24867</v>
      </c>
      <c r="S321" s="129">
        <v>24931</v>
      </c>
      <c r="T321" s="129">
        <v>25349</v>
      </c>
      <c r="U321" s="129">
        <v>24400</v>
      </c>
      <c r="V321" s="129">
        <v>24300</v>
      </c>
      <c r="W321" s="130"/>
      <c r="X321" s="130"/>
      <c r="Y321" s="129"/>
      <c r="Z321" s="129"/>
      <c r="AA321" s="129"/>
    </row>
    <row r="322" spans="1:27" x14ac:dyDescent="0.25">
      <c r="A322" t="s">
        <v>515</v>
      </c>
      <c r="B322" s="75" t="s">
        <v>207</v>
      </c>
      <c r="C322" s="59">
        <f t="shared" si="14"/>
        <v>-6.5060279364775823E-3</v>
      </c>
      <c r="D322" t="s">
        <v>116</v>
      </c>
      <c r="E322" s="59">
        <f t="shared" si="15"/>
        <v>2.7991387265456781E-2</v>
      </c>
      <c r="F322" s="129">
        <v>41833</v>
      </c>
      <c r="G322" s="129"/>
      <c r="H322" s="129">
        <v>3525</v>
      </c>
      <c r="I322" s="55">
        <v>3435</v>
      </c>
      <c r="J322" s="55">
        <v>3350</v>
      </c>
      <c r="K322" s="55">
        <v>3240</v>
      </c>
      <c r="L322" s="55">
        <v>3160</v>
      </c>
      <c r="M322" s="55">
        <v>3070</v>
      </c>
      <c r="N322" s="69" t="s">
        <v>207</v>
      </c>
      <c r="O322" s="129">
        <v>41080</v>
      </c>
      <c r="P322" s="129">
        <v>41261</v>
      </c>
      <c r="Q322" s="129">
        <v>41343</v>
      </c>
      <c r="R322" s="129">
        <v>41540</v>
      </c>
      <c r="S322" s="129">
        <v>41545</v>
      </c>
      <c r="T322" s="129">
        <v>41833</v>
      </c>
      <c r="U322" s="129">
        <v>40300</v>
      </c>
      <c r="V322" s="129">
        <v>40200</v>
      </c>
      <c r="W322" s="130"/>
      <c r="X322" s="130"/>
      <c r="Y322" s="129"/>
      <c r="Z322" s="129"/>
      <c r="AA322" s="129"/>
    </row>
    <row r="323" spans="1:27" x14ac:dyDescent="0.25">
      <c r="A323" t="s">
        <v>514</v>
      </c>
      <c r="B323" s="75" t="s">
        <v>277</v>
      </c>
      <c r="C323" s="59">
        <f t="shared" ref="C323:C344" si="16">(SUM(V323,-T323)/6)/T323</f>
        <v>4.3116265239369605E-3</v>
      </c>
      <c r="D323" t="s">
        <v>465</v>
      </c>
      <c r="E323" s="59">
        <f t="shared" si="15"/>
        <v>2.342987308818744E-2</v>
      </c>
      <c r="F323" s="129">
        <v>24662</v>
      </c>
      <c r="G323" s="129"/>
      <c r="H323" s="129">
        <v>3340</v>
      </c>
      <c r="I323" s="55">
        <v>3230</v>
      </c>
      <c r="J323" s="55">
        <v>3135</v>
      </c>
      <c r="K323" s="55">
        <v>3045</v>
      </c>
      <c r="L323" s="55">
        <v>2975</v>
      </c>
      <c r="M323" s="55">
        <v>2980</v>
      </c>
      <c r="N323" s="69" t="s">
        <v>277</v>
      </c>
      <c r="O323" s="129">
        <v>24321</v>
      </c>
      <c r="P323" s="129">
        <v>24463</v>
      </c>
      <c r="Q323" s="129">
        <v>24503</v>
      </c>
      <c r="R323" s="129">
        <v>24654</v>
      </c>
      <c r="S323" s="129">
        <v>24605</v>
      </c>
      <c r="T323" s="129">
        <v>24662</v>
      </c>
      <c r="U323" s="129">
        <v>25200</v>
      </c>
      <c r="V323" s="129">
        <v>25300</v>
      </c>
      <c r="W323" s="130"/>
      <c r="X323" s="130"/>
      <c r="Y323" s="129"/>
      <c r="Z323" s="129"/>
      <c r="AA323" s="129"/>
    </row>
    <row r="324" spans="1:27" x14ac:dyDescent="0.25">
      <c r="A324" t="s">
        <v>520</v>
      </c>
      <c r="B324" s="75" t="s">
        <v>232</v>
      </c>
      <c r="C324" s="59">
        <f t="shared" si="16"/>
        <v>4.0152214667450127E-3</v>
      </c>
      <c r="D324" t="s">
        <v>465</v>
      </c>
      <c r="E324" s="59">
        <f t="shared" si="15"/>
        <v>2.572653644592663E-2</v>
      </c>
      <c r="F324" s="129">
        <v>23826</v>
      </c>
      <c r="G324" s="129"/>
      <c r="H324" s="129">
        <v>2255</v>
      </c>
      <c r="I324" s="55">
        <v>2200</v>
      </c>
      <c r="J324" s="55">
        <v>2185</v>
      </c>
      <c r="K324" s="55">
        <v>2115</v>
      </c>
      <c r="L324" s="55">
        <v>2010</v>
      </c>
      <c r="M324" s="55">
        <v>1985</v>
      </c>
      <c r="N324" s="69" t="s">
        <v>232</v>
      </c>
      <c r="O324" s="129">
        <v>23897</v>
      </c>
      <c r="P324" s="129">
        <v>23925</v>
      </c>
      <c r="Q324" s="129">
        <v>23922</v>
      </c>
      <c r="R324" s="129">
        <v>23993</v>
      </c>
      <c r="S324" s="129">
        <v>23945</v>
      </c>
      <c r="T324" s="129">
        <v>23826</v>
      </c>
      <c r="U324" s="129">
        <v>24300</v>
      </c>
      <c r="V324" s="129">
        <v>24400</v>
      </c>
      <c r="W324" s="130"/>
      <c r="X324" s="130"/>
      <c r="Y324" s="129"/>
      <c r="Z324" s="129"/>
      <c r="AA324" s="129"/>
    </row>
    <row r="325" spans="1:27" x14ac:dyDescent="0.25">
      <c r="A325" t="s">
        <v>515</v>
      </c>
      <c r="B325" s="75" t="s">
        <v>208</v>
      </c>
      <c r="C325" s="59">
        <f t="shared" si="16"/>
        <v>-9.7945260179575829E-3</v>
      </c>
      <c r="D325" t="s">
        <v>116</v>
      </c>
      <c r="E325" s="59">
        <f t="shared" si="15"/>
        <v>2.553191489361702E-2</v>
      </c>
      <c r="F325" s="129">
        <v>29217</v>
      </c>
      <c r="G325" s="129"/>
      <c r="H325" s="129">
        <v>2540</v>
      </c>
      <c r="I325" s="55">
        <v>2460</v>
      </c>
      <c r="J325" s="55">
        <v>2405</v>
      </c>
      <c r="K325" s="55">
        <v>2350</v>
      </c>
      <c r="L325" s="55">
        <v>2295</v>
      </c>
      <c r="M325" s="55">
        <v>2240</v>
      </c>
      <c r="N325" s="69" t="s">
        <v>208</v>
      </c>
      <c r="O325" s="129">
        <v>28851</v>
      </c>
      <c r="P325" s="129">
        <v>29022</v>
      </c>
      <c r="Q325" s="129">
        <v>29177</v>
      </c>
      <c r="R325" s="129">
        <v>29253</v>
      </c>
      <c r="S325" s="129">
        <v>29231</v>
      </c>
      <c r="T325" s="129">
        <v>29217</v>
      </c>
      <c r="U325" s="129">
        <v>27800</v>
      </c>
      <c r="V325" s="129">
        <v>27500</v>
      </c>
      <c r="W325" s="130"/>
      <c r="X325" s="130"/>
      <c r="Y325" s="129"/>
      <c r="Z325" s="129"/>
      <c r="AA325" s="129"/>
    </row>
    <row r="326" spans="1:27" x14ac:dyDescent="0.25">
      <c r="A326" t="s">
        <v>513</v>
      </c>
      <c r="B326" s="75" t="s">
        <v>396</v>
      </c>
      <c r="C326" s="59">
        <f t="shared" si="16"/>
        <v>5.3017332011654804E-3</v>
      </c>
      <c r="D326" t="s">
        <v>465</v>
      </c>
      <c r="E326" s="59">
        <f t="shared" si="15"/>
        <v>2.3432552248258392E-2</v>
      </c>
      <c r="F326" s="129">
        <v>22194</v>
      </c>
      <c r="G326" s="129"/>
      <c r="H326" s="129">
        <v>1710</v>
      </c>
      <c r="I326" s="55">
        <v>1665</v>
      </c>
      <c r="J326" s="55">
        <v>1615</v>
      </c>
      <c r="K326" s="55">
        <v>1565</v>
      </c>
      <c r="L326" s="55">
        <v>1525</v>
      </c>
      <c r="M326" s="55">
        <v>1525</v>
      </c>
      <c r="N326" s="69" t="s">
        <v>396</v>
      </c>
      <c r="O326" s="129">
        <v>21879</v>
      </c>
      <c r="P326" s="129">
        <v>22028</v>
      </c>
      <c r="Q326" s="129">
        <v>22125</v>
      </c>
      <c r="R326" s="129">
        <v>22190</v>
      </c>
      <c r="S326" s="129">
        <v>22208</v>
      </c>
      <c r="T326" s="129">
        <v>22194</v>
      </c>
      <c r="U326" s="129">
        <v>22800</v>
      </c>
      <c r="V326" s="129">
        <v>22900</v>
      </c>
      <c r="W326" s="130"/>
      <c r="X326" s="130"/>
      <c r="Y326" s="129"/>
      <c r="Z326" s="129"/>
      <c r="AA326" s="129"/>
    </row>
    <row r="327" spans="1:27" x14ac:dyDescent="0.25">
      <c r="A327" t="s">
        <v>520</v>
      </c>
      <c r="B327" s="75" t="s">
        <v>233</v>
      </c>
      <c r="C327" s="59">
        <f t="shared" si="16"/>
        <v>3.8907622188461113E-4</v>
      </c>
      <c r="D327" t="s">
        <v>465</v>
      </c>
      <c r="E327" s="59">
        <f t="shared" si="15"/>
        <v>3.4288103700606316E-2</v>
      </c>
      <c r="F327" s="129">
        <v>53974</v>
      </c>
      <c r="G327" s="129"/>
      <c r="H327" s="129">
        <v>5285</v>
      </c>
      <c r="I327" s="55">
        <v>5105</v>
      </c>
      <c r="J327" s="55">
        <v>4990</v>
      </c>
      <c r="K327" s="55">
        <v>4805</v>
      </c>
      <c r="L327" s="55">
        <v>4550</v>
      </c>
      <c r="M327" s="55">
        <v>4465</v>
      </c>
      <c r="N327" s="69" t="s">
        <v>233</v>
      </c>
      <c r="O327" s="129">
        <v>52320</v>
      </c>
      <c r="P327" s="129">
        <v>52694</v>
      </c>
      <c r="Q327" s="129">
        <v>52879</v>
      </c>
      <c r="R327" s="129">
        <v>53237</v>
      </c>
      <c r="S327" s="129">
        <v>53724</v>
      </c>
      <c r="T327" s="129">
        <v>53974</v>
      </c>
      <c r="U327" s="129">
        <v>53900</v>
      </c>
      <c r="V327" s="129">
        <v>54100</v>
      </c>
      <c r="W327" s="130"/>
      <c r="X327" s="130"/>
      <c r="Y327" s="129"/>
      <c r="Z327" s="129"/>
      <c r="AA327" s="129"/>
    </row>
    <row r="328" spans="1:27" x14ac:dyDescent="0.25">
      <c r="A328" t="s">
        <v>514</v>
      </c>
      <c r="B328" s="75" t="s">
        <v>278</v>
      </c>
      <c r="C328" s="59">
        <f t="shared" si="16"/>
        <v>-1.2281022268233767E-3</v>
      </c>
      <c r="D328" t="s">
        <v>465</v>
      </c>
      <c r="E328" s="59">
        <f t="shared" si="15"/>
        <v>2.6153846153846153E-2</v>
      </c>
      <c r="F328" s="129">
        <v>16421</v>
      </c>
      <c r="G328" s="129"/>
      <c r="H328" s="129">
        <v>1420</v>
      </c>
      <c r="I328" s="55">
        <v>1360</v>
      </c>
      <c r="J328" s="55">
        <v>1320</v>
      </c>
      <c r="K328" s="55">
        <v>1300</v>
      </c>
      <c r="L328" s="55">
        <v>1270</v>
      </c>
      <c r="M328" s="55">
        <v>1250</v>
      </c>
      <c r="N328" s="69" t="s">
        <v>278</v>
      </c>
      <c r="O328" s="129">
        <v>16293</v>
      </c>
      <c r="P328" s="129">
        <v>16333</v>
      </c>
      <c r="Q328" s="129">
        <v>16379</v>
      </c>
      <c r="R328" s="129">
        <v>16610</v>
      </c>
      <c r="S328" s="129">
        <v>16552</v>
      </c>
      <c r="T328" s="129">
        <v>16421</v>
      </c>
      <c r="U328" s="129">
        <v>16300</v>
      </c>
      <c r="V328" s="129">
        <v>16300</v>
      </c>
      <c r="W328" s="130"/>
      <c r="X328" s="130"/>
      <c r="Y328" s="129"/>
      <c r="Z328" s="129"/>
      <c r="AA328" s="129"/>
    </row>
    <row r="329" spans="1:27" x14ac:dyDescent="0.25">
      <c r="A329" t="s">
        <v>520</v>
      </c>
      <c r="B329" s="75" t="s">
        <v>234</v>
      </c>
      <c r="C329" s="59">
        <f t="shared" si="16"/>
        <v>-5.2379662241488299E-3</v>
      </c>
      <c r="D329" t="s">
        <v>465</v>
      </c>
      <c r="E329" s="59">
        <f t="shared" si="15"/>
        <v>3.5055350553505532E-2</v>
      </c>
      <c r="F329" s="129">
        <v>14764</v>
      </c>
      <c r="G329" s="129"/>
      <c r="H329" s="129">
        <v>1190</v>
      </c>
      <c r="I329" s="55">
        <v>1160</v>
      </c>
      <c r="J329" s="55">
        <v>1135</v>
      </c>
      <c r="K329" s="55">
        <v>1100</v>
      </c>
      <c r="L329" s="55">
        <v>1025</v>
      </c>
      <c r="M329" s="55">
        <v>1000</v>
      </c>
      <c r="N329" s="69" t="s">
        <v>234</v>
      </c>
      <c r="O329" s="129">
        <v>13334</v>
      </c>
      <c r="P329" s="129">
        <v>13639</v>
      </c>
      <c r="Q329" s="129">
        <v>13877</v>
      </c>
      <c r="R329" s="129">
        <v>14353</v>
      </c>
      <c r="S329" s="129">
        <v>14637</v>
      </c>
      <c r="T329" s="129">
        <v>14764</v>
      </c>
      <c r="U329" s="129">
        <v>14200</v>
      </c>
      <c r="V329" s="129">
        <v>14300</v>
      </c>
      <c r="W329" s="130"/>
      <c r="X329" s="130"/>
      <c r="Y329" s="129"/>
      <c r="Z329" s="129"/>
      <c r="AA329" s="129"/>
    </row>
    <row r="330" spans="1:27" x14ac:dyDescent="0.25">
      <c r="A330" t="s">
        <v>514</v>
      </c>
      <c r="B330" s="75" t="s">
        <v>279</v>
      </c>
      <c r="C330" s="59">
        <f t="shared" si="16"/>
        <v>1.4043149203852958E-2</v>
      </c>
      <c r="D330" t="s">
        <v>439</v>
      </c>
      <c r="E330" s="59">
        <f t="shared" si="15"/>
        <v>3.8837539992890156E-2</v>
      </c>
      <c r="F330" s="129">
        <v>162784</v>
      </c>
      <c r="G330" s="129"/>
      <c r="H330" s="129">
        <v>12795</v>
      </c>
      <c r="I330" s="55">
        <v>12080</v>
      </c>
      <c r="J330" s="55">
        <v>11580</v>
      </c>
      <c r="K330" s="55">
        <v>11180</v>
      </c>
      <c r="L330" s="55">
        <v>10810</v>
      </c>
      <c r="M330" s="55">
        <v>10610</v>
      </c>
      <c r="N330" s="69" t="s">
        <v>279</v>
      </c>
      <c r="O330" s="129">
        <v>156783</v>
      </c>
      <c r="P330" s="129">
        <v>156901</v>
      </c>
      <c r="Q330" s="129">
        <v>157131</v>
      </c>
      <c r="R330" s="129">
        <v>159677</v>
      </c>
      <c r="S330" s="129">
        <v>161389</v>
      </c>
      <c r="T330" s="129">
        <v>162784</v>
      </c>
      <c r="U330" s="129">
        <v>174000</v>
      </c>
      <c r="V330" s="129">
        <v>176500</v>
      </c>
      <c r="W330" s="130"/>
      <c r="X330" s="130"/>
      <c r="Y330" s="129"/>
      <c r="Z330" s="129"/>
      <c r="AA330" s="129"/>
    </row>
    <row r="331" spans="1:27" x14ac:dyDescent="0.25">
      <c r="A331" t="s">
        <v>515</v>
      </c>
      <c r="B331" s="75" t="s">
        <v>209</v>
      </c>
      <c r="C331" s="59">
        <f t="shared" si="16"/>
        <v>7.6983813659692061E-3</v>
      </c>
      <c r="D331" t="s">
        <v>465</v>
      </c>
      <c r="E331" s="59">
        <f t="shared" si="15"/>
        <v>2.2624434389140271E-2</v>
      </c>
      <c r="F331" s="129">
        <v>30396</v>
      </c>
      <c r="G331" s="129"/>
      <c r="H331" s="129">
        <v>3090</v>
      </c>
      <c r="I331" s="55">
        <v>3000</v>
      </c>
      <c r="J331" s="55">
        <v>2930</v>
      </c>
      <c r="K331" s="55">
        <v>2885</v>
      </c>
      <c r="L331" s="55">
        <v>2785</v>
      </c>
      <c r="M331" s="55">
        <v>2765</v>
      </c>
      <c r="N331" s="69" t="s">
        <v>209</v>
      </c>
      <c r="O331" s="129">
        <v>28844</v>
      </c>
      <c r="P331" s="129">
        <v>29447</v>
      </c>
      <c r="Q331" s="129">
        <v>29954</v>
      </c>
      <c r="R331" s="129">
        <v>30351</v>
      </c>
      <c r="S331" s="129">
        <v>30385</v>
      </c>
      <c r="T331" s="129">
        <v>30396</v>
      </c>
      <c r="U331" s="129">
        <v>31400</v>
      </c>
      <c r="V331" s="129">
        <v>31800</v>
      </c>
      <c r="W331" s="130"/>
      <c r="X331" s="130"/>
      <c r="Y331" s="129"/>
      <c r="Z331" s="129"/>
      <c r="AA331" s="129"/>
    </row>
    <row r="332" spans="1:27" x14ac:dyDescent="0.25">
      <c r="A332" t="s">
        <v>514</v>
      </c>
      <c r="B332" s="75" t="s">
        <v>280</v>
      </c>
      <c r="C332" s="59">
        <f t="shared" si="16"/>
        <v>7.0044137401650362E-3</v>
      </c>
      <c r="D332" t="s">
        <v>116</v>
      </c>
      <c r="E332" s="59">
        <f t="shared" si="15"/>
        <v>3.2702237521514632E-2</v>
      </c>
      <c r="F332" s="129">
        <v>17370</v>
      </c>
      <c r="G332" s="129"/>
      <c r="H332" s="129">
        <v>1925</v>
      </c>
      <c r="I332" s="55">
        <v>1850</v>
      </c>
      <c r="J332" s="55">
        <v>1810</v>
      </c>
      <c r="K332" s="55">
        <v>1740</v>
      </c>
      <c r="L332" s="55">
        <v>1675</v>
      </c>
      <c r="M332" s="55">
        <v>1640</v>
      </c>
      <c r="N332" s="69" t="s">
        <v>280</v>
      </c>
      <c r="O332" s="129">
        <v>17116</v>
      </c>
      <c r="P332" s="129">
        <v>17168</v>
      </c>
      <c r="Q332" s="129">
        <v>17103</v>
      </c>
      <c r="R332" s="129">
        <v>17544</v>
      </c>
      <c r="S332" s="129">
        <v>17469</v>
      </c>
      <c r="T332" s="129">
        <v>17370</v>
      </c>
      <c r="U332" s="129">
        <v>17900</v>
      </c>
      <c r="V332" s="129">
        <v>18100</v>
      </c>
      <c r="W332" s="130"/>
      <c r="X332" s="130"/>
      <c r="Y332" s="129"/>
      <c r="Z332" s="129"/>
      <c r="AA332" s="129"/>
    </row>
    <row r="333" spans="1:27" x14ac:dyDescent="0.25">
      <c r="A333" t="s">
        <v>519</v>
      </c>
      <c r="B333" s="75" t="s">
        <v>432</v>
      </c>
      <c r="C333" s="59">
        <f t="shared" si="16"/>
        <v>4.1433432115025792E-3</v>
      </c>
      <c r="D333" t="s">
        <v>465</v>
      </c>
      <c r="E333" s="59">
        <f t="shared" si="15"/>
        <v>2.5162689804772233E-2</v>
      </c>
      <c r="F333" s="129">
        <v>24296</v>
      </c>
      <c r="G333" s="129"/>
      <c r="H333" s="129">
        <v>2495</v>
      </c>
      <c r="I333" s="55">
        <v>2420</v>
      </c>
      <c r="J333" s="55">
        <v>2345</v>
      </c>
      <c r="K333" s="55">
        <v>2315</v>
      </c>
      <c r="L333" s="55">
        <v>2240</v>
      </c>
      <c r="M333" s="55">
        <v>2205</v>
      </c>
      <c r="N333" s="69" t="s">
        <v>432</v>
      </c>
      <c r="O333" s="129">
        <v>22674</v>
      </c>
      <c r="P333" s="129">
        <v>22879</v>
      </c>
      <c r="Q333" s="129">
        <v>23340</v>
      </c>
      <c r="R333" s="129">
        <v>23700</v>
      </c>
      <c r="S333" s="129">
        <v>23899</v>
      </c>
      <c r="T333" s="129">
        <v>24296</v>
      </c>
      <c r="U333" s="129">
        <v>24600</v>
      </c>
      <c r="V333" s="129">
        <v>24900</v>
      </c>
      <c r="W333" s="130"/>
      <c r="X333" s="130"/>
      <c r="Y333" s="129"/>
      <c r="Z333" s="129"/>
      <c r="AA333" s="129"/>
    </row>
    <row r="334" spans="1:27" x14ac:dyDescent="0.25">
      <c r="A334" t="s">
        <v>520</v>
      </c>
      <c r="B334" s="75" t="s">
        <v>235</v>
      </c>
      <c r="C334" s="59">
        <f t="shared" si="16"/>
        <v>6.6426930376585749E-3</v>
      </c>
      <c r="D334" t="s">
        <v>116</v>
      </c>
      <c r="E334" s="59">
        <f t="shared" si="15"/>
        <v>2.5676855895196506E-2</v>
      </c>
      <c r="F334" s="129">
        <v>66740</v>
      </c>
      <c r="G334" s="129"/>
      <c r="H334" s="129">
        <v>6235</v>
      </c>
      <c r="I334" s="55">
        <v>5995</v>
      </c>
      <c r="J334" s="55">
        <v>5865</v>
      </c>
      <c r="K334" s="55">
        <v>5710</v>
      </c>
      <c r="L334" s="55">
        <v>5555</v>
      </c>
      <c r="M334" s="55">
        <v>5500</v>
      </c>
      <c r="N334" s="69" t="s">
        <v>235</v>
      </c>
      <c r="O334" s="129">
        <v>64798</v>
      </c>
      <c r="P334" s="129">
        <v>65043</v>
      </c>
      <c r="Q334" s="129">
        <v>65968</v>
      </c>
      <c r="R334" s="129">
        <v>66674</v>
      </c>
      <c r="S334" s="129">
        <v>66641</v>
      </c>
      <c r="T334" s="129">
        <v>66740</v>
      </c>
      <c r="U334" s="129">
        <v>68500</v>
      </c>
      <c r="V334" s="129">
        <v>69400</v>
      </c>
      <c r="W334" s="130"/>
      <c r="X334" s="130"/>
      <c r="Y334" s="129"/>
      <c r="Z334" s="129"/>
      <c r="AA334" s="129"/>
    </row>
    <row r="335" spans="1:27" x14ac:dyDescent="0.25">
      <c r="A335" t="s">
        <v>515</v>
      </c>
      <c r="B335" s="75" t="s">
        <v>210</v>
      </c>
      <c r="C335" s="59">
        <f t="shared" si="16"/>
        <v>-4.0992067002860602E-3</v>
      </c>
      <c r="D335" t="s">
        <v>116</v>
      </c>
      <c r="E335" s="59">
        <f t="shared" si="15"/>
        <v>0.10106382978723404</v>
      </c>
      <c r="F335" s="129">
        <v>45212</v>
      </c>
      <c r="G335" s="129"/>
      <c r="H335" s="129">
        <v>3315</v>
      </c>
      <c r="I335" s="55">
        <v>2395</v>
      </c>
      <c r="J335" s="55">
        <v>2305</v>
      </c>
      <c r="K335" s="55">
        <v>2240</v>
      </c>
      <c r="L335" s="55">
        <v>2165</v>
      </c>
      <c r="M335" s="55">
        <v>2175</v>
      </c>
      <c r="N335" s="69" t="s">
        <v>210</v>
      </c>
      <c r="O335" s="129">
        <v>43684</v>
      </c>
      <c r="P335" s="129">
        <v>44096</v>
      </c>
      <c r="Q335" s="129">
        <v>44643</v>
      </c>
      <c r="R335" s="129">
        <v>45054</v>
      </c>
      <c r="S335" s="129">
        <v>45041</v>
      </c>
      <c r="T335" s="129">
        <v>45212</v>
      </c>
      <c r="U335" s="129">
        <v>44100</v>
      </c>
      <c r="V335" s="129">
        <v>44100</v>
      </c>
      <c r="W335" s="130"/>
      <c r="X335" s="130"/>
      <c r="Y335" s="129"/>
      <c r="Z335" s="129"/>
      <c r="AA335" s="129"/>
    </row>
    <row r="336" spans="1:27" x14ac:dyDescent="0.25">
      <c r="A336" t="s">
        <v>517</v>
      </c>
      <c r="B336" s="75" t="s">
        <v>324</v>
      </c>
      <c r="C336" s="59">
        <f t="shared" si="16"/>
        <v>5.8475256719075072E-3</v>
      </c>
      <c r="D336" t="s">
        <v>439</v>
      </c>
      <c r="E336" s="59">
        <f t="shared" si="15"/>
        <v>3.9111914289402347E-2</v>
      </c>
      <c r="F336" s="129">
        <v>129941</v>
      </c>
      <c r="G336" s="129"/>
      <c r="H336" s="129">
        <v>8665</v>
      </c>
      <c r="I336" s="55">
        <v>8355</v>
      </c>
      <c r="J336" s="55">
        <v>8135</v>
      </c>
      <c r="K336" s="55">
        <v>7775</v>
      </c>
      <c r="L336" s="55">
        <v>7320</v>
      </c>
      <c r="M336" s="55">
        <v>7150</v>
      </c>
      <c r="N336" s="69" t="s">
        <v>324</v>
      </c>
      <c r="O336" s="129">
        <v>125320</v>
      </c>
      <c r="P336" s="129">
        <v>125267</v>
      </c>
      <c r="Q336" s="129">
        <v>125754</v>
      </c>
      <c r="R336" s="129">
        <v>127052</v>
      </c>
      <c r="S336" s="129">
        <v>128434</v>
      </c>
      <c r="T336" s="129">
        <v>129941</v>
      </c>
      <c r="U336" s="129">
        <v>132300</v>
      </c>
      <c r="V336" s="129">
        <v>134500</v>
      </c>
      <c r="W336" s="130"/>
      <c r="X336" s="130"/>
      <c r="Y336" s="129"/>
      <c r="Z336" s="129"/>
      <c r="AA336" s="129"/>
    </row>
    <row r="337" spans="1:27" x14ac:dyDescent="0.25">
      <c r="A337" t="s">
        <v>517</v>
      </c>
      <c r="B337" s="75" t="s">
        <v>325</v>
      </c>
      <c r="C337" s="59">
        <f t="shared" si="16"/>
        <v>-7.2635246171037929E-3</v>
      </c>
      <c r="D337" t="s">
        <v>465</v>
      </c>
      <c r="E337" s="59">
        <f t="shared" si="15"/>
        <v>2.3543990086741014E-2</v>
      </c>
      <c r="F337" s="129">
        <v>10142</v>
      </c>
      <c r="G337" s="129"/>
      <c r="H337" s="129">
        <v>885</v>
      </c>
      <c r="I337" s="55">
        <v>840</v>
      </c>
      <c r="J337" s="55">
        <v>815</v>
      </c>
      <c r="K337" s="55">
        <v>805</v>
      </c>
      <c r="L337" s="55">
        <v>785</v>
      </c>
      <c r="M337" s="55">
        <v>790</v>
      </c>
      <c r="N337" s="69" t="s">
        <v>325</v>
      </c>
      <c r="O337" s="129">
        <v>8582</v>
      </c>
      <c r="P337" s="129">
        <v>8843</v>
      </c>
      <c r="Q337" s="129">
        <v>9299</v>
      </c>
      <c r="R337" s="129">
        <v>9447</v>
      </c>
      <c r="S337" s="129">
        <v>9732</v>
      </c>
      <c r="T337" s="129">
        <v>10142</v>
      </c>
      <c r="U337" s="129">
        <v>9500</v>
      </c>
      <c r="V337" s="129">
        <v>9700</v>
      </c>
      <c r="W337" s="130"/>
      <c r="X337" s="130"/>
      <c r="Y337" s="129"/>
      <c r="Z337" s="129"/>
      <c r="AA337" s="129"/>
    </row>
    <row r="338" spans="1:27" x14ac:dyDescent="0.25">
      <c r="A338" t="s">
        <v>517</v>
      </c>
      <c r="B338" s="75" t="s">
        <v>326</v>
      </c>
      <c r="C338" s="59">
        <f t="shared" si="16"/>
        <v>3.2149334428361223E-2</v>
      </c>
      <c r="D338" t="s">
        <v>465</v>
      </c>
      <c r="E338" s="59">
        <f t="shared" si="15"/>
        <v>3.2872423689016439E-2</v>
      </c>
      <c r="F338" s="129">
        <v>48705</v>
      </c>
      <c r="G338" s="129"/>
      <c r="H338" s="129">
        <v>4215</v>
      </c>
      <c r="I338" s="55">
        <v>4075</v>
      </c>
      <c r="J338" s="55">
        <v>4005</v>
      </c>
      <c r="K338" s="55">
        <v>3845</v>
      </c>
      <c r="L338" s="55">
        <v>3655</v>
      </c>
      <c r="M338" s="55">
        <v>3585</v>
      </c>
      <c r="N338" s="69" t="s">
        <v>326</v>
      </c>
      <c r="O338" s="129">
        <v>43899</v>
      </c>
      <c r="P338" s="129">
        <v>45064</v>
      </c>
      <c r="Q338" s="129">
        <v>45796</v>
      </c>
      <c r="R338" s="129">
        <v>46977</v>
      </c>
      <c r="S338" s="129">
        <v>47843</v>
      </c>
      <c r="T338" s="129">
        <v>48705</v>
      </c>
      <c r="U338" s="129">
        <v>54800</v>
      </c>
      <c r="V338" s="129">
        <v>58100</v>
      </c>
      <c r="W338" s="130"/>
      <c r="X338" s="130"/>
      <c r="Y338" s="129"/>
      <c r="Z338" s="129"/>
      <c r="AA338" s="129"/>
    </row>
    <row r="339" spans="1:27" x14ac:dyDescent="0.25">
      <c r="A339" t="s">
        <v>513</v>
      </c>
      <c r="B339" s="75" t="s">
        <v>397</v>
      </c>
      <c r="C339" s="59">
        <f t="shared" si="16"/>
        <v>3.625095012570894E-3</v>
      </c>
      <c r="D339" t="s">
        <v>465</v>
      </c>
      <c r="E339" s="59">
        <f t="shared" si="15"/>
        <v>2.5765678172095283E-2</v>
      </c>
      <c r="F339" s="129">
        <v>22804</v>
      </c>
      <c r="G339" s="129"/>
      <c r="H339" s="129">
        <v>2255</v>
      </c>
      <c r="I339" s="55">
        <v>2170</v>
      </c>
      <c r="J339" s="55">
        <v>2110</v>
      </c>
      <c r="K339" s="55">
        <v>2020</v>
      </c>
      <c r="L339" s="55">
        <v>1995</v>
      </c>
      <c r="M339" s="55">
        <v>1990</v>
      </c>
      <c r="N339" s="69" t="s">
        <v>397</v>
      </c>
      <c r="O339" s="129">
        <v>21885</v>
      </c>
      <c r="P339" s="129">
        <v>21988</v>
      </c>
      <c r="Q339" s="129">
        <v>22256</v>
      </c>
      <c r="R339" s="129">
        <v>22513</v>
      </c>
      <c r="S339" s="129">
        <v>22553</v>
      </c>
      <c r="T339" s="129">
        <v>22804</v>
      </c>
      <c r="U339" s="129">
        <v>23200</v>
      </c>
      <c r="V339" s="129">
        <v>23300</v>
      </c>
      <c r="W339" s="130"/>
      <c r="X339" s="130"/>
      <c r="Y339" s="129"/>
      <c r="Z339" s="129"/>
      <c r="AA339" s="129"/>
    </row>
    <row r="340" spans="1:27" x14ac:dyDescent="0.25">
      <c r="A340" t="s">
        <v>515</v>
      </c>
      <c r="B340" s="75" t="s">
        <v>211</v>
      </c>
      <c r="C340" s="59">
        <f t="shared" si="16"/>
        <v>-2.8481313811058091E-3</v>
      </c>
      <c r="D340" t="s">
        <v>439</v>
      </c>
      <c r="E340" s="59">
        <f t="shared" si="15"/>
        <v>3.3010296789824346E-2</v>
      </c>
      <c r="F340" s="129">
        <v>49038</v>
      </c>
      <c r="G340" s="129"/>
      <c r="H340" s="129">
        <v>3645</v>
      </c>
      <c r="I340" s="55">
        <v>3485</v>
      </c>
      <c r="J340" s="55">
        <v>3430</v>
      </c>
      <c r="K340" s="55">
        <v>3325</v>
      </c>
      <c r="L340" s="55">
        <v>3170</v>
      </c>
      <c r="M340" s="55">
        <v>3100</v>
      </c>
      <c r="N340" s="69" t="s">
        <v>211</v>
      </c>
      <c r="O340" s="129">
        <v>47912</v>
      </c>
      <c r="P340" s="129">
        <v>48111</v>
      </c>
      <c r="Q340" s="129">
        <v>48327</v>
      </c>
      <c r="R340" s="129">
        <v>48515</v>
      </c>
      <c r="S340" s="129">
        <v>48752</v>
      </c>
      <c r="T340" s="129">
        <v>49038</v>
      </c>
      <c r="U340" s="129">
        <v>48100</v>
      </c>
      <c r="V340" s="129">
        <v>48200</v>
      </c>
      <c r="W340" s="130"/>
      <c r="X340" s="130"/>
      <c r="Y340" s="129"/>
      <c r="Z340" s="129"/>
      <c r="AA340" s="129"/>
    </row>
    <row r="341" spans="1:27" x14ac:dyDescent="0.25">
      <c r="A341" t="s">
        <v>518</v>
      </c>
      <c r="B341" s="75" t="s">
        <v>161</v>
      </c>
      <c r="C341" s="59">
        <f t="shared" si="16"/>
        <v>-4.3244009641287395E-3</v>
      </c>
      <c r="D341" t="s">
        <v>465</v>
      </c>
      <c r="E341" s="59">
        <f t="shared" si="15"/>
        <v>2.1822149481723951E-2</v>
      </c>
      <c r="F341" s="129">
        <v>23510</v>
      </c>
      <c r="G341" s="129"/>
      <c r="H341" s="129">
        <v>1965</v>
      </c>
      <c r="I341" s="55">
        <v>1910</v>
      </c>
      <c r="J341" s="55">
        <v>1875</v>
      </c>
      <c r="K341" s="55">
        <v>1835</v>
      </c>
      <c r="L341" s="55">
        <v>1780</v>
      </c>
      <c r="M341" s="55">
        <v>1765</v>
      </c>
      <c r="N341" s="69" t="s">
        <v>161</v>
      </c>
      <c r="O341" s="129">
        <v>22679</v>
      </c>
      <c r="P341" s="129">
        <v>22823</v>
      </c>
      <c r="Q341" s="129">
        <v>23014</v>
      </c>
      <c r="R341" s="129">
        <v>23369</v>
      </c>
      <c r="S341" s="129">
        <v>23448</v>
      </c>
      <c r="T341" s="129">
        <v>23510</v>
      </c>
      <c r="U341" s="129">
        <v>22900</v>
      </c>
      <c r="V341" s="129">
        <v>22900</v>
      </c>
      <c r="W341" s="130"/>
      <c r="X341" s="130"/>
      <c r="Y341" s="129"/>
      <c r="Z341" s="129"/>
      <c r="AA341" s="129"/>
    </row>
    <row r="342" spans="1:27" x14ac:dyDescent="0.25">
      <c r="A342" t="s">
        <v>517</v>
      </c>
      <c r="B342" s="75" t="s">
        <v>327</v>
      </c>
      <c r="C342" s="59">
        <f t="shared" si="16"/>
        <v>5.6699492688749627E-3</v>
      </c>
      <c r="D342" t="s">
        <v>116</v>
      </c>
      <c r="E342" s="59">
        <f t="shared" si="15"/>
        <v>2.1876981610653139E-2</v>
      </c>
      <c r="F342" s="129">
        <v>44680</v>
      </c>
      <c r="G342" s="129"/>
      <c r="H342" s="129">
        <v>3375</v>
      </c>
      <c r="I342" s="55">
        <v>3280</v>
      </c>
      <c r="J342" s="55">
        <v>3255</v>
      </c>
      <c r="K342" s="55">
        <v>3160</v>
      </c>
      <c r="L342" s="55">
        <v>3045</v>
      </c>
      <c r="M342" s="55">
        <v>3030</v>
      </c>
      <c r="N342" s="69" t="s">
        <v>327</v>
      </c>
      <c r="O342" s="129">
        <v>44721</v>
      </c>
      <c r="P342" s="129">
        <v>44775</v>
      </c>
      <c r="Q342" s="129">
        <v>44772</v>
      </c>
      <c r="R342" s="129">
        <v>45013</v>
      </c>
      <c r="S342" s="129">
        <v>44874</v>
      </c>
      <c r="T342" s="129">
        <v>44680</v>
      </c>
      <c r="U342" s="129">
        <v>46000</v>
      </c>
      <c r="V342" s="129">
        <v>46200</v>
      </c>
      <c r="W342" s="130"/>
      <c r="X342" s="130"/>
      <c r="Y342" s="129"/>
      <c r="Z342" s="129"/>
      <c r="AA342" s="129"/>
    </row>
    <row r="343" spans="1:27" x14ac:dyDescent="0.25">
      <c r="A343" t="s">
        <v>518</v>
      </c>
      <c r="B343" s="75" t="s">
        <v>162</v>
      </c>
      <c r="C343" s="59">
        <f t="shared" si="16"/>
        <v>1.0299135719445067E-2</v>
      </c>
      <c r="D343" t="s">
        <v>439</v>
      </c>
      <c r="E343" s="59">
        <f t="shared" si="15"/>
        <v>3.8448490331335516E-2</v>
      </c>
      <c r="F343" s="129">
        <v>133830</v>
      </c>
      <c r="G343" s="129"/>
      <c r="H343" s="129">
        <v>9905</v>
      </c>
      <c r="I343" s="55">
        <v>9440</v>
      </c>
      <c r="J343" s="55">
        <v>9210</v>
      </c>
      <c r="K343" s="55">
        <v>8885</v>
      </c>
      <c r="L343" s="55">
        <v>8475</v>
      </c>
      <c r="M343" s="55">
        <v>8205</v>
      </c>
      <c r="N343" s="69" t="s">
        <v>162</v>
      </c>
      <c r="O343" s="129">
        <v>128707</v>
      </c>
      <c r="P343" s="129">
        <v>129840</v>
      </c>
      <c r="Q343" s="129">
        <v>130645</v>
      </c>
      <c r="R343" s="129">
        <v>132493</v>
      </c>
      <c r="S343" s="129">
        <v>133141</v>
      </c>
      <c r="T343" s="129">
        <v>133830</v>
      </c>
      <c r="U343" s="129">
        <v>140500</v>
      </c>
      <c r="V343" s="129">
        <v>142100</v>
      </c>
      <c r="W343" s="130"/>
      <c r="X343" s="129"/>
      <c r="Y343" s="129"/>
      <c r="Z343" s="129"/>
      <c r="AA343" s="129"/>
    </row>
    <row r="344" spans="1:27" x14ac:dyDescent="0.25">
      <c r="B344" s="75" t="s">
        <v>440</v>
      </c>
      <c r="C344" s="59">
        <f t="shared" si="16"/>
        <v>4.0219373970243714E-3</v>
      </c>
      <c r="D344" t="s">
        <v>116</v>
      </c>
      <c r="E344" s="59">
        <f t="shared" si="15"/>
        <v>3.14776061941986E-2</v>
      </c>
      <c r="F344" s="129">
        <v>18045532</v>
      </c>
      <c r="G344" s="129"/>
      <c r="H344" s="129">
        <f t="shared" ref="H344:M344" si="17">SUM(H2:H343)</f>
        <v>1468437.8294356531</v>
      </c>
      <c r="I344" s="129">
        <f t="shared" si="17"/>
        <v>1408637.9204593194</v>
      </c>
      <c r="J344" s="129">
        <f t="shared" si="17"/>
        <v>1375802.976473883</v>
      </c>
      <c r="K344" s="129">
        <f t="shared" si="17"/>
        <v>1328853.0464920879</v>
      </c>
      <c r="L344" s="129">
        <f t="shared" si="17"/>
        <v>1277548.0955048313</v>
      </c>
      <c r="M344" s="129">
        <f t="shared" si="17"/>
        <v>1259113.1585212157</v>
      </c>
      <c r="N344" s="69" t="s">
        <v>440</v>
      </c>
      <c r="O344" s="129">
        <v>17407610.913177427</v>
      </c>
      <c r="P344" s="129">
        <v>17111229.180394903</v>
      </c>
      <c r="Q344" s="129">
        <v>17591394</v>
      </c>
      <c r="R344" s="129">
        <v>17815508</v>
      </c>
      <c r="S344" s="129">
        <f>SUM(S2:S343)</f>
        <v>17942942</v>
      </c>
      <c r="T344" s="129">
        <f>SUM(T2:T343)</f>
        <v>18045532</v>
      </c>
      <c r="U344" s="129">
        <f t="shared" ref="U344" si="18">SUM(U2:U343)</f>
        <v>18290800</v>
      </c>
      <c r="V344" s="129">
        <f>SUM(V2:V343)</f>
        <v>18481000</v>
      </c>
      <c r="W344" s="129"/>
      <c r="X344" s="130"/>
      <c r="Y344" s="129"/>
      <c r="Z344" s="129"/>
      <c r="AA344" s="129"/>
    </row>
    <row r="345" spans="1:27" x14ac:dyDescent="0.25">
      <c r="B345" s="75"/>
      <c r="C345" s="59"/>
      <c r="E345" s="59"/>
      <c r="F345" s="55"/>
      <c r="G345" s="55"/>
      <c r="H345" s="55"/>
      <c r="I345" s="55"/>
      <c r="J345" s="55"/>
      <c r="K345" s="55"/>
      <c r="L345" s="55"/>
      <c r="M345" s="55"/>
      <c r="N345" s="69"/>
      <c r="O345" s="55"/>
      <c r="P345" s="55"/>
      <c r="Q345" s="129"/>
      <c r="R345" s="130"/>
      <c r="S345" s="130"/>
      <c r="T345" s="130"/>
      <c r="U345" s="130"/>
      <c r="V345" s="130"/>
      <c r="W345" s="130"/>
      <c r="X345" s="130"/>
      <c r="Y345" s="129"/>
      <c r="Z345" s="129"/>
      <c r="AA345" s="129"/>
    </row>
    <row r="346" spans="1:27" x14ac:dyDescent="0.25">
      <c r="B346" s="75"/>
      <c r="C346" s="59"/>
      <c r="E346" s="59"/>
      <c r="F346" s="55"/>
      <c r="G346" s="55"/>
      <c r="H346" s="55"/>
      <c r="I346" s="55"/>
      <c r="J346" s="55"/>
      <c r="K346" s="55"/>
      <c r="L346" s="55"/>
      <c r="M346" s="55"/>
      <c r="N346" s="69"/>
      <c r="O346" s="55"/>
      <c r="P346" s="55"/>
      <c r="Q346" s="129"/>
      <c r="R346" s="130"/>
      <c r="S346" s="130"/>
      <c r="T346" s="130"/>
      <c r="U346" s="130"/>
      <c r="V346" s="130"/>
      <c r="W346" s="130"/>
      <c r="X346" s="130"/>
      <c r="Y346" s="129"/>
      <c r="Z346" s="129"/>
    </row>
    <row r="347" spans="1:27" x14ac:dyDescent="0.25">
      <c r="B347" s="75"/>
      <c r="C347" s="59"/>
      <c r="E347" s="59"/>
      <c r="F347" s="129"/>
      <c r="G347" s="129"/>
      <c r="H347" s="129"/>
      <c r="I347" s="55"/>
      <c r="J347" s="55"/>
      <c r="K347" s="55"/>
      <c r="L347" s="55"/>
      <c r="M347" s="55"/>
      <c r="N347" s="69"/>
      <c r="O347" s="129"/>
      <c r="P347" s="130"/>
      <c r="Q347" s="129"/>
      <c r="R347" s="130"/>
      <c r="S347" s="130"/>
      <c r="T347" s="130"/>
      <c r="U347" s="130"/>
      <c r="V347" s="130"/>
      <c r="W347" s="130"/>
      <c r="X347" s="130"/>
      <c r="Y347" s="129"/>
      <c r="Z347" s="129"/>
    </row>
    <row r="348" spans="1:27" x14ac:dyDescent="0.25">
      <c r="A348" t="s">
        <v>521</v>
      </c>
      <c r="B348" s="75" t="s">
        <v>117</v>
      </c>
      <c r="C348" s="59">
        <f>(SUM(Z339,-Q348)/10)/Q348</f>
        <v>-0.1</v>
      </c>
      <c r="D348" t="s">
        <v>439</v>
      </c>
      <c r="E348" s="59">
        <f>SUM(H348,-M348)/(SUM(I348,J348,K348,L348,M348))</f>
        <v>1.0849909584086799E-2</v>
      </c>
      <c r="F348" s="129">
        <v>11679</v>
      </c>
      <c r="G348" s="129"/>
      <c r="H348" s="129">
        <v>570</v>
      </c>
      <c r="I348" s="55">
        <v>575</v>
      </c>
      <c r="J348" s="55">
        <v>570</v>
      </c>
      <c r="K348" s="55">
        <v>555</v>
      </c>
      <c r="L348" s="55">
        <v>525</v>
      </c>
      <c r="M348" s="55">
        <v>540</v>
      </c>
      <c r="N348" s="69" t="s">
        <v>117</v>
      </c>
      <c r="O348" s="129">
        <v>11713</v>
      </c>
      <c r="P348" s="129">
        <v>11679</v>
      </c>
      <c r="Q348" s="129">
        <v>11.7</v>
      </c>
      <c r="R348" s="130">
        <v>11.7</v>
      </c>
      <c r="S348" s="130"/>
      <c r="T348" s="130">
        <v>11.6</v>
      </c>
      <c r="U348" s="130">
        <v>11.5</v>
      </c>
      <c r="V348" s="130">
        <v>11.4</v>
      </c>
      <c r="W348" s="130"/>
      <c r="X348" s="130"/>
      <c r="Y348" s="129"/>
      <c r="Z348" s="129"/>
    </row>
    <row r="349" spans="1:27" x14ac:dyDescent="0.25">
      <c r="A349" t="s">
        <v>521</v>
      </c>
      <c r="B349" s="75" t="s">
        <v>118</v>
      </c>
      <c r="C349" s="59">
        <f>(SUM(Z340,-Q349)/10)/Q349</f>
        <v>-9.9999999999999992E-2</v>
      </c>
      <c r="D349" t="s">
        <v>439</v>
      </c>
      <c r="E349" s="59">
        <f>SUM(H349,-M349)/(SUM(I349,J349,K349,L349,M349))</f>
        <v>5.2015604681404422E-3</v>
      </c>
      <c r="F349" s="129">
        <v>24665</v>
      </c>
      <c r="G349" s="129"/>
      <c r="H349" s="129">
        <v>1580</v>
      </c>
      <c r="I349" s="55">
        <v>1590</v>
      </c>
      <c r="J349" s="55">
        <v>1565</v>
      </c>
      <c r="K349" s="55">
        <v>1510</v>
      </c>
      <c r="L349" s="55">
        <v>1485</v>
      </c>
      <c r="M349" s="55">
        <v>1540</v>
      </c>
      <c r="N349" s="69" t="s">
        <v>118</v>
      </c>
      <c r="O349" s="129">
        <v>24709</v>
      </c>
      <c r="P349" s="129">
        <v>24665</v>
      </c>
      <c r="Q349" s="129">
        <v>24.7</v>
      </c>
      <c r="R349" s="130">
        <v>24.5</v>
      </c>
      <c r="S349" s="130"/>
      <c r="T349" s="130">
        <v>24.2</v>
      </c>
      <c r="U349" s="130">
        <v>24</v>
      </c>
      <c r="V349" s="130">
        <v>23.8</v>
      </c>
      <c r="W349" s="130"/>
      <c r="X349" s="130"/>
      <c r="Y349" s="129"/>
      <c r="Z349" s="129"/>
    </row>
    <row r="350" spans="1:27" x14ac:dyDescent="0.25">
      <c r="A350" t="s">
        <v>521</v>
      </c>
      <c r="B350" s="75" t="s">
        <v>120</v>
      </c>
      <c r="C350" s="59">
        <f>(SUM(Z341,-Q350)/10)/Q350</f>
        <v>-0.1</v>
      </c>
      <c r="D350" t="s">
        <v>116</v>
      </c>
      <c r="E350" s="59">
        <f>SUM(H350,-M350)/(SUM(I350,J350,K350,L350,M350))</f>
        <v>0</v>
      </c>
      <c r="F350" s="129">
        <v>9541</v>
      </c>
      <c r="G350" s="129"/>
      <c r="H350" s="129">
        <v>850</v>
      </c>
      <c r="I350" s="55">
        <v>855</v>
      </c>
      <c r="J350" s="55">
        <v>850</v>
      </c>
      <c r="K350" s="55">
        <v>825</v>
      </c>
      <c r="L350" s="55">
        <v>835</v>
      </c>
      <c r="M350" s="55">
        <v>850</v>
      </c>
      <c r="N350" s="69" t="s">
        <v>120</v>
      </c>
      <c r="O350" s="129">
        <v>9617</v>
      </c>
      <c r="P350" s="129">
        <v>9541</v>
      </c>
      <c r="Q350" s="129">
        <v>9.6</v>
      </c>
      <c r="R350" s="130">
        <v>9.5</v>
      </c>
      <c r="S350" s="130"/>
      <c r="T350" s="130">
        <v>9.4</v>
      </c>
      <c r="U350" s="130">
        <v>9.3000000000000007</v>
      </c>
      <c r="V350" s="130">
        <v>9.1999999999999993</v>
      </c>
      <c r="W350" s="130"/>
      <c r="X350" s="130"/>
      <c r="Y350" s="129"/>
      <c r="Z350" s="129"/>
    </row>
    <row r="351" spans="1:27" x14ac:dyDescent="0.25">
      <c r="A351" t="s">
        <v>521</v>
      </c>
      <c r="B351" s="75" t="s">
        <v>719</v>
      </c>
      <c r="C351" s="59">
        <f>(SUM(Z342,-Q351)/10)/Q351</f>
        <v>-9.9999999999999992E-2</v>
      </c>
      <c r="D351" t="s">
        <v>439</v>
      </c>
      <c r="E351" s="59">
        <f>SUM(H351,-M351)/(SUM(I351,J351,K351,L351,M351))</f>
        <v>4.7716428084526247E-3</v>
      </c>
      <c r="F351" s="129">
        <f>SUM(F348:F350)</f>
        <v>45885</v>
      </c>
      <c r="G351" s="129"/>
      <c r="H351" s="129">
        <f>SUM(H348:H350)</f>
        <v>3000</v>
      </c>
      <c r="I351" s="129">
        <f>SUM(I348:I350)</f>
        <v>3020</v>
      </c>
      <c r="J351" s="129">
        <f t="shared" ref="J351:V351" si="19">SUM(J348:J350)</f>
        <v>2985</v>
      </c>
      <c r="K351" s="129">
        <f t="shared" si="19"/>
        <v>2890</v>
      </c>
      <c r="L351" s="129">
        <f t="shared" si="19"/>
        <v>2845</v>
      </c>
      <c r="M351" s="129">
        <f t="shared" si="19"/>
        <v>2930</v>
      </c>
      <c r="N351" s="69" t="s">
        <v>719</v>
      </c>
      <c r="O351" s="129">
        <f t="shared" si="19"/>
        <v>46039</v>
      </c>
      <c r="P351" s="129">
        <f t="shared" si="19"/>
        <v>45885</v>
      </c>
      <c r="Q351" s="129">
        <f t="shared" si="19"/>
        <v>46</v>
      </c>
      <c r="R351" s="130">
        <f t="shared" si="19"/>
        <v>45.7</v>
      </c>
      <c r="S351" s="130"/>
      <c r="T351" s="130">
        <f t="shared" si="19"/>
        <v>45.199999999999996</v>
      </c>
      <c r="U351" s="130">
        <f t="shared" si="19"/>
        <v>44.8</v>
      </c>
      <c r="V351" s="130">
        <f t="shared" si="19"/>
        <v>44.400000000000006</v>
      </c>
      <c r="W351" s="130"/>
      <c r="X351" s="130"/>
      <c r="Y351" s="129"/>
      <c r="Z351" s="129"/>
    </row>
    <row r="352" spans="1:27" x14ac:dyDescent="0.25">
      <c r="B352" s="75"/>
      <c r="C352" s="59"/>
      <c r="E352" s="59"/>
      <c r="F352" s="129"/>
      <c r="G352" s="129"/>
      <c r="H352" s="129"/>
      <c r="I352" s="55"/>
      <c r="J352" s="55"/>
      <c r="K352" s="55"/>
      <c r="L352" s="55"/>
      <c r="M352" s="55"/>
      <c r="N352" s="69"/>
      <c r="O352" s="129"/>
      <c r="P352" s="130"/>
      <c r="Q352" s="129"/>
      <c r="R352" s="130"/>
      <c r="S352" s="130"/>
      <c r="T352" s="130"/>
      <c r="U352" s="130"/>
      <c r="V352" s="130"/>
      <c r="W352" s="130"/>
      <c r="X352" s="130"/>
      <c r="Y352" s="129"/>
      <c r="Z352" s="129"/>
    </row>
    <row r="353" spans="1:26" x14ac:dyDescent="0.25">
      <c r="A353" t="s">
        <v>513</v>
      </c>
      <c r="B353" s="75" t="s">
        <v>367</v>
      </c>
      <c r="C353" s="59">
        <f>(SUM(Z344,-Q353)/10)/Q353</f>
        <v>-9.9999999999999992E-2</v>
      </c>
      <c r="D353" t="s">
        <v>465</v>
      </c>
      <c r="E353" s="59">
        <f>SUM(H353,-M353)/(SUM(I353,J353,K353,L353,M353))</f>
        <v>3.3571428571428572E-2</v>
      </c>
      <c r="F353" s="129">
        <v>14344</v>
      </c>
      <c r="G353" s="129"/>
      <c r="H353" s="129">
        <v>1550</v>
      </c>
      <c r="I353" s="55">
        <v>1485</v>
      </c>
      <c r="J353" s="55">
        <v>1445</v>
      </c>
      <c r="K353" s="55">
        <v>1395</v>
      </c>
      <c r="L353" s="55">
        <v>1360</v>
      </c>
      <c r="M353" s="55">
        <v>1315</v>
      </c>
      <c r="N353" s="69" t="s">
        <v>367</v>
      </c>
      <c r="O353" s="129">
        <v>14192</v>
      </c>
      <c r="P353" s="129">
        <v>14344</v>
      </c>
      <c r="Q353" s="129">
        <v>14</v>
      </c>
      <c r="R353" s="130">
        <v>13.9</v>
      </c>
      <c r="S353" s="130"/>
      <c r="T353" s="130">
        <v>13.9</v>
      </c>
      <c r="U353" s="130">
        <v>13.9</v>
      </c>
      <c r="V353" s="130">
        <v>13.8</v>
      </c>
      <c r="W353" s="130"/>
      <c r="X353" s="130"/>
      <c r="Y353" s="129"/>
      <c r="Z353" s="129"/>
    </row>
    <row r="354" spans="1:26" x14ac:dyDescent="0.25">
      <c r="B354" s="75"/>
      <c r="C354" s="59"/>
      <c r="E354" s="59"/>
      <c r="F354" s="129"/>
      <c r="G354" s="129"/>
      <c r="H354" s="129"/>
      <c r="I354" s="55"/>
      <c r="J354" s="55"/>
      <c r="K354" s="55"/>
      <c r="L354" s="55"/>
      <c r="M354" s="55"/>
      <c r="N354" s="69"/>
      <c r="O354" s="129"/>
      <c r="P354" s="130"/>
      <c r="Q354" s="129"/>
      <c r="R354" s="130"/>
      <c r="S354" s="130"/>
      <c r="T354" s="130"/>
      <c r="U354" s="130"/>
      <c r="V354" s="130"/>
      <c r="W354" s="130"/>
      <c r="X354" s="130"/>
      <c r="Y354" s="129"/>
      <c r="Z354" s="129"/>
    </row>
    <row r="355" spans="1:26" x14ac:dyDescent="0.25">
      <c r="A355" t="s">
        <v>513</v>
      </c>
      <c r="B355" s="75" t="s">
        <v>351</v>
      </c>
      <c r="C355" s="59" t="e">
        <f>(SUM(#REF!,-Q355)/10)/Q355</f>
        <v>#REF!</v>
      </c>
      <c r="D355" t="s">
        <v>116</v>
      </c>
      <c r="E355" s="59">
        <f>SUM(H355,-M355)/(SUM(I355,J355,K355,L355,M355))</f>
        <v>2.5382755842062853E-2</v>
      </c>
      <c r="F355" s="129">
        <v>30808</v>
      </c>
      <c r="G355" s="129"/>
      <c r="H355" s="129">
        <v>2695</v>
      </c>
      <c r="I355" s="55">
        <v>2635</v>
      </c>
      <c r="J355" s="55">
        <v>2555</v>
      </c>
      <c r="K355" s="55">
        <v>2460</v>
      </c>
      <c r="L355" s="55">
        <v>2380</v>
      </c>
      <c r="M355" s="55">
        <v>2380</v>
      </c>
      <c r="N355" s="69" t="s">
        <v>351</v>
      </c>
      <c r="O355" s="129">
        <v>30738</v>
      </c>
      <c r="P355" s="129">
        <v>30808</v>
      </c>
      <c r="Q355" s="129">
        <v>30.9</v>
      </c>
      <c r="R355" s="130">
        <v>31</v>
      </c>
      <c r="S355" s="130"/>
      <c r="T355" s="130">
        <v>31.1</v>
      </c>
      <c r="U355" s="130">
        <v>31.2</v>
      </c>
      <c r="V355" s="130">
        <v>31.3</v>
      </c>
      <c r="W355" s="130"/>
      <c r="X355" s="130"/>
      <c r="Y355" s="129"/>
      <c r="Z355" s="129"/>
    </row>
    <row r="356" spans="1:26" x14ac:dyDescent="0.25">
      <c r="A356" t="s">
        <v>513</v>
      </c>
      <c r="B356" s="75" t="s">
        <v>351</v>
      </c>
      <c r="C356" s="59" t="e">
        <f>(SUM(#REF!,-Q356)/10)/Q356</f>
        <v>#REF!</v>
      </c>
      <c r="D356" t="s">
        <v>116</v>
      </c>
      <c r="E356" s="59">
        <f>SUM(H356,-M356)/(SUM(I356,J356,K356,L356,M356))</f>
        <v>2.6023661599622498E-2</v>
      </c>
      <c r="F356" s="129">
        <f>SUM(F355,2150/14282*F353)</f>
        <v>32967.333426690937</v>
      </c>
      <c r="G356" s="129"/>
      <c r="H356" s="129">
        <f t="shared" ref="H356:M356" si="20">SUM(H355,2150/14282*H353)</f>
        <v>2928.3356672734913</v>
      </c>
      <c r="I356" s="129">
        <f t="shared" si="20"/>
        <v>2858.550623162022</v>
      </c>
      <c r="J356" s="129">
        <f t="shared" si="20"/>
        <v>2772.5290575549643</v>
      </c>
      <c r="K356" s="129">
        <f t="shared" si="20"/>
        <v>2670.0021005461422</v>
      </c>
      <c r="L356" s="129">
        <f t="shared" si="20"/>
        <v>2584.7332306399662</v>
      </c>
      <c r="M356" s="129">
        <f t="shared" si="20"/>
        <v>2577.9589693320263</v>
      </c>
      <c r="N356" s="69" t="s">
        <v>351</v>
      </c>
      <c r="O356" s="129">
        <f t="shared" ref="O356:V356" si="21">SUM(O355,2150/14282*O353)</f>
        <v>32874.451477384122</v>
      </c>
      <c r="P356" s="129">
        <f t="shared" si="21"/>
        <v>32967.333426690937</v>
      </c>
      <c r="Q356" s="129">
        <f t="shared" si="21"/>
        <v>33.007547962470241</v>
      </c>
      <c r="R356" s="130">
        <f t="shared" si="21"/>
        <v>33.0924940484526</v>
      </c>
      <c r="S356" s="130"/>
      <c r="T356" s="130">
        <f t="shared" si="21"/>
        <v>33.192494048452602</v>
      </c>
      <c r="U356" s="130">
        <f t="shared" si="21"/>
        <v>33.292494048452596</v>
      </c>
      <c r="V356" s="130">
        <f t="shared" si="21"/>
        <v>33.377440134434956</v>
      </c>
      <c r="W356" s="130"/>
      <c r="X356" s="130"/>
    </row>
    <row r="357" spans="1:26" x14ac:dyDescent="0.25">
      <c r="B357" s="75"/>
      <c r="C357" s="59"/>
      <c r="E357" s="59"/>
      <c r="F357" s="129"/>
      <c r="G357" s="129"/>
      <c r="H357" s="129"/>
      <c r="I357" s="55"/>
      <c r="J357" s="55"/>
      <c r="K357" s="55"/>
      <c r="L357" s="55"/>
      <c r="M357" s="55"/>
      <c r="N357" s="69"/>
      <c r="O357" s="129"/>
      <c r="P357" s="130"/>
      <c r="Q357" s="129"/>
      <c r="R357" s="130"/>
      <c r="S357" s="130"/>
      <c r="T357" s="130"/>
      <c r="U357" s="130"/>
      <c r="V357" s="130"/>
      <c r="W357" s="130"/>
      <c r="X357" s="130"/>
      <c r="Y357" s="129"/>
      <c r="Z357" s="129"/>
    </row>
    <row r="358" spans="1:26" x14ac:dyDescent="0.25">
      <c r="A358" t="s">
        <v>513</v>
      </c>
      <c r="B358" s="75" t="s">
        <v>379</v>
      </c>
      <c r="C358" s="59" t="e">
        <f>(SUM(#REF!,-Q358)/10)/Q358</f>
        <v>#REF!</v>
      </c>
      <c r="D358" t="s">
        <v>465</v>
      </c>
      <c r="E358" s="59">
        <f>SUM(H358,-M358)/(SUM(I358,J358,K358,L358,M358))</f>
        <v>2.6539278131634821E-2</v>
      </c>
      <c r="F358" s="129">
        <v>26223</v>
      </c>
      <c r="G358" s="129"/>
      <c r="H358" s="129">
        <v>3085</v>
      </c>
      <c r="I358" s="55">
        <v>2975</v>
      </c>
      <c r="J358" s="55">
        <v>2885</v>
      </c>
      <c r="K358" s="55">
        <v>2820</v>
      </c>
      <c r="L358" s="55">
        <v>2740</v>
      </c>
      <c r="M358" s="55">
        <v>2710</v>
      </c>
      <c r="N358" s="69" t="s">
        <v>379</v>
      </c>
      <c r="O358" s="129">
        <v>26128</v>
      </c>
      <c r="P358" s="129">
        <v>26223</v>
      </c>
      <c r="Q358" s="129">
        <v>26</v>
      </c>
      <c r="R358" s="130">
        <v>25.9</v>
      </c>
      <c r="S358" s="130"/>
      <c r="T358" s="130">
        <v>25.8</v>
      </c>
      <c r="U358" s="130">
        <v>25.7</v>
      </c>
      <c r="V358" s="130">
        <v>25.6</v>
      </c>
      <c r="W358" s="130"/>
      <c r="X358" s="130"/>
      <c r="Y358" s="129"/>
      <c r="Z358" s="129"/>
    </row>
    <row r="359" spans="1:26" x14ac:dyDescent="0.25">
      <c r="A359" t="s">
        <v>513</v>
      </c>
      <c r="B359" s="75" t="s">
        <v>379</v>
      </c>
      <c r="C359" s="59" t="e">
        <f>(SUM(#REF!,-Q359)/10)/Q359</f>
        <v>#REF!</v>
      </c>
      <c r="D359" t="s">
        <v>465</v>
      </c>
      <c r="E359" s="59">
        <f>SUM(H359,-M359)/(SUM(I359,J359,K359,L359,M359))</f>
        <v>2.7724174496884312E-2</v>
      </c>
      <c r="F359" s="129">
        <f>SUM(F358,5842/14282*F353)</f>
        <v>32090.360873827194</v>
      </c>
      <c r="G359" s="129"/>
      <c r="H359" s="129">
        <f t="shared" ref="H359:M359" si="22">SUM(H358,5842/14282*H353)</f>
        <v>3719.0218456798766</v>
      </c>
      <c r="I359" s="129">
        <f t="shared" si="22"/>
        <v>3582.433832796527</v>
      </c>
      <c r="J359" s="129">
        <f t="shared" si="22"/>
        <v>3476.0719787144658</v>
      </c>
      <c r="K359" s="129">
        <f t="shared" si="22"/>
        <v>3390.6196611118889</v>
      </c>
      <c r="L359" s="129">
        <f t="shared" si="22"/>
        <v>3296.3030387900853</v>
      </c>
      <c r="M359" s="129">
        <f t="shared" si="22"/>
        <v>3247.8959529477665</v>
      </c>
      <c r="N359" s="69" t="s">
        <v>379</v>
      </c>
      <c r="O359" s="129">
        <f t="shared" ref="O359:V359" si="23">SUM(O358,5842/14282*O353)</f>
        <v>31933.185828315363</v>
      </c>
      <c r="P359" s="129">
        <f t="shared" si="23"/>
        <v>32090.360873827194</v>
      </c>
      <c r="Q359" s="129">
        <f t="shared" si="23"/>
        <v>31.726648928721467</v>
      </c>
      <c r="R359" s="130">
        <f t="shared" si="23"/>
        <v>31.585744293516314</v>
      </c>
      <c r="S359" s="130"/>
      <c r="T359" s="130">
        <f t="shared" si="23"/>
        <v>31.485744293516316</v>
      </c>
      <c r="U359" s="130">
        <f t="shared" si="23"/>
        <v>31.385744293516314</v>
      </c>
      <c r="V359" s="130">
        <f t="shared" si="23"/>
        <v>31.244839658311164</v>
      </c>
      <c r="W359" s="130"/>
      <c r="X359" s="130"/>
      <c r="Y359" s="129"/>
      <c r="Z359" s="129"/>
    </row>
    <row r="360" spans="1:26" x14ac:dyDescent="0.25">
      <c r="B360" s="75"/>
      <c r="C360" s="59"/>
      <c r="E360" s="59"/>
      <c r="F360" s="129"/>
      <c r="G360" s="129"/>
      <c r="H360" s="129"/>
      <c r="I360" s="55"/>
      <c r="J360" s="55"/>
      <c r="K360" s="55"/>
      <c r="L360" s="55"/>
      <c r="M360" s="55"/>
      <c r="N360" s="69"/>
      <c r="O360" s="129"/>
      <c r="P360" s="130"/>
      <c r="Q360" s="129"/>
      <c r="R360" s="130"/>
      <c r="S360" s="130"/>
      <c r="T360" s="130"/>
      <c r="U360" s="130"/>
      <c r="V360" s="130"/>
      <c r="W360" s="130"/>
      <c r="X360" s="130"/>
      <c r="Y360" s="69"/>
      <c r="Z360" s="129"/>
    </row>
    <row r="361" spans="1:26" x14ac:dyDescent="0.25">
      <c r="A361" t="s">
        <v>513</v>
      </c>
      <c r="B361" s="75" t="s">
        <v>389</v>
      </c>
      <c r="C361" s="59" t="e">
        <f>(SUM(#REF!,-Q361)/10)/Q361</f>
        <v>#REF!</v>
      </c>
      <c r="D361" t="s">
        <v>439</v>
      </c>
      <c r="E361" s="59">
        <f>SUM(H361,-M361)/(SUM(I361,J361,K361,L361,M361))</f>
        <v>2.7744590468604804E-2</v>
      </c>
      <c r="F361" s="129">
        <v>219798</v>
      </c>
      <c r="G361" s="129"/>
      <c r="H361" s="129">
        <v>16420</v>
      </c>
      <c r="I361" s="55">
        <v>15695</v>
      </c>
      <c r="J361" s="55">
        <v>15525</v>
      </c>
      <c r="K361" s="55">
        <v>15185</v>
      </c>
      <c r="L361" s="55">
        <v>14595</v>
      </c>
      <c r="M361" s="55">
        <v>14330</v>
      </c>
      <c r="N361" s="69" t="s">
        <v>389</v>
      </c>
      <c r="O361" s="129">
        <v>217342</v>
      </c>
      <c r="P361" s="129">
        <v>219798</v>
      </c>
      <c r="Q361" s="129">
        <v>220</v>
      </c>
      <c r="R361" s="130">
        <v>221.4</v>
      </c>
      <c r="S361" s="130"/>
      <c r="T361" s="130">
        <v>222.3</v>
      </c>
      <c r="U361" s="130">
        <v>222.8</v>
      </c>
      <c r="V361" s="130">
        <v>223.5</v>
      </c>
      <c r="W361" s="130"/>
      <c r="X361" s="130"/>
      <c r="Y361" s="129"/>
      <c r="Z361" s="129"/>
    </row>
    <row r="362" spans="1:26" x14ac:dyDescent="0.25">
      <c r="A362" t="s">
        <v>513</v>
      </c>
      <c r="B362" s="75" t="s">
        <v>389</v>
      </c>
      <c r="C362" s="59" t="e">
        <f>(SUM(#REF!,-Q362)/10)/Q362</f>
        <v>#REF!</v>
      </c>
      <c r="D362" t="s">
        <v>439</v>
      </c>
      <c r="E362" s="59">
        <f>SUM(H362,-M362)/(SUM(I362,J362,K362,L362,M362))</f>
        <v>2.7798490601497174E-2</v>
      </c>
      <c r="F362" s="129">
        <f>SUM(F361,1435/14282*F353)</f>
        <v>221239.22951967511</v>
      </c>
      <c r="G362" s="55"/>
      <c r="H362" s="129">
        <f t="shared" ref="H362:M362" si="24">SUM(H361,1435/14282*H353)</f>
        <v>16575.73799187789</v>
      </c>
      <c r="I362" s="129">
        <f t="shared" si="24"/>
        <v>15844.207043831397</v>
      </c>
      <c r="J362" s="129">
        <f t="shared" si="24"/>
        <v>15670.187998879708</v>
      </c>
      <c r="K362" s="129">
        <f t="shared" si="24"/>
        <v>15325.164192690099</v>
      </c>
      <c r="L362" s="129">
        <f t="shared" si="24"/>
        <v>14731.647528357373</v>
      </c>
      <c r="M362" s="129">
        <f t="shared" si="24"/>
        <v>14462.126102786724</v>
      </c>
      <c r="N362" s="69" t="s">
        <v>389</v>
      </c>
      <c r="O362" s="129">
        <f t="shared" ref="O362:V362" si="25">SUM(O361,1435/14282*O353)</f>
        <v>218767.9571488587</v>
      </c>
      <c r="P362" s="129">
        <f t="shared" si="25"/>
        <v>221239.22951967511</v>
      </c>
      <c r="Q362" s="129">
        <f t="shared" si="25"/>
        <v>221.40666573309059</v>
      </c>
      <c r="R362" s="130">
        <f t="shared" si="25"/>
        <v>222.7966181207114</v>
      </c>
      <c r="S362" s="130"/>
      <c r="T362" s="130">
        <f t="shared" si="25"/>
        <v>223.69661812071141</v>
      </c>
      <c r="U362" s="130">
        <f t="shared" si="25"/>
        <v>224.19661812071141</v>
      </c>
      <c r="V362" s="130">
        <f t="shared" si="25"/>
        <v>224.88657050833217</v>
      </c>
      <c r="W362" s="130"/>
      <c r="X362" s="130"/>
      <c r="Y362" s="129"/>
      <c r="Z362" s="129"/>
    </row>
    <row r="363" spans="1:26" x14ac:dyDescent="0.25">
      <c r="B363" s="75"/>
      <c r="C363" s="59"/>
      <c r="E363" s="59"/>
      <c r="F363" s="129"/>
      <c r="G363" s="129"/>
      <c r="H363" s="129"/>
      <c r="I363" s="55"/>
      <c r="J363" s="55"/>
      <c r="K363" s="55"/>
      <c r="L363" s="55"/>
      <c r="M363" s="55"/>
      <c r="N363" s="69"/>
      <c r="O363" s="129"/>
      <c r="P363" s="130"/>
      <c r="Q363" s="129"/>
      <c r="R363" s="130"/>
      <c r="S363" s="130"/>
      <c r="T363" s="130"/>
      <c r="U363" s="130"/>
      <c r="V363" s="130"/>
      <c r="W363" s="130"/>
      <c r="X363" s="130"/>
      <c r="Y363" s="129"/>
      <c r="Z363" s="129"/>
    </row>
    <row r="364" spans="1:26" x14ac:dyDescent="0.25">
      <c r="A364" t="s">
        <v>513</v>
      </c>
      <c r="B364" s="75" t="s">
        <v>393</v>
      </c>
      <c r="C364" s="59" t="e">
        <f>(SUM(#REF!,-Q364)/10)/Q364</f>
        <v>#REF!</v>
      </c>
      <c r="D364" t="s">
        <v>116</v>
      </c>
      <c r="E364" s="59">
        <f>SUM(H364,-M364)/(SUM(I364,J364,K364,L364,M364))</f>
        <v>3.8277511961722487E-2</v>
      </c>
      <c r="F364" s="129">
        <v>26527</v>
      </c>
      <c r="G364" s="129"/>
      <c r="H364" s="129">
        <v>2830</v>
      </c>
      <c r="I364" s="55">
        <v>2730</v>
      </c>
      <c r="J364" s="55">
        <v>2600</v>
      </c>
      <c r="K364" s="55">
        <v>2485</v>
      </c>
      <c r="L364" s="55">
        <v>2375</v>
      </c>
      <c r="M364" s="55">
        <v>2350</v>
      </c>
      <c r="N364" s="69" t="s">
        <v>393</v>
      </c>
      <c r="O364" s="129">
        <v>26400</v>
      </c>
      <c r="P364" s="129">
        <v>26527</v>
      </c>
      <c r="Q364" s="129">
        <v>26.3</v>
      </c>
      <c r="R364" s="130">
        <v>26.2</v>
      </c>
      <c r="S364" s="130"/>
      <c r="T364" s="130">
        <v>26.2</v>
      </c>
      <c r="U364" s="130">
        <v>26.1</v>
      </c>
      <c r="V364" s="130">
        <v>26.1</v>
      </c>
      <c r="W364" s="130"/>
      <c r="X364" s="130"/>
      <c r="Z364" s="129"/>
    </row>
    <row r="365" spans="1:26" x14ac:dyDescent="0.25">
      <c r="A365" t="s">
        <v>513</v>
      </c>
      <c r="B365" s="75" t="s">
        <v>393</v>
      </c>
      <c r="C365" s="59" t="e">
        <f>(SUM(#REF!,-Q365)/10)/Q365</f>
        <v>#REF!</v>
      </c>
      <c r="D365" t="s">
        <v>116</v>
      </c>
      <c r="E365" s="59">
        <f>SUM(H365,-M365)/(SUM(I365,J365,K365,L365,M365))</f>
        <v>3.7529524571280858E-2</v>
      </c>
      <c r="F365" s="129">
        <f>SUM(F364,4835/14282*F353)</f>
        <v>31382.98935723288</v>
      </c>
      <c r="G365" s="129"/>
      <c r="H365" s="129">
        <f t="shared" ref="H365:M365" si="26">SUM(H364,4835/14282*H353)</f>
        <v>3354.7339308220135</v>
      </c>
      <c r="I365" s="129">
        <f t="shared" si="26"/>
        <v>3232.7289595294778</v>
      </c>
      <c r="J365" s="129">
        <f t="shared" si="26"/>
        <v>3089.1874387340708</v>
      </c>
      <c r="K365" s="129">
        <f t="shared" si="26"/>
        <v>2957.2605377398122</v>
      </c>
      <c r="L365" s="129">
        <f t="shared" si="26"/>
        <v>2835.4117070438315</v>
      </c>
      <c r="M365" s="129">
        <f t="shared" si="26"/>
        <v>2795.1774961489987</v>
      </c>
      <c r="N365" s="69" t="s">
        <v>393</v>
      </c>
      <c r="O365" s="129">
        <f t="shared" ref="O365:V365" si="27">SUM(O364,4835/14282*O353)</f>
        <v>31204.531578210335</v>
      </c>
      <c r="P365" s="129">
        <f t="shared" si="27"/>
        <v>31382.98935723288</v>
      </c>
      <c r="Q365" s="129">
        <f t="shared" si="27"/>
        <v>31.039532278392382</v>
      </c>
      <c r="R365" s="130">
        <f t="shared" si="27"/>
        <v>30.905678476403864</v>
      </c>
      <c r="S365" s="130"/>
      <c r="T365" s="130">
        <f t="shared" si="27"/>
        <v>30.905678476403864</v>
      </c>
      <c r="U365" s="130">
        <f t="shared" si="27"/>
        <v>30.805678476403866</v>
      </c>
      <c r="V365" s="130">
        <f t="shared" si="27"/>
        <v>30.771824674415349</v>
      </c>
      <c r="W365" s="130"/>
      <c r="Y365" s="129"/>
      <c r="Z365" s="129"/>
    </row>
    <row r="366" spans="1:26" x14ac:dyDescent="0.25">
      <c r="X366" s="130"/>
      <c r="Y366" s="129"/>
    </row>
    <row r="367" spans="1:26" x14ac:dyDescent="0.25">
      <c r="A367" t="s">
        <v>521</v>
      </c>
      <c r="B367" s="75" t="s">
        <v>117</v>
      </c>
      <c r="C367" s="59">
        <f>(SUM(Z355,-Q367)/10)/Q367</f>
        <v>-9.9999999999999992E-2</v>
      </c>
      <c r="D367" t="s">
        <v>439</v>
      </c>
      <c r="E367" s="59">
        <f>SUM(H367,-M367)/(SUM(I367,J367,K367,L367,M367))</f>
        <v>1.0849909584086799E-2</v>
      </c>
      <c r="F367" s="129">
        <v>11679</v>
      </c>
      <c r="G367" s="129"/>
      <c r="H367" s="129">
        <v>570</v>
      </c>
      <c r="I367" s="55">
        <v>575</v>
      </c>
      <c r="J367" s="55">
        <v>570</v>
      </c>
      <c r="K367" s="55">
        <v>555</v>
      </c>
      <c r="L367" s="55">
        <v>525</v>
      </c>
      <c r="M367" s="55">
        <v>540</v>
      </c>
      <c r="N367" s="69" t="s">
        <v>117</v>
      </c>
      <c r="O367" s="129">
        <v>11713</v>
      </c>
      <c r="P367" s="129">
        <v>11679</v>
      </c>
      <c r="Q367" s="129">
        <v>11496</v>
      </c>
      <c r="R367" s="130">
        <v>11.7</v>
      </c>
      <c r="S367" s="130"/>
      <c r="T367" s="130">
        <v>11.6</v>
      </c>
      <c r="U367" s="130">
        <v>11.5</v>
      </c>
      <c r="V367" s="130">
        <v>11.4</v>
      </c>
      <c r="W367" s="130"/>
      <c r="X367" s="130"/>
      <c r="Y367" s="129"/>
      <c r="Z367" s="129"/>
    </row>
    <row r="368" spans="1:26" ht="13" customHeight="1" x14ac:dyDescent="0.25">
      <c r="A368" t="s">
        <v>521</v>
      </c>
      <c r="B368" s="75" t="s">
        <v>118</v>
      </c>
      <c r="C368" s="59" t="e">
        <f>(SUM(#REF!,-Q368)/10)/Q368</f>
        <v>#REF!</v>
      </c>
      <c r="D368" t="s">
        <v>439</v>
      </c>
      <c r="E368" s="59">
        <f>SUM(H368,-M368)/(SUM(I368,J368,K368,L368,M368))</f>
        <v>5.2015604681404422E-3</v>
      </c>
      <c r="F368" s="129">
        <v>24665</v>
      </c>
      <c r="G368" s="129"/>
      <c r="H368" s="129">
        <v>1580</v>
      </c>
      <c r="I368" s="55">
        <v>1590</v>
      </c>
      <c r="J368" s="55">
        <v>1565</v>
      </c>
      <c r="K368" s="55">
        <v>1510</v>
      </c>
      <c r="L368" s="55">
        <v>1485</v>
      </c>
      <c r="M368" s="55">
        <v>1540</v>
      </c>
      <c r="N368" s="69" t="s">
        <v>118</v>
      </c>
      <c r="O368" s="129">
        <v>24709</v>
      </c>
      <c r="P368" s="129">
        <v>24665</v>
      </c>
      <c r="Q368" s="129">
        <v>24596</v>
      </c>
      <c r="R368" s="130">
        <v>24.5</v>
      </c>
      <c r="S368" s="130"/>
      <c r="T368" s="130">
        <v>24.2</v>
      </c>
      <c r="U368" s="130">
        <v>24</v>
      </c>
      <c r="V368" s="130">
        <v>23.8</v>
      </c>
      <c r="W368" s="130"/>
      <c r="X368" s="130"/>
      <c r="Z368" s="129"/>
    </row>
    <row r="369" spans="1:26" x14ac:dyDescent="0.25">
      <c r="A369" t="s">
        <v>521</v>
      </c>
      <c r="B369" s="75" t="s">
        <v>120</v>
      </c>
      <c r="C369" s="59">
        <f>(SUM(Z357,-Q369)/10)/Q369</f>
        <v>-0.1</v>
      </c>
      <c r="D369" t="s">
        <v>116</v>
      </c>
      <c r="E369" s="59">
        <f>SUM(H369,-M369)/(SUM(I369,J369,K369,L369,M369))</f>
        <v>0</v>
      </c>
      <c r="F369" s="129">
        <v>9541</v>
      </c>
      <c r="G369" s="129"/>
      <c r="H369" s="129">
        <v>850</v>
      </c>
      <c r="I369" s="55">
        <v>855</v>
      </c>
      <c r="J369" s="55">
        <v>850</v>
      </c>
      <c r="K369" s="55">
        <v>825</v>
      </c>
      <c r="L369" s="55">
        <v>835</v>
      </c>
      <c r="M369" s="55">
        <v>850</v>
      </c>
      <c r="N369" s="69" t="s">
        <v>120</v>
      </c>
      <c r="O369" s="129">
        <v>9617</v>
      </c>
      <c r="P369" s="129">
        <v>9541</v>
      </c>
      <c r="Q369" s="129">
        <v>9495</v>
      </c>
      <c r="R369" s="130">
        <v>9.5</v>
      </c>
      <c r="S369" s="130"/>
      <c r="T369" s="130">
        <v>9.4</v>
      </c>
      <c r="U369" s="130">
        <v>9.3000000000000007</v>
      </c>
      <c r="V369" s="130">
        <v>9.1999999999999993</v>
      </c>
      <c r="W369" s="130"/>
      <c r="Y369" s="129"/>
      <c r="Z369" s="129"/>
    </row>
    <row r="370" spans="1:26" x14ac:dyDescent="0.25">
      <c r="X370" s="130"/>
      <c r="Y370" s="129"/>
    </row>
    <row r="371" spans="1:26" x14ac:dyDescent="0.25">
      <c r="A371" t="s">
        <v>514</v>
      </c>
      <c r="B371" s="75" t="s">
        <v>240</v>
      </c>
      <c r="C371" s="59" t="e">
        <f>(SUM(#REF!*1000,-Q371)/10)/Q371</f>
        <v>#REF!</v>
      </c>
      <c r="D371" t="s">
        <v>465</v>
      </c>
      <c r="E371" s="59">
        <f>SUM(H371,-M371)/(SUM(I371,J371,K371,L371,M371))</f>
        <v>3.2598274209012464E-2</v>
      </c>
      <c r="F371" s="129">
        <v>10110</v>
      </c>
      <c r="G371" s="129"/>
      <c r="H371" s="129">
        <v>1165</v>
      </c>
      <c r="I371" s="55">
        <v>1115</v>
      </c>
      <c r="J371" s="55">
        <v>1060</v>
      </c>
      <c r="K371" s="55">
        <v>1030</v>
      </c>
      <c r="L371" s="55">
        <v>1015</v>
      </c>
      <c r="M371" s="55">
        <v>995</v>
      </c>
      <c r="N371" s="69" t="s">
        <v>240</v>
      </c>
      <c r="O371" s="129">
        <v>9748</v>
      </c>
      <c r="P371" s="129">
        <v>10020</v>
      </c>
      <c r="Q371" s="129">
        <v>10110</v>
      </c>
      <c r="R371" s="130">
        <v>10.1</v>
      </c>
      <c r="S371" s="130"/>
      <c r="T371" s="130">
        <v>10.3</v>
      </c>
      <c r="U371" s="130">
        <v>10.5</v>
      </c>
      <c r="V371" s="130">
        <v>10.7</v>
      </c>
      <c r="W371" s="130"/>
      <c r="X371" s="130"/>
      <c r="Y371" s="129"/>
      <c r="Z371" s="129"/>
    </row>
    <row r="372" spans="1:26" x14ac:dyDescent="0.25">
      <c r="A372" t="s">
        <v>514</v>
      </c>
      <c r="B372" s="75" t="s">
        <v>268</v>
      </c>
      <c r="C372" s="59">
        <f>(SUM(Z360*1000,-Q372)/10)/Q372</f>
        <v>-0.1</v>
      </c>
      <c r="D372" t="s">
        <v>116</v>
      </c>
      <c r="E372" s="59">
        <f>SUM(H372,-M372)/(SUM(I372,J372,K372,L372,M372))</f>
        <v>3.2578466428287642E-2</v>
      </c>
      <c r="F372" s="129">
        <v>81683</v>
      </c>
      <c r="G372" s="129"/>
      <c r="H372" s="129">
        <v>5580</v>
      </c>
      <c r="I372" s="55">
        <v>5345</v>
      </c>
      <c r="J372" s="55">
        <v>5235</v>
      </c>
      <c r="K372" s="55">
        <v>4990</v>
      </c>
      <c r="L372" s="55">
        <v>4840</v>
      </c>
      <c r="M372" s="55">
        <v>4760</v>
      </c>
      <c r="N372" s="69" t="s">
        <v>268</v>
      </c>
      <c r="O372" s="129">
        <v>80147</v>
      </c>
      <c r="P372" s="129">
        <v>81121</v>
      </c>
      <c r="Q372" s="129">
        <v>81683</v>
      </c>
      <c r="R372" s="130">
        <v>81.599999999999994</v>
      </c>
      <c r="S372" s="130"/>
      <c r="T372" s="130">
        <v>82.2</v>
      </c>
      <c r="U372" s="130">
        <v>82.8</v>
      </c>
      <c r="V372" s="130">
        <v>83.5</v>
      </c>
      <c r="W372" s="130"/>
      <c r="X372" s="244"/>
      <c r="Y372" s="129"/>
      <c r="Z372" s="129"/>
    </row>
    <row r="373" spans="1:26" x14ac:dyDescent="0.25">
      <c r="A373" t="s">
        <v>514</v>
      </c>
      <c r="B373" s="75" t="s">
        <v>268</v>
      </c>
      <c r="C373" s="59" t="e">
        <f>(SUM(#REF!*1000,-Q373)/10)/Q373</f>
        <v>#REF!</v>
      </c>
      <c r="D373" t="s">
        <v>116</v>
      </c>
      <c r="E373" s="59">
        <f>SUM(H373,-M373)/(SUM(I373,J373,K373,L373,M373))</f>
        <v>3.2581866052328448E-2</v>
      </c>
      <c r="F373" s="129">
        <f>SUM(F371:F372)</f>
        <v>91793</v>
      </c>
      <c r="H373" s="129">
        <f t="shared" ref="H373:M373" si="28">SUM(H371:H372)</f>
        <v>6745</v>
      </c>
      <c r="I373" s="129">
        <f t="shared" si="28"/>
        <v>6460</v>
      </c>
      <c r="J373" s="129">
        <f t="shared" si="28"/>
        <v>6295</v>
      </c>
      <c r="K373" s="129">
        <f t="shared" si="28"/>
        <v>6020</v>
      </c>
      <c r="L373" s="129">
        <f t="shared" si="28"/>
        <v>5855</v>
      </c>
      <c r="M373" s="129">
        <f t="shared" si="28"/>
        <v>5755</v>
      </c>
      <c r="N373" s="69" t="s">
        <v>268</v>
      </c>
      <c r="O373" s="129">
        <f t="shared" ref="O373" si="29">SUM(O371:O372)</f>
        <v>89895</v>
      </c>
      <c r="P373" s="129">
        <f t="shared" ref="P373" si="30">SUM(P371:P372)</f>
        <v>91141</v>
      </c>
      <c r="Q373" s="129">
        <f t="shared" ref="Q373" si="31">SUM(Q371:Q372)</f>
        <v>91793</v>
      </c>
      <c r="R373" s="244">
        <f t="shared" ref="R373" si="32">SUM(R371:R372)</f>
        <v>91.699999999999989</v>
      </c>
      <c r="S373" s="244"/>
      <c r="T373" s="244">
        <f t="shared" ref="T373" si="33">SUM(T371:T372)</f>
        <v>92.5</v>
      </c>
      <c r="U373" s="244">
        <f t="shared" ref="U373" si="34">SUM(U371:U372)</f>
        <v>93.3</v>
      </c>
      <c r="V373" s="244">
        <f t="shared" ref="V373" si="35">SUM(V371:V372)</f>
        <v>94.2</v>
      </c>
      <c r="W373" s="244"/>
      <c r="Y373" s="129"/>
      <c r="Z373" s="129"/>
    </row>
    <row r="374" spans="1:26" x14ac:dyDescent="0.25">
      <c r="X374" s="130"/>
      <c r="Y374" s="129"/>
      <c r="Z374" s="129"/>
    </row>
    <row r="375" spans="1:26" x14ac:dyDescent="0.25">
      <c r="A375" t="s">
        <v>514</v>
      </c>
      <c r="B375" s="75" t="s">
        <v>254</v>
      </c>
      <c r="C375" s="59">
        <f>(SUM(Z363*1000,-Q375)/10)/Q375</f>
        <v>-9.9999999999999992E-2</v>
      </c>
      <c r="D375" s="164" t="s">
        <v>116</v>
      </c>
      <c r="E375" s="59">
        <f>SUM(H375,-M375)/(SUM(I375,J375,K375,L375,M375))</f>
        <v>3.3049040511727079E-2</v>
      </c>
      <c r="F375" s="129">
        <v>58387</v>
      </c>
      <c r="G375" s="129"/>
      <c r="H375" s="129">
        <v>4185</v>
      </c>
      <c r="I375" s="55">
        <v>3980</v>
      </c>
      <c r="J375" s="55">
        <v>3880</v>
      </c>
      <c r="K375" s="55">
        <v>3730</v>
      </c>
      <c r="L375" s="55">
        <v>3605</v>
      </c>
      <c r="M375" s="55">
        <v>3565</v>
      </c>
      <c r="N375" s="69" t="s">
        <v>254</v>
      </c>
      <c r="O375" s="129">
        <v>56749</v>
      </c>
      <c r="P375" s="129">
        <v>57563</v>
      </c>
      <c r="Q375" s="129">
        <v>58387</v>
      </c>
      <c r="R375" s="130">
        <v>57.6</v>
      </c>
      <c r="S375" s="130"/>
      <c r="T375" s="130">
        <v>57.8</v>
      </c>
      <c r="U375" s="130">
        <v>57.9</v>
      </c>
      <c r="V375" s="130">
        <v>58.1</v>
      </c>
      <c r="W375" s="130"/>
      <c r="X375" s="130"/>
      <c r="Z375" s="129"/>
    </row>
    <row r="376" spans="1:26" x14ac:dyDescent="0.25">
      <c r="A376" t="s">
        <v>514</v>
      </c>
      <c r="B376" s="75" t="s">
        <v>262</v>
      </c>
      <c r="C376" s="59">
        <f>(SUM(Z364*1000,-Q376)/10)/Q376</f>
        <v>-0.1</v>
      </c>
      <c r="D376" t="s">
        <v>465</v>
      </c>
      <c r="E376" s="59">
        <f>SUM(H376,-M376)/(SUM(I376,J376,K376,L376,M376))</f>
        <v>3.3377837116154871E-2</v>
      </c>
      <c r="F376" s="129">
        <v>28335</v>
      </c>
      <c r="G376" s="129"/>
      <c r="H376" s="129">
        <v>2475</v>
      </c>
      <c r="I376" s="55">
        <v>2400</v>
      </c>
      <c r="J376" s="55">
        <v>2325</v>
      </c>
      <c r="K376" s="55">
        <v>2240</v>
      </c>
      <c r="L376" s="55">
        <v>2170</v>
      </c>
      <c r="M376" s="55">
        <v>2100</v>
      </c>
      <c r="N376" s="69" t="s">
        <v>262</v>
      </c>
      <c r="O376" s="129">
        <v>27986</v>
      </c>
      <c r="P376" s="129">
        <v>28146</v>
      </c>
      <c r="Q376" s="129">
        <v>28335</v>
      </c>
      <c r="R376" s="130">
        <v>28.4</v>
      </c>
      <c r="S376" s="130"/>
      <c r="T376" s="130">
        <v>28.6</v>
      </c>
      <c r="U376" s="130">
        <v>28.7</v>
      </c>
      <c r="V376" s="130">
        <v>28.8</v>
      </c>
      <c r="W376" s="130"/>
      <c r="X376" s="130"/>
      <c r="Y376" s="129"/>
      <c r="Z376" s="129"/>
    </row>
    <row r="377" spans="1:26" x14ac:dyDescent="0.25">
      <c r="A377" t="s">
        <v>514</v>
      </c>
      <c r="B377" s="75" t="s">
        <v>772</v>
      </c>
      <c r="C377" s="59">
        <f>(SUM(Z365*1000,-Q377)/10)/Q377</f>
        <v>-0.1</v>
      </c>
      <c r="D377" t="s">
        <v>116</v>
      </c>
      <c r="E377" s="59">
        <f>SUM(H377,-M377)/(SUM(I377,J377,K377,L377,M377))</f>
        <v>3.3172195365894316E-2</v>
      </c>
      <c r="F377" s="129">
        <f>SUM(F375:F376)</f>
        <v>86722</v>
      </c>
      <c r="H377" s="129">
        <f t="shared" ref="H377:M377" si="36">SUM(H375:H376)</f>
        <v>6660</v>
      </c>
      <c r="I377" s="129">
        <f t="shared" si="36"/>
        <v>6380</v>
      </c>
      <c r="J377" s="129">
        <f t="shared" si="36"/>
        <v>6205</v>
      </c>
      <c r="K377" s="129">
        <f t="shared" si="36"/>
        <v>5970</v>
      </c>
      <c r="L377" s="129">
        <f t="shared" si="36"/>
        <v>5775</v>
      </c>
      <c r="M377" s="129">
        <f t="shared" si="36"/>
        <v>5665</v>
      </c>
      <c r="N377" s="69" t="s">
        <v>772</v>
      </c>
      <c r="O377" s="129">
        <f>SUM(O375:O376)</f>
        <v>84735</v>
      </c>
      <c r="P377" s="129">
        <f t="shared" ref="P377:V377" si="37">SUM(P375:P376)</f>
        <v>85709</v>
      </c>
      <c r="Q377" s="129">
        <f t="shared" si="37"/>
        <v>86722</v>
      </c>
      <c r="R377" s="130">
        <f t="shared" si="37"/>
        <v>86</v>
      </c>
      <c r="S377" s="130"/>
      <c r="T377" s="130">
        <f t="shared" si="37"/>
        <v>86.4</v>
      </c>
      <c r="U377" s="130">
        <f t="shared" si="37"/>
        <v>86.6</v>
      </c>
      <c r="V377" s="130">
        <f t="shared" si="37"/>
        <v>86.9</v>
      </c>
      <c r="W377" s="130"/>
      <c r="Y377" s="129"/>
      <c r="Z377" s="129"/>
    </row>
    <row r="378" spans="1:26" x14ac:dyDescent="0.25">
      <c r="X378" s="130"/>
      <c r="Y378" s="129"/>
      <c r="Z378" s="129"/>
    </row>
    <row r="379" spans="1:26" x14ac:dyDescent="0.25">
      <c r="A379" t="s">
        <v>513</v>
      </c>
      <c r="B379" s="75" t="s">
        <v>374</v>
      </c>
      <c r="C379" s="59">
        <f>(SUM(Z367*1000,-Q379)/10)/Q379</f>
        <v>-0.1</v>
      </c>
      <c r="D379" t="s">
        <v>465</v>
      </c>
      <c r="E379" s="59">
        <f>SUM(H379,-M379)/(SUM(I379,J379,K379,L379,M379))</f>
        <v>2.3809523809523808E-2</v>
      </c>
      <c r="F379" s="129">
        <v>15817</v>
      </c>
      <c r="G379" s="129"/>
      <c r="H379" s="129">
        <v>1570</v>
      </c>
      <c r="I379" s="55">
        <v>1550</v>
      </c>
      <c r="J379" s="55">
        <v>1535</v>
      </c>
      <c r="K379" s="55">
        <v>1455</v>
      </c>
      <c r="L379" s="55">
        <v>1415</v>
      </c>
      <c r="M379" s="55">
        <v>1395</v>
      </c>
      <c r="N379" s="69" t="s">
        <v>374</v>
      </c>
      <c r="O379" s="129">
        <v>15523</v>
      </c>
      <c r="P379" s="129">
        <v>15707</v>
      </c>
      <c r="Q379" s="129">
        <v>15817</v>
      </c>
      <c r="R379" s="130">
        <v>15.3</v>
      </c>
      <c r="S379" s="130"/>
      <c r="T379" s="130">
        <v>15.2</v>
      </c>
      <c r="U379" s="130">
        <v>15.2</v>
      </c>
      <c r="V379" s="130">
        <v>15.2</v>
      </c>
      <c r="W379" s="130"/>
      <c r="X379" s="130"/>
    </row>
    <row r="380" spans="1:26" x14ac:dyDescent="0.25">
      <c r="A380" t="s">
        <v>513</v>
      </c>
      <c r="B380" s="75" t="s">
        <v>390</v>
      </c>
      <c r="C380" s="59">
        <f>(SUM(Z368*1000,-Q380)/10)/Q380</f>
        <v>-0.1</v>
      </c>
      <c r="D380" s="164" t="s">
        <v>116</v>
      </c>
      <c r="E380" s="59">
        <f>SUM(H380,-M380)/(SUM(I380,J380,K380,L380,M380))</f>
        <v>2.3759791122715406E-2</v>
      </c>
      <c r="F380" s="129">
        <v>42291</v>
      </c>
      <c r="G380" s="129"/>
      <c r="H380" s="129">
        <v>4130</v>
      </c>
      <c r="I380" s="55">
        <v>4020</v>
      </c>
      <c r="J380" s="55">
        <v>3920</v>
      </c>
      <c r="K380" s="55">
        <v>3825</v>
      </c>
      <c r="L380" s="55">
        <v>3710</v>
      </c>
      <c r="M380" s="55">
        <v>3675</v>
      </c>
      <c r="N380" s="69" t="s">
        <v>390</v>
      </c>
      <c r="O380" s="129">
        <v>41770</v>
      </c>
      <c r="P380" s="129">
        <v>42132</v>
      </c>
      <c r="Q380" s="129">
        <v>42291</v>
      </c>
      <c r="R380" s="130">
        <v>42</v>
      </c>
      <c r="S380" s="130"/>
      <c r="T380" s="130">
        <v>42.1</v>
      </c>
      <c r="U380" s="130">
        <v>42.1</v>
      </c>
      <c r="V380" s="130">
        <v>42.3</v>
      </c>
      <c r="W380" s="130"/>
      <c r="X380" s="244"/>
      <c r="Y380" s="129"/>
    </row>
    <row r="381" spans="1:26" x14ac:dyDescent="0.25">
      <c r="A381" t="s">
        <v>513</v>
      </c>
      <c r="B381" s="75" t="s">
        <v>774</v>
      </c>
      <c r="C381" s="59">
        <f>(SUM(Z369*1000,-Q381)/10)/Q381</f>
        <v>-0.1</v>
      </c>
      <c r="D381" t="s">
        <v>116</v>
      </c>
      <c r="E381" s="59">
        <f>SUM(H381,-M381)/(SUM(I381,J381,K381,L381,M381))</f>
        <v>2.3773584905660377E-2</v>
      </c>
      <c r="F381" s="129">
        <f>SUM(F379:F380)</f>
        <v>58108</v>
      </c>
      <c r="H381" s="129">
        <f t="shared" ref="H381:M381" si="38">SUM(H379:H380)</f>
        <v>5700</v>
      </c>
      <c r="I381" s="129">
        <f t="shared" si="38"/>
        <v>5570</v>
      </c>
      <c r="J381" s="129">
        <f t="shared" si="38"/>
        <v>5455</v>
      </c>
      <c r="K381" s="129">
        <f t="shared" si="38"/>
        <v>5280</v>
      </c>
      <c r="L381" s="129">
        <f t="shared" si="38"/>
        <v>5125</v>
      </c>
      <c r="M381" s="129">
        <f t="shared" si="38"/>
        <v>5070</v>
      </c>
      <c r="N381" s="69" t="s">
        <v>774</v>
      </c>
      <c r="O381" s="129">
        <f>SUM(O379:O380)</f>
        <v>57293</v>
      </c>
      <c r="P381" s="129">
        <f t="shared" ref="P381:V381" si="39">SUM(P379:P380)</f>
        <v>57839</v>
      </c>
      <c r="Q381" s="129">
        <f t="shared" si="39"/>
        <v>58108</v>
      </c>
      <c r="R381" s="244">
        <f t="shared" si="39"/>
        <v>57.3</v>
      </c>
      <c r="S381" s="244"/>
      <c r="T381" s="244">
        <f t="shared" si="39"/>
        <v>57.3</v>
      </c>
      <c r="U381" s="244">
        <f t="shared" si="39"/>
        <v>57.3</v>
      </c>
      <c r="V381" s="244">
        <f t="shared" si="39"/>
        <v>57.5</v>
      </c>
      <c r="W381" s="244"/>
      <c r="Y381" s="129"/>
      <c r="Z381" s="129"/>
    </row>
    <row r="382" spans="1:26" x14ac:dyDescent="0.25">
      <c r="X382" s="130"/>
      <c r="Y382" s="129"/>
      <c r="Z382" s="129"/>
    </row>
    <row r="383" spans="1:26" x14ac:dyDescent="0.25">
      <c r="A383" t="s">
        <v>513</v>
      </c>
      <c r="B383" s="75" t="s">
        <v>350</v>
      </c>
      <c r="C383" s="59">
        <f t="shared" ref="C383:C388" si="40">(SUM(Z371*1000,-Q383)/10)/Q383</f>
        <v>-0.1</v>
      </c>
      <c r="D383" t="s">
        <v>116</v>
      </c>
      <c r="E383" s="59">
        <f t="shared" ref="E383:E388" si="41">SUM(H383,-M383)/(SUM(I383,J383,K383,L383,M383))</f>
        <v>2.8651949271958667E-2</v>
      </c>
      <c r="F383" s="129">
        <v>29609</v>
      </c>
      <c r="G383" s="129"/>
      <c r="H383" s="129">
        <v>2330</v>
      </c>
      <c r="I383" s="55">
        <v>2225</v>
      </c>
      <c r="J383" s="55">
        <v>2200</v>
      </c>
      <c r="K383" s="55">
        <v>2125</v>
      </c>
      <c r="L383" s="55">
        <v>2070</v>
      </c>
      <c r="M383" s="55">
        <v>2025</v>
      </c>
      <c r="N383" s="69" t="s">
        <v>350</v>
      </c>
      <c r="O383" s="129">
        <v>29059</v>
      </c>
      <c r="P383" s="129">
        <v>29348</v>
      </c>
      <c r="Q383" s="129">
        <v>29609</v>
      </c>
      <c r="R383" s="130">
        <v>29.1</v>
      </c>
      <c r="S383" s="130"/>
      <c r="T383" s="130">
        <v>29.1</v>
      </c>
      <c r="U383" s="130">
        <v>29.1</v>
      </c>
      <c r="V383" s="130">
        <v>29.1</v>
      </c>
      <c r="W383" s="130"/>
      <c r="X383" s="130"/>
      <c r="Y383" s="129"/>
      <c r="Z383" s="129"/>
    </row>
    <row r="384" spans="1:26" x14ac:dyDescent="0.25">
      <c r="A384" t="s">
        <v>513</v>
      </c>
      <c r="B384" s="75" t="s">
        <v>354</v>
      </c>
      <c r="C384" s="59">
        <f t="shared" si="40"/>
        <v>-0.1</v>
      </c>
      <c r="D384" t="s">
        <v>116</v>
      </c>
      <c r="E384" s="59">
        <f t="shared" si="41"/>
        <v>2.4676850763807285E-2</v>
      </c>
      <c r="F384" s="129">
        <v>25404</v>
      </c>
      <c r="G384" s="129"/>
      <c r="H384" s="129">
        <v>1865</v>
      </c>
      <c r="I384" s="55">
        <v>1805</v>
      </c>
      <c r="J384" s="55">
        <v>1735</v>
      </c>
      <c r="K384" s="55">
        <v>1680</v>
      </c>
      <c r="L384" s="55">
        <v>1635</v>
      </c>
      <c r="M384" s="55">
        <v>1655</v>
      </c>
      <c r="N384" s="69" t="s">
        <v>354</v>
      </c>
      <c r="O384" s="129">
        <v>24931</v>
      </c>
      <c r="P384" s="129">
        <v>25130</v>
      </c>
      <c r="Q384" s="129">
        <v>25404</v>
      </c>
      <c r="R384" s="130">
        <v>25.3</v>
      </c>
      <c r="S384" s="130"/>
      <c r="T384" s="130">
        <v>25.4</v>
      </c>
      <c r="U384" s="130">
        <v>25.5</v>
      </c>
      <c r="V384" s="130">
        <v>25.6</v>
      </c>
      <c r="W384" s="130"/>
      <c r="X384" s="130"/>
    </row>
    <row r="385" spans="1:27" x14ac:dyDescent="0.25">
      <c r="A385" t="s">
        <v>513</v>
      </c>
      <c r="B385" s="75" t="s">
        <v>366</v>
      </c>
      <c r="C385" s="59">
        <f t="shared" si="40"/>
        <v>-9.9999999999999992E-2</v>
      </c>
      <c r="D385" t="s">
        <v>116</v>
      </c>
      <c r="E385" s="59">
        <f t="shared" si="41"/>
        <v>3.4360189573459717E-2</v>
      </c>
      <c r="F385" s="129">
        <v>12486</v>
      </c>
      <c r="G385" s="129"/>
      <c r="H385" s="129">
        <v>935</v>
      </c>
      <c r="I385" s="55">
        <v>900</v>
      </c>
      <c r="J385" s="55">
        <v>870</v>
      </c>
      <c r="K385" s="55">
        <v>855</v>
      </c>
      <c r="L385" s="55">
        <v>805</v>
      </c>
      <c r="M385" s="55">
        <v>790</v>
      </c>
      <c r="N385" s="69" t="s">
        <v>366</v>
      </c>
      <c r="O385" s="129">
        <v>12478</v>
      </c>
      <c r="P385" s="129">
        <v>12415</v>
      </c>
      <c r="Q385" s="129">
        <v>12486</v>
      </c>
      <c r="R385" s="130">
        <v>12</v>
      </c>
      <c r="S385" s="130"/>
      <c r="T385" s="130">
        <v>11.8</v>
      </c>
      <c r="U385" s="130">
        <v>11.7</v>
      </c>
      <c r="V385" s="130">
        <v>11.6</v>
      </c>
      <c r="W385" s="130"/>
      <c r="X385" s="130"/>
    </row>
    <row r="386" spans="1:27" ht="12" customHeight="1" x14ac:dyDescent="0.25">
      <c r="A386" t="s">
        <v>522</v>
      </c>
      <c r="B386" s="75" t="s">
        <v>376</v>
      </c>
      <c r="C386" s="59">
        <f t="shared" si="40"/>
        <v>-0.1</v>
      </c>
      <c r="D386" t="s">
        <v>465</v>
      </c>
      <c r="E386" s="59">
        <f t="shared" si="41"/>
        <v>1.6666666666666666E-2</v>
      </c>
      <c r="F386" s="129">
        <v>11004</v>
      </c>
      <c r="G386" s="129"/>
      <c r="H386" s="129">
        <v>1055</v>
      </c>
      <c r="I386" s="55">
        <v>1065</v>
      </c>
      <c r="J386" s="55">
        <v>1040</v>
      </c>
      <c r="K386" s="55">
        <v>1035</v>
      </c>
      <c r="L386" s="55">
        <v>990</v>
      </c>
      <c r="M386" s="55">
        <v>970</v>
      </c>
      <c r="N386" s="69" t="s">
        <v>376</v>
      </c>
      <c r="O386" s="129">
        <v>10889</v>
      </c>
      <c r="P386" s="129">
        <v>10946</v>
      </c>
      <c r="Q386" s="129">
        <v>11004</v>
      </c>
      <c r="R386" s="130">
        <v>10.9</v>
      </c>
      <c r="S386" s="130"/>
      <c r="T386" s="130">
        <v>10.9</v>
      </c>
      <c r="U386" s="130">
        <v>10.9</v>
      </c>
      <c r="V386" s="130">
        <v>10.9</v>
      </c>
      <c r="W386" s="130"/>
      <c r="X386" s="130"/>
    </row>
    <row r="387" spans="1:27" x14ac:dyDescent="0.25">
      <c r="A387" t="s">
        <v>513</v>
      </c>
      <c r="B387" s="75" t="s">
        <v>437</v>
      </c>
      <c r="C387" s="59">
        <f t="shared" si="40"/>
        <v>-9.9999999999999992E-2</v>
      </c>
      <c r="D387" t="s">
        <v>465</v>
      </c>
      <c r="E387" s="59">
        <f t="shared" si="41"/>
        <v>3.3276450511945395E-2</v>
      </c>
      <c r="F387" s="129">
        <v>11691</v>
      </c>
      <c r="G387" s="129"/>
      <c r="H387" s="129">
        <v>1300</v>
      </c>
      <c r="I387" s="55">
        <v>1245</v>
      </c>
      <c r="J387" s="55">
        <v>1220</v>
      </c>
      <c r="K387" s="55">
        <v>1155</v>
      </c>
      <c r="L387" s="55">
        <v>1135</v>
      </c>
      <c r="M387" s="55">
        <v>1105</v>
      </c>
      <c r="N387" s="69" t="s">
        <v>437</v>
      </c>
      <c r="O387" s="129">
        <v>11612</v>
      </c>
      <c r="P387" s="129">
        <v>11684</v>
      </c>
      <c r="Q387" s="129">
        <v>11691</v>
      </c>
      <c r="R387" s="130">
        <v>11.5</v>
      </c>
      <c r="S387" s="130"/>
      <c r="T387" s="130">
        <v>11.5</v>
      </c>
      <c r="U387" s="130">
        <v>11.5</v>
      </c>
      <c r="V387" s="130">
        <v>11.5</v>
      </c>
      <c r="W387" s="130"/>
      <c r="X387" s="130"/>
    </row>
    <row r="388" spans="1:27" x14ac:dyDescent="0.25">
      <c r="A388" t="s">
        <v>513</v>
      </c>
      <c r="B388" s="75" t="s">
        <v>773</v>
      </c>
      <c r="C388" s="59">
        <f t="shared" si="40"/>
        <v>-9.9999999999999992E-2</v>
      </c>
      <c r="D388" t="s">
        <v>116</v>
      </c>
      <c r="E388" s="59">
        <f t="shared" si="41"/>
        <v>2.7377311780981507E-2</v>
      </c>
      <c r="F388" s="129">
        <f>SUM(F383:F387)</f>
        <v>90194</v>
      </c>
      <c r="H388" s="129">
        <f t="shared" ref="H388:M388" si="42">SUM(H383:H387)</f>
        <v>7485</v>
      </c>
      <c r="I388" s="129">
        <f t="shared" si="42"/>
        <v>7240</v>
      </c>
      <c r="J388" s="129">
        <f t="shared" si="42"/>
        <v>7065</v>
      </c>
      <c r="K388" s="129">
        <f t="shared" si="42"/>
        <v>6850</v>
      </c>
      <c r="L388" s="129">
        <f t="shared" si="42"/>
        <v>6635</v>
      </c>
      <c r="M388" s="129">
        <f t="shared" si="42"/>
        <v>6545</v>
      </c>
      <c r="N388" s="69" t="s">
        <v>773</v>
      </c>
      <c r="O388" s="129">
        <f>SUM(O383:O387)</f>
        <v>88969</v>
      </c>
      <c r="P388" s="129">
        <f t="shared" ref="P388:V388" si="43">SUM(P383:P387)</f>
        <v>89523</v>
      </c>
      <c r="Q388" s="129">
        <f t="shared" si="43"/>
        <v>90194</v>
      </c>
      <c r="R388" s="130">
        <f t="shared" si="43"/>
        <v>88.800000000000011</v>
      </c>
      <c r="S388" s="130"/>
      <c r="T388" s="130">
        <f t="shared" si="43"/>
        <v>88.7</v>
      </c>
      <c r="U388" s="130">
        <f t="shared" si="43"/>
        <v>88.7</v>
      </c>
      <c r="V388" s="130">
        <f t="shared" si="43"/>
        <v>88.7</v>
      </c>
      <c r="W388" s="130"/>
    </row>
    <row r="389" spans="1:27" x14ac:dyDescent="0.25">
      <c r="X389" s="130"/>
    </row>
    <row r="390" spans="1:27" x14ac:dyDescent="0.25">
      <c r="A390" t="s">
        <v>514</v>
      </c>
      <c r="B390" s="75" t="s">
        <v>276</v>
      </c>
      <c r="C390" s="59">
        <f>(SUM(V390*1000,-R390)/14)/R390</f>
        <v>8.0320594406797143E-3</v>
      </c>
      <c r="D390" t="s">
        <v>116</v>
      </c>
      <c r="E390" s="59">
        <f>SUM(H390,-M390)/(SUM(I390,J390,K390,L390,M390))</f>
        <v>3.5677352637021716E-2</v>
      </c>
      <c r="F390" s="129">
        <v>20765</v>
      </c>
      <c r="G390" s="129"/>
      <c r="H390" s="129">
        <v>2170</v>
      </c>
      <c r="I390" s="55">
        <v>2055</v>
      </c>
      <c r="J390" s="55">
        <v>2010</v>
      </c>
      <c r="K390" s="55">
        <v>1915</v>
      </c>
      <c r="L390" s="55">
        <v>1865</v>
      </c>
      <c r="M390" s="55">
        <v>1825</v>
      </c>
      <c r="N390" s="69" t="s">
        <v>276</v>
      </c>
      <c r="O390" s="129">
        <v>19331</v>
      </c>
      <c r="P390" s="129">
        <v>19651</v>
      </c>
      <c r="Q390" s="129">
        <v>20445</v>
      </c>
      <c r="R390" s="129">
        <v>20765</v>
      </c>
      <c r="S390" s="129"/>
      <c r="T390" s="130">
        <v>21.1</v>
      </c>
      <c r="U390" s="130">
        <v>22.1</v>
      </c>
      <c r="V390" s="130">
        <v>23.1</v>
      </c>
      <c r="W390" s="130"/>
      <c r="X390" s="130"/>
    </row>
    <row r="391" spans="1:27" x14ac:dyDescent="0.25">
      <c r="A391" t="s">
        <v>514</v>
      </c>
      <c r="B391" s="75" t="s">
        <v>239</v>
      </c>
      <c r="C391" s="59">
        <f t="shared" ref="C391:C392" si="44">(SUM(V391*1000,-R391)/14)/R391</f>
        <v>9.8957216343144565E-3</v>
      </c>
      <c r="D391" t="s">
        <v>439</v>
      </c>
      <c r="E391" s="59">
        <f t="shared" ref="E391:E392" si="45">SUM(H391,-M391)/(SUM(I391,J391,K391,L391,M391))</f>
        <v>5.3189395856174972E-2</v>
      </c>
      <c r="F391" s="129">
        <v>883939</v>
      </c>
      <c r="G391" s="129"/>
      <c r="H391" s="129">
        <v>125785</v>
      </c>
      <c r="I391" s="55">
        <v>118195</v>
      </c>
      <c r="J391" s="55">
        <v>112515</v>
      </c>
      <c r="K391" s="55">
        <v>105990</v>
      </c>
      <c r="L391" s="55">
        <v>99460</v>
      </c>
      <c r="M391" s="55">
        <v>97405</v>
      </c>
      <c r="N391" s="69" t="s">
        <v>239</v>
      </c>
      <c r="O391" s="129">
        <v>863202</v>
      </c>
      <c r="P391" s="129">
        <v>873471</v>
      </c>
      <c r="Q391" s="129">
        <v>873338</v>
      </c>
      <c r="R391" s="129">
        <v>883939</v>
      </c>
      <c r="S391" s="129"/>
      <c r="T391" s="130">
        <v>925.9</v>
      </c>
      <c r="U391" s="130">
        <v>969.1</v>
      </c>
      <c r="V391" s="130">
        <v>1006.4</v>
      </c>
      <c r="W391" s="130"/>
      <c r="X391" s="129"/>
    </row>
    <row r="392" spans="1:27" x14ac:dyDescent="0.25">
      <c r="A392" t="s">
        <v>514</v>
      </c>
      <c r="B392" s="75" t="s">
        <v>239</v>
      </c>
      <c r="C392" s="59">
        <f t="shared" si="44"/>
        <v>9.8529463780418786E-3</v>
      </c>
      <c r="D392" t="s">
        <v>439</v>
      </c>
      <c r="E392" s="59">
        <f t="shared" si="45"/>
        <v>5.2877668044216591E-2</v>
      </c>
      <c r="F392" s="129">
        <f>SUM(F390:F391)</f>
        <v>904704</v>
      </c>
      <c r="H392" s="129">
        <f>SUM(H390:H391)</f>
        <v>127955</v>
      </c>
      <c r="I392" s="129">
        <f t="shared" ref="I392:M392" si="46">SUM(I390:I391)</f>
        <v>120250</v>
      </c>
      <c r="J392" s="101">
        <f t="shared" si="46"/>
        <v>114525</v>
      </c>
      <c r="K392" s="101">
        <f t="shared" si="46"/>
        <v>107905</v>
      </c>
      <c r="L392" s="101">
        <f t="shared" si="46"/>
        <v>101325</v>
      </c>
      <c r="M392" s="101">
        <f t="shared" si="46"/>
        <v>99230</v>
      </c>
      <c r="N392" s="69" t="s">
        <v>239</v>
      </c>
      <c r="O392" s="129">
        <f>SUM(O390:O391)</f>
        <v>882533</v>
      </c>
      <c r="P392" s="129">
        <f t="shared" ref="P392:V392" si="47">SUM(P390:P391)</f>
        <v>893122</v>
      </c>
      <c r="Q392" s="129">
        <f t="shared" si="47"/>
        <v>893783</v>
      </c>
      <c r="R392" s="129">
        <f t="shared" si="47"/>
        <v>904704</v>
      </c>
      <c r="S392" s="129"/>
      <c r="T392" s="129">
        <f t="shared" si="47"/>
        <v>947</v>
      </c>
      <c r="U392" s="129">
        <f t="shared" si="47"/>
        <v>991.2</v>
      </c>
      <c r="V392" s="129">
        <f t="shared" si="47"/>
        <v>1029.5</v>
      </c>
      <c r="W392" s="129"/>
    </row>
    <row r="393" spans="1:27" x14ac:dyDescent="0.25">
      <c r="X393" s="130"/>
    </row>
    <row r="394" spans="1:27" x14ac:dyDescent="0.25">
      <c r="A394" t="s">
        <v>517</v>
      </c>
      <c r="B394" s="75" t="s">
        <v>286</v>
      </c>
      <c r="C394" s="59">
        <f>(SUM(V394*1000,-R394)/14)/R394</f>
        <v>5.9920321295504767E-3</v>
      </c>
      <c r="D394" t="s">
        <v>465</v>
      </c>
      <c r="E394" s="59">
        <f>SUM(H394,-M394)/(SUM(I394,J394,K394,L394,M394))</f>
        <v>3.5687167805618827E-2</v>
      </c>
      <c r="F394" s="129">
        <v>17931</v>
      </c>
      <c r="G394" s="129"/>
      <c r="H394" s="129">
        <v>1490</v>
      </c>
      <c r="I394" s="55">
        <v>1400</v>
      </c>
      <c r="J394" s="55">
        <v>1370</v>
      </c>
      <c r="K394" s="70">
        <v>1300</v>
      </c>
      <c r="L394" s="55">
        <v>1260</v>
      </c>
      <c r="M394" s="61">
        <v>1255</v>
      </c>
      <c r="N394" s="70" t="s">
        <v>286</v>
      </c>
      <c r="O394" s="129">
        <v>17184</v>
      </c>
      <c r="P394" s="129">
        <v>17278</v>
      </c>
      <c r="Q394" s="129">
        <v>17439</v>
      </c>
      <c r="R394" s="129">
        <v>17714</v>
      </c>
      <c r="S394" s="129">
        <v>17931</v>
      </c>
      <c r="T394" s="130">
        <v>18</v>
      </c>
      <c r="U394" s="130">
        <v>18.600000000000001</v>
      </c>
      <c r="V394" s="130">
        <v>19.2</v>
      </c>
      <c r="W394" s="130"/>
      <c r="X394" s="130"/>
      <c r="AA394" s="129"/>
    </row>
    <row r="395" spans="1:27" x14ac:dyDescent="0.25">
      <c r="A395" t="s">
        <v>517</v>
      </c>
      <c r="B395" s="75" t="s">
        <v>294</v>
      </c>
      <c r="C395" s="59">
        <f>(SUM(V395*1000,-R395)/14)/R395</f>
        <v>5.281876122398676E-5</v>
      </c>
      <c r="D395" t="s">
        <v>116</v>
      </c>
      <c r="E395" s="59">
        <f>SUM(H395,-M395)/(SUM(I395,J395,K395,L395,M395))</f>
        <v>3.0431107354184278E-2</v>
      </c>
      <c r="F395" s="129">
        <v>41001</v>
      </c>
      <c r="G395" s="129"/>
      <c r="H395" s="129">
        <v>2595</v>
      </c>
      <c r="I395" s="55">
        <v>2460</v>
      </c>
      <c r="J395" s="55">
        <v>2445</v>
      </c>
      <c r="K395" s="55">
        <v>2395</v>
      </c>
      <c r="L395" s="55">
        <v>2295</v>
      </c>
      <c r="M395" s="55">
        <v>2235</v>
      </c>
      <c r="N395" s="69" t="s">
        <v>294</v>
      </c>
      <c r="O395" s="129">
        <v>40041</v>
      </c>
      <c r="P395" s="129">
        <v>40094</v>
      </c>
      <c r="Q395" s="129">
        <v>40312</v>
      </c>
      <c r="R395" s="129">
        <v>40570</v>
      </c>
      <c r="S395" s="129">
        <v>41001</v>
      </c>
      <c r="T395" s="130">
        <v>40.299999999999997</v>
      </c>
      <c r="U395" s="130">
        <v>40.5</v>
      </c>
      <c r="V395" s="130">
        <v>40.6</v>
      </c>
      <c r="W395" s="130"/>
      <c r="X395" s="130"/>
      <c r="AA395" s="129"/>
    </row>
    <row r="396" spans="1:27" x14ac:dyDescent="0.25">
      <c r="A396" t="s">
        <v>517</v>
      </c>
      <c r="B396" s="75" t="s">
        <v>323</v>
      </c>
      <c r="C396" s="59">
        <f>(SUM(V396*1000,-R396)/14)/R396</f>
        <v>3.5432544457815215E-3</v>
      </c>
      <c r="D396" t="s">
        <v>465</v>
      </c>
      <c r="E396" s="59">
        <f>SUM(H396,-M396)/(SUM(I396,J396,K396,L396,M396))</f>
        <v>2.9456193353474321E-2</v>
      </c>
      <c r="F396" s="129">
        <v>15017</v>
      </c>
      <c r="G396" s="129"/>
      <c r="H396" s="129">
        <v>1460</v>
      </c>
      <c r="I396" s="55">
        <v>1400</v>
      </c>
      <c r="J396" s="55">
        <v>1375</v>
      </c>
      <c r="K396" s="55">
        <v>1315</v>
      </c>
      <c r="L396" s="55">
        <v>1265</v>
      </c>
      <c r="M396" s="55">
        <v>1265</v>
      </c>
      <c r="N396" s="69" t="s">
        <v>323</v>
      </c>
      <c r="O396" s="129">
        <v>14628</v>
      </c>
      <c r="P396" s="129">
        <v>14734</v>
      </c>
      <c r="Q396" s="129">
        <v>14900</v>
      </c>
      <c r="R396" s="129">
        <v>14958</v>
      </c>
      <c r="S396" s="129">
        <v>15017</v>
      </c>
      <c r="T396" s="130">
        <v>15</v>
      </c>
      <c r="U396" s="130">
        <v>15.4</v>
      </c>
      <c r="V396" s="130">
        <v>15.7</v>
      </c>
      <c r="W396" s="130"/>
      <c r="X396" s="130"/>
      <c r="AA396" s="129"/>
    </row>
    <row r="397" spans="1:27" x14ac:dyDescent="0.25">
      <c r="A397" t="s">
        <v>517</v>
      </c>
      <c r="B397" s="75" t="s">
        <v>827</v>
      </c>
      <c r="C397" s="59">
        <f>(SUM(V397*1000,-R397)/14)/R397</f>
        <v>2.2020932564063554E-3</v>
      </c>
      <c r="D397" t="s">
        <v>116</v>
      </c>
      <c r="E397" s="59">
        <f>SUM(H397,-M397)/(SUM(I397,J397,K397,L397,M397))</f>
        <v>3.1555821849410824E-2</v>
      </c>
      <c r="F397" s="129">
        <f>SUM(F394:F396)</f>
        <v>73949</v>
      </c>
      <c r="H397" s="129">
        <f>SUM(H394:H396)</f>
        <v>5545</v>
      </c>
      <c r="I397" s="129">
        <f t="shared" ref="I397:M397" si="48">SUM(I394:I396)</f>
        <v>5260</v>
      </c>
      <c r="J397" s="129">
        <f t="shared" si="48"/>
        <v>5190</v>
      </c>
      <c r="K397" s="129">
        <f t="shared" si="48"/>
        <v>5010</v>
      </c>
      <c r="L397" s="129">
        <f t="shared" si="48"/>
        <v>4820</v>
      </c>
      <c r="M397" s="129">
        <f t="shared" si="48"/>
        <v>4755</v>
      </c>
      <c r="N397" s="69" t="s">
        <v>827</v>
      </c>
      <c r="O397" s="129">
        <f t="shared" ref="O397" si="49">SUM(O394:O396)</f>
        <v>71853</v>
      </c>
      <c r="P397" s="129">
        <f t="shared" ref="P397" si="50">SUM(P394:P396)</f>
        <v>72106</v>
      </c>
      <c r="Q397" s="129">
        <f t="shared" ref="Q397" si="51">SUM(Q394:Q396)</f>
        <v>72651</v>
      </c>
      <c r="R397" s="129">
        <f t="shared" ref="R397" si="52">SUM(R394:R396)</f>
        <v>73242</v>
      </c>
      <c r="S397" s="129">
        <f t="shared" ref="S397" si="53">SUM(S394:S396)</f>
        <v>73949</v>
      </c>
      <c r="T397" s="130">
        <f t="shared" ref="T397" si="54">SUM(T394:T396)</f>
        <v>73.3</v>
      </c>
      <c r="U397" s="130">
        <f t="shared" ref="U397" si="55">SUM(U394:U396)</f>
        <v>74.5</v>
      </c>
      <c r="V397" s="130">
        <f t="shared" ref="V397" si="56">SUM(V394:V396)</f>
        <v>75.5</v>
      </c>
      <c r="W397" s="130"/>
    </row>
  </sheetData>
  <sheetProtection algorithmName="SHA-512" hashValue="14J6DNYC1JXdGZF5oJaamG4GoDyNjr+r0WVAg9FkgMA+0mM3XtSg6lKTlrH78Q9WP/WxeXhY5ubOA9JZXSXXHg==" saltValue="riO4/hMm0+2w6LoGt3fgOg==" spinCount="100000" sheet="1" objects="1" scenarios="1"/>
  <sortState xmlns:xlrd2="http://schemas.microsoft.com/office/spreadsheetml/2017/richdata2" ref="Y2:Z343">
    <sortCondition ref="Y2:Y343"/>
  </sortState>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17</vt:i4>
      </vt:variant>
    </vt:vector>
  </HeadingPairs>
  <TitlesOfParts>
    <vt:vector size="17" baseType="lpstr">
      <vt:lpstr>Financiele conditie</vt:lpstr>
      <vt:lpstr>Kengetallen 2024</vt:lpstr>
      <vt:lpstr>Macrogegevens</vt:lpstr>
      <vt:lpstr>Balansprognose</vt:lpstr>
      <vt:lpstr>Investeringen &amp; financiering</vt:lpstr>
      <vt:lpstr>Inkomsten &amp; uitgaven</vt:lpstr>
      <vt:lpstr>Kengetallen 2023</vt:lpstr>
      <vt:lpstr>Data investeringen</vt:lpstr>
      <vt:lpstr>Data macro</vt:lpstr>
      <vt:lpstr>Inkomsten</vt:lpstr>
      <vt:lpstr>Inkomsten 2021</vt:lpstr>
      <vt:lpstr>Uitgaven</vt:lpstr>
      <vt:lpstr>Uitgaven 2023</vt:lpstr>
      <vt:lpstr>Data belastingen 2022</vt:lpstr>
      <vt:lpstr>Data belastingen 2023</vt:lpstr>
      <vt:lpstr>Data belastingen 2024</vt:lpstr>
      <vt:lpstr>Data belastingen 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Houdbaarheidstest gemeentefinancien 2013</dc:title>
  <dc:creator>Jan van der Lei</dc:creator>
  <cp:keywords>Jan van der Lei</cp:keywords>
  <cp:lastModifiedBy>Jan van der Lei</cp:lastModifiedBy>
  <cp:lastPrinted>2021-03-10T09:02:02Z</cp:lastPrinted>
  <dcterms:created xsi:type="dcterms:W3CDTF">2013-03-05T13:22:00Z</dcterms:created>
  <dcterms:modified xsi:type="dcterms:W3CDTF">2025-03-27T07:50:54Z</dcterms:modified>
</cp:coreProperties>
</file>